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506" windowWidth="19320" windowHeight="11010" tabRatio="727" firstSheet="22" activeTab="29"/>
  </bookViews>
  <sheets>
    <sheet name="1.1.melléklet" sheetId="1" r:id="rId1"/>
    <sheet name="1.2.melléklet" sheetId="2" r:id="rId2"/>
    <sheet name="1.3.melléklet" sheetId="3" r:id="rId3"/>
    <sheet name="1.4.melléklet" sheetId="4" r:id="rId4"/>
    <sheet name="2.1.melléklet " sheetId="5" r:id="rId5"/>
    <sheet name="2.2.melléklet " sheetId="6" r:id="rId6"/>
    <sheet name="3.melléklet" sheetId="7" r:id="rId7"/>
    <sheet name="4.melléklet" sheetId="8" r:id="rId8"/>
    <sheet name="5.melléklet" sheetId="9" r:id="rId9"/>
    <sheet name="6.melléklet" sheetId="10" r:id="rId10"/>
    <sheet name="7.melléklet" sheetId="11" r:id="rId11"/>
    <sheet name="8. melléklet " sheetId="12" r:id="rId12"/>
    <sheet name="9.1. melléklet" sheetId="13" r:id="rId13"/>
    <sheet name="9.1.1. melléklet" sheetId="14" r:id="rId14"/>
    <sheet name="9.1.2.melléklet" sheetId="15" r:id="rId15"/>
    <sheet name="9.1.3. melléklet " sheetId="16" r:id="rId16"/>
    <sheet name="9.2.melléklet" sheetId="17" r:id="rId17"/>
    <sheet name="9.2.1.melléklet" sheetId="18" r:id="rId18"/>
    <sheet name="9.2.2.melléklet" sheetId="19" r:id="rId19"/>
    <sheet name="9.2.3.melléklet" sheetId="20" r:id="rId20"/>
    <sheet name="9.3.melléklet" sheetId="21" r:id="rId21"/>
    <sheet name="9.3.1.melléklet" sheetId="22" r:id="rId22"/>
    <sheet name="9.3.2.melléklet" sheetId="23" r:id="rId23"/>
    <sheet name="9.3.3. melléklet" sheetId="24" r:id="rId24"/>
    <sheet name="9.4.melléklet" sheetId="25" r:id="rId25"/>
    <sheet name="9.4.1.melléklet" sheetId="26" r:id="rId26"/>
    <sheet name="9.4.2.melléklet" sheetId="27" r:id="rId27"/>
    <sheet name="9.4.3.melléklet" sheetId="28" r:id="rId28"/>
    <sheet name="10.melléklet" sheetId="29" r:id="rId29"/>
    <sheet name="1. tájékoztató " sheetId="30" r:id="rId30"/>
    <sheet name="2. tájékoztató " sheetId="31" r:id="rId31"/>
    <sheet name="3. tájékoztató " sheetId="32" r:id="rId32"/>
    <sheet name="4. tájékoztató " sheetId="33" r:id="rId33"/>
    <sheet name="5. tájékoztató " sheetId="34" r:id="rId34"/>
    <sheet name="6. tájékoztató " sheetId="35" r:id="rId35"/>
    <sheet name="7.  tájékoztató" sheetId="36" r:id="rId36"/>
    <sheet name="8. tájékoztató" sheetId="37" r:id="rId37"/>
    <sheet name="9. tájékoztató" sheetId="38" r:id="rId38"/>
    <sheet name="10.tájékoztató " sheetId="39" r:id="rId39"/>
    <sheet name="11.tájékoztató" sheetId="40" r:id="rId40"/>
  </sheets>
  <externalReferences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_xlfn.IFERROR" hidden="1">#NAME?</definedName>
    <definedName name="_xlnm.Print_Titles" localSheetId="12">'9.1. melléklet'!$1:$6</definedName>
    <definedName name="_xlnm.Print_Titles" localSheetId="13">'9.1.1. melléklet'!$1:$6</definedName>
    <definedName name="_xlnm.Print_Titles" localSheetId="14">'9.1.2.melléklet'!$1:$6</definedName>
    <definedName name="_xlnm.Print_Titles" localSheetId="15">'9.1.3. melléklet '!$1:$6</definedName>
    <definedName name="_xlnm.Print_Titles" localSheetId="17">'9.2.1.melléklet'!$1:$6</definedName>
    <definedName name="_xlnm.Print_Titles" localSheetId="18">'9.2.2.melléklet'!$1:$6</definedName>
    <definedName name="_xlnm.Print_Titles" localSheetId="19">'9.2.3.melléklet'!$1:$6</definedName>
    <definedName name="_xlnm.Print_Titles" localSheetId="16">'9.2.melléklet'!$1:$6</definedName>
    <definedName name="_xlnm.Print_Titles" localSheetId="21">'9.3.1.melléklet'!$1:$6</definedName>
    <definedName name="_xlnm.Print_Titles" localSheetId="22">'9.3.2.melléklet'!$1:$6</definedName>
    <definedName name="_xlnm.Print_Titles" localSheetId="23">'9.3.3. melléklet'!$1:$6</definedName>
    <definedName name="_xlnm.Print_Titles" localSheetId="20">'9.3.melléklet'!$1:$6</definedName>
    <definedName name="_xlnm.Print_Area" localSheetId="29">'1. tájékoztató '!$A$1:$E$166</definedName>
    <definedName name="_xlnm.Print_Area" localSheetId="0">'1.1.melléklet'!$A$1:$G$152</definedName>
    <definedName name="_xlnm.Print_Area" localSheetId="1">'1.2.melléklet'!$A$1:$G$152</definedName>
    <definedName name="_xlnm.Print_Area" localSheetId="2">'1.3.melléklet'!$A$1:$F$148</definedName>
    <definedName name="_xlnm.Print_Area" localSheetId="3">'1.4.melléklet'!$A$1:$F$148</definedName>
    <definedName name="_xlnm.Print_Area" localSheetId="38">'10.tájékoztató '!$A$1:$F$151</definedName>
    <definedName name="_xlnm.Print_Area" localSheetId="5">'2.2.melléklet '!$A$1:$N$34</definedName>
    <definedName name="_xlnm.Print_Area" localSheetId="35">'7.  tájékoztató'!$A$1:$I$83</definedName>
    <definedName name="_xlnm.Print_Area" localSheetId="12">'9.1. melléklet'!$A$1:$G$150</definedName>
    <definedName name="_xlnm.Print_Area" localSheetId="13">'9.1.1. melléklet'!$A$1:$G$151</definedName>
    <definedName name="_xlnm.Print_Area" localSheetId="14">'9.1.2.melléklet'!$A$1:$F$148</definedName>
    <definedName name="_xlnm.Print_Area" localSheetId="15">'9.1.3. melléklet '!$A$1:$E$148</definedName>
    <definedName name="_xlnm.Print_Area" localSheetId="17">'9.2.1.melléklet'!$A$1:$G$60</definedName>
    <definedName name="_xlnm.Print_Area" localSheetId="16">'9.2.melléklet'!$A$1:$F$60</definedName>
    <definedName name="_xlnm.Print_Area" localSheetId="21">'9.3.1.melléklet'!$A$1:$F$60</definedName>
    <definedName name="_xlnm.Print_Area" localSheetId="20">'9.3.melléklet'!$A$1:$F$60</definedName>
    <definedName name="_xlnm.Print_Area" localSheetId="24">'9.4.melléklet'!$A$1:$F$59</definedName>
  </definedNames>
  <calcPr fullCalcOnLoad="1"/>
</workbook>
</file>

<file path=xl/sharedStrings.xml><?xml version="1.0" encoding="utf-8"?>
<sst xmlns="http://schemas.openxmlformats.org/spreadsheetml/2006/main" count="5245" uniqueCount="914">
  <si>
    <t xml:space="preserve">Felhalmozási célú önkormányzati támogatások </t>
  </si>
  <si>
    <t>1.tájékoztató</t>
  </si>
  <si>
    <t>2016.09.        (E Ft)</t>
  </si>
  <si>
    <t>2016.12.        ( Ft)</t>
  </si>
  <si>
    <t>2.tájékoztató</t>
  </si>
  <si>
    <t>2016. 09.    ( e Ft )</t>
  </si>
  <si>
    <t>2016.1 2.       ( Ft )</t>
  </si>
  <si>
    <t>2017.02. előirányzat</t>
  </si>
  <si>
    <t>2017.02.Előirányzat</t>
  </si>
  <si>
    <t xml:space="preserve">2.1. melléklet az  /2017. (II.28.) önkormányzati rendelethez*     </t>
  </si>
  <si>
    <t>2.2. melléklet az /2017. (II.28.) önkormányzati rendelethez*</t>
  </si>
  <si>
    <t>2017.02.       ( Ft )</t>
  </si>
  <si>
    <t>Út, autópálya</t>
  </si>
  <si>
    <t>Lakóingatlan bérbeadás</t>
  </si>
  <si>
    <t>2017.02.        ( Ft)</t>
  </si>
  <si>
    <t>Bérleti díjak</t>
  </si>
  <si>
    <t>Népszavazás</t>
  </si>
  <si>
    <t>*Módosította a 4 /2017 (II.28.) 1.számú melléklete</t>
  </si>
  <si>
    <t>*Módosította a 4/2017.(II.28.) 2.számú melléklete</t>
  </si>
  <si>
    <t>*Módosította a 4/2017 (II.28.) 3.számú melléklete</t>
  </si>
  <si>
    <t>*Módosította a 4/2017 (II.28.) 4.számú melléklete</t>
  </si>
  <si>
    <t>*Módosította a 4 /2017. (II.28.) 5.számú melléklete</t>
  </si>
  <si>
    <t>*Módosította a 4/2017.(II.28.) 6.számú melléklete</t>
  </si>
  <si>
    <t>*Módosította a 4/2017.(II.28.) 7.számú melléklete</t>
  </si>
  <si>
    <t>*Módosította a 4/2017.(II.28.) 8.számú melléklete</t>
  </si>
  <si>
    <t>*Módosította a 4/2017. (II.28.) 9.számú melléklete</t>
  </si>
  <si>
    <t>*Módosította a  4/2017.(II.28.) 10.számú melléklete</t>
  </si>
  <si>
    <t>*Módosította a 4/2017.(II.28.) 11.számú melléklete</t>
  </si>
  <si>
    <t>*Módosította a 4/2017.(II.28.) 12.számú melléklete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</si>
  <si>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</si>
  <si>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</si>
  <si>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</si>
  <si>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</si>
  <si>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</si>
  <si>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</si>
  <si>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</si>
  <si>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</si>
  <si>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</si>
  <si>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</si>
  <si>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</si>
  <si>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</si>
  <si>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</si>
  <si>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</si>
  <si>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</si>
  <si>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</si>
  <si>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</si>
  <si>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</si>
  <si>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</si>
  <si>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</si>
  <si>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</si>
  <si>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</si>
  <si>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</si>
  <si>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</si>
  <si>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</si>
  <si>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</si>
  <si>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</si>
  <si>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</si>
  <si>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</si>
  <si>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</si>
  <si>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</si>
  <si>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</si>
  <si>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</si>
  <si>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</si>
  <si>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</si>
  <si>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</si>
  <si>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</si>
  <si>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</si>
  <si>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</si>
  <si>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</si>
  <si>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</si>
  <si>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</si>
  <si>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</si>
  <si>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</si>
  <si>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</si>
  <si>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</si>
  <si>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</si>
  <si>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</si>
  <si>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</si>
  <si>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</si>
  <si>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</si>
  <si>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</si>
  <si>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</si>
  <si>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</si>
  <si>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</si>
  <si>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</si>
  <si>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</si>
  <si>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</si>
  <si>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</si>
  <si>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</si>
  <si>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</si>
  <si>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</si>
  <si>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</si>
  <si>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</si>
  <si>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</si>
  <si>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</si>
  <si>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</si>
  <si>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</si>
  <si>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</si>
  <si>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</si>
  <si>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</si>
  <si>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</si>
  <si>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</si>
  <si>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</si>
  <si>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</si>
  <si>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</si>
  <si>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</si>
  <si>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</si>
  <si>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</si>
  <si>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</si>
  <si>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</si>
  <si>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</si>
  <si>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</si>
  <si>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</si>
  <si>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</si>
  <si>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Felhalmozási célú támogatások államháztartáson belülről (EGT)</t>
  </si>
  <si>
    <t>Költségvetési mérleg közgazdasági tagolásban
(Tát Város Önkormányzati szinten)</t>
  </si>
  <si>
    <t>Működési célú finanszírozási kiadások összesen (14.+...+21.)</t>
  </si>
  <si>
    <t>KIADÁSOK ÖSSZESEN (13.+22.)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</si>
  <si>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</si>
  <si>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</si>
  <si>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</si>
  <si>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</si>
  <si>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</si>
  <si>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</si>
  <si>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</si>
  <si>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</si>
  <si>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</si>
  <si>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</si>
  <si>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</si>
  <si>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5.  tájékoztató tábla</t>
  </si>
  <si>
    <t>9. tájékoztató  tábla</t>
  </si>
  <si>
    <t>2017.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</si>
  <si>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</si>
  <si>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</si>
  <si>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</si>
  <si>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</si>
  <si>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</si>
  <si>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</si>
  <si>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</si>
  <si>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</si>
  <si>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</si>
  <si>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</si>
  <si>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</si>
  <si>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</si>
  <si>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</si>
  <si>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</si>
  <si>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</si>
  <si>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</si>
  <si>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</si>
  <si>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</si>
  <si>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</si>
  <si>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</si>
  <si>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</si>
  <si>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</si>
  <si>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</si>
  <si>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</si>
  <si>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</si>
  <si>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</si>
  <si>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</si>
  <si>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9.1.2. melléklet az 1/2016. (I.26.) önkormányzati rendelethez</t>
  </si>
  <si>
    <t>9.1.3. melléklet az 1/2016. (I.26.) önkormányzati rendelethez</t>
  </si>
  <si>
    <t>9.3.2. melléklet az 1/2016. (I.26.) önkormányzati rendelethez</t>
  </si>
  <si>
    <t>9.3.3. melléklet az 1/2016. (I.26.) önkormányzati rendelethez</t>
  </si>
  <si>
    <t>9.4.3. melléklet az 1/2016. (I.26.) önkormányzati rendelethez</t>
  </si>
  <si>
    <t>KIADÁSOK ÖSSZESEN: (1.+2.)</t>
  </si>
  <si>
    <t>BEVÉTELEK ÖSSZESEN: (9+16)</t>
  </si>
  <si>
    <t>Kötelező feladatok bevételei, kiadásai</t>
  </si>
  <si>
    <t>Önként vállalt feladatok bevételei, kiadásai</t>
  </si>
  <si>
    <t>Állami (államigazgataási)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</si>
  <si>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</si>
  <si>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</si>
  <si>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</si>
  <si>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</si>
  <si>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</si>
  <si>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</si>
  <si>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</si>
  <si>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</si>
  <si>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</si>
  <si>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</si>
  <si>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</si>
  <si>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</si>
  <si>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</si>
  <si>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</si>
  <si>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Osztalék, a koncessziós díj és a hozambevétel</t>
  </si>
  <si>
    <t xml:space="preserve">   Rövid lejáratú  hitelek, kölcsönök felvétele</t>
  </si>
  <si>
    <t>Tát Város Önkormányzat adósságot keletkeztető ügyletekből és kezességvállalásokból fennálló kötelezettségei</t>
  </si>
  <si>
    <t>Tát Város Önkormányzat saját bevételeinek részletezése az adósságot keletkeztető ügyletből származó tárgyévi fizetési kötelezettség megállapításához</t>
  </si>
  <si>
    <t>Közös önkormányzati hivatal</t>
  </si>
  <si>
    <t>Kultúrház és Könyvtár</t>
  </si>
  <si>
    <t>Szent György Otthon</t>
  </si>
  <si>
    <t>Kommunális adó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</si>
  <si>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</si>
  <si>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</si>
  <si>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Házi segítségnyújtás</t>
  </si>
  <si>
    <t>1.6.12.</t>
  </si>
  <si>
    <t>TÁRSULÁS FINANSZÍROZÁSA</t>
  </si>
  <si>
    <t>2.1.13.</t>
  </si>
  <si>
    <t>Házi segítségnyújtás összesen</t>
  </si>
  <si>
    <t>Önkormányzati jogalkotás összesen</t>
  </si>
  <si>
    <t>Alsós oktatás összesen</t>
  </si>
  <si>
    <t>Felsős oktatás összesen</t>
  </si>
  <si>
    <t>Zeneiskolai oktatás összesen</t>
  </si>
  <si>
    <t>Támogatások - Műk. c. pénzeátadás</t>
  </si>
  <si>
    <t>INTÉZMÉNY-MŰKÖDTETÉS ÖSSZESEN</t>
  </si>
  <si>
    <t>Igazgatási tevékenység összesen</t>
  </si>
  <si>
    <t>1.5.11.</t>
  </si>
  <si>
    <t>Közös Önkormányzati  Hivatal összesen</t>
  </si>
  <si>
    <t>Közös Önkormányzati Hivatal</t>
  </si>
  <si>
    <t>KÖZÖS ÖNKORMÁNYZATI HIVATAL ÖSSZ</t>
  </si>
  <si>
    <t>Ssz.</t>
  </si>
  <si>
    <t>I.</t>
  </si>
  <si>
    <t>KIEMELT ELŐIR.</t>
  </si>
  <si>
    <t>Személyi jutt.</t>
  </si>
  <si>
    <t>Dologi</t>
  </si>
  <si>
    <t>Bölcsődei ellátás</t>
  </si>
  <si>
    <t>Gyermekjóléti szolgálat</t>
  </si>
  <si>
    <t>Közművelődés</t>
  </si>
  <si>
    <t>Könyvtár</t>
  </si>
  <si>
    <t>Teleház</t>
  </si>
  <si>
    <t>Művészeti csoportok</t>
  </si>
  <si>
    <t>Kultúrház intézmény összesen</t>
  </si>
  <si>
    <t>Bentlakásos  ellátás</t>
  </si>
  <si>
    <t>Nappali Klub összesen</t>
  </si>
  <si>
    <t>Szociális étkeztetés összesen</t>
  </si>
  <si>
    <t>Szent György Otthon intézmény összesen</t>
  </si>
  <si>
    <t>SZENT GYÖRGY OTTHON ÖSSZESEN</t>
  </si>
  <si>
    <t>KÖLTSÉGVETÉSI SZERVEK MŰKÖDÉSE ÖSSZESEN</t>
  </si>
  <si>
    <t>FELADATOK</t>
  </si>
  <si>
    <t>Közvilágítás</t>
  </si>
  <si>
    <t>Szem.jutt.</t>
  </si>
  <si>
    <t>ZÖLDTERÜLET-KEZELÉS,PARK  ÖSSZESEN</t>
  </si>
  <si>
    <t>Szoc.ellátás</t>
  </si>
  <si>
    <t>Közgyógyellátás</t>
  </si>
  <si>
    <t>Szoc. ellátás</t>
  </si>
  <si>
    <t>Lakásfenntartási támogatás</t>
  </si>
  <si>
    <t>Tám.ért.kiad</t>
  </si>
  <si>
    <t>Védőnők</t>
  </si>
  <si>
    <t>VÉDŐNŐK   ÖSSZESEN</t>
  </si>
  <si>
    <t>EGÉSZSÉGÜGY   ÖSSZESEN</t>
  </si>
  <si>
    <t>Tám.ért.kiad.</t>
  </si>
  <si>
    <t>Pénze. átad.</t>
  </si>
  <si>
    <t>Önkormányzati feladatok összesen</t>
  </si>
  <si>
    <t>ÖNKORMÁNYZATI  FELADATOK ÖSSZESEN</t>
  </si>
  <si>
    <t>Zöldterület-kezelés</t>
  </si>
  <si>
    <t>ÖSSZESEN</t>
  </si>
  <si>
    <t>Államigazgatási feladatok bevételei, kiadásai</t>
  </si>
  <si>
    <t>Egyéb működési célú támogatások bevételei  (OEP)</t>
  </si>
  <si>
    <t xml:space="preserve">   - Egyéb működési célú támogatások ÁH-n belülre (társulás)</t>
  </si>
  <si>
    <t xml:space="preserve">   - Egyéb felhalmozási célú támogatások államháztartáson kívülre (lakosság)</t>
  </si>
  <si>
    <t xml:space="preserve">   - Egyéb működési célú támogatások ÁH-n belülre (KÖH finanszírozása)</t>
  </si>
  <si>
    <t>Bursa Hungarica  és ÁH-n kívülitámogatás</t>
  </si>
  <si>
    <t>Irányító szervi (önkormányzati) támogatás (intézményfinanszírozás) (-2000+2342)</t>
  </si>
  <si>
    <t>Időskorúak tartós bentlakásos ellátása közvetett tevékenység</t>
  </si>
  <si>
    <t>Közvetett tevékenység</t>
  </si>
  <si>
    <t>Bentlakásos ellátás/Időskorúak demens bentlakásos ellátás</t>
  </si>
  <si>
    <t xml:space="preserve">Tát Város Önkormányzat adósságot keletkeztető ügyleteiből eredő fizetési kötelezettségeinek bemutatása                                                                                                                                                                                                                                                                           9. számú táblázat </t>
  </si>
  <si>
    <t>Saját bevétel és adósságot keletkeztető ügyletből eredő fizetési kötelezettség összegei</t>
  </si>
  <si>
    <t>ÖSSZESEN
7=(3+4+5+6)</t>
  </si>
  <si>
    <t xml:space="preserve">2016. </t>
  </si>
  <si>
    <t>2016. után</t>
  </si>
  <si>
    <t>Osztalék,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</si>
  <si>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</si>
  <si>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</si>
  <si>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</si>
  <si>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05</t>
  </si>
  <si>
    <t>Vállalatértékesítésből, privatizációból származó bevételek</t>
  </si>
  <si>
    <t>06</t>
  </si>
  <si>
    <t>07</t>
  </si>
  <si>
    <t>Saját bevételek (01+… .+07)</t>
  </si>
  <si>
    <t>08</t>
  </si>
  <si>
    <t xml:space="preserve">Saját bevételek  (08. sor)  50%-a </t>
  </si>
  <si>
    <t>09</t>
  </si>
  <si>
    <t>Előző év(ek)ben keletkezett tárgyévi fizetési kötelezettség (11+…..+17)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</si>
  <si>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</si>
  <si>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</si>
  <si>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</si>
  <si>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</si>
  <si>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</si>
  <si>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</si>
  <si>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</si>
  <si>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illetve keletkező, tárgyévet terhelő fizetési kötelezettség (19+…..+25)</t>
  </si>
  <si>
    <t>Fizetési kötelezettség összesen (10+18)</t>
  </si>
  <si>
    <t>Fizetési kötelezettséggel csökkentett saját bevétel (09-26)</t>
  </si>
  <si>
    <t>Közvetlen segítők bértám. 8 hó</t>
  </si>
  <si>
    <t>Közvetlen segítők bértám. 4 hó</t>
  </si>
  <si>
    <t>Étkezés Óvoda,Iskola                 12 hó</t>
  </si>
  <si>
    <t>Nyári gyermekétkeztetés</t>
  </si>
  <si>
    <t>Felhasználás                                              
2015. XII.31-ig</t>
  </si>
  <si>
    <t>Országgyűlési választások</t>
  </si>
  <si>
    <t>EP választás</t>
  </si>
  <si>
    <t>Önkormányzati választások</t>
  </si>
  <si>
    <t>Szociális feladatok egyéb támogatása</t>
  </si>
  <si>
    <t>Tát Város Önkormányzat 2016. évi adósságot keletkeztető fejlesztési céljai</t>
  </si>
  <si>
    <t>......................, 2016. .......................... hó ..... nap</t>
  </si>
  <si>
    <t>Előirányzat-felhasználási terv
2016. évre</t>
  </si>
  <si>
    <t>Önkormányzati  választások</t>
  </si>
  <si>
    <t>2018.</t>
  </si>
  <si>
    <t>2015 előtti kifizetés</t>
  </si>
  <si>
    <t>Egyéb működési célú támogatások bevételei (OEP finanszírozás)</t>
  </si>
  <si>
    <t>-Vagyoni típusú adók (kommunális)</t>
  </si>
  <si>
    <t>Egyéb áruhasználati és szolgáltatási adók (idegenforgalmi adó)</t>
  </si>
  <si>
    <t>4.5.</t>
  </si>
  <si>
    <t>Egyéb közhatalmi bevételek (pótlék, bírság)</t>
  </si>
  <si>
    <t>Talajterhelési díj</t>
  </si>
  <si>
    <t>- Termékek és szolgáltatások adói (iparűzési )</t>
  </si>
  <si>
    <t>Egyéb felhalmozási célú támogatások bevételei (KEOP-2014. évi pályázatokra, felhalm)</t>
  </si>
  <si>
    <t>Eredeti előirányzat</t>
  </si>
  <si>
    <t>Besorolás</t>
  </si>
  <si>
    <t>ÖNKÉNTES DOLOGI</t>
  </si>
  <si>
    <t>ÖNKÉNTES FELHALMOZÁSI</t>
  </si>
  <si>
    <t>Lakosságnak juttatandó ( telek)</t>
  </si>
  <si>
    <t>Hozzájárulás a beruházási kiadásokhoz</t>
  </si>
  <si>
    <t>KÖTELEZŐ DOLOGI</t>
  </si>
  <si>
    <t xml:space="preserve">2017. </t>
  </si>
  <si>
    <t>Sorszám</t>
  </si>
  <si>
    <t>6. tájékoztató tábla</t>
  </si>
  <si>
    <t>Bursa</t>
  </si>
  <si>
    <t>Kultúrház eszközbeszerzés  (szekrény, mikrofonkészlet, fejmikrofon, Rack doboz)</t>
  </si>
  <si>
    <t>2015-2017.</t>
  </si>
  <si>
    <t>KEOP-Tokod-Tát szennyvízelvezetés önrész (áfa+N 15%-a)</t>
  </si>
  <si>
    <t>KÖH eszközbeszerzés</t>
  </si>
  <si>
    <t>ÖSSZESEN ÖNKORMÁNYZAT</t>
  </si>
  <si>
    <t>ÖSSZESEN INTÉZMÉNYEK</t>
  </si>
  <si>
    <t>Egyéb működési célú átvett pénzeszköz (norvég partnertől önrész)</t>
  </si>
  <si>
    <t>Egyéb működési célú támogatások bevételei (EGT partnerektől önrészs)</t>
  </si>
  <si>
    <t>Egyéb működési célú átvett pénzeszköz (EGT Alap)</t>
  </si>
  <si>
    <t>Egyéb felhalmozási célú átvett pénzeszköz (EGT Alap)</t>
  </si>
  <si>
    <t xml:space="preserve">   - Egyéb működési célú támogatások ÁH-n belülre (EGT Alap)</t>
  </si>
  <si>
    <t xml:space="preserve">   - Egyéb működési célú támogatások államháztartáson kívülre (EGT Alap)</t>
  </si>
  <si>
    <t>Előző év költségvetési maradványának igénybevétele (bankszámlák egyenlege, EGT is)</t>
  </si>
  <si>
    <t>Egyéb felhalmozási célú támogatások bevételei (EGT partnerektől önrész)</t>
  </si>
  <si>
    <t>Egyéb működési célú támogatások bevételei  (EGT)</t>
  </si>
  <si>
    <t>Egyéb működési célú támogatások bevételei  (KEOP)</t>
  </si>
  <si>
    <t>Egyéb felhalmozási célú támogatások bevételei (KEOP)</t>
  </si>
  <si>
    <t>Egyéb felhalmozási célú támogatások bevételei (EGT partner)</t>
  </si>
  <si>
    <t xml:space="preserve">   - Egyéb felhalmozási célú támogatások ÁH-n belülre(EGT Alapból egyéb partner)</t>
  </si>
  <si>
    <t>- Vagyoni típusú adók (kommunális)</t>
  </si>
  <si>
    <t>- Termékek és szolgáltatások adói (iparűzési)</t>
  </si>
  <si>
    <t xml:space="preserve">   - Egyéb működési célú támogatások ÁH-n belülre (EGT ALAP)</t>
  </si>
  <si>
    <t>Beruházások (ebből: EGT ALAP 77.603)</t>
  </si>
  <si>
    <t>Egyéb felhalmozási célú átvett pénzeszköz (EGT Alap+Alapítvány)</t>
  </si>
  <si>
    <t xml:space="preserve">   - Egyéb felhalmozási célú támogatások ÁH-n belülre (EGT Alap)</t>
  </si>
  <si>
    <t xml:space="preserve">   - Egyéb működési célú támogatások ÁH-n belülre (társ.+intézményfin.)</t>
  </si>
  <si>
    <t>Egyéb működési célú támogatások bevételei (OEP)</t>
  </si>
  <si>
    <t>Egyéb működési célú támogatások bevételei (EGT)</t>
  </si>
  <si>
    <t>Egyéb működési célú támogatások bevételei (KEOP)</t>
  </si>
  <si>
    <t>2014-2015-2016.</t>
  </si>
  <si>
    <t>Egyéb működési célú támogatások bevételei (Bérkomp)</t>
  </si>
  <si>
    <t>Egyéb működési célú támogatások bevételei (Választások)</t>
  </si>
  <si>
    <t xml:space="preserve">Egyéb működési célú támogatások bevételei (Munkaügyi Központ) </t>
  </si>
  <si>
    <t>Egyéb működési célú támogatások bevételei (KLIK)</t>
  </si>
  <si>
    <t>Egyéb működési célú támogatások bevételei (Szeretlek Mo.!)</t>
  </si>
  <si>
    <t>Egyéb működési célú támogatások bevételei (Kultúrház)</t>
  </si>
  <si>
    <t>Felhalmozási célú önkormányzati támogatások (adósságkonsz)</t>
  </si>
  <si>
    <t>Felhalmozási célú önkormányzati támogatások (érdekeltségnöv.tám.)</t>
  </si>
  <si>
    <t xml:space="preserve">2018. </t>
  </si>
  <si>
    <t>2018. után</t>
  </si>
  <si>
    <t xml:space="preserve">   - Egyéb működési célú támogatások államháztartáson kívülre (EGT Alap norv)</t>
  </si>
  <si>
    <t>Család- és gyerekjóléti szolgálat</t>
  </si>
  <si>
    <t>Óvodai ellátás/Ped. bértám. 4 hó kieg pótlólagos</t>
  </si>
  <si>
    <t>Közvetlen segítők bértám. 8 hó(pedagógus szakkép.)</t>
  </si>
  <si>
    <t>Közvetlen segítők bértám. 4 hó(pedagógus szakkép.)</t>
  </si>
  <si>
    <t>Óvodaműködtetési támogatás 8  hó</t>
  </si>
  <si>
    <t>Óvodaműködtetési támogatás 4 hó</t>
  </si>
  <si>
    <t>2018
után</t>
  </si>
  <si>
    <t>Tájékoztató a 2016. évi állami támogatásokról</t>
  </si>
  <si>
    <t>K I M U T A T Á S 
a 2016. évben céljelleggel juttatott támogatásokról</t>
  </si>
  <si>
    <t>Költségvetési kiadások összesen (1.+...+13.)</t>
  </si>
  <si>
    <t>Költségvetési bevételek összesen (1.+13.)</t>
  </si>
  <si>
    <t>Hiány belső finanszírozás bevételei ( 16+…+20)</t>
  </si>
  <si>
    <t>Hiány külső finanszírozásának bevételei (22+…+26. )</t>
  </si>
  <si>
    <t>Finanszírozási bevételek összesen (15.+21.)</t>
  </si>
  <si>
    <t>Finanszírozási kiadások összesen (15.+...+21.)</t>
  </si>
  <si>
    <t>BEVÉTEL ÖSSZESEN (14.+27.)</t>
  </si>
  <si>
    <t>KIADÁSOK ÖSSZESEN (14.+27.)</t>
  </si>
  <si>
    <t>EGT Alapból megvalósuló beruházás(szellemi termék)</t>
  </si>
  <si>
    <t>EGT Alapból megvalósuló beruházás(fordított áfa))</t>
  </si>
  <si>
    <t>Terület és Településfejlesztési operatív program előkészítés</t>
  </si>
  <si>
    <t>Teljes költségből támogatás</t>
  </si>
  <si>
    <t>2014-2015-2016</t>
  </si>
  <si>
    <t xml:space="preserve">2016. év utáni szükséglet
</t>
  </si>
  <si>
    <t>Egyéb felújítás</t>
  </si>
  <si>
    <t xml:space="preserve">   - Egyéb felhalmozási célú támogatások ÁH-n belülre (EGT ALAPból Tokodnak)</t>
  </si>
  <si>
    <t xml:space="preserve">   - Egyéb felhalmozási célú támogatások ÁH-n kívülre</t>
  </si>
  <si>
    <t xml:space="preserve">   - Egyéb felhalmozási célú támogatások ÁH-n kívülre(EGT Alapból egyéb partner)</t>
  </si>
  <si>
    <t xml:space="preserve">   - Egyéb felhalmozási célú támogatások ÁH-n belülre (EGT Alapból Tokodnak)</t>
  </si>
  <si>
    <t xml:space="preserve">   - Egyéb felhalmozási célú támogatások ÁH-n kívülre(EGT Alpból egyéb partner)</t>
  </si>
  <si>
    <t>2.14.</t>
  </si>
  <si>
    <t>köznevelési intézmény működtetéshez kapcsolódó támogatás</t>
  </si>
  <si>
    <t>Szakmai dolgozók bértám.(Idősek  Otthona)</t>
  </si>
  <si>
    <t>Rászoruló gyerekek étkeztetése</t>
  </si>
  <si>
    <t>1.1 Helyi önkormányzatok helyi támogatása</t>
  </si>
  <si>
    <t>1.2 Települési önkormányzatok egyes köznevelési feladatainak támogatása</t>
  </si>
  <si>
    <t>1.3 A települési önkormányzatok szoc.,gyermekjóléti és gyermekétkeztetési feladatainak támogatása</t>
  </si>
  <si>
    <t>1.4 Teleülési önkormányzatok kulturális feladatainak támogatása</t>
  </si>
  <si>
    <t>Egyéb felhalmozási célú támogatások bevételei (EGT alap)</t>
  </si>
  <si>
    <t>2016. eredeti      ( e Ft )</t>
  </si>
  <si>
    <t>Önkormányzati vagyonnal való gazdálkodás</t>
  </si>
  <si>
    <t>Hosszabb időtartamú közfoglalkoztatás</t>
  </si>
  <si>
    <t xml:space="preserve">Egyéb felhalmozási célú támogatások bevételei </t>
  </si>
  <si>
    <t>Egyéb felhalmozási célú támogatások bevételei (EGT támogatás)</t>
  </si>
  <si>
    <r>
      <t>Dologi  kiadások</t>
    </r>
    <r>
      <rPr>
        <sz val="8"/>
        <color indexed="53"/>
        <rFont val="Times New Roman CE"/>
        <family val="0"/>
      </rPr>
      <t xml:space="preserve"> </t>
    </r>
  </si>
  <si>
    <t xml:space="preserve">   - Egyéb működési célú támogatások ÁH-n belülre(Óvoda,Bölcsöde Társulás)</t>
  </si>
  <si>
    <t xml:space="preserve">   - Egyéb működési célú támogatások ÁH-n belülre(Bursa)</t>
  </si>
  <si>
    <t xml:space="preserve">   - Egyéb működési célú támogatások államháztartáson kívülre (tám.) egyesület+egyház</t>
  </si>
  <si>
    <t>Finanszírozás kiadás (intézményeknek)</t>
  </si>
  <si>
    <t>Általános tartalék (működés)</t>
  </si>
  <si>
    <t>Céltartalék (EGT Alap) (fejlesztés)</t>
  </si>
  <si>
    <t>Finanszírozás kiadás(intézmények)</t>
  </si>
  <si>
    <t>Nemleges</t>
  </si>
  <si>
    <t>Felhasználás
2015. XII.31-ig</t>
  </si>
  <si>
    <t xml:space="preserve">
2016. év utáni szükséglet
</t>
  </si>
  <si>
    <t>EGT Alapból megvalósuló felújítás</t>
  </si>
  <si>
    <t xml:space="preserve">   - Egyéb működési célú támogatások ÁH-n belülre(társulás)</t>
  </si>
  <si>
    <t xml:space="preserve">   - Egyéb működési célú támogatások ÁH-n kivülre(EGT alap)</t>
  </si>
  <si>
    <t xml:space="preserve">   - Egyéb működési célú támogatások ÁH-n kívülre</t>
  </si>
  <si>
    <t>2.11</t>
  </si>
  <si>
    <t>Előző évi maradvány</t>
  </si>
  <si>
    <t xml:space="preserve">Egyéb működési célú átvett pénzeszköz </t>
  </si>
  <si>
    <t>EGT+KEOP</t>
  </si>
  <si>
    <t>Gépjárműadó 60%-a</t>
  </si>
  <si>
    <t>Finanszírozástörlés (Szent György Otthon)</t>
  </si>
  <si>
    <t xml:space="preserve">   - Részesedés</t>
  </si>
  <si>
    <t>Bankszámlaegyenleg</t>
  </si>
  <si>
    <t>Forgótőke</t>
  </si>
  <si>
    <t>Decemberi nettó bér+gépjárműadó</t>
  </si>
  <si>
    <t>Függő kiadás</t>
  </si>
  <si>
    <t>Bérelőleg</t>
  </si>
  <si>
    <t>Finanszírozáskülönbözet(KÖH, Kultúr)</t>
  </si>
  <si>
    <t>Egyes jövedelempótló támogatások</t>
  </si>
  <si>
    <t>Bérkompenzáció</t>
  </si>
  <si>
    <t>Szociális ágazati pótlék</t>
  </si>
  <si>
    <t>Érdekeltségnövelő támogatás</t>
  </si>
  <si>
    <t>2.5.1</t>
  </si>
  <si>
    <t>2.5,-ből EU-s támogatás</t>
  </si>
  <si>
    <t>Egyéb működési célú támogatások bevételei (Mbánya+Német nemz.)</t>
  </si>
  <si>
    <t>Egyéb felhalmozási célú támogatások bevételei (EGT )</t>
  </si>
  <si>
    <t>3.5</t>
  </si>
  <si>
    <t>3.5.1</t>
  </si>
  <si>
    <t>3.6</t>
  </si>
  <si>
    <t>3.6.-ból EU-s támogatás</t>
  </si>
  <si>
    <t>3.6.1</t>
  </si>
  <si>
    <t xml:space="preserve">   - Egyéb működési célú támogatások (Emb.Erőforrás)</t>
  </si>
  <si>
    <t>EGT Alap/Pályázat és támogatás</t>
  </si>
  <si>
    <t>Munkanélküliek aktív korúak ellátása</t>
  </si>
  <si>
    <t>Betegséggel kapcsolatos ellátás</t>
  </si>
  <si>
    <t>Köztemetés</t>
  </si>
  <si>
    <t>Intézményi étkeztetés</t>
  </si>
  <si>
    <t>Étkeztetés összesen</t>
  </si>
  <si>
    <t>Bölcsődei étkeztetés</t>
  </si>
  <si>
    <t>Bölcsődei étkeztetés összesen</t>
  </si>
  <si>
    <t>2016. évi előirányzat</t>
  </si>
  <si>
    <t>2017. évi előirányzat</t>
  </si>
  <si>
    <t>2016. eredeti           (E Ft)</t>
  </si>
  <si>
    <t>2016.          eredeti            ( E Ft )</t>
  </si>
  <si>
    <t>2016.    eredeti             ( E Ft )</t>
  </si>
  <si>
    <t>2016. eredeti            ( E Ft )</t>
  </si>
  <si>
    <t>2018. évi előirányzat</t>
  </si>
  <si>
    <t>2019. évi előirányzat</t>
  </si>
  <si>
    <t>2014. évi beszámoló</t>
  </si>
  <si>
    <t>2015. évi várható</t>
  </si>
  <si>
    <t>2016. tervezett</t>
  </si>
  <si>
    <t>24..</t>
  </si>
  <si>
    <t>Ingatlanhasznosítás</t>
  </si>
  <si>
    <t>KULTÚRHÁZ ÉS KÖNYVTÁR ÖSSZESEN</t>
  </si>
  <si>
    <t>HOSSZABB KÖZFOGLALKOZTATÁS  ÖSSZES</t>
  </si>
  <si>
    <t>Járulékok, adók</t>
  </si>
  <si>
    <t>Tám. ért. kiad</t>
  </si>
  <si>
    <t>1.1.7.</t>
  </si>
  <si>
    <t>Költségvetési szervek  működése összesen</t>
  </si>
  <si>
    <t>KOMMUNÁLIS ÁGAZAT ÖSSZESEN</t>
  </si>
  <si>
    <t>Közművelődés összesen</t>
  </si>
  <si>
    <t>Könyvtár összesen</t>
  </si>
  <si>
    <t>Szociális étkeztetés</t>
  </si>
  <si>
    <t>1.2.8.</t>
  </si>
  <si>
    <t>1.3.9.</t>
  </si>
  <si>
    <t>SZOCIÁLIS SEGÉLYEZÉS, CSALÁDVÉDELEM ÖSSZ</t>
  </si>
  <si>
    <t>1.4.10.</t>
  </si>
  <si>
    <t>Rendszeres szociális segély</t>
  </si>
  <si>
    <t>ÖNKORMÁNYZATI IGAZGATÁS ÖSSZESEN</t>
  </si>
  <si>
    <t>Alsós oktatás működtetési feladatok</t>
  </si>
  <si>
    <t>Felsős oktatás működtetési feladatok</t>
  </si>
  <si>
    <t>Művészetoktatás működtetési feladatok</t>
  </si>
  <si>
    <t xml:space="preserve">Háziorvosi alapellátás </t>
  </si>
  <si>
    <t>HÁZIORVOSi ELLÁTÁS ÖSSZESEN</t>
  </si>
  <si>
    <t xml:space="preserve">Fogorvosi alapellátás </t>
  </si>
  <si>
    <t>FOGORVOSI ALAPELLÁTÁS ÖSSZESEN</t>
  </si>
  <si>
    <t>Közutak üzemeltetése, fenntartása</t>
  </si>
  <si>
    <t>Árvíz- és belvízvédelemmel összefüggő tev.</t>
  </si>
  <si>
    <t>Köztemető-fenntartás és működtetés</t>
  </si>
  <si>
    <t>Önkormányzati jogalkotás / Önkormányzatok jogalkotó és általános igazgatási tevékenysége</t>
  </si>
  <si>
    <t>Sportlétesítmények működtetése</t>
  </si>
  <si>
    <t xml:space="preserve"> Önkormányzati hivatalok igazgatási tevékenység</t>
  </si>
  <si>
    <t>Szoc .ellátás</t>
  </si>
  <si>
    <r>
      <t>Átmeneti segély/</t>
    </r>
    <r>
      <rPr>
        <i/>
        <sz val="10"/>
        <rFont val="Arial CE"/>
        <family val="0"/>
      </rPr>
      <t>Önkormányzati segély</t>
    </r>
  </si>
  <si>
    <r>
      <t>Temetési segély/</t>
    </r>
    <r>
      <rPr>
        <i/>
        <sz val="10"/>
        <rFont val="Arial CE"/>
        <family val="0"/>
      </rPr>
      <t>Önkormányzati segély</t>
    </r>
  </si>
  <si>
    <r>
      <t>Rendkívüli gyermekvédelmi tám./</t>
    </r>
    <r>
      <rPr>
        <i/>
        <sz val="10"/>
        <rFont val="Arial CE"/>
        <family val="0"/>
      </rPr>
      <t>Önkormányzati segél</t>
    </r>
    <r>
      <rPr>
        <sz val="10"/>
        <rFont val="Arial CE"/>
        <family val="2"/>
      </rPr>
      <t>y</t>
    </r>
  </si>
  <si>
    <t>Nappali ellátás</t>
  </si>
  <si>
    <t>Helytörténeti Értékmentő Alapítvány</t>
  </si>
  <si>
    <t>Táti Tűzoltóegyesület</t>
  </si>
  <si>
    <t>Hozzájárulás a dologi kiadásokhoz</t>
  </si>
  <si>
    <t>Német Nemzetiségi Fúvószenekar</t>
  </si>
  <si>
    <t>Sportegyesület ( bérleti díj)</t>
  </si>
  <si>
    <t>Katolikus Egyház</t>
  </si>
  <si>
    <t>Református Egyház</t>
  </si>
  <si>
    <t>Egyebek</t>
  </si>
  <si>
    <t>JOGCÍMEK  MEGNEVEZÉSE</t>
  </si>
  <si>
    <t>EREDETI</t>
  </si>
  <si>
    <t>E Ft</t>
  </si>
  <si>
    <t>Mutató</t>
  </si>
  <si>
    <t>Fajlagos</t>
  </si>
  <si>
    <t>Előirányz.</t>
  </si>
  <si>
    <t>Önkormányzati Hivatal támogatása</t>
  </si>
  <si>
    <t>Zöldterület-gazdálkodás</t>
  </si>
  <si>
    <t>Közvilágítás fenntartása</t>
  </si>
  <si>
    <t>283 200 Ft/km</t>
  </si>
  <si>
    <t>Köztemető-fenntartás</t>
  </si>
  <si>
    <t>69 Ft /m2</t>
  </si>
  <si>
    <t>Közutak fenntartása</t>
  </si>
  <si>
    <t>227 000 Ft/km</t>
  </si>
  <si>
    <t>Beszámítás</t>
  </si>
  <si>
    <t>Önkormányzati feladatok</t>
  </si>
  <si>
    <t>Üdülőhelyi feladatok</t>
  </si>
  <si>
    <t>Lakott külterülettel kapcs.</t>
  </si>
  <si>
    <t>Családsegítő szolgálat kieg.</t>
  </si>
  <si>
    <t>Gyermekjóléti szolgálat kieg.</t>
  </si>
  <si>
    <t>Szoc. étkeztetés</t>
  </si>
  <si>
    <t>Idősek klubja</t>
  </si>
  <si>
    <t>Intézmény-üzemelt. tám.</t>
  </si>
  <si>
    <t>Óvodai ellátás/ Ped. bértám.8 hó</t>
  </si>
  <si>
    <t>Óvodai ellátás/Ped. bértám. 4 hó</t>
  </si>
  <si>
    <t>Óvodai ellátás/Ped. bértám. 4 hó kieg</t>
  </si>
  <si>
    <t>Étkeztetés kiegészítés</t>
  </si>
  <si>
    <t>Kulturális feladatok támogatása</t>
  </si>
  <si>
    <t>Felhalmozási célú önkormányzati támogatások (vis maior)</t>
  </si>
  <si>
    <t>6.6.</t>
  </si>
  <si>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</si>
  <si>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</si>
  <si>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</si>
  <si>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</si>
  <si>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</si>
  <si>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</si>
  <si>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</si>
  <si>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</si>
  <si>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</si>
  <si>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</si>
  <si>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</si>
  <si>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</si>
  <si>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</si>
  <si>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</si>
  <si>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</si>
  <si>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</si>
  <si>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</si>
  <si>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</si>
  <si>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</si>
  <si>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</si>
  <si>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</si>
  <si>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</si>
  <si>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</si>
  <si>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</si>
  <si>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</si>
  <si>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</si>
  <si>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</si>
  <si>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</si>
  <si>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</si>
  <si>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</si>
  <si>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</si>
  <si>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</si>
  <si>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</si>
  <si>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</si>
  <si>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</si>
  <si>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</si>
  <si>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</si>
  <si>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</si>
  <si>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</si>
  <si>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</si>
  <si>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</si>
  <si>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</si>
  <si>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</si>
  <si>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</si>
  <si>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</si>
  <si>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</si>
  <si>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</si>
  <si>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</si>
  <si>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</si>
  <si>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</si>
  <si>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</si>
  <si>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</si>
  <si>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</si>
  <si>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</si>
  <si>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</si>
  <si>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</si>
  <si>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</si>
  <si>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</si>
  <si>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</si>
  <si>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</si>
  <si>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</si>
  <si>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</si>
  <si>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</si>
  <si>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</si>
  <si>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</si>
  <si>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</si>
  <si>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</si>
  <si>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</si>
  <si>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</si>
  <si>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</si>
  <si>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</si>
  <si>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</si>
  <si>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</si>
  <si>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</si>
  <si>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</si>
  <si>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</si>
  <si>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</si>
  <si>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</si>
  <si>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</si>
  <si>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</si>
  <si>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</si>
  <si>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</si>
  <si>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</si>
  <si>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</si>
  <si>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</si>
  <si>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</si>
  <si>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</si>
  <si>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</si>
  <si>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</si>
  <si>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</si>
  <si>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</si>
  <si>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</si>
  <si>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</si>
  <si>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</si>
  <si>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</si>
  <si>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</si>
  <si>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</si>
  <si>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</si>
  <si>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</si>
  <si>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</si>
  <si>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</si>
  <si>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</si>
  <si>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</si>
  <si>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</si>
  <si>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</si>
  <si>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</si>
  <si>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</si>
  <si>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</si>
  <si>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</si>
  <si>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</si>
  <si>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</si>
  <si>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</si>
  <si>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</si>
  <si>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</si>
  <si>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</si>
  <si>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</si>
  <si>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</si>
  <si>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</si>
  <si>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</si>
  <si>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</si>
  <si>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</si>
  <si>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</si>
  <si>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</si>
  <si>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</si>
  <si>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</si>
  <si>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</si>
  <si>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</si>
  <si>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</si>
  <si>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</si>
  <si>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</si>
  <si>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</si>
  <si>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</si>
  <si>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</si>
  <si>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</si>
  <si>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</si>
  <si>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</si>
  <si>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</si>
  <si>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</si>
  <si>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</si>
  <si>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</si>
  <si>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</si>
  <si>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</si>
  <si>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</si>
  <si>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</si>
  <si>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</si>
  <si>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</si>
  <si>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</si>
  <si>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</si>
  <si>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</si>
  <si>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</si>
  <si>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</si>
  <si>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</si>
  <si>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</si>
  <si>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</si>
  <si>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</si>
  <si>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</si>
  <si>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</si>
  <si>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</si>
  <si>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</si>
  <si>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</si>
  <si>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</si>
  <si>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</si>
  <si>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</si>
  <si>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</si>
  <si>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</si>
  <si>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</si>
  <si>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</si>
  <si>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</si>
  <si>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</si>
  <si>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</si>
  <si>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</si>
  <si>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</si>
  <si>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</si>
  <si>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</si>
  <si>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</si>
  <si>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</si>
  <si>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</si>
  <si>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</si>
  <si>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</si>
  <si>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</si>
  <si>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</si>
  <si>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</si>
  <si>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</si>
  <si>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</si>
  <si>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</si>
  <si>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</si>
  <si>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</si>
  <si>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</si>
  <si>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</si>
  <si>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</si>
  <si>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</si>
  <si>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</si>
  <si>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</si>
  <si>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</si>
  <si>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</si>
  <si>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</si>
  <si>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</si>
  <si>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</si>
  <si>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</si>
  <si>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</si>
  <si>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</si>
  <si>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</si>
  <si>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</si>
  <si>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</si>
  <si>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</si>
  <si>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</si>
  <si>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</si>
  <si>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</si>
  <si>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</si>
  <si>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</si>
  <si>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</si>
  <si>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</si>
  <si>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</si>
  <si>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</si>
  <si>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</si>
  <si>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</si>
  <si>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</si>
  <si>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</si>
  <si>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</si>
  <si>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</si>
  <si>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</si>
  <si>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</si>
  <si>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</si>
  <si>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</si>
  <si>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</si>
  <si>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</si>
  <si>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</si>
  <si>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</si>
  <si>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</si>
  <si>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</si>
  <si>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</si>
  <si>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</si>
  <si>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</si>
  <si>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</si>
  <si>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</si>
  <si>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</si>
  <si>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</si>
  <si>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</si>
  <si>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</si>
  <si>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</si>
  <si>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</si>
  <si>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</si>
  <si>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</si>
  <si>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</si>
  <si>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</si>
  <si>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</si>
  <si>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</si>
  <si>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</si>
  <si>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</si>
  <si>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</si>
  <si>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</si>
  <si>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</si>
  <si>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</si>
  <si>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</si>
  <si>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</si>
  <si>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</si>
  <si>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</si>
  <si>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</si>
  <si>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</si>
  <si>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</si>
  <si>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</si>
  <si>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</si>
  <si>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</si>
  <si>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</si>
  <si>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</si>
  <si>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</si>
  <si>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</si>
  <si>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</si>
  <si>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</si>
  <si>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</si>
  <si>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</si>
  <si>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</si>
  <si>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</si>
  <si>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</si>
  <si>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</si>
  <si>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</si>
  <si>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</si>
  <si>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</si>
  <si>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</si>
  <si>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</si>
  <si>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</si>
  <si>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</si>
  <si>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</si>
  <si>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</si>
  <si>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</si>
  <si>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</si>
  <si>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</si>
  <si>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</si>
  <si>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</si>
  <si>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</si>
  <si>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</si>
  <si>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</si>
  <si>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</si>
  <si>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</si>
  <si>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</si>
  <si>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</si>
  <si>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</si>
  <si>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</si>
  <si>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</si>
  <si>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</si>
  <si>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</si>
  <si>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</si>
  <si>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</si>
  <si>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</si>
  <si>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</si>
  <si>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</si>
  <si>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</si>
  <si>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</si>
  <si>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</si>
  <si>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</si>
  <si>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</si>
  <si>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</si>
  <si>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</si>
  <si>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</si>
  <si>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</si>
  <si>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</si>
  <si>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</si>
  <si>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</si>
  <si>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</si>
  <si>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</si>
  <si>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</si>
  <si>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</si>
  <si>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</si>
  <si>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</si>
  <si>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</si>
  <si>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</si>
  <si>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</si>
  <si>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</si>
  <si>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</si>
  <si>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</si>
  <si>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</si>
  <si>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</si>
  <si>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</si>
  <si>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</si>
  <si>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</si>
  <si>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</si>
  <si>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</si>
  <si>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</si>
  <si>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</si>
  <si>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</si>
  <si>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</si>
  <si>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</si>
  <si>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</si>
  <si>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</si>
  <si>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</si>
  <si>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</si>
  <si>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</si>
  <si>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</si>
  <si>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2016. 06. előirányzat</t>
  </si>
  <si>
    <t>2016.06. előirányzat</t>
  </si>
  <si>
    <t>2016.06.Előirányzat</t>
  </si>
  <si>
    <t>2016.06Előirányzat</t>
  </si>
  <si>
    <t>2016.06. Előirányzat</t>
  </si>
  <si>
    <t>2016.06.        (E Ft)</t>
  </si>
  <si>
    <t>2016. 06.    ( e Ft )</t>
  </si>
  <si>
    <t>Egyéb működési célú támogatások bevételei (munkaerőpiaci alap)</t>
  </si>
  <si>
    <t>- 2015. évi előleg visszafizetése állami támogatás</t>
  </si>
  <si>
    <t>- normatíva elszámolás miatti elvonás</t>
  </si>
  <si>
    <t>Normatíva elsz.</t>
  </si>
  <si>
    <t>Finanszírozás kiadása (intézményeknek)</t>
  </si>
  <si>
    <t xml:space="preserve">Felhalmozási célú támogatások államháztartáson belülről </t>
  </si>
  <si>
    <t>Norvég projekt</t>
  </si>
  <si>
    <t>9.4.2. melléklet az 1/2016. (I.26.) önkormányzati rendelethez*</t>
  </si>
  <si>
    <t>9.1. melléklet az 1/2016. (I.26.) önkormányzati rendelethez*</t>
  </si>
  <si>
    <t>9.1. 1. melléklet az 1/2016. (I.26.) önkormányzati rendelethez*</t>
  </si>
  <si>
    <t>9.2  melléklet az 1/2016. (I.26.) önkormányzati rendelethez*</t>
  </si>
  <si>
    <t>9.2.2. melléklet az 1/2016. (I.26.) önkormányzati rendelethez*</t>
  </si>
  <si>
    <t>9.2.3. melléklet az 1/2016. (I.26.) önkormányzati rendelethez*</t>
  </si>
  <si>
    <t>9.3. melléklet az 1/2016. (I.26.) önkormányzati rendelethez*</t>
  </si>
  <si>
    <t>9.4. melléklet az 1/2016. (I.26.) önkormányzati rendelethez*</t>
  </si>
  <si>
    <t>2016. 09. előirányzat</t>
  </si>
  <si>
    <t>2016.09. előirányzat</t>
  </si>
  <si>
    <t>2016.09.Előirányzat</t>
  </si>
  <si>
    <t>Előirányzat 06</t>
  </si>
  <si>
    <t>Előirányzat 09</t>
  </si>
  <si>
    <t>2016. 12. előirányzat</t>
  </si>
  <si>
    <t>2016.12. előirányzat</t>
  </si>
  <si>
    <t>2016.12.Előirányzat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</si>
</sst>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"/>
    <numFmt numFmtId="174" formatCode="#,##0_ ;\-#,##0\ "/>
  </numFmts>
  <fonts count="7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b/>
      <sz val="14"/>
      <color indexed="10"/>
      <name val="Times New Roman CE"/>
      <family val="0"/>
    </font>
    <font>
      <sz val="12"/>
      <name val="Times New Roman"/>
      <family val="1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 CE"/>
      <family val="2"/>
    </font>
    <font>
      <b/>
      <sz val="10"/>
      <name val="MS Sans Serif"/>
      <family val="2"/>
    </font>
    <font>
      <b/>
      <sz val="10"/>
      <name val="Arial CE"/>
      <family val="2"/>
    </font>
    <font>
      <sz val="11"/>
      <name val="Arial"/>
      <family val="2"/>
    </font>
    <font>
      <i/>
      <sz val="10"/>
      <name val="Arial CE"/>
      <family val="0"/>
    </font>
    <font>
      <i/>
      <sz val="12"/>
      <name val="Times New Roman CE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53"/>
      <name val="Times New Roman CE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8"/>
      </right>
      <top style="medium"/>
      <bottom style="thin"/>
    </border>
    <border>
      <left style="medium"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medium"/>
      <right style="hair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medium"/>
      <right/>
      <top/>
      <bottom style="hair">
        <color indexed="8"/>
      </bottom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/>
    </border>
    <border>
      <left style="medium"/>
      <right/>
      <top style="thin"/>
      <bottom style="thin"/>
    </border>
    <border>
      <left style="medium"/>
      <right/>
      <top style="hair">
        <color indexed="8"/>
      </top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/>
      <top style="medium"/>
      <bottom style="hair">
        <color indexed="8"/>
      </bottom>
    </border>
    <border>
      <left style="medium"/>
      <right style="hair">
        <color indexed="8"/>
      </right>
      <top style="thin">
        <color indexed="8"/>
      </top>
      <bottom style="thin"/>
    </border>
    <border>
      <left style="hair">
        <color indexed="8"/>
      </left>
      <right/>
      <top style="thin">
        <color indexed="8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hair">
        <color indexed="8"/>
      </left>
      <right/>
      <top style="thin"/>
      <bottom style="thin"/>
    </border>
    <border>
      <left style="medium"/>
      <right/>
      <top/>
      <bottom style="thin"/>
    </border>
    <border>
      <left style="medium"/>
      <right style="medium"/>
      <top/>
      <bottom style="hair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thin"/>
      <right style="medium"/>
      <top style="thin"/>
      <bottom style="thin">
        <color indexed="8"/>
      </bottom>
    </border>
    <border>
      <left style="thin"/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medium"/>
      <bottom style="thin">
        <color indexed="8"/>
      </bottom>
    </border>
    <border>
      <left style="hair">
        <color indexed="8"/>
      </left>
      <right style="hair">
        <color indexed="8"/>
      </right>
      <top style="medium"/>
      <bottom style="thin">
        <color indexed="8"/>
      </bottom>
    </border>
    <border>
      <left style="hair">
        <color indexed="8"/>
      </left>
      <right style="thin">
        <color indexed="8"/>
      </right>
      <top style="medium"/>
      <bottom style="thin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hair">
        <color indexed="8"/>
      </left>
      <right/>
      <top style="medium"/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medium"/>
      <top/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/>
      <bottom style="thin"/>
    </border>
    <border>
      <left style="hair">
        <color indexed="8"/>
      </left>
      <right style="medium"/>
      <top/>
      <bottom style="thin"/>
    </border>
    <border>
      <left style="hair">
        <color indexed="8"/>
      </left>
      <right/>
      <top/>
      <bottom style="thin"/>
    </border>
    <border>
      <left style="medium"/>
      <right style="hair">
        <color indexed="8"/>
      </right>
      <top/>
      <bottom/>
    </border>
    <border>
      <left style="hair">
        <color indexed="8"/>
      </left>
      <right/>
      <top/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/>
    </border>
    <border>
      <left style="hair">
        <color indexed="8"/>
      </left>
      <right style="medium"/>
      <top style="medium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medium"/>
      <top style="hair">
        <color indexed="8"/>
      </top>
      <bottom/>
    </border>
    <border>
      <left style="hair">
        <color indexed="8"/>
      </left>
      <right style="medium"/>
      <top style="hair">
        <color indexed="8"/>
      </top>
      <bottom style="thin"/>
    </border>
    <border>
      <left style="medium"/>
      <right style="medium"/>
      <top style="medium"/>
      <bottom style="thin"/>
    </border>
    <border>
      <left style="hair">
        <color indexed="8"/>
      </left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/>
    </border>
    <border>
      <left style="hair">
        <color indexed="8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/>
      <top style="thin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/>
      <top style="thin">
        <color indexed="8"/>
      </top>
      <bottom style="thin">
        <color indexed="8"/>
      </bottom>
    </border>
    <border>
      <left style="hair">
        <color indexed="8"/>
      </left>
      <right style="medium"/>
      <top style="thin"/>
      <bottom style="thin"/>
    </border>
    <border>
      <left style="medium"/>
      <right/>
      <top/>
      <bottom style="medium"/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medium"/>
      <top style="thin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/>
    </border>
    <border>
      <left style="hair">
        <color indexed="8"/>
      </left>
      <right/>
      <top style="thin"/>
      <bottom/>
    </border>
    <border>
      <left style="hair">
        <color indexed="8"/>
      </left>
      <right style="thin"/>
      <top style="thin">
        <color indexed="8"/>
      </top>
      <bottom style="thin">
        <color indexed="8"/>
      </bottom>
    </border>
    <border>
      <left style="hair">
        <color indexed="8"/>
      </left>
      <right style="thin"/>
      <top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medium"/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/>
      <right>
        <color indexed="63"/>
      </right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thin"/>
      <right style="medium"/>
      <top/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hair">
        <color indexed="8"/>
      </left>
      <right/>
      <top/>
      <bottom/>
    </border>
    <border>
      <left>
        <color indexed="63"/>
      </left>
      <right>
        <color indexed="63"/>
      </right>
      <top style="medium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medium"/>
    </border>
    <border>
      <left style="hair">
        <color indexed="8"/>
      </left>
      <right/>
      <top style="medium"/>
      <bottom style="thin"/>
    </border>
    <border>
      <left style="thin"/>
      <right style="thin">
        <color indexed="8"/>
      </right>
      <top style="medium"/>
      <bottom style="medium"/>
    </border>
    <border>
      <left style="thin"/>
      <right style="hair">
        <color indexed="8"/>
      </right>
      <top style="thin"/>
      <bottom/>
    </border>
    <border>
      <left style="thin"/>
      <right style="hair">
        <color indexed="8"/>
      </right>
      <top/>
      <bottom/>
    </border>
    <border>
      <left style="thin"/>
      <right style="hair">
        <color indexed="8"/>
      </right>
      <top/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hair">
        <color indexed="8"/>
      </left>
      <right style="hair">
        <color indexed="8"/>
      </right>
      <top/>
      <bottom style="thin"/>
    </border>
    <border>
      <left style="hair">
        <color indexed="8"/>
      </left>
      <right style="hair">
        <color indexed="8"/>
      </right>
      <top style="medium"/>
      <bottom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/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 style="medium"/>
      <top style="thin">
        <color indexed="8"/>
      </top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2" borderId="0" applyNumberFormat="0" applyBorder="0" applyAlignment="0" applyProtection="0"/>
    <xf numFmtId="0" fontId="51" fillId="5" borderId="0" applyNumberFormat="0" applyBorder="0" applyAlignment="0" applyProtection="0"/>
    <xf numFmtId="0" fontId="51" fillId="4" borderId="0" applyNumberFormat="0" applyBorder="0" applyAlignment="0" applyProtection="0"/>
    <xf numFmtId="0" fontId="51" fillId="6" borderId="0" applyNumberFormat="0" applyBorder="0" applyAlignment="0" applyProtection="0"/>
    <xf numFmtId="0" fontId="51" fillId="3" borderId="0" applyNumberFormat="0" applyBorder="0" applyAlignment="0" applyProtection="0"/>
    <xf numFmtId="0" fontId="51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2" fillId="9" borderId="0" applyNumberFormat="0" applyBorder="0" applyAlignment="0" applyProtection="0"/>
    <xf numFmtId="0" fontId="52" fillId="3" borderId="0" applyNumberFormat="0" applyBorder="0" applyAlignment="0" applyProtection="0"/>
    <xf numFmtId="0" fontId="52" fillId="7" borderId="0" applyNumberFormat="0" applyBorder="0" applyAlignment="0" applyProtection="0"/>
    <xf numFmtId="0" fontId="52" fillId="6" borderId="0" applyNumberFormat="0" applyBorder="0" applyAlignment="0" applyProtection="0"/>
    <xf numFmtId="0" fontId="52" fillId="9" borderId="0" applyNumberFormat="0" applyBorder="0" applyAlignment="0" applyProtection="0"/>
    <xf numFmtId="0" fontId="52" fillId="3" borderId="0" applyNumberFormat="0" applyBorder="0" applyAlignment="0" applyProtection="0"/>
    <xf numFmtId="0" fontId="53" fillId="7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4" borderId="7" applyNumberFormat="0" applyFont="0" applyAlignment="0" applyProtection="0"/>
    <xf numFmtId="0" fontId="52" fillId="9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9" borderId="0" applyNumberFormat="0" applyBorder="0" applyAlignment="0" applyProtection="0"/>
    <xf numFmtId="0" fontId="52" fillId="14" borderId="0" applyNumberFormat="0" applyBorder="0" applyAlignment="0" applyProtection="0"/>
    <xf numFmtId="0" fontId="62" fillId="15" borderId="0" applyNumberFormat="0" applyBorder="0" applyAlignment="0" applyProtection="0"/>
    <xf numFmtId="0" fontId="63" fillId="16" borderId="8" applyNumberFormat="0" applyAlignment="0" applyProtection="0"/>
    <xf numFmtId="0" fontId="6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17" borderId="0" applyNumberFormat="0" applyBorder="0" applyAlignment="0" applyProtection="0"/>
    <xf numFmtId="0" fontId="68" fillId="7" borderId="0" applyNumberFormat="0" applyBorder="0" applyAlignment="0" applyProtection="0"/>
    <xf numFmtId="0" fontId="69" fillId="16" borderId="1" applyNumberFormat="0" applyAlignment="0" applyProtection="0"/>
    <xf numFmtId="9" fontId="0" fillId="0" borderId="0" applyFont="0" applyFill="0" applyBorder="0" applyAlignment="0" applyProtection="0"/>
  </cellStyleXfs>
  <cellXfs count="1405">
    <xf numFmtId="0" fontId="0" fillId="0" borderId="0" xfId="0" applyAlignment="1">
      <alignment/>
    </xf>
    <xf numFmtId="0" fontId="0" fillId="0" borderId="0" xfId="61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17" fillId="0" borderId="10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wrapText="1" indent="1"/>
      <protection/>
    </xf>
    <xf numFmtId="0" fontId="17" fillId="0" borderId="13" xfId="61" applyFont="1" applyFill="1" applyBorder="1" applyAlignment="1" applyProtection="1">
      <alignment horizontal="left" vertical="center" wrapText="1" indent="1"/>
      <protection/>
    </xf>
    <xf numFmtId="0" fontId="17" fillId="0" borderId="14" xfId="61" applyFont="1" applyFill="1" applyBorder="1" applyAlignment="1" applyProtection="1">
      <alignment horizontal="left" vertical="center" wrapText="1" indent="1"/>
      <protection/>
    </xf>
    <xf numFmtId="0" fontId="17" fillId="0" borderId="15" xfId="61" applyFont="1" applyFill="1" applyBorder="1" applyAlignment="1" applyProtection="1">
      <alignment horizontal="left" vertical="center" wrapText="1" indent="1"/>
      <protection/>
    </xf>
    <xf numFmtId="49" fontId="17" fillId="0" borderId="16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61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61" applyFont="1" applyFill="1" applyBorder="1" applyAlignment="1" applyProtection="1">
      <alignment horizontal="left" vertical="center" wrapText="1" indent="1"/>
      <protection/>
    </xf>
    <xf numFmtId="0" fontId="15" fillId="0" borderId="22" xfId="61" applyFont="1" applyFill="1" applyBorder="1" applyAlignment="1" applyProtection="1">
      <alignment horizontal="left" vertical="center" wrapText="1" indent="1"/>
      <protection/>
    </xf>
    <xf numFmtId="0" fontId="15" fillId="0" borderId="23" xfId="61" applyFont="1" applyFill="1" applyBorder="1" applyAlignment="1" applyProtection="1">
      <alignment horizontal="left" vertical="center" wrapText="1" indent="1"/>
      <protection/>
    </xf>
    <xf numFmtId="0" fontId="15" fillId="0" borderId="24" xfId="61" applyFont="1" applyFill="1" applyBorder="1" applyAlignment="1" applyProtection="1">
      <alignment horizontal="left" vertical="center" wrapText="1" indent="1"/>
      <protection/>
    </xf>
    <xf numFmtId="0" fontId="7" fillId="0" borderId="22" xfId="61" applyFont="1" applyFill="1" applyBorder="1" applyAlignment="1" applyProtection="1">
      <alignment horizontal="center" vertical="center" wrapText="1"/>
      <protection/>
    </xf>
    <xf numFmtId="0" fontId="7" fillId="0" borderId="23" xfId="61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61" applyFont="1" applyFill="1" applyBorder="1" applyAlignment="1" applyProtection="1">
      <alignment vertical="center" wrapText="1"/>
      <protection/>
    </xf>
    <xf numFmtId="0" fontId="15" fillId="0" borderId="28" xfId="61" applyFont="1" applyFill="1" applyBorder="1" applyAlignment="1" applyProtection="1">
      <alignment vertical="center" wrapText="1"/>
      <protection/>
    </xf>
    <xf numFmtId="0" fontId="15" fillId="0" borderId="22" xfId="61" applyFont="1" applyFill="1" applyBorder="1" applyAlignment="1" applyProtection="1">
      <alignment horizontal="center" vertical="center" wrapText="1"/>
      <protection/>
    </xf>
    <xf numFmtId="0" fontId="15" fillId="0" borderId="23" xfId="61" applyFont="1" applyFill="1" applyBorder="1" applyAlignment="1" applyProtection="1">
      <alignment horizontal="center" vertical="center" wrapText="1"/>
      <protection/>
    </xf>
    <xf numFmtId="0" fontId="15" fillId="0" borderId="29" xfId="61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62" applyFont="1" applyFill="1" applyBorder="1" applyAlignment="1" applyProtection="1">
      <alignment horizontal="left" vertical="center" indent="1"/>
      <protection/>
    </xf>
    <xf numFmtId="0" fontId="2" fillId="0" borderId="0" xfId="61" applyFill="1">
      <alignment/>
      <protection/>
    </xf>
    <xf numFmtId="0" fontId="7" fillId="0" borderId="29" xfId="61" applyFont="1" applyFill="1" applyBorder="1" applyAlignment="1" applyProtection="1">
      <alignment horizontal="center" vertical="center" wrapText="1"/>
      <protection/>
    </xf>
    <xf numFmtId="0" fontId="17" fillId="0" borderId="0" xfId="61" applyFont="1" applyFill="1">
      <alignment/>
      <protection/>
    </xf>
    <xf numFmtId="0" fontId="19" fillId="0" borderId="0" xfId="61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9" xfId="0" applyFont="1" applyFill="1" applyBorder="1" applyAlignment="1" applyProtection="1">
      <alignment vertical="center" wrapTex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62" applyFont="1" applyFill="1" applyBorder="1" applyAlignment="1" applyProtection="1">
      <alignment horizontal="center" vertical="center" wrapText="1"/>
      <protection/>
    </xf>
    <xf numFmtId="0" fontId="7" fillId="0" borderId="28" xfId="62" applyFont="1" applyFill="1" applyBorder="1" applyAlignment="1" applyProtection="1">
      <alignment horizontal="center" vertical="center"/>
      <protection/>
    </xf>
    <xf numFmtId="0" fontId="7" fillId="0" borderId="41" xfId="62" applyFont="1" applyFill="1" applyBorder="1" applyAlignment="1" applyProtection="1">
      <alignment horizontal="center" vertical="center"/>
      <protection/>
    </xf>
    <xf numFmtId="0" fontId="2" fillId="0" borderId="0" xfId="62" applyFill="1" applyProtection="1">
      <alignment/>
      <protection/>
    </xf>
    <xf numFmtId="0" fontId="17" fillId="0" borderId="22" xfId="62" applyFont="1" applyFill="1" applyBorder="1" applyAlignment="1" applyProtection="1">
      <alignment horizontal="left" vertical="center" indent="1"/>
      <protection/>
    </xf>
    <xf numFmtId="0" fontId="2" fillId="0" borderId="0" xfId="62" applyFill="1" applyAlignment="1" applyProtection="1">
      <alignment vertical="center"/>
      <protection/>
    </xf>
    <xf numFmtId="0" fontId="17" fillId="0" borderId="16" xfId="62" applyFont="1" applyFill="1" applyBorder="1" applyAlignment="1" applyProtection="1">
      <alignment horizontal="left" vertical="center" indent="1"/>
      <protection/>
    </xf>
    <xf numFmtId="164" fontId="17" fillId="0" borderId="10" xfId="62" applyNumberFormat="1" applyFont="1" applyFill="1" applyBorder="1" applyAlignment="1" applyProtection="1">
      <alignment vertical="center"/>
      <protection locked="0"/>
    </xf>
    <xf numFmtId="164" fontId="17" fillId="0" borderId="26" xfId="62" applyNumberFormat="1" applyFont="1" applyFill="1" applyBorder="1" applyAlignment="1" applyProtection="1">
      <alignment vertical="center"/>
      <protection/>
    </xf>
    <xf numFmtId="0" fontId="17" fillId="0" borderId="17" xfId="62" applyFont="1" applyFill="1" applyBorder="1" applyAlignment="1" applyProtection="1">
      <alignment horizontal="left" vertical="center" indent="1"/>
      <protection/>
    </xf>
    <xf numFmtId="164" fontId="17" fillId="0" borderId="11" xfId="62" applyNumberFormat="1" applyFont="1" applyFill="1" applyBorder="1" applyAlignment="1" applyProtection="1">
      <alignment vertical="center"/>
      <protection locked="0"/>
    </xf>
    <xf numFmtId="164" fontId="17" fillId="0" borderId="25" xfId="62" applyNumberFormat="1" applyFont="1" applyFill="1" applyBorder="1" applyAlignment="1" applyProtection="1">
      <alignment vertical="center"/>
      <protection/>
    </xf>
    <xf numFmtId="0" fontId="2" fillId="0" borderId="0" xfId="62" applyFill="1" applyAlignment="1" applyProtection="1">
      <alignment vertical="center"/>
      <protection locked="0"/>
    </xf>
    <xf numFmtId="164" fontId="17" fillId="0" borderId="12" xfId="62" applyNumberFormat="1" applyFont="1" applyFill="1" applyBorder="1" applyAlignment="1" applyProtection="1">
      <alignment vertical="center"/>
      <protection locked="0"/>
    </xf>
    <xf numFmtId="164" fontId="17" fillId="0" borderId="38" xfId="62" applyNumberFormat="1" applyFont="1" applyFill="1" applyBorder="1" applyAlignment="1" applyProtection="1">
      <alignment vertical="center"/>
      <protection/>
    </xf>
    <xf numFmtId="164" fontId="15" fillId="0" borderId="23" xfId="62" applyNumberFormat="1" applyFont="1" applyFill="1" applyBorder="1" applyAlignment="1" applyProtection="1">
      <alignment vertical="center"/>
      <protection/>
    </xf>
    <xf numFmtId="164" fontId="15" fillId="0" borderId="29" xfId="62" applyNumberFormat="1" applyFont="1" applyFill="1" applyBorder="1" applyAlignment="1" applyProtection="1">
      <alignment vertical="center"/>
      <protection/>
    </xf>
    <xf numFmtId="0" fontId="17" fillId="0" borderId="18" xfId="62" applyFont="1" applyFill="1" applyBorder="1" applyAlignment="1" applyProtection="1">
      <alignment horizontal="left" vertical="center" indent="1"/>
      <protection/>
    </xf>
    <xf numFmtId="0" fontId="2" fillId="0" borderId="0" xfId="62" applyFill="1" applyProtection="1">
      <alignment/>
      <protection locked="0"/>
    </xf>
    <xf numFmtId="0" fontId="0" fillId="0" borderId="0" xfId="62" applyFont="1" applyFill="1" applyProtection="1">
      <alignment/>
      <protection/>
    </xf>
    <xf numFmtId="0" fontId="4" fillId="0" borderId="0" xfId="62" applyFont="1" applyFill="1" applyProtection="1">
      <alignment/>
      <protection locked="0"/>
    </xf>
    <xf numFmtId="0" fontId="6" fillId="0" borderId="0" xfId="62" applyFont="1" applyFill="1" applyProtection="1">
      <alignment/>
      <protection locked="0"/>
    </xf>
    <xf numFmtId="3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61" applyFont="1" applyFill="1" applyBorder="1" applyAlignment="1" applyProtection="1">
      <alignment horizontal="left" vertical="center" wrapText="1" indent="1"/>
      <protection/>
    </xf>
    <xf numFmtId="0" fontId="6" fillId="0" borderId="0" xfId="61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15" fillId="0" borderId="23" xfId="61" applyFont="1" applyFill="1" applyBorder="1" applyAlignment="1" applyProtection="1">
      <alignment horizontal="left" vertical="center" wrapText="1"/>
      <protection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 applyProtection="1">
      <alignment horizontal="right"/>
      <protection/>
    </xf>
    <xf numFmtId="0" fontId="17" fillId="0" borderId="31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indent="6"/>
      <protection/>
    </xf>
    <xf numFmtId="0" fontId="17" fillId="0" borderId="11" xfId="61" applyFont="1" applyFill="1" applyBorder="1" applyAlignment="1" applyProtection="1">
      <alignment horizontal="left" vertical="center" wrapText="1" indent="6"/>
      <protection/>
    </xf>
    <xf numFmtId="0" fontId="17" fillId="0" borderId="15" xfId="61" applyFont="1" applyFill="1" applyBorder="1" applyAlignment="1" applyProtection="1">
      <alignment horizontal="left" vertical="center" wrapText="1" indent="6"/>
      <protection/>
    </xf>
    <xf numFmtId="0" fontId="17" fillId="0" borderId="39" xfId="61" applyFont="1" applyFill="1" applyBorder="1" applyAlignment="1" applyProtection="1">
      <alignment horizontal="left" vertical="center" wrapText="1" indent="6"/>
      <protection/>
    </xf>
    <xf numFmtId="0" fontId="0" fillId="0" borderId="0" xfId="61" applyFont="1" applyFill="1" applyBorder="1">
      <alignment/>
      <protection/>
    </xf>
    <xf numFmtId="0" fontId="1" fillId="0" borderId="0" xfId="61" applyFont="1" applyFill="1">
      <alignment/>
      <protection/>
    </xf>
    <xf numFmtId="164" fontId="4" fillId="0" borderId="0" xfId="61" applyNumberFormat="1" applyFont="1" applyFill="1" applyBorder="1" applyAlignment="1" applyProtection="1">
      <alignment horizontal="centerContinuous" vertical="center"/>
      <protection/>
    </xf>
    <xf numFmtId="0" fontId="0" fillId="0" borderId="17" xfId="61" applyFont="1" applyFill="1" applyBorder="1" applyAlignment="1">
      <alignment horizontal="center" vertical="center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22" xfId="61" applyFont="1" applyFill="1" applyBorder="1" applyAlignment="1">
      <alignment horizontal="center" vertical="center"/>
      <protection/>
    </xf>
    <xf numFmtId="0" fontId="0" fillId="0" borderId="23" xfId="61" applyFont="1" applyFill="1" applyBorder="1" applyAlignment="1">
      <alignment horizontal="center" vertical="center"/>
      <protection/>
    </xf>
    <xf numFmtId="0" fontId="0" fillId="0" borderId="29" xfId="6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61" applyFont="1" applyFill="1" applyBorder="1" applyAlignment="1">
      <alignment horizontal="center" vertical="center"/>
      <protection/>
    </xf>
    <xf numFmtId="0" fontId="3" fillId="0" borderId="23" xfId="61" applyFont="1" applyFill="1" applyBorder="1">
      <alignment/>
      <protection/>
    </xf>
    <xf numFmtId="166" fontId="0" fillId="0" borderId="38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26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61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61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61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61" applyFont="1" applyFill="1" applyBorder="1" applyAlignment="1" applyProtection="1">
      <alignment horizontal="center" vertical="center" wrapText="1"/>
      <protection/>
    </xf>
    <xf numFmtId="0" fontId="15" fillId="0" borderId="13" xfId="61" applyFont="1" applyFill="1" applyBorder="1" applyAlignment="1" applyProtection="1">
      <alignment horizontal="center" vertical="center" wrapText="1"/>
      <protection/>
    </xf>
    <xf numFmtId="0" fontId="15" fillId="0" borderId="43" xfId="61" applyFont="1" applyFill="1" applyBorder="1" applyAlignment="1" applyProtection="1">
      <alignment horizontal="center" vertical="center" wrapText="1"/>
      <protection/>
    </xf>
    <xf numFmtId="0" fontId="17" fillId="0" borderId="22" xfId="61" applyFont="1" applyFill="1" applyBorder="1" applyAlignment="1" applyProtection="1">
      <alignment horizontal="center" vertical="center"/>
      <protection/>
    </xf>
    <xf numFmtId="0" fontId="17" fillId="0" borderId="23" xfId="61" applyFont="1" applyFill="1" applyBorder="1" applyAlignment="1" applyProtection="1">
      <alignment horizontal="center" vertical="center"/>
      <protection/>
    </xf>
    <xf numFmtId="0" fontId="17" fillId="0" borderId="29" xfId="61" applyFont="1" applyFill="1" applyBorder="1" applyAlignment="1" applyProtection="1">
      <alignment horizontal="center" vertical="center"/>
      <protection/>
    </xf>
    <xf numFmtId="0" fontId="17" fillId="0" borderId="20" xfId="61" applyFont="1" applyFill="1" applyBorder="1" applyAlignment="1" applyProtection="1">
      <alignment horizontal="center" vertical="center"/>
      <protection/>
    </xf>
    <xf numFmtId="0" fontId="17" fillId="0" borderId="17" xfId="61" applyFont="1" applyFill="1" applyBorder="1" applyAlignment="1" applyProtection="1">
      <alignment horizontal="center" vertical="center"/>
      <protection/>
    </xf>
    <xf numFmtId="0" fontId="17" fillId="0" borderId="19" xfId="61" applyFont="1" applyFill="1" applyBorder="1" applyAlignment="1" applyProtection="1">
      <alignment horizontal="center" vertical="center"/>
      <protection/>
    </xf>
    <xf numFmtId="166" fontId="15" fillId="0" borderId="29" xfId="40" applyNumberFormat="1" applyFont="1" applyFill="1" applyBorder="1" applyAlignment="1" applyProtection="1">
      <alignment/>
      <protection/>
    </xf>
    <xf numFmtId="166" fontId="17" fillId="0" borderId="43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61" applyFont="1" applyFill="1" applyBorder="1" applyProtection="1">
      <alignment/>
      <protection locked="0"/>
    </xf>
    <xf numFmtId="0" fontId="17" fillId="0" borderId="11" xfId="61" applyFont="1" applyFill="1" applyBorder="1" applyProtection="1">
      <alignment/>
      <protection locked="0"/>
    </xf>
    <xf numFmtId="0" fontId="17" fillId="0" borderId="15" xfId="61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0" fontId="21" fillId="0" borderId="4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3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5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164" fontId="7" fillId="0" borderId="48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4" fillId="0" borderId="49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0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9" xfId="0" applyFont="1" applyFill="1" applyBorder="1" applyAlignment="1" applyProtection="1">
      <alignment vertical="center" wrapText="1"/>
      <protection/>
    </xf>
    <xf numFmtId="0" fontId="25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8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0" fillId="0" borderId="52" xfId="0" applyFill="1" applyBorder="1" applyAlignment="1" applyProtection="1">
      <alignment/>
      <protection/>
    </xf>
    <xf numFmtId="0" fontId="5" fillId="0" borderId="5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7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4" xfId="0" applyNumberFormat="1" applyFont="1" applyFill="1" applyBorder="1" applyAlignment="1" applyProtection="1">
      <alignment horizontal="center" vertical="center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164" fontId="15" fillId="0" borderId="50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55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7" xfId="0" applyNumberFormat="1" applyFont="1" applyFill="1" applyBorder="1" applyAlignment="1" applyProtection="1">
      <alignment vertical="center" wrapText="1"/>
      <protection/>
    </xf>
    <xf numFmtId="0" fontId="17" fillId="0" borderId="11" xfId="62" applyFont="1" applyFill="1" applyBorder="1" applyAlignment="1" applyProtection="1">
      <alignment horizontal="left" vertical="center" indent="1"/>
      <protection/>
    </xf>
    <xf numFmtId="0" fontId="17" fillId="0" borderId="12" xfId="62" applyFont="1" applyFill="1" applyBorder="1" applyAlignment="1" applyProtection="1">
      <alignment horizontal="left" vertical="center" wrapText="1" indent="1"/>
      <protection/>
    </xf>
    <xf numFmtId="0" fontId="17" fillId="0" borderId="11" xfId="62" applyFont="1" applyFill="1" applyBorder="1" applyAlignment="1" applyProtection="1">
      <alignment horizontal="left" vertical="center" wrapText="1" indent="1"/>
      <protection/>
    </xf>
    <xf numFmtId="0" fontId="17" fillId="0" borderId="12" xfId="62" applyFont="1" applyFill="1" applyBorder="1" applyAlignment="1" applyProtection="1">
      <alignment horizontal="left" vertical="center" inden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0" xfId="0" applyFont="1" applyBorder="1" applyAlignment="1" applyProtection="1">
      <alignment horizontal="left" vertical="center" wrapText="1" indent="1"/>
      <protection/>
    </xf>
    <xf numFmtId="164" fontId="15" fillId="0" borderId="41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43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40" xfId="61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0" applyNumberFormat="1" applyFont="1" applyBorder="1" applyAlignment="1" applyProtection="1">
      <alignment horizontal="right" vertical="center" wrapText="1" indent="1"/>
      <protection/>
    </xf>
    <xf numFmtId="0" fontId="5" fillId="0" borderId="42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59" xfId="40" applyNumberFormat="1" applyFont="1" applyFill="1" applyBorder="1" applyAlignment="1" applyProtection="1">
      <alignment/>
      <protection locked="0"/>
    </xf>
    <xf numFmtId="166" fontId="17" fillId="0" borderId="53" xfId="40" applyNumberFormat="1" applyFont="1" applyFill="1" applyBorder="1" applyAlignment="1" applyProtection="1">
      <alignment/>
      <protection locked="0"/>
    </xf>
    <xf numFmtId="166" fontId="17" fillId="0" borderId="48" xfId="40" applyNumberFormat="1" applyFont="1" applyFill="1" applyBorder="1" applyAlignment="1" applyProtection="1">
      <alignment/>
      <protection locked="0"/>
    </xf>
    <xf numFmtId="0" fontId="17" fillId="0" borderId="12" xfId="61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 quotePrefix="1">
      <alignment horizontal="right" vertical="center" indent="1"/>
      <protection/>
    </xf>
    <xf numFmtId="0" fontId="7" fillId="0" borderId="60" xfId="0" applyFont="1" applyFill="1" applyBorder="1" applyAlignment="1" applyProtection="1">
      <alignment horizontal="right" vertical="center" indent="1"/>
      <protection/>
    </xf>
    <xf numFmtId="0" fontId="7" fillId="0" borderId="41" xfId="0" applyFont="1" applyFill="1" applyBorder="1" applyAlignment="1" applyProtection="1">
      <alignment horizontal="right" vertical="center" wrapText="1" indent="1"/>
      <protection/>
    </xf>
    <xf numFmtId="164" fontId="7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3" xfId="0" applyNumberFormat="1" applyFont="1" applyFill="1" applyBorder="1" applyAlignment="1" applyProtection="1">
      <alignment horizontal="right" vertical="center"/>
      <protection/>
    </xf>
    <xf numFmtId="49" fontId="7" fillId="0" borderId="6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1" xfId="61" applyFont="1" applyFill="1" applyBorder="1" applyAlignment="1" applyProtection="1">
      <alignment horizontal="center" vertical="center" wrapText="1"/>
      <protection/>
    </xf>
    <xf numFmtId="0" fontId="6" fillId="0" borderId="61" xfId="61" applyFont="1" applyFill="1" applyBorder="1" applyAlignment="1" applyProtection="1">
      <alignment vertical="center" wrapText="1"/>
      <protection/>
    </xf>
    <xf numFmtId="164" fontId="6" fillId="0" borderId="61" xfId="61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Alignment="1">
      <alignment horizontal="center" wrapText="1"/>
    </xf>
    <xf numFmtId="0" fontId="20" fillId="0" borderId="31" xfId="0" applyFont="1" applyBorder="1" applyAlignment="1" applyProtection="1">
      <alignment horizontal="left" vertical="center" wrapText="1" indent="1"/>
      <protection/>
    </xf>
    <xf numFmtId="0" fontId="2" fillId="0" borderId="0" xfId="61" applyFont="1" applyFill="1" applyProtection="1">
      <alignment/>
      <protection/>
    </xf>
    <xf numFmtId="0" fontId="2" fillId="0" borderId="0" xfId="61" applyFont="1" applyFill="1" applyAlignment="1" applyProtection="1">
      <alignment horizontal="right" vertical="center" indent="1"/>
      <protection/>
    </xf>
    <xf numFmtId="0" fontId="2" fillId="0" borderId="0" xfId="61" applyFont="1" applyFill="1">
      <alignment/>
      <protection/>
    </xf>
    <xf numFmtId="0" fontId="2" fillId="0" borderId="0" xfId="61" applyFont="1" applyFill="1" applyAlignment="1">
      <alignment horizontal="right" vertical="center" indent="1"/>
      <protection/>
    </xf>
    <xf numFmtId="0" fontId="25" fillId="0" borderId="11" xfId="0" applyFont="1" applyBorder="1" applyAlignment="1">
      <alignment horizontal="justify" wrapText="1"/>
    </xf>
    <xf numFmtId="0" fontId="25" fillId="0" borderId="11" xfId="0" applyFont="1" applyBorder="1" applyAlignment="1">
      <alignment wrapText="1"/>
    </xf>
    <xf numFmtId="0" fontId="25" fillId="0" borderId="39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6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3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15" fillId="0" borderId="24" xfId="61" applyFont="1" applyFill="1" applyBorder="1" applyAlignment="1" applyProtection="1">
      <alignment horizontal="center" vertical="center" wrapText="1"/>
      <protection/>
    </xf>
    <xf numFmtId="0" fontId="15" fillId="0" borderId="28" xfId="61" applyFont="1" applyFill="1" applyBorder="1" applyAlignment="1" applyProtection="1">
      <alignment horizontal="center" vertical="center" wrapText="1"/>
      <protection/>
    </xf>
    <xf numFmtId="0" fontId="15" fillId="0" borderId="41" xfId="61" applyFont="1" applyFill="1" applyBorder="1" applyAlignment="1" applyProtection="1">
      <alignment horizontal="center" vertical="center" wrapText="1"/>
      <protection/>
    </xf>
    <xf numFmtId="164" fontId="17" fillId="0" borderId="38" xfId="61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wrapText="1" indent="6"/>
      <protection/>
    </xf>
    <xf numFmtId="0" fontId="2" fillId="0" borderId="0" xfId="61" applyFill="1" applyProtection="1">
      <alignment/>
      <protection/>
    </xf>
    <xf numFmtId="0" fontId="17" fillId="0" borderId="0" xfId="61" applyFont="1" applyFill="1" applyProtection="1">
      <alignment/>
      <protection/>
    </xf>
    <xf numFmtId="0" fontId="0" fillId="0" borderId="0" xfId="61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0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" fillId="0" borderId="0" xfId="61" applyFill="1" applyAlignment="1" applyProtection="1">
      <alignment/>
      <protection/>
    </xf>
    <xf numFmtId="164" fontId="20" fillId="0" borderId="29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0" xfId="61" applyFont="1" applyFill="1" applyProtection="1">
      <alignment/>
      <protection/>
    </xf>
    <xf numFmtId="0" fontId="2" fillId="0" borderId="0" xfId="61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61" applyNumberFormat="1" applyFont="1" applyFill="1" applyBorder="1" applyAlignment="1" applyProtection="1">
      <alignment horizontal="center" vertical="center" wrapText="1"/>
      <protection/>
    </xf>
    <xf numFmtId="49" fontId="17" fillId="0" borderId="17" xfId="61" applyNumberFormat="1" applyFont="1" applyFill="1" applyBorder="1" applyAlignment="1" applyProtection="1">
      <alignment horizontal="center" vertical="center" wrapText="1"/>
      <protection/>
    </xf>
    <xf numFmtId="49" fontId="17" fillId="0" borderId="19" xfId="61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0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61" applyNumberFormat="1" applyFont="1" applyFill="1" applyBorder="1" applyAlignment="1" applyProtection="1">
      <alignment horizontal="center" vertical="center" wrapText="1"/>
      <protection/>
    </xf>
    <xf numFmtId="49" fontId="17" fillId="0" borderId="16" xfId="61" applyNumberFormat="1" applyFont="1" applyFill="1" applyBorder="1" applyAlignment="1" applyProtection="1">
      <alignment horizontal="center" vertical="center" wrapText="1"/>
      <protection/>
    </xf>
    <xf numFmtId="49" fontId="17" fillId="0" borderId="21" xfId="61" applyNumberFormat="1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1"/>
      <protection/>
    </xf>
    <xf numFmtId="0" fontId="17" fillId="0" borderId="31" xfId="61" applyFont="1" applyFill="1" applyBorder="1" applyAlignment="1" applyProtection="1" quotePrefix="1">
      <alignment horizontal="left" vertical="center" wrapText="1" indent="1"/>
      <protection/>
    </xf>
    <xf numFmtId="0" fontId="25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8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61" applyFont="1" applyFill="1" applyBorder="1" applyAlignment="1">
      <alignment horizontal="center" vertical="center"/>
      <protection/>
    </xf>
    <xf numFmtId="166" fontId="3" fillId="0" borderId="23" xfId="61" applyNumberFormat="1" applyFont="1" applyFill="1" applyBorder="1">
      <alignment/>
      <protection/>
    </xf>
    <xf numFmtId="166" fontId="3" fillId="0" borderId="29" xfId="61" applyNumberFormat="1" applyFont="1" applyFill="1" applyBorder="1">
      <alignment/>
      <protection/>
    </xf>
    <xf numFmtId="0" fontId="4" fillId="0" borderId="0" xfId="61" applyFont="1" applyFill="1">
      <alignment/>
      <protection/>
    </xf>
    <xf numFmtId="0" fontId="15" fillId="0" borderId="22" xfId="61" applyFont="1" applyFill="1" applyBorder="1" applyAlignment="1" applyProtection="1">
      <alignment horizontal="center" vertical="center"/>
      <protection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62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42" xfId="61" applyNumberFormat="1" applyFont="1" applyFill="1" applyBorder="1" applyAlignment="1" applyProtection="1">
      <alignment horizontal="left" vertical="center"/>
      <protection/>
    </xf>
    <xf numFmtId="0" fontId="26" fillId="0" borderId="42" xfId="0" applyFont="1" applyFill="1" applyBorder="1" applyAlignment="1" applyProtection="1">
      <alignment horizontal="right" vertical="center"/>
      <protection/>
    </xf>
    <xf numFmtId="0" fontId="6" fillId="0" borderId="22" xfId="61" applyFont="1" applyFill="1" applyBorder="1" applyAlignment="1" applyProtection="1">
      <alignment horizontal="center" vertical="center" wrapText="1"/>
      <protection/>
    </xf>
    <xf numFmtId="0" fontId="6" fillId="0" borderId="23" xfId="61" applyFont="1" applyFill="1" applyBorder="1" applyAlignment="1" applyProtection="1">
      <alignment horizontal="center" vertical="center" wrapText="1"/>
      <protection/>
    </xf>
    <xf numFmtId="0" fontId="6" fillId="0" borderId="49" xfId="61" applyFont="1" applyFill="1" applyBorder="1" applyAlignment="1" applyProtection="1">
      <alignment horizontal="center" vertical="center" wrapText="1"/>
      <protection/>
    </xf>
    <xf numFmtId="0" fontId="6" fillId="0" borderId="58" xfId="61" applyFont="1" applyFill="1" applyBorder="1" applyAlignment="1" applyProtection="1">
      <alignment horizontal="center" vertical="center" wrapText="1"/>
      <protection/>
    </xf>
    <xf numFmtId="0" fontId="6" fillId="0" borderId="22" xfId="61" applyFont="1" applyFill="1" applyBorder="1" applyAlignment="1" applyProtection="1">
      <alignment horizontal="left" vertical="center" wrapText="1" indent="1"/>
      <protection/>
    </xf>
    <xf numFmtId="0" fontId="6" fillId="0" borderId="23" xfId="61" applyFont="1" applyFill="1" applyBorder="1" applyAlignment="1" applyProtection="1">
      <alignment horizontal="left" vertical="center" wrapText="1" indent="1"/>
      <protection/>
    </xf>
    <xf numFmtId="164" fontId="6" fillId="0" borderId="23" xfId="61" applyNumberFormat="1" applyFont="1" applyFill="1" applyBorder="1" applyAlignment="1" applyProtection="1">
      <alignment horizontal="right" vertical="center" wrapText="1" indent="1"/>
      <protection/>
    </xf>
    <xf numFmtId="164" fontId="6" fillId="0" borderId="58" xfId="61" applyNumberFormat="1" applyFont="1" applyFill="1" applyBorder="1" applyAlignment="1" applyProtection="1">
      <alignment horizontal="right" vertical="center" wrapText="1" indent="1"/>
      <protection/>
    </xf>
    <xf numFmtId="49" fontId="2" fillId="0" borderId="18" xfId="61" applyNumberFormat="1" applyFont="1" applyFill="1" applyBorder="1" applyAlignment="1" applyProtection="1">
      <alignment horizontal="left" vertical="center" wrapText="1" indent="1"/>
      <protection/>
    </xf>
    <xf numFmtId="0" fontId="28" fillId="0" borderId="12" xfId="0" applyFont="1" applyBorder="1" applyAlignment="1" applyProtection="1">
      <alignment horizontal="left" wrapText="1" indent="1"/>
      <protection/>
    </xf>
    <xf numFmtId="164" fontId="2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4" xfId="61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17" xfId="61" applyNumberFormat="1" applyFont="1" applyFill="1" applyBorder="1" applyAlignment="1" applyProtection="1">
      <alignment horizontal="left" vertical="center" wrapText="1" indent="1"/>
      <protection/>
    </xf>
    <xf numFmtId="0" fontId="28" fillId="0" borderId="11" xfId="0" applyFont="1" applyBorder="1" applyAlignment="1" applyProtection="1">
      <alignment horizontal="left" wrapText="1" indent="1"/>
      <protection/>
    </xf>
    <xf numFmtId="164" fontId="2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18" borderId="11" xfId="61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19" xfId="61" applyNumberFormat="1" applyFont="1" applyFill="1" applyBorder="1" applyAlignment="1" applyProtection="1">
      <alignment horizontal="left" vertical="center" wrapText="1" indent="1"/>
      <protection/>
    </xf>
    <xf numFmtId="0" fontId="28" fillId="0" borderId="15" xfId="0" applyFont="1" applyBorder="1" applyAlignment="1" applyProtection="1">
      <alignment horizontal="left" vertical="center" wrapText="1" indent="1"/>
      <protection/>
    </xf>
    <xf numFmtId="164" fontId="2" fillId="18" borderId="15" xfId="6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0" applyFont="1" applyBorder="1" applyAlignment="1" applyProtection="1">
      <alignment horizontal="left" vertical="center" wrapText="1" indent="1"/>
      <protection/>
    </xf>
    <xf numFmtId="164" fontId="2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3" xfId="61" applyNumberFormat="1" applyFont="1" applyFill="1" applyBorder="1" applyAlignment="1" applyProtection="1">
      <alignment horizontal="right" vertical="center" wrapText="1" indent="1"/>
      <protection/>
    </xf>
    <xf numFmtId="164" fontId="6" fillId="0" borderId="58" xfId="61" applyNumberFormat="1" applyFont="1" applyFill="1" applyBorder="1" applyAlignment="1" applyProtection="1">
      <alignment horizontal="right" vertical="center" wrapText="1" indent="1"/>
      <protection/>
    </xf>
    <xf numFmtId="164" fontId="2" fillId="0" borderId="12" xfId="61" applyNumberFormat="1" applyFont="1" applyFill="1" applyBorder="1" applyAlignment="1" applyProtection="1">
      <alignment horizontal="right" vertical="center" wrapText="1" indent="1"/>
      <protection/>
    </xf>
    <xf numFmtId="164" fontId="2" fillId="0" borderId="64" xfId="61" applyNumberFormat="1" applyFont="1" applyFill="1" applyBorder="1" applyAlignment="1" applyProtection="1">
      <alignment horizontal="right" vertical="center" wrapText="1" indent="1"/>
      <protection/>
    </xf>
    <xf numFmtId="164" fontId="2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4" xfId="6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2" xfId="0" applyFont="1" applyBorder="1" applyAlignment="1" applyProtection="1">
      <alignment vertical="center" wrapText="1"/>
      <protection/>
    </xf>
    <xf numFmtId="0" fontId="28" fillId="0" borderId="15" xfId="0" applyFont="1" applyBorder="1" applyAlignment="1" applyProtection="1">
      <alignment horizontal="left" vertical="center" wrapText="1"/>
      <protection/>
    </xf>
    <xf numFmtId="0" fontId="28" fillId="0" borderId="18" xfId="0" applyFont="1" applyBorder="1" applyAlignment="1" applyProtection="1">
      <alignment vertical="center" wrapText="1"/>
      <protection/>
    </xf>
    <xf numFmtId="0" fontId="28" fillId="0" borderId="17" xfId="0" applyFont="1" applyBorder="1" applyAlignment="1" applyProtection="1">
      <alignment vertical="center" wrapText="1"/>
      <protection/>
    </xf>
    <xf numFmtId="0" fontId="28" fillId="0" borderId="19" xfId="0" applyFont="1" applyBorder="1" applyAlignment="1" applyProtection="1">
      <alignment vertical="center" wrapText="1"/>
      <protection/>
    </xf>
    <xf numFmtId="164" fontId="6" fillId="0" borderId="23" xfId="6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8" xfId="6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0" applyFont="1" applyBorder="1" applyAlignment="1" applyProtection="1">
      <alignment vertical="center" wrapText="1"/>
      <protection/>
    </xf>
    <xf numFmtId="0" fontId="13" fillId="0" borderId="31" xfId="0" applyFont="1" applyBorder="1" applyAlignment="1" applyProtection="1">
      <alignment vertical="center" wrapText="1"/>
      <protection/>
    </xf>
    <xf numFmtId="0" fontId="2" fillId="0" borderId="61" xfId="61" applyFont="1" applyFill="1" applyBorder="1" applyAlignment="1" applyProtection="1">
      <alignment horizontal="right" vertical="center" wrapText="1" indent="1"/>
      <protection locked="0"/>
    </xf>
    <xf numFmtId="164" fontId="2" fillId="0" borderId="61" xfId="6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9" xfId="61" applyFont="1" applyFill="1" applyBorder="1" applyAlignment="1" applyProtection="1">
      <alignment horizontal="center" vertical="center" wrapText="1"/>
      <protection/>
    </xf>
    <xf numFmtId="0" fontId="6" fillId="0" borderId="24" xfId="61" applyFont="1" applyFill="1" applyBorder="1" applyAlignment="1" applyProtection="1">
      <alignment horizontal="left" vertical="center" wrapText="1" indent="1"/>
      <protection/>
    </xf>
    <xf numFmtId="0" fontId="6" fillId="0" borderId="28" xfId="61" applyFont="1" applyFill="1" applyBorder="1" applyAlignment="1" applyProtection="1">
      <alignment vertical="center" wrapText="1"/>
      <protection/>
    </xf>
    <xf numFmtId="164" fontId="6" fillId="0" borderId="65" xfId="61" applyNumberFormat="1" applyFont="1" applyFill="1" applyBorder="1" applyAlignment="1" applyProtection="1">
      <alignment horizontal="right" vertical="center" wrapText="1" indent="1"/>
      <protection/>
    </xf>
    <xf numFmtId="164" fontId="6" fillId="0" borderId="28" xfId="61" applyNumberFormat="1" applyFont="1" applyFill="1" applyBorder="1" applyAlignment="1" applyProtection="1">
      <alignment horizontal="right" vertical="center" wrapText="1" indent="1"/>
      <protection/>
    </xf>
    <xf numFmtId="164" fontId="6" fillId="0" borderId="66" xfId="61" applyNumberFormat="1" applyFont="1" applyFill="1" applyBorder="1" applyAlignment="1" applyProtection="1">
      <alignment horizontal="right" vertical="center" wrapText="1" indent="1"/>
      <protection/>
    </xf>
    <xf numFmtId="49" fontId="2" fillId="0" borderId="20" xfId="61" applyNumberFormat="1" applyFont="1" applyFill="1" applyBorder="1" applyAlignment="1" applyProtection="1">
      <alignment horizontal="left" vertical="center" wrapText="1" indent="1"/>
      <protection/>
    </xf>
    <xf numFmtId="0" fontId="2" fillId="0" borderId="13" xfId="61" applyFont="1" applyFill="1" applyBorder="1" applyAlignment="1" applyProtection="1">
      <alignment horizontal="left" vertical="center" wrapText="1" indent="1"/>
      <protection/>
    </xf>
    <xf numFmtId="164" fontId="2" fillId="0" borderId="67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9" xfId="6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1" xfId="61" applyFont="1" applyFill="1" applyBorder="1" applyAlignment="1" applyProtection="1">
      <alignment horizontal="left" vertical="center" wrapText="1" indent="1"/>
      <protection/>
    </xf>
    <xf numFmtId="164" fontId="2" fillId="0" borderId="56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8" xfId="6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4" xfId="61" applyFont="1" applyFill="1" applyBorder="1" applyAlignment="1" applyProtection="1">
      <alignment horizontal="left" vertical="center" wrapText="1" indent="1"/>
      <protection/>
    </xf>
    <xf numFmtId="0" fontId="2" fillId="0" borderId="0" xfId="61" applyFont="1" applyFill="1" applyBorder="1" applyAlignment="1" applyProtection="1">
      <alignment horizontal="left" vertical="center" wrapText="1" indent="1"/>
      <protection/>
    </xf>
    <xf numFmtId="0" fontId="2" fillId="0" borderId="11" xfId="61" applyFont="1" applyFill="1" applyBorder="1" applyAlignment="1" applyProtection="1">
      <alignment horizontal="left" indent="6"/>
      <protection/>
    </xf>
    <xf numFmtId="0" fontId="2" fillId="0" borderId="11" xfId="61" applyFont="1" applyFill="1" applyBorder="1" applyAlignment="1" applyProtection="1">
      <alignment horizontal="left" vertical="center" wrapText="1" indent="6"/>
      <protection/>
    </xf>
    <xf numFmtId="49" fontId="2" fillId="0" borderId="16" xfId="61" applyNumberFormat="1" applyFont="1" applyFill="1" applyBorder="1" applyAlignment="1" applyProtection="1">
      <alignment horizontal="left" vertical="center" wrapText="1" indent="1"/>
      <protection/>
    </xf>
    <xf numFmtId="49" fontId="2" fillId="0" borderId="21" xfId="61" applyNumberFormat="1" applyFont="1" applyFill="1" applyBorder="1" applyAlignment="1" applyProtection="1">
      <alignment horizontal="left" vertical="center" wrapText="1" indent="1"/>
      <protection/>
    </xf>
    <xf numFmtId="164" fontId="2" fillId="0" borderId="54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9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9" xfId="6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3" xfId="61" applyFont="1" applyFill="1" applyBorder="1" applyAlignment="1" applyProtection="1">
      <alignment vertical="center" wrapText="1"/>
      <protection/>
    </xf>
    <xf numFmtId="164" fontId="6" fillId="0" borderId="55" xfId="61" applyNumberFormat="1" applyFont="1" applyFill="1" applyBorder="1" applyAlignment="1" applyProtection="1">
      <alignment horizontal="right" vertical="center" wrapText="1" indent="1"/>
      <protection/>
    </xf>
    <xf numFmtId="164" fontId="2" fillId="0" borderId="70" xfId="6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5" xfId="61" applyFont="1" applyFill="1" applyBorder="1" applyAlignment="1" applyProtection="1">
      <alignment horizontal="left" vertical="center" wrapText="1" indent="1"/>
      <protection/>
    </xf>
    <xf numFmtId="164" fontId="2" fillId="0" borderId="71" xfId="61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1" xfId="0" applyFont="1" applyBorder="1" applyAlignment="1" applyProtection="1">
      <alignment horizontal="left" vertical="center" wrapText="1" indent="1"/>
      <protection/>
    </xf>
    <xf numFmtId="0" fontId="2" fillId="0" borderId="12" xfId="61" applyFont="1" applyFill="1" applyBorder="1" applyAlignment="1" applyProtection="1">
      <alignment horizontal="left" vertical="center" wrapText="1" indent="6"/>
      <protection/>
    </xf>
    <xf numFmtId="164" fontId="2" fillId="0" borderId="47" xfId="6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3" xfId="61" applyFont="1" applyFill="1" applyBorder="1" applyAlignment="1" applyProtection="1">
      <alignment horizontal="left" vertical="center" wrapText="1" indent="1"/>
      <protection/>
    </xf>
    <xf numFmtId="0" fontId="2" fillId="0" borderId="12" xfId="61" applyFont="1" applyFill="1" applyBorder="1" applyAlignment="1" applyProtection="1">
      <alignment horizontal="left" vertical="center" wrapText="1" indent="1"/>
      <protection/>
    </xf>
    <xf numFmtId="0" fontId="2" fillId="0" borderId="10" xfId="61" applyFont="1" applyFill="1" applyBorder="1" applyAlignment="1" applyProtection="1">
      <alignment horizontal="left" vertical="center" wrapText="1" indent="1"/>
      <protection/>
    </xf>
    <xf numFmtId="164" fontId="6" fillId="0" borderId="55" xfId="61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Border="1" applyAlignment="1" applyProtection="1">
      <alignment horizontal="right" vertical="center" wrapText="1" indent="1"/>
      <protection/>
    </xf>
    <xf numFmtId="164" fontId="13" fillId="0" borderId="23" xfId="0" applyNumberFormat="1" applyFont="1" applyBorder="1" applyAlignment="1" applyProtection="1">
      <alignment horizontal="right" vertical="center" wrapText="1" indent="1"/>
      <protection/>
    </xf>
    <xf numFmtId="164" fontId="13" fillId="0" borderId="58" xfId="0" applyNumberFormat="1" applyFont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58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30" xfId="0" applyFont="1" applyBorder="1" applyAlignment="1" applyProtection="1">
      <alignment horizontal="left" vertical="center" wrapText="1" indent="1"/>
      <protection/>
    </xf>
    <xf numFmtId="0" fontId="13" fillId="0" borderId="31" xfId="0" applyFont="1" applyBorder="1" applyAlignment="1" applyProtection="1">
      <alignment horizontal="left" vertical="center" wrapText="1" indent="1"/>
      <protection/>
    </xf>
    <xf numFmtId="0" fontId="29" fillId="0" borderId="0" xfId="59">
      <alignment/>
      <protection/>
    </xf>
    <xf numFmtId="3" fontId="30" fillId="0" borderId="0" xfId="59" applyNumberFormat="1" applyFont="1" applyFill="1" applyBorder="1" applyAlignment="1">
      <alignment horizontal="center"/>
      <protection/>
    </xf>
    <xf numFmtId="3" fontId="30" fillId="0" borderId="0" xfId="59" applyNumberFormat="1" applyFont="1" applyFill="1" applyBorder="1">
      <alignment/>
      <protection/>
    </xf>
    <xf numFmtId="3" fontId="31" fillId="0" borderId="0" xfId="59" applyNumberFormat="1" applyFont="1" applyFill="1" applyBorder="1">
      <alignment/>
      <protection/>
    </xf>
    <xf numFmtId="3" fontId="30" fillId="0" borderId="0" xfId="59" applyNumberFormat="1" applyFont="1" applyFill="1" applyBorder="1" applyAlignment="1">
      <alignment horizontal="right"/>
      <protection/>
    </xf>
    <xf numFmtId="3" fontId="30" fillId="0" borderId="0" xfId="59" applyNumberFormat="1" applyFont="1" applyFill="1" applyBorder="1" applyAlignment="1">
      <alignment/>
      <protection/>
    </xf>
    <xf numFmtId="3" fontId="35" fillId="0" borderId="0" xfId="59" applyNumberFormat="1" applyFont="1" applyFill="1" applyBorder="1" applyAlignment="1">
      <alignment horizontal="center"/>
      <protection/>
    </xf>
    <xf numFmtId="3" fontId="36" fillId="0" borderId="0" xfId="59" applyNumberFormat="1" applyFont="1" applyFill="1" applyBorder="1" applyAlignment="1">
      <alignment/>
      <protection/>
    </xf>
    <xf numFmtId="0" fontId="37" fillId="0" borderId="0" xfId="59" applyFont="1">
      <alignment/>
      <protection/>
    </xf>
    <xf numFmtId="3" fontId="35" fillId="0" borderId="0" xfId="60" applyNumberFormat="1" applyFont="1" applyFill="1" applyBorder="1" applyAlignment="1" quotePrefix="1">
      <alignment horizontal="center"/>
      <protection/>
    </xf>
    <xf numFmtId="3" fontId="36" fillId="0" borderId="0" xfId="60" applyNumberFormat="1" applyFont="1" applyFill="1" applyBorder="1" applyAlignment="1">
      <alignment/>
      <protection/>
    </xf>
    <xf numFmtId="0" fontId="29" fillId="0" borderId="0" xfId="60" applyFont="1" applyBorder="1" applyAlignment="1">
      <alignment/>
      <protection/>
    </xf>
    <xf numFmtId="3" fontId="36" fillId="0" borderId="0" xfId="60" applyNumberFormat="1" applyFont="1" applyFill="1" applyBorder="1">
      <alignment/>
      <protection/>
    </xf>
    <xf numFmtId="3" fontId="29" fillId="0" borderId="0" xfId="60" applyNumberFormat="1" applyFill="1" applyBorder="1" applyAlignment="1">
      <alignment horizontal="center"/>
      <protection/>
    </xf>
    <xf numFmtId="3" fontId="29" fillId="0" borderId="0" xfId="60" applyNumberFormat="1" applyFill="1" applyBorder="1">
      <alignment/>
      <protection/>
    </xf>
    <xf numFmtId="0" fontId="0" fillId="0" borderId="0" xfId="0" applyBorder="1" applyAlignment="1">
      <alignment/>
    </xf>
    <xf numFmtId="172" fontId="30" fillId="0" borderId="70" xfId="0" applyNumberFormat="1" applyFont="1" applyBorder="1" applyAlignment="1">
      <alignment/>
    </xf>
    <xf numFmtId="3" fontId="30" fillId="0" borderId="72" xfId="0" applyNumberFormat="1" applyFont="1" applyBorder="1" applyAlignment="1">
      <alignment/>
    </xf>
    <xf numFmtId="0" fontId="6" fillId="0" borderId="0" xfId="0" applyFont="1" applyFill="1" applyAlignment="1">
      <alignment horizontal="center"/>
    </xf>
    <xf numFmtId="164" fontId="2" fillId="0" borderId="11" xfId="0" applyNumberFormat="1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5" xfId="0" applyNumberFormat="1" applyFont="1" applyFill="1" applyBorder="1" applyAlignment="1" applyProtection="1">
      <alignment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164" fontId="6" fillId="0" borderId="29" xfId="0" applyNumberFormat="1" applyFont="1" applyFill="1" applyBorder="1" applyAlignment="1" applyProtection="1">
      <alignment vertical="center" wrapText="1"/>
      <protection/>
    </xf>
    <xf numFmtId="164" fontId="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5" xfId="0" applyNumberFormat="1" applyFont="1" applyFill="1" applyBorder="1" applyAlignment="1" applyProtection="1">
      <alignment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7" xfId="0" applyNumberFormat="1" applyFont="1" applyFill="1" applyBorder="1" applyAlignment="1" applyProtection="1">
      <alignment vertical="center" wrapText="1"/>
      <protection/>
    </xf>
    <xf numFmtId="164" fontId="7" fillId="0" borderId="55" xfId="0" applyNumberFormat="1" applyFont="1" applyFill="1" applyBorder="1" applyAlignment="1" applyProtection="1">
      <alignment horizontal="center" vertical="center" wrapText="1"/>
      <protection/>
    </xf>
    <xf numFmtId="164" fontId="15" fillId="0" borderId="73" xfId="0" applyNumberFormat="1" applyFont="1" applyFill="1" applyBorder="1" applyAlignment="1" applyProtection="1">
      <alignment horizontal="center" vertical="center" wrapText="1"/>
      <protection/>
    </xf>
    <xf numFmtId="164" fontId="2" fillId="0" borderId="56" xfId="0" applyNumberFormat="1" applyFont="1" applyFill="1" applyBorder="1" applyAlignment="1" applyProtection="1">
      <alignment vertical="center" wrapText="1"/>
      <protection locked="0"/>
    </xf>
    <xf numFmtId="164" fontId="2" fillId="0" borderId="68" xfId="0" applyNumberFormat="1" applyFont="1" applyFill="1" applyBorder="1" applyAlignment="1" applyProtection="1">
      <alignment vertical="center" wrapText="1"/>
      <protection locked="0"/>
    </xf>
    <xf numFmtId="0" fontId="21" fillId="0" borderId="10" xfId="0" applyFont="1" applyBorder="1" applyAlignment="1" applyProtection="1">
      <alignment horizontal="left" wrapText="1" indent="1"/>
      <protection/>
    </xf>
    <xf numFmtId="164" fontId="17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9" xfId="62" applyFont="1" applyFill="1" applyBorder="1" applyAlignment="1" applyProtection="1">
      <alignment horizontal="left" vertical="center" indent="1"/>
      <protection/>
    </xf>
    <xf numFmtId="0" fontId="17" fillId="0" borderId="15" xfId="62" applyFont="1" applyFill="1" applyBorder="1" applyAlignment="1" applyProtection="1">
      <alignment horizontal="left" vertical="center" indent="1"/>
      <protection/>
    </xf>
    <xf numFmtId="0" fontId="15" fillId="0" borderId="22" xfId="62" applyFont="1" applyFill="1" applyBorder="1" applyAlignment="1" applyProtection="1">
      <alignment horizontal="left" vertical="center" indent="1"/>
      <protection/>
    </xf>
    <xf numFmtId="0" fontId="7" fillId="0" borderId="29" xfId="62" applyFont="1" applyFill="1" applyBorder="1" applyAlignment="1" applyProtection="1">
      <alignment horizontal="left" vertical="center" indent="1"/>
      <protection/>
    </xf>
    <xf numFmtId="164" fontId="15" fillId="0" borderId="49" xfId="62" applyNumberFormat="1" applyFont="1" applyFill="1" applyBorder="1" applyAlignment="1" applyProtection="1">
      <alignment vertical="center"/>
      <protection/>
    </xf>
    <xf numFmtId="0" fontId="7" fillId="0" borderId="29" xfId="62" applyFont="1" applyFill="1" applyBorder="1" applyAlignment="1" applyProtection="1">
      <alignment horizontal="left" indent="1"/>
      <protection/>
    </xf>
    <xf numFmtId="164" fontId="15" fillId="0" borderId="49" xfId="62" applyNumberFormat="1" applyFont="1" applyFill="1" applyBorder="1" applyProtection="1">
      <alignment/>
      <protection/>
    </xf>
    <xf numFmtId="0" fontId="41" fillId="0" borderId="0" xfId="0" applyFont="1" applyAlignment="1">
      <alignment/>
    </xf>
    <xf numFmtId="0" fontId="42" fillId="0" borderId="0" xfId="0" applyFont="1" applyAlignment="1">
      <alignment horizontal="right"/>
    </xf>
    <xf numFmtId="0" fontId="43" fillId="0" borderId="39" xfId="0" applyFont="1" applyBorder="1" applyAlignment="1">
      <alignment horizontal="center" vertical="center" wrapText="1"/>
    </xf>
    <xf numFmtId="0" fontId="43" fillId="0" borderId="54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4" fillId="0" borderId="67" xfId="0" applyFont="1" applyBorder="1" applyAlignment="1">
      <alignment horizontal="center" wrapText="1"/>
    </xf>
    <xf numFmtId="0" fontId="44" fillId="0" borderId="74" xfId="0" applyFont="1" applyBorder="1" applyAlignment="1">
      <alignment horizontal="center" wrapText="1"/>
    </xf>
    <xf numFmtId="0" fontId="44" fillId="0" borderId="17" xfId="0" applyFont="1" applyBorder="1" applyAlignment="1">
      <alignment horizontal="left" vertical="center" wrapText="1"/>
    </xf>
    <xf numFmtId="49" fontId="44" fillId="0" borderId="11" xfId="0" applyNumberFormat="1" applyFont="1" applyBorder="1" applyAlignment="1">
      <alignment horizontal="center" wrapText="1"/>
    </xf>
    <xf numFmtId="166" fontId="44" fillId="0" borderId="11" xfId="40" applyNumberFormat="1" applyFont="1" applyBorder="1" applyAlignment="1" applyProtection="1">
      <alignment horizontal="right" vertical="center" wrapText="1"/>
      <protection locked="0"/>
    </xf>
    <xf numFmtId="166" fontId="44" fillId="0" borderId="56" xfId="40" applyNumberFormat="1" applyFont="1" applyBorder="1" applyAlignment="1" applyProtection="1">
      <alignment horizontal="right" vertical="center" wrapText="1"/>
      <protection locked="0"/>
    </xf>
    <xf numFmtId="166" fontId="44" fillId="0" borderId="34" xfId="40" applyNumberFormat="1" applyFont="1" applyBorder="1" applyAlignment="1">
      <alignment horizontal="right" vertical="center" wrapText="1"/>
    </xf>
    <xf numFmtId="0" fontId="44" fillId="0" borderId="19" xfId="0" applyFont="1" applyBorder="1" applyAlignment="1">
      <alignment horizontal="left" vertical="center" wrapText="1"/>
    </xf>
    <xf numFmtId="49" fontId="44" fillId="0" borderId="15" xfId="0" applyNumberFormat="1" applyFont="1" applyBorder="1" applyAlignment="1">
      <alignment horizontal="center" wrapText="1"/>
    </xf>
    <xf numFmtId="166" fontId="44" fillId="0" borderId="15" xfId="40" applyNumberFormat="1" applyFont="1" applyBorder="1" applyAlignment="1" applyProtection="1">
      <alignment horizontal="right" vertical="center" wrapText="1"/>
      <protection locked="0"/>
    </xf>
    <xf numFmtId="166" fontId="44" fillId="0" borderId="68" xfId="40" applyNumberFormat="1" applyFont="1" applyBorder="1" applyAlignment="1" applyProtection="1">
      <alignment horizontal="right" vertical="center" wrapText="1"/>
      <protection locked="0"/>
    </xf>
    <xf numFmtId="166" fontId="44" fillId="0" borderId="35" xfId="40" applyNumberFormat="1" applyFont="1" applyBorder="1" applyAlignment="1">
      <alignment horizontal="right" vertical="center" wrapText="1"/>
    </xf>
    <xf numFmtId="0" fontId="43" fillId="0" borderId="22" xfId="0" applyFont="1" applyBorder="1" applyAlignment="1">
      <alignment horizontal="left" vertical="center" wrapText="1"/>
    </xf>
    <xf numFmtId="49" fontId="43" fillId="0" borderId="23" xfId="0" applyNumberFormat="1" applyFont="1" applyBorder="1" applyAlignment="1">
      <alignment horizontal="center" wrapText="1"/>
    </xf>
    <xf numFmtId="166" fontId="43" fillId="0" borderId="23" xfId="40" applyNumberFormat="1" applyFont="1" applyBorder="1" applyAlignment="1">
      <alignment horizontal="right" vertical="center" wrapText="1"/>
    </xf>
    <xf numFmtId="166" fontId="43" fillId="0" borderId="55" xfId="40" applyNumberFormat="1" applyFont="1" applyBorder="1" applyAlignment="1">
      <alignment horizontal="right" vertical="center" wrapText="1"/>
    </xf>
    <xf numFmtId="166" fontId="44" fillId="0" borderId="33" xfId="40" applyNumberFormat="1" applyFont="1" applyBorder="1" applyAlignment="1">
      <alignment horizontal="right" vertical="center" wrapText="1"/>
    </xf>
    <xf numFmtId="0" fontId="43" fillId="0" borderId="30" xfId="0" applyFont="1" applyBorder="1" applyAlignment="1">
      <alignment horizontal="left" vertical="center" wrapText="1"/>
    </xf>
    <xf numFmtId="49" fontId="43" fillId="0" borderId="31" xfId="0" applyNumberFormat="1" applyFont="1" applyBorder="1" applyAlignment="1">
      <alignment horizontal="center" wrapText="1"/>
    </xf>
    <xf numFmtId="166" fontId="43" fillId="0" borderId="31" xfId="40" applyNumberFormat="1" applyFont="1" applyBorder="1" applyAlignment="1">
      <alignment horizontal="right" vertical="center" wrapText="1"/>
    </xf>
    <xf numFmtId="0" fontId="43" fillId="0" borderId="23" xfId="0" applyFont="1" applyBorder="1" applyAlignment="1">
      <alignment horizont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center" wrapText="1"/>
    </xf>
    <xf numFmtId="166" fontId="44" fillId="0" borderId="12" xfId="40" applyNumberFormat="1" applyFont="1" applyBorder="1" applyAlignment="1" applyProtection="1">
      <alignment horizontal="right" vertical="center" wrapText="1"/>
      <protection locked="0"/>
    </xf>
    <xf numFmtId="166" fontId="44" fillId="0" borderId="70" xfId="40" applyNumberFormat="1" applyFont="1" applyBorder="1" applyAlignment="1" applyProtection="1">
      <alignment horizontal="right" vertical="center" wrapText="1"/>
      <protection locked="0"/>
    </xf>
    <xf numFmtId="166" fontId="44" fillId="0" borderId="36" xfId="40" applyNumberFormat="1" applyFont="1" applyBorder="1" applyAlignment="1">
      <alignment horizontal="right" vertical="center" wrapText="1"/>
    </xf>
    <xf numFmtId="0" fontId="44" fillId="0" borderId="11" xfId="0" applyFont="1" applyBorder="1" applyAlignment="1">
      <alignment horizontal="center" wrapText="1"/>
    </xf>
    <xf numFmtId="0" fontId="44" fillId="0" borderId="15" xfId="0" applyFont="1" applyBorder="1" applyAlignment="1">
      <alignment horizontal="center" wrapText="1"/>
    </xf>
    <xf numFmtId="0" fontId="43" fillId="0" borderId="31" xfId="0" applyFont="1" applyBorder="1" applyAlignment="1">
      <alignment horizontal="center" wrapText="1"/>
    </xf>
    <xf numFmtId="166" fontId="44" fillId="0" borderId="75" xfId="40" applyNumberFormat="1" applyFont="1" applyBorder="1" applyAlignment="1">
      <alignment horizontal="right" vertical="center" wrapText="1"/>
    </xf>
    <xf numFmtId="0" fontId="40" fillId="0" borderId="0" xfId="0" applyFont="1" applyAlignment="1" applyProtection="1">
      <alignment horizontal="center" vertical="center" wrapText="1"/>
      <protection locked="0"/>
    </xf>
    <xf numFmtId="172" fontId="30" fillId="0" borderId="62" xfId="0" applyNumberFormat="1" applyFont="1" applyBorder="1" applyAlignment="1">
      <alignment horizontal="center"/>
    </xf>
    <xf numFmtId="3" fontId="30" fillId="0" borderId="0" xfId="0" applyNumberFormat="1" applyFont="1" applyBorder="1" applyAlignment="1">
      <alignment horizontal="center"/>
    </xf>
    <xf numFmtId="0" fontId="0" fillId="0" borderId="72" xfId="0" applyBorder="1" applyAlignment="1">
      <alignment/>
    </xf>
    <xf numFmtId="3" fontId="45" fillId="0" borderId="0" xfId="0" applyNumberFormat="1" applyFont="1" applyBorder="1" applyAlignment="1">
      <alignment/>
    </xf>
    <xf numFmtId="0" fontId="45" fillId="0" borderId="0" xfId="0" applyFont="1" applyBorder="1" applyAlignment="1">
      <alignment/>
    </xf>
    <xf numFmtId="4" fontId="45" fillId="0" borderId="62" xfId="0" applyNumberFormat="1" applyFont="1" applyBorder="1" applyAlignment="1">
      <alignment/>
    </xf>
    <xf numFmtId="3" fontId="45" fillId="0" borderId="62" xfId="0" applyNumberFormat="1" applyFont="1" applyBorder="1" applyAlignment="1">
      <alignment/>
    </xf>
    <xf numFmtId="0" fontId="46" fillId="0" borderId="0" xfId="0" applyNumberFormat="1" applyFont="1" applyBorder="1" applyAlignment="1" quotePrefix="1">
      <alignment/>
    </xf>
    <xf numFmtId="1" fontId="45" fillId="0" borderId="0" xfId="0" applyNumberFormat="1" applyFont="1" applyBorder="1" applyAlignment="1">
      <alignment/>
    </xf>
    <xf numFmtId="3" fontId="45" fillId="16" borderId="0" xfId="0" applyNumberFormat="1" applyFont="1" applyFill="1" applyBorder="1" applyAlignment="1">
      <alignment/>
    </xf>
    <xf numFmtId="3" fontId="45" fillId="16" borderId="0" xfId="0" applyNumberFormat="1" applyFont="1" applyFill="1" applyBorder="1" applyAlignment="1">
      <alignment wrapText="1"/>
    </xf>
    <xf numFmtId="0" fontId="45" fillId="0" borderId="0" xfId="0" applyFont="1" applyBorder="1" applyAlignment="1">
      <alignment/>
    </xf>
    <xf numFmtId="0" fontId="45" fillId="0" borderId="62" xfId="0" applyFont="1" applyBorder="1" applyAlignment="1">
      <alignment horizontal="right" vertical="center" wrapText="1"/>
    </xf>
    <xf numFmtId="3" fontId="45" fillId="0" borderId="0" xfId="0" applyNumberFormat="1" applyFont="1" applyBorder="1" applyAlignment="1">
      <alignment horizontal="right" vertical="center" wrapText="1"/>
    </xf>
    <xf numFmtId="0" fontId="45" fillId="0" borderId="0" xfId="0" applyFont="1" applyBorder="1" applyAlignment="1">
      <alignment horizontal="right" vertical="center" wrapText="1"/>
    </xf>
    <xf numFmtId="172" fontId="45" fillId="0" borderId="62" xfId="0" applyNumberFormat="1" applyFont="1" applyBorder="1" applyAlignment="1">
      <alignment/>
    </xf>
    <xf numFmtId="1" fontId="45" fillId="0" borderId="62" xfId="0" applyNumberFormat="1" applyFont="1" applyBorder="1" applyAlignment="1">
      <alignment/>
    </xf>
    <xf numFmtId="0" fontId="45" fillId="16" borderId="0" xfId="0" applyFont="1" applyFill="1" applyBorder="1" applyAlignment="1">
      <alignment horizontal="right" vertical="center" wrapText="1"/>
    </xf>
    <xf numFmtId="0" fontId="45" fillId="0" borderId="62" xfId="0" applyFont="1" applyFill="1" applyBorder="1" applyAlignment="1">
      <alignment/>
    </xf>
    <xf numFmtId="4" fontId="45" fillId="0" borderId="62" xfId="0" applyNumberFormat="1" applyFont="1" applyBorder="1" applyAlignment="1">
      <alignment horizontal="right" vertical="center"/>
    </xf>
    <xf numFmtId="3" fontId="45" fillId="2" borderId="0" xfId="0" applyNumberFormat="1" applyFont="1" applyFill="1" applyBorder="1" applyAlignment="1">
      <alignment/>
    </xf>
    <xf numFmtId="0" fontId="46" fillId="2" borderId="0" xfId="0" applyNumberFormat="1" applyFont="1" applyFill="1" applyBorder="1" applyAlignment="1" quotePrefix="1">
      <alignment horizontal="right"/>
    </xf>
    <xf numFmtId="0" fontId="15" fillId="0" borderId="55" xfId="0" applyFont="1" applyFill="1" applyBorder="1" applyAlignment="1" applyProtection="1">
      <alignment horizontal="left" vertical="center" wrapText="1" indent="1"/>
      <protection/>
    </xf>
    <xf numFmtId="164" fontId="15" fillId="0" borderId="33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76" xfId="0" applyFont="1" applyFill="1" applyBorder="1" applyAlignment="1" applyProtection="1">
      <alignment horizontal="right"/>
      <protection/>
    </xf>
    <xf numFmtId="0" fontId="1" fillId="0" borderId="25" xfId="0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center" wrapText="1"/>
    </xf>
    <xf numFmtId="0" fontId="21" fillId="0" borderId="11" xfId="0" applyFont="1" applyBorder="1" applyAlignment="1" applyProtection="1" quotePrefix="1">
      <alignment horizontal="left" wrapText="1" indent="1"/>
      <protection/>
    </xf>
    <xf numFmtId="0" fontId="17" fillId="0" borderId="0" xfId="0" applyFont="1" applyBorder="1" applyAlignment="1" applyProtection="1">
      <alignment horizontal="right" vertical="center" indent="1"/>
      <protection/>
    </xf>
    <xf numFmtId="0" fontId="17" fillId="0" borderId="0" xfId="0" applyFont="1" applyBorder="1" applyAlignment="1" applyProtection="1">
      <alignment horizontal="left" vertical="center" indent="1"/>
      <protection locked="0"/>
    </xf>
    <xf numFmtId="3" fontId="17" fillId="0" borderId="0" xfId="0" applyNumberFormat="1" applyFont="1" applyBorder="1" applyAlignment="1" applyProtection="1">
      <alignment horizontal="right" vertical="center" indent="1"/>
      <protection locked="0"/>
    </xf>
    <xf numFmtId="3" fontId="17" fillId="0" borderId="0" xfId="0" applyNumberFormat="1" applyFont="1" applyFill="1" applyBorder="1" applyAlignment="1" applyProtection="1">
      <alignment horizontal="right" vertical="center" indent="1"/>
      <protection locked="0"/>
    </xf>
    <xf numFmtId="3" fontId="17" fillId="0" borderId="31" xfId="0" applyNumberFormat="1" applyFont="1" applyBorder="1" applyAlignment="1" applyProtection="1">
      <alignment horizontal="right" vertical="center" indent="1"/>
      <protection locked="0"/>
    </xf>
    <xf numFmtId="0" fontId="17" fillId="0" borderId="30" xfId="0" applyFont="1" applyBorder="1" applyAlignment="1" applyProtection="1">
      <alignment horizontal="right" vertical="center" inden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2" xfId="0" applyFont="1" applyBorder="1" applyAlignment="1" applyProtection="1">
      <alignment horizontal="left" vertical="center" indent="1"/>
      <protection locked="0"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18" xfId="0" applyFont="1" applyBorder="1" applyAlignment="1" applyProtection="1">
      <alignment horizontal="right" vertical="center" indent="1"/>
      <protection/>
    </xf>
    <xf numFmtId="0" fontId="17" fillId="0" borderId="39" xfId="0" applyFont="1" applyBorder="1" applyAlignment="1" applyProtection="1">
      <alignment horizontal="left" vertical="center" indent="1"/>
      <protection locked="0"/>
    </xf>
    <xf numFmtId="0" fontId="17" fillId="0" borderId="31" xfId="0" applyFont="1" applyBorder="1" applyAlignment="1" applyProtection="1">
      <alignment horizontal="left" vertical="center" indent="1"/>
      <protection locked="0"/>
    </xf>
    <xf numFmtId="3" fontId="17" fillId="0" borderId="11" xfId="0" applyNumberFormat="1" applyFont="1" applyBorder="1" applyAlignment="1" applyProtection="1">
      <alignment horizontal="right" vertical="center" indent="1"/>
      <protection locked="0"/>
    </xf>
    <xf numFmtId="3" fontId="17" fillId="0" borderId="59" xfId="0" applyNumberFormat="1" applyFont="1" applyBorder="1" applyAlignment="1" applyProtection="1">
      <alignment horizontal="right" vertical="center" indent="1"/>
      <protection locked="0"/>
    </xf>
    <xf numFmtId="3" fontId="17" fillId="0" borderId="53" xfId="0" applyNumberFormat="1" applyFont="1" applyBorder="1" applyAlignment="1" applyProtection="1">
      <alignment horizontal="right" vertical="center" indent="1"/>
      <protection locked="0"/>
    </xf>
    <xf numFmtId="3" fontId="17" fillId="0" borderId="64" xfId="0" applyNumberFormat="1" applyFont="1" applyBorder="1" applyAlignment="1" applyProtection="1">
      <alignment horizontal="right" vertical="center" indent="1"/>
      <protection locked="0"/>
    </xf>
    <xf numFmtId="3" fontId="17" fillId="0" borderId="60" xfId="0" applyNumberFormat="1" applyFont="1" applyBorder="1" applyAlignment="1" applyProtection="1">
      <alignment horizontal="right" vertical="center" indent="1"/>
      <protection locked="0"/>
    </xf>
    <xf numFmtId="3" fontId="17" fillId="0" borderId="69" xfId="0" applyNumberFormat="1" applyFont="1" applyBorder="1" applyAlignment="1" applyProtection="1">
      <alignment horizontal="right" vertical="center" indent="1"/>
      <protection locked="0"/>
    </xf>
    <xf numFmtId="3" fontId="3" fillId="0" borderId="58" xfId="0" applyNumberFormat="1" applyFont="1" applyFill="1" applyBorder="1" applyAlignment="1" applyProtection="1">
      <alignment horizontal="right" vertical="center" indent="1"/>
      <protection/>
    </xf>
    <xf numFmtId="3" fontId="17" fillId="0" borderId="12" xfId="0" applyNumberFormat="1" applyFont="1" applyBorder="1" applyAlignment="1" applyProtection="1">
      <alignment horizontal="right" vertical="center" indent="1"/>
      <protection locked="0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horizontal="center" vertical="center" wrapText="1"/>
      <protection/>
    </xf>
    <xf numFmtId="3" fontId="17" fillId="0" borderId="13" xfId="0" applyNumberFormat="1" applyFont="1" applyBorder="1" applyAlignment="1" applyProtection="1">
      <alignment horizontal="right" vertical="center" indent="1"/>
      <protection locked="0"/>
    </xf>
    <xf numFmtId="0" fontId="3" fillId="0" borderId="33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17" fillId="0" borderId="22" xfId="0" applyFont="1" applyBorder="1" applyAlignment="1" applyProtection="1">
      <alignment horizontal="right" vertical="center" indent="1"/>
      <protection/>
    </xf>
    <xf numFmtId="0" fontId="17" fillId="0" borderId="23" xfId="0" applyFont="1" applyBorder="1" applyAlignment="1" applyProtection="1">
      <alignment horizontal="left" vertical="center" indent="1"/>
      <protection locked="0"/>
    </xf>
    <xf numFmtId="3" fontId="17" fillId="0" borderId="23" xfId="0" applyNumberFormat="1" applyFont="1" applyBorder="1" applyAlignment="1" applyProtection="1">
      <alignment horizontal="right" vertical="center" indent="1"/>
      <protection locked="0"/>
    </xf>
    <xf numFmtId="3" fontId="17" fillId="0" borderId="58" xfId="0" applyNumberFormat="1" applyFont="1" applyBorder="1" applyAlignment="1" applyProtection="1">
      <alignment horizontal="right" vertical="center" indent="1"/>
      <protection locked="0"/>
    </xf>
    <xf numFmtId="3" fontId="3" fillId="0" borderId="33" xfId="0" applyNumberFormat="1" applyFont="1" applyBorder="1" applyAlignment="1">
      <alignment horizontal="center" vertical="center"/>
    </xf>
    <xf numFmtId="0" fontId="17" fillId="0" borderId="31" xfId="61" applyFont="1" applyFill="1" applyBorder="1" applyAlignment="1" applyProtection="1">
      <alignment horizontal="left" vertical="center" wrapText="1" indent="6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7" fillId="0" borderId="31" xfId="0" applyNumberFormat="1" applyFont="1" applyFill="1" applyBorder="1" applyAlignment="1" applyProtection="1">
      <alignment horizontal="center" vertical="center" wrapText="1"/>
      <protection/>
    </xf>
    <xf numFmtId="164" fontId="7" fillId="0" borderId="32" xfId="0" applyNumberFormat="1" applyFont="1" applyFill="1" applyBorder="1" applyAlignment="1" applyProtection="1">
      <alignment horizontal="center" vertical="center" wrapText="1"/>
      <protection/>
    </xf>
    <xf numFmtId="164" fontId="14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164" fontId="14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12" xfId="0" applyNumberFormat="1" applyFont="1" applyFill="1" applyBorder="1" applyAlignment="1" applyProtection="1">
      <alignment vertical="center" wrapText="1"/>
      <protection locked="0"/>
    </xf>
    <xf numFmtId="164" fontId="7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22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23" xfId="0" applyNumberFormat="1" applyFont="1" applyFill="1" applyBorder="1" applyAlignment="1" applyProtection="1">
      <alignment vertical="center" wrapText="1"/>
      <protection locked="0"/>
    </xf>
    <xf numFmtId="164" fontId="14" fillId="0" borderId="13" xfId="0" applyNumberFormat="1" applyFont="1" applyFill="1" applyBorder="1" applyAlignment="1" applyProtection="1">
      <alignment vertical="center" wrapText="1"/>
      <protection locked="0"/>
    </xf>
    <xf numFmtId="49" fontId="14" fillId="0" borderId="13" xfId="0" applyNumberFormat="1" applyFont="1" applyFill="1" applyBorder="1" applyAlignment="1" applyProtection="1">
      <alignment vertical="center" wrapText="1"/>
      <protection locked="0"/>
    </xf>
    <xf numFmtId="164" fontId="14" fillId="0" borderId="39" xfId="0" applyNumberFormat="1" applyFont="1" applyFill="1" applyBorder="1" applyAlignment="1" applyProtection="1">
      <alignment vertical="center" wrapText="1"/>
      <protection locked="0"/>
    </xf>
    <xf numFmtId="49" fontId="14" fillId="0" borderId="39" xfId="0" applyNumberFormat="1" applyFont="1" applyFill="1" applyBorder="1" applyAlignment="1" applyProtection="1">
      <alignment vertical="center" wrapText="1"/>
      <protection locked="0"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23" xfId="0" applyNumberFormat="1" applyFont="1" applyFill="1" applyBorder="1" applyAlignment="1" applyProtection="1">
      <alignment vertical="center" wrapText="1"/>
      <protection locked="0"/>
    </xf>
    <xf numFmtId="49" fontId="14" fillId="0" borderId="12" xfId="0" applyNumberFormat="1" applyFont="1" applyFill="1" applyBorder="1" applyAlignment="1" applyProtection="1">
      <alignment vertical="center" wrapText="1"/>
      <protection locked="0"/>
    </xf>
    <xf numFmtId="49" fontId="14" fillId="0" borderId="15" xfId="0" applyNumberFormat="1" applyFont="1" applyFill="1" applyBorder="1" applyAlignment="1" applyProtection="1">
      <alignment vertical="center" wrapText="1"/>
      <protection locked="0"/>
    </xf>
    <xf numFmtId="164" fontId="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2" xfId="0" applyNumberFormat="1" applyFont="1" applyFill="1" applyBorder="1" applyAlignment="1" applyProtection="1">
      <alignment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70" xfId="0" applyNumberFormat="1" applyFont="1" applyFill="1" applyBorder="1" applyAlignment="1" applyProtection="1">
      <alignment vertical="center" wrapText="1"/>
      <protection locked="0"/>
    </xf>
    <xf numFmtId="164" fontId="2" fillId="0" borderId="38" xfId="0" applyNumberFormat="1" applyFont="1" applyFill="1" applyBorder="1" applyAlignment="1" applyProtection="1">
      <alignment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26" xfId="0" applyNumberFormat="1" applyFont="1" applyFill="1" applyBorder="1" applyAlignment="1" applyProtection="1">
      <alignment vertical="center" wrapText="1"/>
      <protection/>
    </xf>
    <xf numFmtId="164" fontId="2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0" xfId="0" applyNumberFormat="1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62" xfId="0" applyNumberFormat="1" applyFont="1" applyFill="1" applyBorder="1" applyAlignment="1" applyProtection="1">
      <alignment vertical="center" wrapText="1"/>
      <protection locked="0"/>
    </xf>
    <xf numFmtId="0" fontId="17" fillId="16" borderId="11" xfId="61" applyFont="1" applyFill="1" applyBorder="1" applyAlignment="1" applyProtection="1">
      <alignment horizontal="left" vertical="center" wrapText="1" indent="6"/>
      <protection/>
    </xf>
    <xf numFmtId="0" fontId="21" fillId="16" borderId="11" xfId="0" applyFont="1" applyFill="1" applyBorder="1" applyAlignment="1" applyProtection="1">
      <alignment horizontal="left" wrapText="1" indent="1"/>
      <protection/>
    </xf>
    <xf numFmtId="0" fontId="28" fillId="0" borderId="15" xfId="0" applyFont="1" applyBorder="1" applyAlignment="1" applyProtection="1">
      <alignment horizontal="left" wrapText="1" indent="1"/>
      <protection/>
    </xf>
    <xf numFmtId="164" fontId="17" fillId="0" borderId="43" xfId="62" applyNumberFormat="1" applyFont="1" applyFill="1" applyBorder="1" applyAlignment="1" applyProtection="1">
      <alignment vertical="center"/>
      <protection/>
    </xf>
    <xf numFmtId="3" fontId="0" fillId="0" borderId="0" xfId="0" applyNumberFormat="1" applyFill="1" applyAlignment="1">
      <alignment/>
    </xf>
    <xf numFmtId="0" fontId="46" fillId="0" borderId="71" xfId="0" applyFont="1" applyBorder="1" applyAlignment="1">
      <alignment/>
    </xf>
    <xf numFmtId="3" fontId="46" fillId="0" borderId="56" xfId="0" applyNumberFormat="1" applyFont="1" applyBorder="1" applyAlignment="1">
      <alignment/>
    </xf>
    <xf numFmtId="1" fontId="46" fillId="0" borderId="56" xfId="0" applyNumberFormat="1" applyFont="1" applyBorder="1" applyAlignment="1">
      <alignment/>
    </xf>
    <xf numFmtId="0" fontId="46" fillId="0" borderId="71" xfId="0" applyFont="1" applyBorder="1" applyAlignment="1">
      <alignment horizontal="left"/>
    </xf>
    <xf numFmtId="0" fontId="46" fillId="0" borderId="56" xfId="0" applyFont="1" applyFill="1" applyBorder="1" applyAlignment="1">
      <alignment/>
    </xf>
    <xf numFmtId="0" fontId="49" fillId="0" borderId="42" xfId="0" applyFont="1" applyBorder="1" applyAlignment="1">
      <alignment horizontal="right"/>
    </xf>
    <xf numFmtId="3" fontId="48" fillId="0" borderId="73" xfId="0" applyNumberFormat="1" applyFont="1" applyFill="1" applyBorder="1" applyAlignment="1">
      <alignment/>
    </xf>
    <xf numFmtId="164" fontId="50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0" xfId="0" applyFont="1" applyBorder="1" applyAlignment="1" applyProtection="1">
      <alignment wrapText="1"/>
      <protection/>
    </xf>
    <xf numFmtId="164" fontId="15" fillId="0" borderId="0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8" xfId="0" applyNumberFormat="1" applyFont="1" applyFill="1" applyBorder="1" applyAlignment="1" applyProtection="1">
      <alignment horizontal="right" vertical="center" wrapText="1" indent="1"/>
      <protection/>
    </xf>
    <xf numFmtId="3" fontId="30" fillId="0" borderId="77" xfId="59" applyNumberFormat="1" applyFont="1" applyFill="1" applyBorder="1" applyAlignment="1">
      <alignment horizontal="center" vertical="center"/>
      <protection/>
    </xf>
    <xf numFmtId="3" fontId="32" fillId="0" borderId="43" xfId="59" applyNumberFormat="1" applyFont="1" applyFill="1" applyBorder="1" applyAlignment="1">
      <alignment horizontal="center" wrapText="1"/>
      <protection/>
    </xf>
    <xf numFmtId="3" fontId="31" fillId="0" borderId="78" xfId="59" applyNumberFormat="1" applyFont="1" applyFill="1" applyBorder="1" applyAlignment="1">
      <alignment horizontal="center"/>
      <protection/>
    </xf>
    <xf numFmtId="3" fontId="31" fillId="0" borderId="79" xfId="59" applyNumberFormat="1" applyFont="1" applyFill="1" applyBorder="1">
      <alignment/>
      <protection/>
    </xf>
    <xf numFmtId="3" fontId="31" fillId="0" borderId="38" xfId="59" applyNumberFormat="1" applyFont="1" applyFill="1" applyBorder="1">
      <alignment/>
      <protection/>
    </xf>
    <xf numFmtId="3" fontId="31" fillId="0" borderId="80" xfId="59" applyNumberFormat="1" applyFont="1" applyFill="1" applyBorder="1" applyAlignment="1">
      <alignment horizontal="center"/>
      <protection/>
    </xf>
    <xf numFmtId="3" fontId="31" fillId="0" borderId="81" xfId="59" applyNumberFormat="1" applyFont="1" applyFill="1" applyBorder="1">
      <alignment/>
      <protection/>
    </xf>
    <xf numFmtId="3" fontId="31" fillId="0" borderId="25" xfId="59" applyNumberFormat="1" applyFont="1" applyFill="1" applyBorder="1">
      <alignment/>
      <protection/>
    </xf>
    <xf numFmtId="3" fontId="31" fillId="0" borderId="82" xfId="59" applyNumberFormat="1" applyFont="1" applyFill="1" applyBorder="1" applyAlignment="1">
      <alignment horizontal="center"/>
      <protection/>
    </xf>
    <xf numFmtId="3" fontId="31" fillId="0" borderId="83" xfId="59" applyNumberFormat="1" applyFont="1" applyFill="1" applyBorder="1">
      <alignment/>
      <protection/>
    </xf>
    <xf numFmtId="174" fontId="31" fillId="0" borderId="25" xfId="59" applyNumberFormat="1" applyFont="1" applyFill="1" applyBorder="1">
      <alignment/>
      <protection/>
    </xf>
    <xf numFmtId="3" fontId="31" fillId="0" borderId="84" xfId="59" applyNumberFormat="1" applyFont="1" applyFill="1" applyBorder="1" applyAlignment="1">
      <alignment horizontal="center"/>
      <protection/>
    </xf>
    <xf numFmtId="3" fontId="30" fillId="19" borderId="25" xfId="59" applyNumberFormat="1" applyFont="1" applyFill="1" applyBorder="1" applyAlignment="1">
      <alignment horizontal="right"/>
      <protection/>
    </xf>
    <xf numFmtId="3" fontId="31" fillId="0" borderId="85" xfId="59" applyNumberFormat="1" applyFont="1" applyFill="1" applyBorder="1" applyAlignment="1">
      <alignment horizontal="center"/>
      <protection/>
    </xf>
    <xf numFmtId="3" fontId="31" fillId="16" borderId="25" xfId="59" applyNumberFormat="1" applyFont="1" applyFill="1" applyBorder="1">
      <alignment/>
      <protection/>
    </xf>
    <xf numFmtId="3" fontId="31" fillId="0" borderId="86" xfId="59" applyNumberFormat="1" applyFont="1" applyFill="1" applyBorder="1">
      <alignment/>
      <protection/>
    </xf>
    <xf numFmtId="3" fontId="30" fillId="0" borderId="50" xfId="59" applyNumberFormat="1" applyFont="1" applyFill="1" applyBorder="1" applyAlignment="1">
      <alignment horizontal="center"/>
      <protection/>
    </xf>
    <xf numFmtId="3" fontId="30" fillId="19" borderId="29" xfId="59" applyNumberFormat="1" applyFont="1" applyFill="1" applyBorder="1" applyAlignment="1">
      <alignment horizontal="right"/>
      <protection/>
    </xf>
    <xf numFmtId="3" fontId="31" fillId="0" borderId="87" xfId="59" applyNumberFormat="1" applyFont="1" applyFill="1" applyBorder="1" applyAlignment="1">
      <alignment horizontal="center"/>
      <protection/>
    </xf>
    <xf numFmtId="3" fontId="31" fillId="0" borderId="88" xfId="59" applyNumberFormat="1" applyFont="1" applyFill="1" applyBorder="1" applyAlignment="1">
      <alignment horizontal="center"/>
      <protection/>
    </xf>
    <xf numFmtId="3" fontId="31" fillId="0" borderId="89" xfId="59" applyNumberFormat="1" applyFont="1" applyFill="1" applyBorder="1" applyAlignment="1">
      <alignment horizontal="center"/>
      <protection/>
    </xf>
    <xf numFmtId="3" fontId="31" fillId="0" borderId="27" xfId="59" applyNumberFormat="1" applyFont="1" applyFill="1" applyBorder="1">
      <alignment/>
      <protection/>
    </xf>
    <xf numFmtId="3" fontId="31" fillId="0" borderId="90" xfId="59" applyNumberFormat="1" applyFont="1" applyFill="1" applyBorder="1" applyAlignment="1">
      <alignment horizontal="center"/>
      <protection/>
    </xf>
    <xf numFmtId="3" fontId="30" fillId="0" borderId="71" xfId="59" applyNumberFormat="1" applyFont="1" applyFill="1" applyBorder="1" applyAlignment="1">
      <alignment/>
      <protection/>
    </xf>
    <xf numFmtId="3" fontId="31" fillId="0" borderId="57" xfId="59" applyNumberFormat="1" applyFont="1" applyFill="1" applyBorder="1" applyAlignment="1">
      <alignment horizontal="center"/>
      <protection/>
    </xf>
    <xf numFmtId="3" fontId="31" fillId="0" borderId="38" xfId="59" applyNumberFormat="1" applyFont="1" applyFill="1" applyBorder="1" applyAlignment="1">
      <alignment horizontal="right"/>
      <protection/>
    </xf>
    <xf numFmtId="3" fontId="31" fillId="0" borderId="26" xfId="59" applyNumberFormat="1" applyFont="1" applyFill="1" applyBorder="1" applyAlignment="1">
      <alignment horizontal="right"/>
      <protection/>
    </xf>
    <xf numFmtId="3" fontId="31" fillId="0" borderId="91" xfId="59" applyNumberFormat="1" applyFont="1" applyFill="1" applyBorder="1" applyAlignment="1">
      <alignment horizontal="center"/>
      <protection/>
    </xf>
    <xf numFmtId="3" fontId="30" fillId="0" borderId="50" xfId="59" applyNumberFormat="1" applyFont="1" applyFill="1" applyBorder="1" applyAlignment="1">
      <alignment horizontal="center" vertical="center"/>
      <protection/>
    </xf>
    <xf numFmtId="3" fontId="32" fillId="0" borderId="29" xfId="59" applyNumberFormat="1" applyFont="1" applyBorder="1" applyAlignment="1">
      <alignment horizontal="center" wrapText="1"/>
      <protection/>
    </xf>
    <xf numFmtId="3" fontId="29" fillId="0" borderId="92" xfId="59" applyNumberFormat="1" applyFont="1" applyFill="1" applyBorder="1" applyAlignment="1">
      <alignment horizontal="center"/>
      <protection/>
    </xf>
    <xf numFmtId="3" fontId="34" fillId="0" borderId="93" xfId="59" applyNumberFormat="1" applyFont="1" applyFill="1" applyBorder="1">
      <alignment/>
      <protection/>
    </xf>
    <xf numFmtId="3" fontId="31" fillId="0" borderId="38" xfId="59" applyNumberFormat="1" applyFont="1" applyBorder="1" applyAlignment="1">
      <alignment horizontal="right"/>
      <protection/>
    </xf>
    <xf numFmtId="3" fontId="29" fillId="0" borderId="80" xfId="59" applyNumberFormat="1" applyFont="1" applyFill="1" applyBorder="1" applyAlignment="1">
      <alignment horizontal="center"/>
      <protection/>
    </xf>
    <xf numFmtId="3" fontId="34" fillId="0" borderId="81" xfId="59" applyNumberFormat="1" applyFont="1" applyFill="1" applyBorder="1">
      <alignment/>
      <protection/>
    </xf>
    <xf numFmtId="3" fontId="34" fillId="0" borderId="34" xfId="59" applyNumberFormat="1" applyFont="1" applyFill="1" applyBorder="1">
      <alignment/>
      <protection/>
    </xf>
    <xf numFmtId="3" fontId="35" fillId="0" borderId="94" xfId="59" applyNumberFormat="1" applyFont="1" applyFill="1" applyBorder="1" applyAlignment="1">
      <alignment horizontal="center"/>
      <protection/>
    </xf>
    <xf numFmtId="3" fontId="36" fillId="0" borderId="95" xfId="59" applyNumberFormat="1" applyFont="1" applyFill="1" applyBorder="1" applyAlignment="1">
      <alignment/>
      <protection/>
    </xf>
    <xf numFmtId="3" fontId="36" fillId="19" borderId="96" xfId="59" applyNumberFormat="1" applyFont="1" applyFill="1" applyBorder="1">
      <alignment/>
      <protection/>
    </xf>
    <xf numFmtId="3" fontId="35" fillId="0" borderId="57" xfId="59" applyNumberFormat="1" applyFont="1" applyFill="1" applyBorder="1" applyAlignment="1">
      <alignment horizontal="center"/>
      <protection/>
    </xf>
    <xf numFmtId="3" fontId="34" fillId="0" borderId="79" xfId="59" applyNumberFormat="1" applyFont="1" applyFill="1" applyBorder="1">
      <alignment/>
      <protection/>
    </xf>
    <xf numFmtId="3" fontId="34" fillId="0" borderId="97" xfId="59" applyNumberFormat="1" applyFont="1" applyFill="1" applyBorder="1">
      <alignment/>
      <protection/>
    </xf>
    <xf numFmtId="3" fontId="34" fillId="0" borderId="34" xfId="59" applyNumberFormat="1" applyFont="1" applyFill="1" applyBorder="1">
      <alignment/>
      <protection/>
    </xf>
    <xf numFmtId="3" fontId="35" fillId="0" borderId="90" xfId="59" applyNumberFormat="1" applyFont="1" applyFill="1" applyBorder="1" applyAlignment="1">
      <alignment horizontal="center"/>
      <protection/>
    </xf>
    <xf numFmtId="3" fontId="36" fillId="0" borderId="98" xfId="59" applyNumberFormat="1" applyFont="1" applyFill="1" applyBorder="1" applyAlignment="1">
      <alignment/>
      <protection/>
    </xf>
    <xf numFmtId="3" fontId="36" fillId="19" borderId="34" xfId="59" applyNumberFormat="1" applyFont="1" applyFill="1" applyBorder="1">
      <alignment/>
      <protection/>
    </xf>
    <xf numFmtId="3" fontId="29" fillId="0" borderId="57" xfId="59" applyNumberFormat="1" applyFont="1" applyFill="1" applyBorder="1" applyAlignment="1">
      <alignment horizontal="center"/>
      <protection/>
    </xf>
    <xf numFmtId="3" fontId="34" fillId="0" borderId="36" xfId="59" applyNumberFormat="1" applyFont="1" applyFill="1" applyBorder="1">
      <alignment/>
      <protection/>
    </xf>
    <xf numFmtId="3" fontId="34" fillId="0" borderId="37" xfId="59" applyNumberFormat="1" applyFont="1" applyFill="1" applyBorder="1">
      <alignment/>
      <protection/>
    </xf>
    <xf numFmtId="3" fontId="29" fillId="0" borderId="99" xfId="59" applyNumberFormat="1" applyFont="1" applyFill="1" applyBorder="1" applyAlignment="1">
      <alignment horizontal="center"/>
      <protection/>
    </xf>
    <xf numFmtId="3" fontId="34" fillId="0" borderId="35" xfId="59" applyNumberFormat="1" applyFont="1" applyFill="1" applyBorder="1">
      <alignment/>
      <protection/>
    </xf>
    <xf numFmtId="3" fontId="36" fillId="0" borderId="71" xfId="59" applyNumberFormat="1" applyFont="1" applyFill="1" applyBorder="1" applyAlignment="1">
      <alignment/>
      <protection/>
    </xf>
    <xf numFmtId="3" fontId="29" fillId="0" borderId="78" xfId="59" applyNumberFormat="1" applyFont="1" applyFill="1" applyBorder="1" applyAlignment="1">
      <alignment horizontal="center"/>
      <protection/>
    </xf>
    <xf numFmtId="3" fontId="34" fillId="0" borderId="100" xfId="59" applyNumberFormat="1" applyFont="1" applyFill="1" applyBorder="1">
      <alignment/>
      <protection/>
    </xf>
    <xf numFmtId="3" fontId="29" fillId="0" borderId="82" xfId="59" applyNumberFormat="1" applyFont="1" applyFill="1" applyBorder="1" applyAlignment="1">
      <alignment horizontal="center"/>
      <protection/>
    </xf>
    <xf numFmtId="3" fontId="34" fillId="0" borderId="75" xfId="59" applyNumberFormat="1" applyFont="1" applyFill="1" applyBorder="1">
      <alignment/>
      <protection/>
    </xf>
    <xf numFmtId="3" fontId="35" fillId="0" borderId="101" xfId="59" applyNumberFormat="1" applyFont="1" applyFill="1" applyBorder="1" applyAlignment="1">
      <alignment horizontal="center"/>
      <protection/>
    </xf>
    <xf numFmtId="3" fontId="36" fillId="19" borderId="58" xfId="59" applyNumberFormat="1" applyFont="1" applyFill="1" applyBorder="1">
      <alignment/>
      <protection/>
    </xf>
    <xf numFmtId="3" fontId="31" fillId="0" borderId="102" xfId="59" applyNumberFormat="1" applyFont="1" applyFill="1" applyBorder="1" applyAlignment="1">
      <alignment horizontal="right"/>
      <protection/>
    </xf>
    <xf numFmtId="3" fontId="31" fillId="0" borderId="103" xfId="59" applyNumberFormat="1" applyFont="1" applyFill="1" applyBorder="1" applyAlignment="1">
      <alignment horizontal="right"/>
      <protection/>
    </xf>
    <xf numFmtId="3" fontId="31" fillId="0" borderId="104" xfId="59" applyNumberFormat="1" applyFont="1" applyFill="1" applyBorder="1" applyAlignment="1">
      <alignment horizontal="right"/>
      <protection/>
    </xf>
    <xf numFmtId="3" fontId="30" fillId="7" borderId="33" xfId="59" applyNumberFormat="1" applyFont="1" applyFill="1" applyBorder="1" applyAlignment="1">
      <alignment horizontal="right"/>
      <protection/>
    </xf>
    <xf numFmtId="164" fontId="17" fillId="0" borderId="25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27" xfId="61" applyNumberFormat="1" applyFont="1" applyFill="1" applyBorder="1" applyAlignment="1" applyProtection="1">
      <alignment horizontal="right" vertical="center" wrapText="1" indent="1"/>
      <protection/>
    </xf>
    <xf numFmtId="3" fontId="30" fillId="0" borderId="105" xfId="60" applyNumberFormat="1" applyFont="1" applyFill="1" applyBorder="1" applyAlignment="1">
      <alignment horizontal="center" vertical="center" wrapText="1"/>
      <protection/>
    </xf>
    <xf numFmtId="3" fontId="36" fillId="0" borderId="106" xfId="60" applyNumberFormat="1" applyFont="1" applyFill="1" applyBorder="1" applyAlignment="1">
      <alignment horizontal="center" vertical="center" wrapText="1"/>
      <protection/>
    </xf>
    <xf numFmtId="3" fontId="29" fillId="0" borderId="107" xfId="60" applyNumberFormat="1" applyFont="1" applyBorder="1" applyAlignment="1">
      <alignment horizontal="center" vertical="center" wrapText="1"/>
      <protection/>
    </xf>
    <xf numFmtId="3" fontId="36" fillId="0" borderId="74" xfId="60" applyNumberFormat="1" applyFont="1" applyFill="1" applyBorder="1" applyAlignment="1">
      <alignment horizontal="center" vertical="center" wrapText="1"/>
      <protection/>
    </xf>
    <xf numFmtId="3" fontId="29" fillId="0" borderId="78" xfId="60" applyNumberFormat="1" applyFont="1" applyFill="1" applyBorder="1" applyAlignment="1">
      <alignment horizontal="center"/>
      <protection/>
    </xf>
    <xf numFmtId="3" fontId="34" fillId="0" borderId="108" xfId="60" applyNumberFormat="1" applyFont="1" applyFill="1" applyBorder="1">
      <alignment/>
      <protection/>
    </xf>
    <xf numFmtId="3" fontId="34" fillId="0" borderId="109" xfId="60" applyNumberFormat="1" applyFont="1" applyFill="1" applyBorder="1">
      <alignment/>
      <protection/>
    </xf>
    <xf numFmtId="3" fontId="34" fillId="0" borderId="34" xfId="60" applyNumberFormat="1" applyFont="1" applyFill="1" applyBorder="1">
      <alignment/>
      <protection/>
    </xf>
    <xf numFmtId="3" fontId="29" fillId="0" borderId="80" xfId="60" applyNumberFormat="1" applyFont="1" applyFill="1" applyBorder="1" applyAlignment="1">
      <alignment horizontal="center"/>
      <protection/>
    </xf>
    <xf numFmtId="3" fontId="34" fillId="0" borderId="110" xfId="60" applyNumberFormat="1" applyFont="1" applyFill="1" applyBorder="1">
      <alignment/>
      <protection/>
    </xf>
    <xf numFmtId="3" fontId="34" fillId="0" borderId="111" xfId="60" applyNumberFormat="1" applyFont="1" applyFill="1" applyBorder="1">
      <alignment/>
      <protection/>
    </xf>
    <xf numFmtId="3" fontId="29" fillId="0" borderId="82" xfId="60" applyNumberFormat="1" applyFont="1" applyFill="1" applyBorder="1" applyAlignment="1">
      <alignment horizontal="center"/>
      <protection/>
    </xf>
    <xf numFmtId="3" fontId="34" fillId="0" borderId="112" xfId="60" applyNumberFormat="1" applyFont="1" applyFill="1" applyBorder="1">
      <alignment/>
      <protection/>
    </xf>
    <xf numFmtId="3" fontId="29" fillId="0" borderId="84" xfId="60" applyNumberFormat="1" applyFont="1" applyFill="1" applyBorder="1" applyAlignment="1">
      <alignment horizontal="center"/>
      <protection/>
    </xf>
    <xf numFmtId="3" fontId="36" fillId="19" borderId="96" xfId="60" applyNumberFormat="1" applyFont="1" applyFill="1" applyBorder="1">
      <alignment/>
      <protection/>
    </xf>
    <xf numFmtId="3" fontId="34" fillId="0" borderId="86" xfId="60" applyNumberFormat="1" applyFont="1" applyFill="1" applyBorder="1" applyAlignment="1">
      <alignment vertical="center" wrapText="1"/>
      <protection/>
    </xf>
    <xf numFmtId="3" fontId="29" fillId="0" borderId="94" xfId="60" applyNumberFormat="1" applyFont="1" applyFill="1" applyBorder="1" applyAlignment="1">
      <alignment horizontal="center"/>
      <protection/>
    </xf>
    <xf numFmtId="3" fontId="34" fillId="0" borderId="113" xfId="60" applyNumberFormat="1" applyFont="1" applyFill="1" applyBorder="1">
      <alignment/>
      <protection/>
    </xf>
    <xf numFmtId="3" fontId="34" fillId="0" borderId="114" xfId="60" applyNumberFormat="1" applyFont="1" applyFill="1" applyBorder="1">
      <alignment/>
      <protection/>
    </xf>
    <xf numFmtId="3" fontId="35" fillId="0" borderId="101" xfId="60" applyNumberFormat="1" applyFont="1" applyFill="1" applyBorder="1" applyAlignment="1" quotePrefix="1">
      <alignment horizontal="center"/>
      <protection/>
    </xf>
    <xf numFmtId="3" fontId="36" fillId="0" borderId="115" xfId="60" applyNumberFormat="1" applyFont="1" applyFill="1" applyBorder="1" applyAlignment="1">
      <alignment/>
      <protection/>
    </xf>
    <xf numFmtId="3" fontId="36" fillId="19" borderId="33" xfId="60" applyNumberFormat="1" applyFont="1" applyFill="1" applyBorder="1">
      <alignment/>
      <protection/>
    </xf>
    <xf numFmtId="3" fontId="29" fillId="0" borderId="92" xfId="60" applyNumberFormat="1" applyFont="1" applyFill="1" applyBorder="1" applyAlignment="1">
      <alignment horizontal="center"/>
      <protection/>
    </xf>
    <xf numFmtId="3" fontId="34" fillId="0" borderId="116" xfId="60" applyNumberFormat="1" applyFont="1" applyFill="1" applyBorder="1">
      <alignment/>
      <protection/>
    </xf>
    <xf numFmtId="3" fontId="34" fillId="0" borderId="117" xfId="60" applyNumberFormat="1" applyFont="1" applyFill="1" applyBorder="1">
      <alignment/>
      <protection/>
    </xf>
    <xf numFmtId="3" fontId="34" fillId="0" borderId="118" xfId="60" applyNumberFormat="1" applyFont="1" applyFill="1" applyBorder="1">
      <alignment/>
      <protection/>
    </xf>
    <xf numFmtId="3" fontId="34" fillId="0" borderId="119" xfId="60" applyNumberFormat="1" applyFont="1" applyFill="1" applyBorder="1">
      <alignment/>
      <protection/>
    </xf>
    <xf numFmtId="3" fontId="29" fillId="0" borderId="120" xfId="60" applyNumberFormat="1" applyFont="1" applyFill="1" applyBorder="1" applyAlignment="1">
      <alignment horizontal="center"/>
      <protection/>
    </xf>
    <xf numFmtId="3" fontId="34" fillId="0" borderId="121" xfId="60" applyNumberFormat="1" applyFont="1" applyFill="1" applyBorder="1">
      <alignment/>
      <protection/>
    </xf>
    <xf numFmtId="3" fontId="34" fillId="0" borderId="36" xfId="60" applyNumberFormat="1" applyFont="1" applyFill="1" applyBorder="1">
      <alignment/>
      <protection/>
    </xf>
    <xf numFmtId="0" fontId="29" fillId="0" borderId="122" xfId="60" applyFont="1" applyBorder="1" applyAlignment="1">
      <alignment vertical="center"/>
      <protection/>
    </xf>
    <xf numFmtId="3" fontId="29" fillId="0" borderId="123" xfId="60" applyNumberFormat="1" applyFont="1" applyFill="1" applyBorder="1" applyAlignment="1">
      <alignment horizontal="center"/>
      <protection/>
    </xf>
    <xf numFmtId="0" fontId="29" fillId="0" borderId="124" xfId="60" applyBorder="1" applyAlignment="1">
      <alignment vertical="center"/>
      <protection/>
    </xf>
    <xf numFmtId="3" fontId="34" fillId="0" borderId="37" xfId="60" applyNumberFormat="1" applyFont="1" applyFill="1" applyBorder="1">
      <alignment/>
      <protection/>
    </xf>
    <xf numFmtId="3" fontId="35" fillId="0" borderId="125" xfId="60" applyNumberFormat="1" applyFont="1" applyFill="1" applyBorder="1" applyAlignment="1" quotePrefix="1">
      <alignment horizontal="center"/>
      <protection/>
    </xf>
    <xf numFmtId="3" fontId="36" fillId="19" borderId="126" xfId="60" applyNumberFormat="1" applyFont="1" applyFill="1" applyBorder="1">
      <alignment/>
      <protection/>
    </xf>
    <xf numFmtId="3" fontId="29" fillId="0" borderId="127" xfId="60" applyNumberFormat="1" applyFont="1" applyFill="1" applyBorder="1" applyAlignment="1">
      <alignment horizontal="center"/>
      <protection/>
    </xf>
    <xf numFmtId="3" fontId="34" fillId="0" borderId="128" xfId="60" applyNumberFormat="1" applyFont="1" applyFill="1" applyBorder="1" applyAlignment="1">
      <alignment vertical="center"/>
      <protection/>
    </xf>
    <xf numFmtId="3" fontId="34" fillId="0" borderId="129" xfId="60" applyNumberFormat="1" applyFont="1" applyFill="1" applyBorder="1">
      <alignment/>
      <protection/>
    </xf>
    <xf numFmtId="3" fontId="36" fillId="19" borderId="53" xfId="60" applyNumberFormat="1" applyFont="1" applyFill="1" applyBorder="1">
      <alignment/>
      <protection/>
    </xf>
    <xf numFmtId="0" fontId="29" fillId="0" borderId="130" xfId="60" applyFont="1" applyBorder="1" applyAlignment="1">
      <alignment vertical="center"/>
      <protection/>
    </xf>
    <xf numFmtId="3" fontId="34" fillId="0" borderId="131" xfId="60" applyNumberFormat="1" applyFont="1" applyFill="1" applyBorder="1">
      <alignment/>
      <protection/>
    </xf>
    <xf numFmtId="3" fontId="34" fillId="0" borderId="132" xfId="60" applyNumberFormat="1" applyFont="1" applyFill="1" applyBorder="1">
      <alignment/>
      <protection/>
    </xf>
    <xf numFmtId="3" fontId="36" fillId="19" borderId="75" xfId="60" applyNumberFormat="1" applyFont="1" applyFill="1" applyBorder="1">
      <alignment/>
      <protection/>
    </xf>
    <xf numFmtId="3" fontId="36" fillId="19" borderId="58" xfId="60" applyNumberFormat="1" applyFont="1" applyFill="1" applyBorder="1">
      <alignment/>
      <protection/>
    </xf>
    <xf numFmtId="3" fontId="34" fillId="0" borderId="133" xfId="60" applyNumberFormat="1" applyFont="1" applyFill="1" applyBorder="1">
      <alignment/>
      <protection/>
    </xf>
    <xf numFmtId="3" fontId="29" fillId="20" borderId="134" xfId="60" applyNumberFormat="1" applyFont="1" applyFill="1" applyBorder="1">
      <alignment/>
      <protection/>
    </xf>
    <xf numFmtId="3" fontId="31" fillId="20" borderId="34" xfId="60" applyNumberFormat="1" applyFont="1" applyFill="1" applyBorder="1">
      <alignment/>
      <protection/>
    </xf>
    <xf numFmtId="3" fontId="35" fillId="0" borderId="94" xfId="60" applyNumberFormat="1" applyFont="1" applyFill="1" applyBorder="1" applyAlignment="1">
      <alignment horizontal="center"/>
      <protection/>
    </xf>
    <xf numFmtId="3" fontId="36" fillId="0" borderId="95" xfId="60" applyNumberFormat="1" applyFont="1" applyFill="1" applyBorder="1" applyAlignment="1">
      <alignment/>
      <protection/>
    </xf>
    <xf numFmtId="3" fontId="36" fillId="0" borderId="135" xfId="60" applyNumberFormat="1" applyFont="1" applyFill="1" applyBorder="1" applyAlignment="1">
      <alignment/>
      <protection/>
    </xf>
    <xf numFmtId="3" fontId="36" fillId="19" borderId="135" xfId="60" applyNumberFormat="1" applyFont="1" applyFill="1" applyBorder="1">
      <alignment/>
      <protection/>
    </xf>
    <xf numFmtId="3" fontId="35" fillId="0" borderId="50" xfId="60" applyNumberFormat="1" applyFont="1" applyFill="1" applyBorder="1" applyAlignment="1" quotePrefix="1">
      <alignment horizontal="center"/>
      <protection/>
    </xf>
    <xf numFmtId="3" fontId="36" fillId="0" borderId="55" xfId="60" applyNumberFormat="1" applyFont="1" applyFill="1" applyBorder="1" applyAlignment="1">
      <alignment/>
      <protection/>
    </xf>
    <xf numFmtId="0" fontId="29" fillId="0" borderId="58" xfId="60" applyFont="1" applyBorder="1" applyAlignment="1">
      <alignment/>
      <protection/>
    </xf>
    <xf numFmtId="3" fontId="36" fillId="19" borderId="97" xfId="60" applyNumberFormat="1" applyFont="1" applyFill="1" applyBorder="1">
      <alignment/>
      <protection/>
    </xf>
    <xf numFmtId="3" fontId="31" fillId="0" borderId="38" xfId="60" applyNumberFormat="1" applyFont="1" applyFill="1" applyBorder="1" applyAlignment="1">
      <alignment horizontal="right"/>
      <protection/>
    </xf>
    <xf numFmtId="3" fontId="31" fillId="0" borderId="25" xfId="60" applyNumberFormat="1" applyFont="1" applyFill="1" applyBorder="1" applyAlignment="1">
      <alignment horizontal="right"/>
      <protection/>
    </xf>
    <xf numFmtId="3" fontId="35" fillId="0" borderId="84" xfId="60" applyNumberFormat="1" applyFont="1" applyFill="1" applyBorder="1" applyAlignment="1">
      <alignment horizontal="center"/>
      <protection/>
    </xf>
    <xf numFmtId="3" fontId="36" fillId="0" borderId="136" xfId="60" applyNumberFormat="1" applyFont="1" applyFill="1" applyBorder="1" applyAlignment="1">
      <alignment/>
      <protection/>
    </xf>
    <xf numFmtId="3" fontId="36" fillId="0" borderId="104" xfId="60" applyNumberFormat="1" applyFont="1" applyFill="1" applyBorder="1" applyAlignment="1">
      <alignment/>
      <protection/>
    </xf>
    <xf numFmtId="3" fontId="36" fillId="19" borderId="137" xfId="60" applyNumberFormat="1" applyFont="1" applyFill="1" applyBorder="1">
      <alignment/>
      <protection/>
    </xf>
    <xf numFmtId="3" fontId="29" fillId="0" borderId="138" xfId="60" applyNumberFormat="1" applyFont="1" applyFill="1" applyBorder="1" applyAlignment="1">
      <alignment horizontal="center"/>
      <protection/>
    </xf>
    <xf numFmtId="3" fontId="34" fillId="0" borderId="139" xfId="60" applyNumberFormat="1" applyFont="1" applyFill="1" applyBorder="1">
      <alignment/>
      <protection/>
    </xf>
    <xf numFmtId="3" fontId="29" fillId="0" borderId="140" xfId="60" applyNumberFormat="1" applyFont="1" applyFill="1" applyBorder="1" applyAlignment="1">
      <alignment horizontal="center"/>
      <protection/>
    </xf>
    <xf numFmtId="3" fontId="34" fillId="0" borderId="141" xfId="60" applyNumberFormat="1" applyFont="1" applyFill="1" applyBorder="1">
      <alignment/>
      <protection/>
    </xf>
    <xf numFmtId="3" fontId="36" fillId="0" borderId="142" xfId="60" applyNumberFormat="1" applyFont="1" applyFill="1" applyBorder="1" applyAlignment="1">
      <alignment vertical="center"/>
      <protection/>
    </xf>
    <xf numFmtId="3" fontId="34" fillId="0" borderId="143" xfId="60" applyNumberFormat="1" applyFont="1" applyFill="1" applyBorder="1">
      <alignment/>
      <protection/>
    </xf>
    <xf numFmtId="3" fontId="36" fillId="7" borderId="64" xfId="60" applyNumberFormat="1" applyFont="1" applyFill="1" applyBorder="1">
      <alignment/>
      <protection/>
    </xf>
    <xf numFmtId="3" fontId="29" fillId="0" borderId="90" xfId="60" applyNumberFormat="1" applyFont="1" applyFill="1" applyBorder="1" applyAlignment="1">
      <alignment horizontal="center"/>
      <protection/>
    </xf>
    <xf numFmtId="3" fontId="34" fillId="0" borderId="71" xfId="60" applyNumberFormat="1" applyFont="1" applyFill="1" applyBorder="1" applyAlignment="1">
      <alignment vertical="center" wrapText="1"/>
      <protection/>
    </xf>
    <xf numFmtId="3" fontId="34" fillId="0" borderId="144" xfId="60" applyNumberFormat="1" applyFont="1" applyFill="1" applyBorder="1">
      <alignment/>
      <protection/>
    </xf>
    <xf numFmtId="3" fontId="34" fillId="16" borderId="53" xfId="60" applyNumberFormat="1" applyFont="1" applyFill="1" applyBorder="1">
      <alignment/>
      <protection/>
    </xf>
    <xf numFmtId="3" fontId="29" fillId="0" borderId="145" xfId="60" applyNumberFormat="1" applyFont="1" applyFill="1" applyBorder="1" applyAlignment="1">
      <alignment horizontal="center"/>
      <protection/>
    </xf>
    <xf numFmtId="3" fontId="36" fillId="0" borderId="42" xfId="60" applyNumberFormat="1" applyFont="1" applyFill="1" applyBorder="1" applyAlignment="1">
      <alignment vertical="center" wrapText="1"/>
      <protection/>
    </xf>
    <xf numFmtId="0" fontId="35" fillId="0" borderId="60" xfId="60" applyFont="1" applyBorder="1" applyAlignment="1">
      <alignment/>
      <protection/>
    </xf>
    <xf numFmtId="3" fontId="36" fillId="7" borderId="60" xfId="60" applyNumberFormat="1" applyFont="1" applyFill="1" applyBorder="1">
      <alignment/>
      <protection/>
    </xf>
    <xf numFmtId="3" fontId="36" fillId="0" borderId="51" xfId="60" applyNumberFormat="1" applyFont="1" applyFill="1" applyBorder="1" applyAlignment="1">
      <alignment/>
      <protection/>
    </xf>
    <xf numFmtId="0" fontId="29" fillId="20" borderId="29" xfId="60" applyFont="1" applyFill="1" applyBorder="1" applyAlignment="1">
      <alignment/>
      <protection/>
    </xf>
    <xf numFmtId="3" fontId="36" fillId="21" borderId="58" xfId="60" applyNumberFormat="1" applyFont="1" applyFill="1" applyBorder="1">
      <alignment/>
      <protection/>
    </xf>
    <xf numFmtId="3" fontId="36" fillId="0" borderId="29" xfId="60" applyNumberFormat="1" applyFont="1" applyFill="1" applyBorder="1" applyAlignment="1">
      <alignment/>
      <protection/>
    </xf>
    <xf numFmtId="3" fontId="34" fillId="19" borderId="59" xfId="60" applyNumberFormat="1" applyFont="1" applyFill="1" applyBorder="1">
      <alignment/>
      <protection/>
    </xf>
    <xf numFmtId="3" fontId="34" fillId="19" borderId="53" xfId="60" applyNumberFormat="1" applyFont="1" applyFill="1" applyBorder="1">
      <alignment/>
      <protection/>
    </xf>
    <xf numFmtId="3" fontId="34" fillId="19" borderId="64" xfId="60" applyNumberFormat="1" applyFont="1" applyFill="1" applyBorder="1">
      <alignment/>
      <protection/>
    </xf>
    <xf numFmtId="3" fontId="34" fillId="14" borderId="131" xfId="60" applyNumberFormat="1" applyFont="1" applyFill="1" applyBorder="1">
      <alignment/>
      <protection/>
    </xf>
    <xf numFmtId="3" fontId="34" fillId="22" borderId="53" xfId="60" applyNumberFormat="1" applyFont="1" applyFill="1" applyBorder="1">
      <alignment/>
      <protection/>
    </xf>
    <xf numFmtId="3" fontId="29" fillId="0" borderId="146" xfId="60" applyNumberFormat="1" applyFont="1" applyFill="1" applyBorder="1" applyAlignment="1">
      <alignment horizontal="center"/>
      <protection/>
    </xf>
    <xf numFmtId="3" fontId="34" fillId="0" borderId="147" xfId="60" applyNumberFormat="1" applyFont="1" applyFill="1" applyBorder="1">
      <alignment/>
      <protection/>
    </xf>
    <xf numFmtId="3" fontId="34" fillId="19" borderId="148" xfId="60" applyNumberFormat="1" applyFont="1" applyFill="1" applyBorder="1">
      <alignment/>
      <protection/>
    </xf>
    <xf numFmtId="3" fontId="29" fillId="0" borderId="101" xfId="60" applyNumberFormat="1" applyFont="1" applyFill="1" applyBorder="1" applyAlignment="1">
      <alignment horizontal="center"/>
      <protection/>
    </xf>
    <xf numFmtId="3" fontId="36" fillId="0" borderId="149" xfId="60" applyNumberFormat="1" applyFont="1" applyFill="1" applyBorder="1">
      <alignment/>
      <protection/>
    </xf>
    <xf numFmtId="3" fontId="36" fillId="0" borderId="150" xfId="60" applyNumberFormat="1" applyFont="1" applyFill="1" applyBorder="1">
      <alignment/>
      <protection/>
    </xf>
    <xf numFmtId="164" fontId="14" fillId="0" borderId="10" xfId="0" applyNumberFormat="1" applyFont="1" applyFill="1" applyBorder="1" applyAlignment="1" applyProtection="1">
      <alignment vertical="center" wrapText="1"/>
      <protection locked="0"/>
    </xf>
    <xf numFmtId="0" fontId="21" fillId="0" borderId="11" xfId="0" applyFont="1" applyFill="1" applyBorder="1" applyAlignment="1" applyProtection="1">
      <alignment horizontal="left" wrapText="1" indent="1"/>
      <protection/>
    </xf>
    <xf numFmtId="164" fontId="17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30" xfId="61" applyFont="1" applyFill="1" applyBorder="1" applyAlignment="1" applyProtection="1">
      <alignment horizontal="left" vertical="center" wrapText="1" indent="1"/>
      <protection/>
    </xf>
    <xf numFmtId="0" fontId="13" fillId="0" borderId="30" xfId="0" applyFont="1" applyBorder="1" applyAlignment="1" applyProtection="1">
      <alignment horizontal="center" vertical="center" wrapText="1"/>
      <protection/>
    </xf>
    <xf numFmtId="0" fontId="6" fillId="0" borderId="31" xfId="61" applyFont="1" applyFill="1" applyBorder="1" applyAlignment="1" applyProtection="1">
      <alignment horizontal="left" vertical="center" wrapText="1" indent="1"/>
      <protection/>
    </xf>
    <xf numFmtId="164" fontId="0" fillId="0" borderId="55" xfId="0" applyNumberFormat="1" applyFont="1" applyFill="1" applyBorder="1" applyAlignment="1" applyProtection="1">
      <alignment horizontal="left" vertical="center" wrapText="1" indent="2"/>
      <protection/>
    </xf>
    <xf numFmtId="0" fontId="30" fillId="0" borderId="151" xfId="0" applyFont="1" applyBorder="1" applyAlignment="1">
      <alignment/>
    </xf>
    <xf numFmtId="0" fontId="0" fillId="0" borderId="61" xfId="0" applyBorder="1" applyAlignment="1">
      <alignment/>
    </xf>
    <xf numFmtId="3" fontId="0" fillId="0" borderId="61" xfId="0" applyNumberFormat="1" applyBorder="1" applyAlignment="1">
      <alignment horizontal="right"/>
    </xf>
    <xf numFmtId="172" fontId="30" fillId="0" borderId="65" xfId="0" applyNumberFormat="1" applyFont="1" applyBorder="1" applyAlignment="1">
      <alignment/>
    </xf>
    <xf numFmtId="3" fontId="0" fillId="0" borderId="66" xfId="0" applyNumberFormat="1" applyBorder="1" applyAlignment="1">
      <alignment horizontal="right"/>
    </xf>
    <xf numFmtId="0" fontId="0" fillId="0" borderId="57" xfId="0" applyBorder="1" applyAlignment="1">
      <alignment/>
    </xf>
    <xf numFmtId="3" fontId="30" fillId="0" borderId="76" xfId="0" applyNumberFormat="1" applyFont="1" applyBorder="1" applyAlignment="1">
      <alignment horizontal="center"/>
    </xf>
    <xf numFmtId="0" fontId="0" fillId="0" borderId="99" xfId="0" applyBorder="1" applyAlignment="1">
      <alignment/>
    </xf>
    <xf numFmtId="3" fontId="30" fillId="0" borderId="64" xfId="0" applyNumberFormat="1" applyFont="1" applyBorder="1" applyAlignment="1">
      <alignment/>
    </xf>
    <xf numFmtId="0" fontId="45" fillId="0" borderId="57" xfId="0" applyFont="1" applyBorder="1" applyAlignment="1">
      <alignment/>
    </xf>
    <xf numFmtId="3" fontId="45" fillId="0" borderId="76" xfId="0" applyNumberFormat="1" applyFont="1" applyBorder="1" applyAlignment="1">
      <alignment/>
    </xf>
    <xf numFmtId="0" fontId="46" fillId="0" borderId="76" xfId="0" applyNumberFormat="1" applyFont="1" applyBorder="1" applyAlignment="1" quotePrefix="1">
      <alignment/>
    </xf>
    <xf numFmtId="3" fontId="45" fillId="2" borderId="76" xfId="0" applyNumberFormat="1" applyFont="1" applyFill="1" applyBorder="1" applyAlignment="1">
      <alignment/>
    </xf>
    <xf numFmtId="0" fontId="45" fillId="0" borderId="57" xfId="0" applyFont="1" applyFill="1" applyBorder="1" applyAlignment="1">
      <alignment/>
    </xf>
    <xf numFmtId="0" fontId="46" fillId="2" borderId="76" xfId="0" applyNumberFormat="1" applyFont="1" applyFill="1" applyBorder="1" applyAlignment="1" quotePrefix="1">
      <alignment horizontal="right"/>
    </xf>
    <xf numFmtId="1" fontId="45" fillId="0" borderId="76" xfId="0" applyNumberFormat="1" applyFont="1" applyBorder="1" applyAlignment="1">
      <alignment/>
    </xf>
    <xf numFmtId="3" fontId="45" fillId="16" borderId="76" xfId="0" applyNumberFormat="1" applyFont="1" applyFill="1" applyBorder="1" applyAlignment="1">
      <alignment wrapText="1"/>
    </xf>
    <xf numFmtId="0" fontId="22" fillId="0" borderId="17" xfId="0" applyNumberFormat="1" applyFont="1" applyBorder="1" applyAlignment="1" applyProtection="1">
      <alignment horizontal="left" indent="1"/>
      <protection/>
    </xf>
    <xf numFmtId="3" fontId="46" fillId="16" borderId="53" xfId="0" applyNumberFormat="1" applyFont="1" applyFill="1" applyBorder="1" applyAlignment="1">
      <alignment wrapText="1"/>
    </xf>
    <xf numFmtId="0" fontId="45" fillId="0" borderId="57" xfId="0" applyFont="1" applyBorder="1" applyAlignment="1">
      <alignment/>
    </xf>
    <xf numFmtId="0" fontId="22" fillId="0" borderId="90" xfId="0" applyNumberFormat="1" applyFont="1" applyBorder="1" applyAlignment="1" applyProtection="1">
      <alignment horizontal="left" indent="1"/>
      <protection/>
    </xf>
    <xf numFmtId="0" fontId="45" fillId="0" borderId="76" xfId="0" applyFont="1" applyBorder="1" applyAlignment="1">
      <alignment horizontal="right" vertical="center" wrapText="1"/>
    </xf>
    <xf numFmtId="3" fontId="45" fillId="0" borderId="76" xfId="0" applyNumberFormat="1" applyFont="1" applyBorder="1" applyAlignment="1">
      <alignment horizontal="right" vertical="center" wrapText="1"/>
    </xf>
    <xf numFmtId="0" fontId="45" fillId="0" borderId="57" xfId="0" applyFont="1" applyFill="1" applyBorder="1" applyAlignment="1">
      <alignment/>
    </xf>
    <xf numFmtId="0" fontId="45" fillId="16" borderId="76" xfId="0" applyFont="1" applyFill="1" applyBorder="1" applyAlignment="1">
      <alignment horizontal="right" vertical="center" wrapText="1"/>
    </xf>
    <xf numFmtId="3" fontId="46" fillId="16" borderId="53" xfId="0" applyNumberFormat="1" applyFont="1" applyFill="1" applyBorder="1" applyAlignment="1">
      <alignment horizontal="right" vertical="center" wrapText="1"/>
    </xf>
    <xf numFmtId="3" fontId="45" fillId="16" borderId="76" xfId="0" applyNumberFormat="1" applyFont="1" applyFill="1" applyBorder="1" applyAlignment="1">
      <alignment/>
    </xf>
    <xf numFmtId="0" fontId="46" fillId="0" borderId="90" xfId="0" applyFont="1" applyBorder="1" applyAlignment="1">
      <alignment horizontal="left"/>
    </xf>
    <xf numFmtId="3" fontId="46" fillId="16" borderId="53" xfId="0" applyNumberFormat="1" applyFont="1" applyFill="1" applyBorder="1" applyAlignment="1">
      <alignment/>
    </xf>
    <xf numFmtId="3" fontId="48" fillId="0" borderId="60" xfId="0" applyNumberFormat="1" applyFont="1" applyFill="1" applyBorder="1" applyAlignment="1">
      <alignment/>
    </xf>
    <xf numFmtId="3" fontId="45" fillId="0" borderId="15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3" fontId="45" fillId="0" borderId="10" xfId="0" applyNumberFormat="1" applyFont="1" applyBorder="1" applyAlignment="1">
      <alignment/>
    </xf>
    <xf numFmtId="173" fontId="45" fillId="0" borderId="10" xfId="0" applyNumberFormat="1" applyFont="1" applyBorder="1" applyAlignment="1">
      <alignment/>
    </xf>
    <xf numFmtId="2" fontId="45" fillId="0" borderId="10" xfId="0" applyNumberFormat="1" applyFont="1" applyBorder="1" applyAlignment="1">
      <alignment/>
    </xf>
    <xf numFmtId="2" fontId="46" fillId="0" borderId="11" xfId="0" applyNumberFormat="1" applyFont="1" applyBorder="1" applyAlignment="1">
      <alignment/>
    </xf>
    <xf numFmtId="3" fontId="45" fillId="0" borderId="10" xfId="0" applyNumberFormat="1" applyFont="1" applyFill="1" applyBorder="1" applyAlignment="1">
      <alignment/>
    </xf>
    <xf numFmtId="3" fontId="45" fillId="0" borderId="10" xfId="0" applyNumberFormat="1" applyFont="1" applyBorder="1" applyAlignment="1">
      <alignment horizontal="right" vertical="center" wrapText="1"/>
    </xf>
    <xf numFmtId="3" fontId="46" fillId="0" borderId="11" xfId="0" applyNumberFormat="1" applyFont="1" applyBorder="1" applyAlignment="1">
      <alignment/>
    </xf>
    <xf numFmtId="3" fontId="46" fillId="0" borderId="11" xfId="0" applyNumberFormat="1" applyFont="1" applyFill="1" applyBorder="1" applyAlignment="1">
      <alignment/>
    </xf>
    <xf numFmtId="3" fontId="48" fillId="0" borderId="31" xfId="0" applyNumberFormat="1" applyFont="1" applyFill="1" applyBorder="1" applyAlignment="1">
      <alignment/>
    </xf>
    <xf numFmtId="3" fontId="30" fillId="0" borderId="28" xfId="0" applyNumberFormat="1" applyFont="1" applyBorder="1" applyAlignment="1">
      <alignment/>
    </xf>
    <xf numFmtId="3" fontId="30" fillId="0" borderId="10" xfId="0" applyNumberFormat="1" applyFont="1" applyBorder="1" applyAlignment="1">
      <alignment horizontal="center"/>
    </xf>
    <xf numFmtId="3" fontId="30" fillId="0" borderId="12" xfId="0" applyNumberFormat="1" applyFont="1" applyBorder="1" applyAlignment="1">
      <alignment/>
    </xf>
    <xf numFmtId="172" fontId="30" fillId="0" borderId="57" xfId="0" applyNumberFormat="1" applyFont="1" applyBorder="1" applyAlignment="1">
      <alignment horizontal="center"/>
    </xf>
    <xf numFmtId="172" fontId="30" fillId="0" borderId="99" xfId="0" applyNumberFormat="1" applyFont="1" applyBorder="1" applyAlignment="1">
      <alignment/>
    </xf>
    <xf numFmtId="4" fontId="45" fillId="0" borderId="57" xfId="0" applyNumberFormat="1" applyFont="1" applyBorder="1" applyAlignment="1">
      <alignment/>
    </xf>
    <xf numFmtId="3" fontId="45" fillId="0" borderId="57" xfId="0" applyNumberFormat="1" applyFont="1" applyBorder="1" applyAlignment="1">
      <alignment/>
    </xf>
    <xf numFmtId="3" fontId="46" fillId="0" borderId="90" xfId="0" applyNumberFormat="1" applyFont="1" applyBorder="1" applyAlignment="1">
      <alignment/>
    </xf>
    <xf numFmtId="172" fontId="45" fillId="0" borderId="57" xfId="0" applyNumberFormat="1" applyFont="1" applyBorder="1" applyAlignment="1">
      <alignment/>
    </xf>
    <xf numFmtId="0" fontId="45" fillId="0" borderId="57" xfId="0" applyFont="1" applyBorder="1" applyAlignment="1">
      <alignment horizontal="right" vertical="center" wrapText="1"/>
    </xf>
    <xf numFmtId="4" fontId="45" fillId="0" borderId="57" xfId="0" applyNumberFormat="1" applyFont="1" applyBorder="1" applyAlignment="1">
      <alignment horizontal="right" vertical="center"/>
    </xf>
    <xf numFmtId="1" fontId="45" fillId="0" borderId="57" xfId="0" applyNumberFormat="1" applyFont="1" applyBorder="1" applyAlignment="1">
      <alignment/>
    </xf>
    <xf numFmtId="1" fontId="46" fillId="0" borderId="90" xfId="0" applyNumberFormat="1" applyFont="1" applyBorder="1" applyAlignment="1">
      <alignment/>
    </xf>
    <xf numFmtId="0" fontId="46" fillId="0" borderId="90" xfId="0" applyFont="1" applyFill="1" applyBorder="1" applyAlignment="1">
      <alignment/>
    </xf>
    <xf numFmtId="3" fontId="48" fillId="0" borderId="145" xfId="0" applyNumberFormat="1" applyFont="1" applyFill="1" applyBorder="1" applyAlignment="1">
      <alignment/>
    </xf>
    <xf numFmtId="3" fontId="46" fillId="16" borderId="0" xfId="0" applyNumberFormat="1" applyFont="1" applyFill="1" applyBorder="1" applyAlignment="1">
      <alignment wrapText="1"/>
    </xf>
    <xf numFmtId="3" fontId="46" fillId="16" borderId="0" xfId="0" applyNumberFormat="1" applyFont="1" applyFill="1" applyBorder="1" applyAlignment="1">
      <alignment/>
    </xf>
    <xf numFmtId="3" fontId="3" fillId="0" borderId="49" xfId="0" applyNumberFormat="1" applyFont="1" applyFill="1" applyBorder="1" applyAlignment="1" applyProtection="1">
      <alignment horizontal="right" vertical="center" indent="1"/>
      <protection/>
    </xf>
    <xf numFmtId="0" fontId="17" fillId="0" borderId="15" xfId="0" applyFont="1" applyBorder="1" applyAlignment="1" applyProtection="1">
      <alignment horizontal="left" vertical="center" indent="1"/>
      <protection locked="0"/>
    </xf>
    <xf numFmtId="164" fontId="0" fillId="0" borderId="23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24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28" xfId="0" applyNumberFormat="1" applyFont="1" applyFill="1" applyBorder="1" applyAlignment="1" applyProtection="1">
      <alignment vertical="center" wrapText="1"/>
      <protection locked="0"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7" fillId="0" borderId="10" xfId="0" applyNumberFormat="1" applyFont="1" applyFill="1" applyBorder="1" applyAlignment="1" applyProtection="1">
      <alignment horizontal="center" vertical="center" wrapText="1"/>
      <protection/>
    </xf>
    <xf numFmtId="164" fontId="17" fillId="0" borderId="62" xfId="0" applyNumberFormat="1" applyFont="1" applyFill="1" applyBorder="1" applyAlignment="1" applyProtection="1">
      <alignment horizontal="center" vertical="center" wrapText="1"/>
      <protection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7" fillId="16" borderId="11" xfId="61" applyFont="1" applyFill="1" applyBorder="1" applyAlignment="1" applyProtection="1">
      <alignment horizontal="left" vertical="center" indent="6"/>
      <protection/>
    </xf>
    <xf numFmtId="164" fontId="15" fillId="0" borderId="43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33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34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25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48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40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20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3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7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1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21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39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63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90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45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59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53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69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56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1" xfId="61" applyNumberFormat="1" applyFont="1" applyFill="1" applyBorder="1" applyAlignment="1" applyProtection="1">
      <alignment horizontal="right" vertical="center" wrapText="1" indent="1"/>
      <protection/>
    </xf>
    <xf numFmtId="0" fontId="2" fillId="0" borderId="61" xfId="61" applyFill="1" applyBorder="1" applyProtection="1">
      <alignment/>
      <protection/>
    </xf>
    <xf numFmtId="164" fontId="15" fillId="0" borderId="0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43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0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8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8" xfId="61" applyNumberFormat="1" applyFont="1" applyFill="1" applyBorder="1" applyAlignment="1" applyProtection="1">
      <alignment horizontal="right" vertical="center" wrapText="1" indent="1"/>
      <protection/>
    </xf>
    <xf numFmtId="49" fontId="17" fillId="0" borderId="30" xfId="61" applyNumberFormat="1" applyFont="1" applyFill="1" applyBorder="1" applyAlignment="1" applyProtection="1">
      <alignment horizontal="left" vertical="center" wrapText="1" indent="1"/>
      <protection/>
    </xf>
    <xf numFmtId="0" fontId="17" fillId="0" borderId="31" xfId="61" applyFont="1" applyFill="1" applyBorder="1" applyAlignment="1" applyProtection="1">
      <alignment horizontal="left" vertical="center" wrapText="1" indent="1"/>
      <protection/>
    </xf>
    <xf numFmtId="164" fontId="17" fillId="0" borderId="69" xfId="61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39" xfId="0" applyFont="1" applyBorder="1" applyAlignment="1" applyProtection="1">
      <alignment horizontal="left" wrapText="1" indent="1"/>
      <protection/>
    </xf>
    <xf numFmtId="164" fontId="17" fillId="0" borderId="40" xfId="61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40" xfId="0" applyNumberFormat="1" applyFont="1" applyFill="1" applyBorder="1" applyAlignment="1" applyProtection="1" quotePrefix="1">
      <alignment horizontal="right" vertical="center" wrapText="1" indent="1"/>
      <protection locked="0"/>
    </xf>
    <xf numFmtId="0" fontId="21" fillId="0" borderId="31" xfId="0" applyFont="1" applyBorder="1" applyAlignment="1" applyProtection="1">
      <alignment horizontal="left" wrapText="1" indent="1"/>
      <protection/>
    </xf>
    <xf numFmtId="164" fontId="17" fillId="0" borderId="32" xfId="61" applyNumberFormat="1" applyFont="1" applyFill="1" applyBorder="1" applyAlignment="1" applyProtection="1">
      <alignment horizontal="right" vertical="center" wrapText="1" indent="1"/>
      <protection locked="0"/>
    </xf>
    <xf numFmtId="0" fontId="40" fillId="0" borderId="0" xfId="0" applyFont="1" applyAlignment="1" applyProtection="1">
      <alignment horizontal="right" vertical="center"/>
      <protection locked="0"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9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49" xfId="0" applyNumberFormat="1" applyFont="1" applyFill="1" applyBorder="1" applyAlignment="1" applyProtection="1">
      <alignment horizontal="center" vertical="center" wrapText="1"/>
      <protection/>
    </xf>
    <xf numFmtId="164" fontId="15" fillId="0" borderId="49" xfId="0" applyNumberFormat="1" applyFont="1" applyFill="1" applyBorder="1" applyAlignment="1" applyProtection="1">
      <alignment horizontal="center" vertical="center" wrapText="1"/>
      <protection/>
    </xf>
    <xf numFmtId="164" fontId="3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7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64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8" xfId="0" applyNumberFormat="1" applyFont="1" applyFill="1" applyBorder="1" applyAlignment="1" applyProtection="1">
      <alignment horizontal="center" vertical="center" wrapText="1"/>
      <protection/>
    </xf>
    <xf numFmtId="164" fontId="7" fillId="0" borderId="60" xfId="0" applyNumberFormat="1" applyFont="1" applyFill="1" applyBorder="1" applyAlignment="1" applyProtection="1">
      <alignment horizontal="center" vertical="center" wrapText="1"/>
      <protection/>
    </xf>
    <xf numFmtId="164" fontId="14" fillId="0" borderId="59" xfId="0" applyNumberFormat="1" applyFont="1" applyFill="1" applyBorder="1" applyAlignment="1" applyProtection="1">
      <alignment vertical="center" wrapText="1"/>
      <protection/>
    </xf>
    <xf numFmtId="164" fontId="14" fillId="0" borderId="76" xfId="0" applyNumberFormat="1" applyFont="1" applyFill="1" applyBorder="1" applyAlignment="1" applyProtection="1">
      <alignment vertical="center" wrapText="1"/>
      <protection/>
    </xf>
    <xf numFmtId="164" fontId="14" fillId="0" borderId="48" xfId="0" applyNumberFormat="1" applyFont="1" applyFill="1" applyBorder="1" applyAlignment="1" applyProtection="1">
      <alignment vertical="center" wrapText="1"/>
      <protection/>
    </xf>
    <xf numFmtId="164" fontId="14" fillId="0" borderId="69" xfId="0" applyNumberFormat="1" applyFont="1" applyFill="1" applyBorder="1" applyAlignment="1" applyProtection="1">
      <alignment vertical="center" wrapText="1"/>
      <protection/>
    </xf>
    <xf numFmtId="164" fontId="7" fillId="0" borderId="76" xfId="0" applyNumberFormat="1" applyFont="1" applyFill="1" applyBorder="1" applyAlignment="1" applyProtection="1">
      <alignment vertical="center" wrapText="1"/>
      <protection/>
    </xf>
    <xf numFmtId="164" fontId="7" fillId="0" borderId="58" xfId="0" applyNumberFormat="1" applyFont="1" applyFill="1" applyBorder="1" applyAlignment="1" applyProtection="1">
      <alignment vertical="center" wrapText="1"/>
      <protection/>
    </xf>
    <xf numFmtId="164" fontId="14" fillId="0" borderId="64" xfId="0" applyNumberFormat="1" applyFont="1" applyFill="1" applyBorder="1" applyAlignment="1" applyProtection="1">
      <alignment vertical="center" wrapText="1"/>
      <protection/>
    </xf>
    <xf numFmtId="164" fontId="14" fillId="0" borderId="53" xfId="0" applyNumberFormat="1" applyFont="1" applyFill="1" applyBorder="1" applyAlignment="1" applyProtection="1">
      <alignment vertical="center" wrapText="1"/>
      <protection/>
    </xf>
    <xf numFmtId="164" fontId="7" fillId="0" borderId="49" xfId="0" applyNumberFormat="1" applyFont="1" applyFill="1" applyBorder="1" applyAlignment="1" applyProtection="1">
      <alignment vertical="center" wrapText="1"/>
      <protection/>
    </xf>
    <xf numFmtId="164" fontId="14" fillId="0" borderId="4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 locked="0"/>
    </xf>
    <xf numFmtId="164" fontId="14" fillId="0" borderId="40" xfId="0" applyNumberFormat="1" applyFont="1" applyFill="1" applyBorder="1" applyAlignment="1" applyProtection="1">
      <alignment vertical="center" wrapText="1"/>
      <protection locked="0"/>
    </xf>
    <xf numFmtId="164" fontId="7" fillId="0" borderId="26" xfId="0" applyNumberFormat="1" applyFont="1" applyFill="1" applyBorder="1" applyAlignment="1" applyProtection="1">
      <alignment vertical="center" wrapText="1"/>
      <protection locked="0"/>
    </xf>
    <xf numFmtId="164" fontId="14" fillId="0" borderId="43" xfId="0" applyNumberFormat="1" applyFont="1" applyFill="1" applyBorder="1" applyAlignment="1" applyProtection="1">
      <alignment vertical="center" wrapText="1"/>
      <protection locked="0"/>
    </xf>
    <xf numFmtId="164" fontId="14" fillId="0" borderId="26" xfId="0" applyNumberFormat="1" applyFont="1" applyFill="1" applyBorder="1" applyAlignment="1" applyProtection="1">
      <alignment vertical="center" wrapText="1"/>
      <protection locked="0"/>
    </xf>
    <xf numFmtId="164" fontId="14" fillId="0" borderId="32" xfId="0" applyNumberFormat="1" applyFont="1" applyFill="1" applyBorder="1" applyAlignment="1" applyProtection="1">
      <alignment vertical="center" wrapText="1"/>
      <protection locked="0"/>
    </xf>
    <xf numFmtId="164" fontId="7" fillId="0" borderId="29" xfId="0" applyNumberFormat="1" applyFont="1" applyFill="1" applyBorder="1" applyAlignment="1" applyProtection="1">
      <alignment vertical="center" wrapText="1"/>
      <protection locked="0"/>
    </xf>
    <xf numFmtId="164" fontId="14" fillId="0" borderId="38" xfId="0" applyNumberFormat="1" applyFont="1" applyFill="1" applyBorder="1" applyAlignment="1" applyProtection="1">
      <alignment vertical="center" wrapText="1"/>
      <protection locked="0"/>
    </xf>
    <xf numFmtId="164" fontId="7" fillId="0" borderId="29" xfId="0" applyNumberFormat="1" applyFont="1" applyFill="1" applyBorder="1" applyAlignment="1" applyProtection="1">
      <alignment vertical="center" wrapText="1"/>
      <protection/>
    </xf>
    <xf numFmtId="0" fontId="7" fillId="0" borderId="67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15" fillId="0" borderId="55" xfId="0" applyFont="1" applyFill="1" applyBorder="1" applyAlignment="1" applyProtection="1">
      <alignment horizontal="center" vertical="center" wrapText="1"/>
      <protection/>
    </xf>
    <xf numFmtId="0" fontId="17" fillId="0" borderId="67" xfId="61" applyFont="1" applyFill="1" applyBorder="1" applyAlignment="1" applyProtection="1">
      <alignment horizontal="left" vertical="center" wrapText="1" indent="1"/>
      <protection/>
    </xf>
    <xf numFmtId="0" fontId="17" fillId="0" borderId="56" xfId="61" applyFont="1" applyFill="1" applyBorder="1" applyAlignment="1" applyProtection="1">
      <alignment horizontal="left" vertical="center" wrapText="1" indent="1"/>
      <protection/>
    </xf>
    <xf numFmtId="0" fontId="17" fillId="0" borderId="62" xfId="61" applyFont="1" applyFill="1" applyBorder="1" applyAlignment="1" applyProtection="1">
      <alignment horizontal="left" vertical="center" wrapText="1" indent="1"/>
      <protection/>
    </xf>
    <xf numFmtId="0" fontId="17" fillId="0" borderId="70" xfId="61" applyFont="1" applyFill="1" applyBorder="1" applyAlignment="1" applyProtection="1">
      <alignment horizontal="left" vertical="center" wrapText="1" indent="1"/>
      <protection/>
    </xf>
    <xf numFmtId="0" fontId="15" fillId="0" borderId="55" xfId="61" applyFont="1" applyFill="1" applyBorder="1" applyAlignment="1" applyProtection="1">
      <alignment horizontal="left" vertical="center" wrapText="1" indent="1"/>
      <protection/>
    </xf>
    <xf numFmtId="0" fontId="17" fillId="0" borderId="70" xfId="61" applyFont="1" applyFill="1" applyBorder="1" applyAlignment="1" applyProtection="1">
      <alignment horizontal="left" vertical="center" wrapText="1" indent="1"/>
      <protection/>
    </xf>
    <xf numFmtId="0" fontId="17" fillId="0" borderId="62" xfId="61" applyFont="1" applyFill="1" applyBorder="1" applyAlignment="1" applyProtection="1">
      <alignment horizontal="left" vertical="center" wrapText="1" indent="1"/>
      <protection/>
    </xf>
    <xf numFmtId="0" fontId="17" fillId="0" borderId="73" xfId="61" applyFont="1" applyFill="1" applyBorder="1" applyAlignment="1" applyProtection="1" quotePrefix="1">
      <alignment horizontal="left" vertical="center" wrapText="1" indent="1"/>
      <protection/>
    </xf>
    <xf numFmtId="0" fontId="17" fillId="0" borderId="73" xfId="61" applyFont="1" applyFill="1" applyBorder="1" applyAlignment="1" applyProtection="1">
      <alignment horizontal="left" vertical="center" wrapText="1" indent="1"/>
      <protection/>
    </xf>
    <xf numFmtId="0" fontId="15" fillId="0" borderId="51" xfId="61" applyFont="1" applyFill="1" applyBorder="1" applyAlignment="1" applyProtection="1">
      <alignment horizontal="left" vertical="center" wrapText="1" indent="1"/>
      <protection/>
    </xf>
    <xf numFmtId="0" fontId="24" fillId="0" borderId="51" xfId="0" applyFont="1" applyBorder="1" applyAlignment="1" applyProtection="1">
      <alignment horizontal="left" wrapText="1" indent="1"/>
      <protection/>
    </xf>
    <xf numFmtId="0" fontId="7" fillId="0" borderId="55" xfId="0" applyFont="1" applyFill="1" applyBorder="1" applyAlignment="1" applyProtection="1">
      <alignment horizontal="left" vertical="center" wrapText="1" indent="1"/>
      <protection/>
    </xf>
    <xf numFmtId="0" fontId="3" fillId="0" borderId="51" xfId="0" applyFont="1" applyFill="1" applyBorder="1" applyAlignment="1" applyProtection="1">
      <alignment vertical="center" wrapText="1"/>
      <protection/>
    </xf>
    <xf numFmtId="49" fontId="7" fillId="0" borderId="32" xfId="0" applyNumberFormat="1" applyFont="1" applyFill="1" applyBorder="1" applyAlignment="1" applyProtection="1">
      <alignment horizontal="right" vertical="center"/>
      <protection/>
    </xf>
    <xf numFmtId="0" fontId="7" fillId="0" borderId="65" xfId="0" applyFont="1" applyFill="1" applyBorder="1" applyAlignment="1" applyProtection="1">
      <alignment horizontal="right" vertical="center" wrapText="1" indent="1"/>
      <protection/>
    </xf>
    <xf numFmtId="0" fontId="7" fillId="0" borderId="29" xfId="0" applyFont="1" applyFill="1" applyBorder="1" applyAlignment="1" applyProtection="1">
      <alignment horizontal="right" vertical="center" wrapText="1" indent="1"/>
      <protection/>
    </xf>
    <xf numFmtId="0" fontId="17" fillId="0" borderId="39" xfId="61" applyFont="1" applyFill="1" applyBorder="1" applyAlignment="1" applyProtection="1">
      <alignment horizontal="left" vertical="center" wrapText="1" indent="1"/>
      <protection/>
    </xf>
    <xf numFmtId="0" fontId="7" fillId="0" borderId="65" xfId="0" applyFont="1" applyFill="1" applyBorder="1" applyAlignment="1" applyProtection="1">
      <alignment horizontal="center" vertical="center" wrapText="1"/>
      <protection/>
    </xf>
    <xf numFmtId="0" fontId="17" fillId="0" borderId="62" xfId="61" applyFont="1" applyFill="1" applyBorder="1" applyAlignment="1" applyProtection="1" quotePrefix="1">
      <alignment horizontal="left" vertical="center" wrapText="1" indent="1"/>
      <protection/>
    </xf>
    <xf numFmtId="0" fontId="17" fillId="0" borderId="56" xfId="61" applyFont="1" applyFill="1" applyBorder="1" applyAlignment="1" applyProtection="1">
      <alignment horizontal="left" vertical="center" wrapText="1" indent="1"/>
      <protection/>
    </xf>
    <xf numFmtId="0" fontId="1" fillId="0" borderId="26" xfId="0" applyFont="1" applyFill="1" applyBorder="1" applyAlignment="1" applyProtection="1">
      <alignment vertical="center" wrapText="1"/>
      <protection/>
    </xf>
    <xf numFmtId="0" fontId="7" fillId="0" borderId="54" xfId="0" applyFont="1" applyFill="1" applyBorder="1" applyAlignment="1" applyProtection="1">
      <alignment horizontal="center" vertical="center"/>
      <protection/>
    </xf>
    <xf numFmtId="49" fontId="7" fillId="0" borderId="59" xfId="0" applyNumberFormat="1" applyFont="1" applyFill="1" applyBorder="1" applyAlignment="1" applyProtection="1">
      <alignment horizontal="right" vertical="center"/>
      <protection/>
    </xf>
    <xf numFmtId="0" fontId="7" fillId="0" borderId="66" xfId="0" applyFont="1" applyFill="1" applyBorder="1" applyAlignment="1" applyProtection="1">
      <alignment horizontal="center" vertical="center" wrapText="1"/>
      <protection/>
    </xf>
    <xf numFmtId="0" fontId="15" fillId="0" borderId="58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17" fillId="0" borderId="10" xfId="61" applyFont="1" applyFill="1" applyBorder="1" applyAlignment="1" applyProtection="1" quotePrefix="1">
      <alignment horizontal="left" vertical="center" wrapText="1" indent="1"/>
      <protection/>
    </xf>
    <xf numFmtId="0" fontId="17" fillId="0" borderId="10" xfId="61" applyFont="1" applyFill="1" applyBorder="1" applyAlignment="1" applyProtection="1">
      <alignment horizontal="left" vertical="center" wrapText="1" indent="1"/>
      <protection/>
    </xf>
    <xf numFmtId="0" fontId="17" fillId="0" borderId="39" xfId="61" applyFont="1" applyFill="1" applyBorder="1" applyAlignment="1" applyProtection="1" quotePrefix="1">
      <alignment horizontal="left" vertical="center" wrapText="1" indent="1"/>
      <protection/>
    </xf>
    <xf numFmtId="49" fontId="7" fillId="0" borderId="40" xfId="0" applyNumberFormat="1" applyFont="1" applyFill="1" applyBorder="1" applyAlignment="1" applyProtection="1">
      <alignment horizontal="right" vertical="center"/>
      <protection/>
    </xf>
    <xf numFmtId="0" fontId="15" fillId="0" borderId="51" xfId="0" applyFont="1" applyFill="1" applyBorder="1" applyAlignment="1" applyProtection="1">
      <alignment horizontal="left" vertical="center" wrapText="1" indent="1"/>
      <protection/>
    </xf>
    <xf numFmtId="3" fontId="31" fillId="0" borderId="152" xfId="59" applyNumberFormat="1" applyFont="1" applyFill="1" applyBorder="1">
      <alignment/>
      <protection/>
    </xf>
    <xf numFmtId="3" fontId="31" fillId="0" borderId="153" xfId="59" applyNumberFormat="1" applyFont="1" applyFill="1" applyBorder="1">
      <alignment/>
      <protection/>
    </xf>
    <xf numFmtId="3" fontId="31" fillId="0" borderId="154" xfId="59" applyNumberFormat="1" applyFont="1" applyFill="1" applyBorder="1">
      <alignment/>
      <protection/>
    </xf>
    <xf numFmtId="3" fontId="31" fillId="0" borderId="155" xfId="59" applyNumberFormat="1" applyFont="1" applyFill="1" applyBorder="1" applyAlignment="1">
      <alignment/>
      <protection/>
    </xf>
    <xf numFmtId="3" fontId="31" fillId="0" borderId="98" xfId="59" applyNumberFormat="1" applyFont="1" applyFill="1" applyBorder="1" applyAlignment="1">
      <alignment horizontal="left"/>
      <protection/>
    </xf>
    <xf numFmtId="3" fontId="31" fillId="0" borderId="156" xfId="59" applyNumberFormat="1" applyFont="1" applyFill="1" applyBorder="1">
      <alignment/>
      <protection/>
    </xf>
    <xf numFmtId="3" fontId="31" fillId="0" borderId="157" xfId="59" applyNumberFormat="1" applyFont="1" applyFill="1" applyBorder="1">
      <alignment/>
      <protection/>
    </xf>
    <xf numFmtId="3" fontId="31" fillId="0" borderId="158" xfId="59" applyNumberFormat="1" applyFont="1" applyFill="1" applyBorder="1">
      <alignment/>
      <protection/>
    </xf>
    <xf numFmtId="49" fontId="17" fillId="0" borderId="11" xfId="61" applyNumberFormat="1" applyFont="1" applyFill="1" applyBorder="1" applyAlignment="1" applyProtection="1">
      <alignment horizontal="left" vertical="center" wrapText="1" indent="6"/>
      <protection/>
    </xf>
    <xf numFmtId="3" fontId="34" fillId="0" borderId="159" xfId="60" applyNumberFormat="1" applyFont="1" applyFill="1" applyBorder="1">
      <alignment/>
      <protection/>
    </xf>
    <xf numFmtId="164" fontId="15" fillId="0" borderId="55" xfId="0" applyNumberFormat="1" applyFont="1" applyFill="1" applyBorder="1" applyAlignment="1" applyProtection="1">
      <alignment horizontal="center" vertical="center" wrapText="1"/>
      <protection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39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5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54" xfId="0" applyNumberFormat="1" applyFont="1" applyFill="1" applyBorder="1" applyAlignment="1" applyProtection="1">
      <alignment vertical="center" wrapText="1"/>
      <protection locked="0"/>
    </xf>
    <xf numFmtId="164" fontId="2" fillId="0" borderId="40" xfId="0" applyNumberFormat="1" applyFont="1" applyFill="1" applyBorder="1" applyAlignment="1" applyProtection="1">
      <alignment vertical="center" wrapText="1"/>
      <protection/>
    </xf>
    <xf numFmtId="164" fontId="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1" xfId="0" applyNumberFormat="1" applyFont="1" applyFill="1" applyBorder="1" applyAlignment="1" applyProtection="1">
      <alignment vertical="center" wrapText="1"/>
      <protection locked="0"/>
    </xf>
    <xf numFmtId="164" fontId="6" fillId="0" borderId="56" xfId="0" applyNumberFormat="1" applyFont="1" applyFill="1" applyBorder="1" applyAlignment="1" applyProtection="1">
      <alignment vertical="center" wrapText="1"/>
      <protection locked="0"/>
    </xf>
    <xf numFmtId="0" fontId="17" fillId="0" borderId="15" xfId="61" applyFont="1" applyFill="1" applyBorder="1" applyAlignment="1" applyProtection="1" quotePrefix="1">
      <alignment horizontal="left" vertical="center" wrapText="1" indent="1"/>
      <protection/>
    </xf>
    <xf numFmtId="0" fontId="17" fillId="0" borderId="69" xfId="0" applyNumberFormat="1" applyFont="1" applyFill="1" applyBorder="1" applyAlignment="1" applyProtection="1" quotePrefix="1">
      <alignment horizontal="right" vertical="center" wrapText="1" indent="1"/>
      <protection locked="0"/>
    </xf>
    <xf numFmtId="0" fontId="24" fillId="0" borderId="23" xfId="0" applyFont="1" applyBorder="1" applyAlignment="1" applyProtection="1">
      <alignment horizontal="left" wrapText="1" indent="1"/>
      <protection/>
    </xf>
    <xf numFmtId="164" fontId="17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6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0" xfId="0" applyNumberFormat="1" applyFont="1" applyFill="1" applyBorder="1" applyAlignment="1" applyProtection="1">
      <alignment horizontal="center" vertical="center" wrapText="1"/>
      <protection/>
    </xf>
    <xf numFmtId="164" fontId="17" fillId="0" borderId="9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9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99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9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99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58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14" fillId="0" borderId="65" xfId="0" applyNumberFormat="1" applyFont="1" applyFill="1" applyBorder="1" applyAlignment="1" applyProtection="1">
      <alignment vertical="center" wrapText="1"/>
      <protection locked="0"/>
    </xf>
    <xf numFmtId="164" fontId="14" fillId="0" borderId="62" xfId="0" applyNumberFormat="1" applyFont="1" applyFill="1" applyBorder="1" applyAlignment="1" applyProtection="1">
      <alignment vertical="center" wrapText="1"/>
      <protection locked="0"/>
    </xf>
    <xf numFmtId="164" fontId="14" fillId="0" borderId="68" xfId="0" applyNumberFormat="1" applyFont="1" applyFill="1" applyBorder="1" applyAlignment="1" applyProtection="1">
      <alignment vertical="center" wrapText="1"/>
      <protection locked="0"/>
    </xf>
    <xf numFmtId="164" fontId="14" fillId="0" borderId="54" xfId="0" applyNumberFormat="1" applyFont="1" applyFill="1" applyBorder="1" applyAlignment="1" applyProtection="1">
      <alignment vertical="center" wrapText="1"/>
      <protection locked="0"/>
    </xf>
    <xf numFmtId="164" fontId="7" fillId="0" borderId="62" xfId="0" applyNumberFormat="1" applyFont="1" applyFill="1" applyBorder="1" applyAlignment="1" applyProtection="1">
      <alignment vertical="center" wrapText="1"/>
      <protection locked="0"/>
    </xf>
    <xf numFmtId="164" fontId="14" fillId="0" borderId="67" xfId="0" applyNumberFormat="1" applyFont="1" applyFill="1" applyBorder="1" applyAlignment="1" applyProtection="1">
      <alignment vertical="center" wrapText="1"/>
      <protection locked="0"/>
    </xf>
    <xf numFmtId="164" fontId="14" fillId="0" borderId="73" xfId="0" applyNumberFormat="1" applyFont="1" applyFill="1" applyBorder="1" applyAlignment="1" applyProtection="1">
      <alignment vertical="center" wrapText="1"/>
      <protection locked="0"/>
    </xf>
    <xf numFmtId="164" fontId="7" fillId="0" borderId="55" xfId="0" applyNumberFormat="1" applyFont="1" applyFill="1" applyBorder="1" applyAlignment="1" applyProtection="1">
      <alignment vertical="center" wrapText="1"/>
      <protection locked="0"/>
    </xf>
    <xf numFmtId="164" fontId="14" fillId="0" borderId="70" xfId="0" applyNumberFormat="1" applyFont="1" applyFill="1" applyBorder="1" applyAlignment="1" applyProtection="1">
      <alignment vertical="center" wrapText="1"/>
      <protection locked="0"/>
    </xf>
    <xf numFmtId="164" fontId="14" fillId="0" borderId="56" xfId="0" applyNumberFormat="1" applyFont="1" applyFill="1" applyBorder="1" applyAlignment="1" applyProtection="1">
      <alignment vertical="center" wrapText="1"/>
      <protection locked="0"/>
    </xf>
    <xf numFmtId="164" fontId="7" fillId="0" borderId="55" xfId="0" applyNumberFormat="1" applyFont="1" applyFill="1" applyBorder="1" applyAlignment="1" applyProtection="1">
      <alignment vertical="center" wrapText="1"/>
      <protection/>
    </xf>
    <xf numFmtId="164" fontId="17" fillId="0" borderId="68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34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3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36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3" xfId="61" applyNumberFormat="1" applyFont="1" applyFill="1" applyBorder="1" applyAlignment="1" applyProtection="1">
      <alignment horizontal="right" vertical="center" wrapText="1" indent="1"/>
      <protection/>
    </xf>
    <xf numFmtId="164" fontId="22" fillId="0" borderId="33" xfId="0" applyNumberFormat="1" applyFont="1" applyBorder="1" applyAlignment="1" applyProtection="1">
      <alignment horizontal="right" vertical="center" wrapText="1" indent="1"/>
      <protection/>
    </xf>
    <xf numFmtId="164" fontId="20" fillId="0" borderId="33" xfId="0" applyNumberFormat="1" applyFont="1" applyBorder="1" applyAlignment="1" applyProtection="1" quotePrefix="1">
      <alignment horizontal="right" vertical="center" wrapText="1" indent="1"/>
      <protection/>
    </xf>
    <xf numFmtId="0" fontId="1" fillId="0" borderId="76" xfId="0" applyFont="1" applyFill="1" applyBorder="1" applyAlignment="1" applyProtection="1">
      <alignment vertical="center" wrapText="1"/>
      <protection/>
    </xf>
    <xf numFmtId="0" fontId="1" fillId="0" borderId="53" xfId="0" applyFont="1" applyFill="1" applyBorder="1" applyAlignment="1" applyProtection="1">
      <alignment vertical="center" wrapText="1"/>
      <protection/>
    </xf>
    <xf numFmtId="0" fontId="7" fillId="0" borderId="133" xfId="0" applyFont="1" applyFill="1" applyBorder="1" applyAlignment="1" applyProtection="1">
      <alignment horizontal="center" vertical="center"/>
      <protection/>
    </xf>
    <xf numFmtId="0" fontId="7" fillId="0" borderId="75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vertical="center"/>
      <protection/>
    </xf>
    <xf numFmtId="0" fontId="7" fillId="0" borderId="74" xfId="0" applyFont="1" applyFill="1" applyBorder="1" applyAlignment="1" applyProtection="1">
      <alignment horizontal="center" vertical="center" wrapText="1"/>
      <protection/>
    </xf>
    <xf numFmtId="0" fontId="15" fillId="0" borderId="33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Fill="1" applyBorder="1" applyAlignment="1" applyProtection="1">
      <alignment vertical="center" wrapText="1"/>
      <protection/>
    </xf>
    <xf numFmtId="0" fontId="1" fillId="0" borderId="34" xfId="0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61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42" xfId="0" applyFont="1" applyFill="1" applyBorder="1" applyAlignment="1" applyProtection="1">
      <alignment horizontal="right" vertical="center" wrapText="1" indent="1"/>
      <protection/>
    </xf>
    <xf numFmtId="164" fontId="17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1" xfId="0" applyNumberFormat="1" applyFont="1" applyFill="1" applyBorder="1" applyAlignment="1" applyProtection="1">
      <alignment horizontal="center" vertical="center" wrapText="1"/>
      <protection/>
    </xf>
    <xf numFmtId="164" fontId="17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74" fontId="31" fillId="0" borderId="25" xfId="59" applyNumberFormat="1" applyFont="1" applyFill="1" applyBorder="1" applyAlignment="1">
      <alignment horizontal="right"/>
      <protection/>
    </xf>
    <xf numFmtId="0" fontId="31" fillId="0" borderId="156" xfId="59" applyFont="1" applyBorder="1" applyAlignment="1">
      <alignment/>
      <protection/>
    </xf>
    <xf numFmtId="3" fontId="34" fillId="0" borderId="25" xfId="59" applyNumberFormat="1" applyFont="1" applyFill="1" applyBorder="1">
      <alignment/>
      <protection/>
    </xf>
    <xf numFmtId="3" fontId="36" fillId="0" borderId="160" xfId="59" applyNumberFormat="1" applyFont="1" applyFill="1" applyBorder="1" applyAlignment="1">
      <alignment/>
      <protection/>
    </xf>
    <xf numFmtId="3" fontId="36" fillId="19" borderId="137" xfId="59" applyNumberFormat="1" applyFont="1" applyFill="1" applyBorder="1">
      <alignment/>
      <protection/>
    </xf>
    <xf numFmtId="3" fontId="34" fillId="0" borderId="161" xfId="59" applyNumberFormat="1" applyFont="1" applyFill="1" applyBorder="1">
      <alignment/>
      <protection/>
    </xf>
    <xf numFmtId="3" fontId="34" fillId="0" borderId="25" xfId="59" applyNumberFormat="1" applyFont="1" applyFill="1" applyBorder="1">
      <alignment/>
      <protection/>
    </xf>
    <xf numFmtId="3" fontId="36" fillId="19" borderId="25" xfId="59" applyNumberFormat="1" applyFont="1" applyFill="1" applyBorder="1">
      <alignment/>
      <protection/>
    </xf>
    <xf numFmtId="3" fontId="34" fillId="0" borderId="38" xfId="59" applyNumberFormat="1" applyFont="1" applyFill="1" applyBorder="1">
      <alignment/>
      <protection/>
    </xf>
    <xf numFmtId="3" fontId="34" fillId="0" borderId="26" xfId="59" applyNumberFormat="1" applyFont="1" applyFill="1" applyBorder="1">
      <alignment/>
      <protection/>
    </xf>
    <xf numFmtId="3" fontId="34" fillId="0" borderId="27" xfId="59" applyNumberFormat="1" applyFont="1" applyFill="1" applyBorder="1">
      <alignment/>
      <protection/>
    </xf>
    <xf numFmtId="3" fontId="34" fillId="0" borderId="162" xfId="59" applyNumberFormat="1" applyFont="1" applyFill="1" applyBorder="1">
      <alignment/>
      <protection/>
    </xf>
    <xf numFmtId="3" fontId="34" fillId="0" borderId="32" xfId="59" applyNumberFormat="1" applyFont="1" applyFill="1" applyBorder="1">
      <alignment/>
      <protection/>
    </xf>
    <xf numFmtId="3" fontId="31" fillId="0" borderId="163" xfId="59" applyNumberFormat="1" applyFont="1" applyFill="1" applyBorder="1" applyAlignment="1">
      <alignment horizontal="right"/>
      <protection/>
    </xf>
    <xf numFmtId="3" fontId="30" fillId="7" borderId="29" xfId="59" applyNumberFormat="1" applyFont="1" applyFill="1" applyBorder="1" applyAlignment="1">
      <alignment horizontal="right"/>
      <protection/>
    </xf>
    <xf numFmtId="3" fontId="36" fillId="19" borderId="34" xfId="60" applyNumberFormat="1" applyFont="1" applyFill="1" applyBorder="1">
      <alignment/>
      <protection/>
    </xf>
    <xf numFmtId="3" fontId="36" fillId="0" borderId="61" xfId="60" applyNumberFormat="1" applyFont="1" applyFill="1" applyBorder="1">
      <alignment/>
      <protection/>
    </xf>
    <xf numFmtId="3" fontId="31" fillId="0" borderId="36" xfId="60" applyNumberFormat="1" applyFont="1" applyFill="1" applyBorder="1" applyAlignment="1">
      <alignment horizontal="right"/>
      <protection/>
    </xf>
    <xf numFmtId="3" fontId="31" fillId="0" borderId="34" xfId="60" applyNumberFormat="1" applyFont="1" applyFill="1" applyBorder="1" applyAlignment="1">
      <alignment horizontal="right"/>
      <protection/>
    </xf>
    <xf numFmtId="3" fontId="36" fillId="7" borderId="36" xfId="60" applyNumberFormat="1" applyFont="1" applyFill="1" applyBorder="1">
      <alignment/>
      <protection/>
    </xf>
    <xf numFmtId="3" fontId="34" fillId="16" borderId="34" xfId="60" applyNumberFormat="1" applyFont="1" applyFill="1" applyBorder="1">
      <alignment/>
      <protection/>
    </xf>
    <xf numFmtId="3" fontId="36" fillId="7" borderId="75" xfId="60" applyNumberFormat="1" applyFont="1" applyFill="1" applyBorder="1">
      <alignment/>
      <protection/>
    </xf>
    <xf numFmtId="3" fontId="36" fillId="21" borderId="33" xfId="60" applyNumberFormat="1" applyFont="1" applyFill="1" applyBorder="1">
      <alignment/>
      <protection/>
    </xf>
    <xf numFmtId="3" fontId="34" fillId="19" borderId="133" xfId="60" applyNumberFormat="1" applyFont="1" applyFill="1" applyBorder="1">
      <alignment/>
      <protection/>
    </xf>
    <xf numFmtId="3" fontId="34" fillId="19" borderId="34" xfId="60" applyNumberFormat="1" applyFont="1" applyFill="1" applyBorder="1">
      <alignment/>
      <protection/>
    </xf>
    <xf numFmtId="3" fontId="34" fillId="19" borderId="36" xfId="60" applyNumberFormat="1" applyFont="1" applyFill="1" applyBorder="1">
      <alignment/>
      <protection/>
    </xf>
    <xf numFmtId="3" fontId="34" fillId="22" borderId="34" xfId="60" applyNumberFormat="1" applyFont="1" applyFill="1" applyBorder="1">
      <alignment/>
      <protection/>
    </xf>
    <xf numFmtId="17" fontId="7" fillId="0" borderId="29" xfId="61" applyNumberFormat="1" applyFont="1" applyFill="1" applyBorder="1" applyAlignment="1" applyProtection="1">
      <alignment horizontal="center" vertical="center" wrapText="1"/>
      <protection/>
    </xf>
    <xf numFmtId="164" fontId="7" fillId="0" borderId="51" xfId="0" applyNumberFormat="1" applyFont="1" applyFill="1" applyBorder="1" applyAlignment="1" applyProtection="1">
      <alignment horizontal="center" vertical="center" wrapText="1"/>
      <protection/>
    </xf>
    <xf numFmtId="164" fontId="1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71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9" fillId="0" borderId="122" xfId="60" applyBorder="1" applyAlignment="1">
      <alignment vertical="center" wrapText="1"/>
      <protection/>
    </xf>
    <xf numFmtId="3" fontId="29" fillId="0" borderId="123" xfId="59" applyNumberFormat="1" applyFont="1" applyFill="1" applyBorder="1" applyAlignment="1">
      <alignment horizontal="center"/>
      <protection/>
    </xf>
    <xf numFmtId="3" fontId="34" fillId="0" borderId="164" xfId="59" applyNumberFormat="1" applyFont="1" applyFill="1" applyBorder="1" applyAlignment="1">
      <alignment vertical="center" wrapText="1"/>
      <protection/>
    </xf>
    <xf numFmtId="3" fontId="34" fillId="0" borderId="0" xfId="59" applyNumberFormat="1" applyFont="1" applyFill="1" applyBorder="1">
      <alignment/>
      <protection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7" fillId="0" borderId="74" xfId="0" applyNumberFormat="1" applyFont="1" applyFill="1" applyBorder="1" applyAlignment="1" applyProtection="1">
      <alignment horizontal="center" vertical="center"/>
      <protection/>
    </xf>
    <xf numFmtId="164" fontId="7" fillId="0" borderId="75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26" fillId="0" borderId="42" xfId="61" applyNumberFormat="1" applyFont="1" applyFill="1" applyBorder="1" applyAlignment="1" applyProtection="1">
      <alignment horizontal="left"/>
      <protection/>
    </xf>
    <xf numFmtId="164" fontId="26" fillId="0" borderId="42" xfId="61" applyNumberFormat="1" applyFont="1" applyFill="1" applyBorder="1" applyAlignment="1" applyProtection="1">
      <alignment horizontal="left" vertical="center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0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58" xfId="0" applyNumberFormat="1" applyFont="1" applyFill="1" applyBorder="1" applyAlignment="1" applyProtection="1">
      <alignment horizontal="left" vertical="center" wrapText="1" indent="2"/>
      <protection/>
    </xf>
    <xf numFmtId="0" fontId="6" fillId="0" borderId="0" xfId="0" applyFont="1" applyFill="1" applyAlignment="1">
      <alignment horizontal="center" wrapText="1"/>
    </xf>
    <xf numFmtId="164" fontId="14" fillId="0" borderId="6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 locked="0"/>
    </xf>
    <xf numFmtId="164" fontId="16" fillId="0" borderId="42" xfId="61" applyNumberFormat="1" applyFont="1" applyFill="1" applyBorder="1" applyAlignment="1" applyProtection="1">
      <alignment horizontal="left" vertical="center"/>
      <protection/>
    </xf>
    <xf numFmtId="164" fontId="6" fillId="0" borderId="0" xfId="61" applyNumberFormat="1" applyFont="1" applyFill="1" applyBorder="1" applyAlignment="1" applyProtection="1">
      <alignment horizontal="center" vertical="center"/>
      <protection/>
    </xf>
    <xf numFmtId="164" fontId="16" fillId="0" borderId="42" xfId="61" applyNumberFormat="1" applyFont="1" applyFill="1" applyBorder="1" applyAlignment="1" applyProtection="1">
      <alignment horizontal="left"/>
      <protection/>
    </xf>
    <xf numFmtId="0" fontId="6" fillId="0" borderId="0" xfId="61" applyFont="1" applyFill="1" applyAlignment="1" applyProtection="1">
      <alignment horizontal="center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1" fillId="0" borderId="61" xfId="0" applyNumberFormat="1" applyFont="1" applyFill="1" applyBorder="1" applyAlignment="1" applyProtection="1">
      <alignment horizontal="left" vertical="center" wrapText="1"/>
      <protection/>
    </xf>
    <xf numFmtId="164" fontId="7" fillId="0" borderId="133" xfId="0" applyNumberFormat="1" applyFont="1" applyFill="1" applyBorder="1" applyAlignment="1" applyProtection="1">
      <alignment horizontal="center" vertical="center" wrapText="1"/>
      <protection/>
    </xf>
    <xf numFmtId="164" fontId="7" fillId="0" borderId="148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61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3" xfId="61" applyFont="1" applyFill="1" applyBorder="1" applyAlignment="1">
      <alignment horizontal="center" vertical="center" wrapText="1"/>
      <protection/>
    </xf>
    <xf numFmtId="0" fontId="3" fillId="0" borderId="27" xfId="61" applyFont="1" applyFill="1" applyBorder="1" applyAlignment="1">
      <alignment horizontal="center" vertical="center" wrapText="1"/>
      <protection/>
    </xf>
    <xf numFmtId="0" fontId="3" fillId="0" borderId="20" xfId="61" applyFont="1" applyFill="1" applyBorder="1" applyAlignment="1">
      <alignment horizontal="center" vertical="center" wrapText="1"/>
      <protection/>
    </xf>
    <xf numFmtId="0" fontId="3" fillId="0" borderId="19" xfId="61" applyFont="1" applyFill="1" applyBorder="1" applyAlignment="1">
      <alignment horizontal="center" vertical="center" wrapText="1"/>
      <protection/>
    </xf>
    <xf numFmtId="0" fontId="3" fillId="0" borderId="13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61" applyFont="1" applyFill="1" applyBorder="1" applyAlignment="1" applyProtection="1">
      <alignment horizontal="left"/>
      <protection/>
    </xf>
    <xf numFmtId="0" fontId="7" fillId="0" borderId="23" xfId="61" applyFont="1" applyFill="1" applyBorder="1" applyAlignment="1" applyProtection="1">
      <alignment horizontal="left"/>
      <protection/>
    </xf>
    <xf numFmtId="0" fontId="17" fillId="0" borderId="61" xfId="61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164" fontId="14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30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10" xfId="0" applyNumberFormat="1" applyFont="1" applyFill="1" applyBorder="1" applyAlignment="1" applyProtection="1">
      <alignment vertical="center" wrapText="1"/>
      <protection locked="0"/>
    </xf>
    <xf numFmtId="164" fontId="14" fillId="0" borderId="31" xfId="0" applyNumberFormat="1" applyFont="1" applyFill="1" applyBorder="1" applyAlignment="1" applyProtection="1">
      <alignment vertical="center" wrapText="1"/>
      <protection locked="0"/>
    </xf>
    <xf numFmtId="49" fontId="14" fillId="0" borderId="10" xfId="0" applyNumberFormat="1" applyFont="1" applyFill="1" applyBorder="1" applyAlignment="1" applyProtection="1">
      <alignment vertical="center" wrapText="1"/>
      <protection locked="0"/>
    </xf>
    <xf numFmtId="49" fontId="14" fillId="0" borderId="31" xfId="0" applyNumberFormat="1" applyFont="1" applyFill="1" applyBorder="1" applyAlignment="1" applyProtection="1">
      <alignment vertical="center" wrapText="1"/>
      <protection locked="0"/>
    </xf>
    <xf numFmtId="164" fontId="14" fillId="0" borderId="76" xfId="0" applyNumberFormat="1" applyFont="1" applyFill="1" applyBorder="1" applyAlignment="1" applyProtection="1">
      <alignment vertical="center" wrapText="1"/>
      <protection/>
    </xf>
    <xf numFmtId="164" fontId="7" fillId="0" borderId="165" xfId="0" applyNumberFormat="1" applyFont="1" applyFill="1" applyBorder="1" applyAlignment="1" applyProtection="1">
      <alignment horizontal="center" vertical="center"/>
      <protection/>
    </xf>
    <xf numFmtId="164" fontId="7" fillId="0" borderId="59" xfId="0" applyNumberFormat="1" applyFont="1" applyFill="1" applyBorder="1" applyAlignment="1" applyProtection="1">
      <alignment horizontal="center" vertical="center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0" fontId="17" fillId="0" borderId="61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55" xfId="62" applyFont="1" applyFill="1" applyBorder="1" applyAlignment="1" applyProtection="1">
      <alignment horizontal="left" vertical="center" indent="1"/>
      <protection/>
    </xf>
    <xf numFmtId="0" fontId="16" fillId="0" borderId="51" xfId="62" applyFont="1" applyFill="1" applyBorder="1" applyAlignment="1" applyProtection="1">
      <alignment horizontal="left" vertical="center" indent="1"/>
      <protection/>
    </xf>
    <xf numFmtId="0" fontId="16" fillId="0" borderId="58" xfId="62" applyFont="1" applyFill="1" applyBorder="1" applyAlignment="1" applyProtection="1">
      <alignment horizontal="left" vertical="center" indent="1"/>
      <protection/>
    </xf>
    <xf numFmtId="0" fontId="6" fillId="0" borderId="0" xfId="62" applyFont="1" applyFill="1" applyAlignment="1" applyProtection="1">
      <alignment horizontal="center" wrapText="1"/>
      <protection/>
    </xf>
    <xf numFmtId="0" fontId="6" fillId="0" borderId="0" xfId="62" applyFont="1" applyFill="1" applyAlignment="1" applyProtection="1">
      <alignment horizontal="center"/>
      <protection/>
    </xf>
    <xf numFmtId="0" fontId="48" fillId="0" borderId="145" xfId="0" applyFont="1" applyBorder="1" applyAlignment="1">
      <alignment horizontal="left"/>
    </xf>
    <xf numFmtId="0" fontId="49" fillId="0" borderId="42" xfId="0" applyFont="1" applyBorder="1" applyAlignment="1">
      <alignment horizontal="left"/>
    </xf>
    <xf numFmtId="0" fontId="39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5" fillId="0" borderId="57" xfId="0" applyFont="1" applyBorder="1" applyAlignment="1">
      <alignment/>
    </xf>
    <xf numFmtId="0" fontId="45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45" fillId="0" borderId="57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46" fillId="0" borderId="90" xfId="0" applyFont="1" applyFill="1" applyBorder="1" applyAlignment="1">
      <alignment wrapText="1"/>
    </xf>
    <xf numFmtId="0" fontId="0" fillId="0" borderId="71" xfId="0" applyBorder="1" applyAlignment="1">
      <alignment wrapText="1"/>
    </xf>
    <xf numFmtId="0" fontId="0" fillId="0" borderId="53" xfId="0" applyBorder="1" applyAlignment="1">
      <alignment wrapText="1"/>
    </xf>
    <xf numFmtId="0" fontId="7" fillId="0" borderId="50" xfId="0" applyFont="1" applyBorder="1" applyAlignment="1" applyProtection="1">
      <alignment horizontal="left" vertical="center" indent="2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0" fontId="16" fillId="0" borderId="0" xfId="0" applyFont="1" applyAlignment="1" applyProtection="1">
      <alignment horizontal="right"/>
      <protection/>
    </xf>
    <xf numFmtId="0" fontId="0" fillId="0" borderId="0" xfId="0" applyFont="1" applyAlignment="1">
      <alignment horizontal="right" wrapText="1"/>
    </xf>
    <xf numFmtId="3" fontId="3" fillId="0" borderId="74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3" fillId="0" borderId="75" xfId="0" applyNumberFormat="1" applyFont="1" applyBorder="1" applyAlignment="1">
      <alignment horizontal="center" vertical="center" wrapText="1"/>
    </xf>
    <xf numFmtId="3" fontId="31" fillId="0" borderId="130" xfId="59" applyNumberFormat="1" applyFont="1" applyFill="1" applyBorder="1" applyAlignment="1">
      <alignment vertical="center"/>
      <protection/>
    </xf>
    <xf numFmtId="3" fontId="31" fillId="0" borderId="166" xfId="59" applyNumberFormat="1" applyFont="1" applyFill="1" applyBorder="1" applyAlignment="1">
      <alignment vertical="center"/>
      <protection/>
    </xf>
    <xf numFmtId="3" fontId="30" fillId="0" borderId="167" xfId="59" applyNumberFormat="1" applyFont="1" applyFill="1" applyBorder="1" applyAlignment="1">
      <alignment vertical="center" wrapText="1"/>
      <protection/>
    </xf>
    <xf numFmtId="3" fontId="30" fillId="0" borderId="130" xfId="59" applyNumberFormat="1" applyFont="1" applyFill="1" applyBorder="1" applyAlignment="1">
      <alignment vertical="center" wrapText="1"/>
      <protection/>
    </xf>
    <xf numFmtId="3" fontId="30" fillId="0" borderId="168" xfId="59" applyNumberFormat="1" applyFont="1" applyFill="1" applyBorder="1" applyAlignment="1">
      <alignment vertical="center" wrapText="1"/>
      <protection/>
    </xf>
    <xf numFmtId="3" fontId="30" fillId="0" borderId="71" xfId="59" applyNumberFormat="1" applyFont="1" applyFill="1" applyBorder="1" applyAlignment="1">
      <alignment/>
      <protection/>
    </xf>
    <xf numFmtId="3" fontId="33" fillId="0" borderId="13" xfId="59" applyNumberFormat="1" applyFont="1" applyFill="1" applyBorder="1" applyAlignment="1">
      <alignment horizontal="center" vertical="center" wrapText="1"/>
      <protection/>
    </xf>
    <xf numFmtId="0" fontId="29" fillId="0" borderId="11" xfId="59" applyBorder="1" applyAlignment="1">
      <alignment horizontal="center" vertical="center" wrapText="1"/>
      <protection/>
    </xf>
    <xf numFmtId="3" fontId="33" fillId="0" borderId="169" xfId="59" applyNumberFormat="1" applyFont="1" applyFill="1" applyBorder="1" applyAlignment="1">
      <alignment horizontal="center" vertical="center"/>
      <protection/>
    </xf>
    <xf numFmtId="3" fontId="33" fillId="0" borderId="165" xfId="59" applyNumberFormat="1" applyFont="1" applyFill="1" applyBorder="1" applyAlignment="1">
      <alignment horizontal="center" vertical="center"/>
      <protection/>
    </xf>
    <xf numFmtId="3" fontId="30" fillId="0" borderId="170" xfId="59" applyNumberFormat="1" applyFont="1" applyFill="1" applyBorder="1" applyAlignment="1">
      <alignment/>
      <protection/>
    </xf>
    <xf numFmtId="3" fontId="30" fillId="0" borderId="115" xfId="59" applyNumberFormat="1" applyFont="1" applyFill="1" applyBorder="1" applyAlignment="1">
      <alignment/>
      <protection/>
    </xf>
    <xf numFmtId="3" fontId="30" fillId="0" borderId="62" xfId="59" applyNumberFormat="1" applyFont="1" applyFill="1" applyBorder="1" applyAlignment="1">
      <alignment vertical="center" wrapText="1"/>
      <protection/>
    </xf>
    <xf numFmtId="3" fontId="30" fillId="0" borderId="73" xfId="59" applyNumberFormat="1" applyFont="1" applyFill="1" applyBorder="1" applyAlignment="1">
      <alignment vertical="center" wrapText="1"/>
      <protection/>
    </xf>
    <xf numFmtId="3" fontId="31" fillId="0" borderId="68" xfId="59" applyNumberFormat="1" applyFont="1" applyFill="1" applyBorder="1" applyAlignment="1">
      <alignment vertical="center" wrapText="1"/>
      <protection/>
    </xf>
    <xf numFmtId="3" fontId="31" fillId="0" borderId="62" xfId="59" applyNumberFormat="1" applyFont="1" applyFill="1" applyBorder="1" applyAlignment="1">
      <alignment vertical="center" wrapText="1"/>
      <protection/>
    </xf>
    <xf numFmtId="3" fontId="31" fillId="0" borderId="70" xfId="59" applyNumberFormat="1" applyFont="1" applyFill="1" applyBorder="1" applyAlignment="1">
      <alignment vertical="center" wrapText="1"/>
      <protection/>
    </xf>
    <xf numFmtId="3" fontId="31" fillId="0" borderId="171" xfId="59" applyNumberFormat="1" applyFont="1" applyFill="1" applyBorder="1" applyAlignment="1">
      <alignment vertical="center" wrapText="1"/>
      <protection/>
    </xf>
    <xf numFmtId="3" fontId="31" fillId="0" borderId="172" xfId="59" applyNumberFormat="1" applyFont="1" applyFill="1" applyBorder="1" applyAlignment="1">
      <alignment vertical="center" wrapText="1"/>
      <protection/>
    </xf>
    <xf numFmtId="3" fontId="31" fillId="0" borderId="173" xfId="59" applyNumberFormat="1" applyFont="1" applyFill="1" applyBorder="1" applyAlignment="1">
      <alignment vertical="center" wrapText="1"/>
      <protection/>
    </xf>
    <xf numFmtId="3" fontId="30" fillId="0" borderId="174" xfId="59" applyNumberFormat="1" applyFont="1" applyFill="1" applyBorder="1" applyAlignment="1">
      <alignment/>
      <protection/>
    </xf>
    <xf numFmtId="3" fontId="30" fillId="0" borderId="136" xfId="59" applyNumberFormat="1" applyFont="1" applyFill="1" applyBorder="1" applyAlignment="1">
      <alignment/>
      <protection/>
    </xf>
    <xf numFmtId="3" fontId="31" fillId="0" borderId="167" xfId="59" applyNumberFormat="1" applyFont="1" applyFill="1" applyBorder="1" applyAlignment="1">
      <alignment vertical="center"/>
      <protection/>
    </xf>
    <xf numFmtId="3" fontId="30" fillId="0" borderId="175" xfId="59" applyNumberFormat="1" applyFont="1" applyFill="1" applyBorder="1" applyAlignment="1">
      <alignment/>
      <protection/>
    </xf>
    <xf numFmtId="3" fontId="32" fillId="0" borderId="41" xfId="59" applyNumberFormat="1" applyFont="1" applyBorder="1" applyAlignment="1">
      <alignment horizontal="center" wrapText="1"/>
      <protection/>
    </xf>
    <xf numFmtId="3" fontId="32" fillId="0" borderId="38" xfId="59" applyNumberFormat="1" applyFont="1" applyBorder="1" applyAlignment="1">
      <alignment horizontal="center" wrapText="1"/>
      <protection/>
    </xf>
    <xf numFmtId="3" fontId="36" fillId="0" borderId="176" xfId="59" applyNumberFormat="1" applyFont="1" applyFill="1" applyBorder="1" applyAlignment="1">
      <alignment/>
      <protection/>
    </xf>
    <xf numFmtId="3" fontId="33" fillId="0" borderId="24" xfId="59" applyNumberFormat="1" applyFont="1" applyFill="1" applyBorder="1" applyAlignment="1">
      <alignment horizontal="center" vertical="center" wrapText="1"/>
      <protection/>
    </xf>
    <xf numFmtId="3" fontId="33" fillId="0" borderId="16" xfId="59" applyNumberFormat="1" applyFont="1" applyFill="1" applyBorder="1" applyAlignment="1">
      <alignment horizontal="center" vertical="center" wrapText="1"/>
      <protection/>
    </xf>
    <xf numFmtId="3" fontId="33" fillId="0" borderId="18" xfId="59" applyNumberFormat="1" applyFont="1" applyFill="1" applyBorder="1" applyAlignment="1">
      <alignment horizontal="center" vertical="center" wrapText="1"/>
      <protection/>
    </xf>
    <xf numFmtId="3" fontId="33" fillId="0" borderId="65" xfId="59" applyNumberFormat="1" applyFont="1" applyFill="1" applyBorder="1" applyAlignment="1">
      <alignment horizontal="left" vertical="center" wrapText="1"/>
      <protection/>
    </xf>
    <xf numFmtId="3" fontId="33" fillId="0" borderId="177" xfId="59" applyNumberFormat="1" applyFont="1" applyFill="1" applyBorder="1" applyAlignment="1">
      <alignment horizontal="left" vertical="center" wrapText="1"/>
      <protection/>
    </xf>
    <xf numFmtId="3" fontId="33" fillId="0" borderId="62" xfId="59" applyNumberFormat="1" applyFont="1" applyFill="1" applyBorder="1" applyAlignment="1">
      <alignment horizontal="left" vertical="center" wrapText="1"/>
      <protection/>
    </xf>
    <xf numFmtId="3" fontId="33" fillId="0" borderId="178" xfId="59" applyNumberFormat="1" applyFont="1" applyFill="1" applyBorder="1" applyAlignment="1">
      <alignment horizontal="left" vertical="center" wrapText="1"/>
      <protection/>
    </xf>
    <xf numFmtId="3" fontId="33" fillId="0" borderId="70" xfId="59" applyNumberFormat="1" applyFont="1" applyFill="1" applyBorder="1" applyAlignment="1">
      <alignment horizontal="left" vertical="center" wrapText="1"/>
      <protection/>
    </xf>
    <xf numFmtId="3" fontId="33" fillId="0" borderId="44" xfId="59" applyNumberFormat="1" applyFont="1" applyFill="1" applyBorder="1" applyAlignment="1">
      <alignment horizontal="left" vertical="center" wrapText="1"/>
      <protection/>
    </xf>
    <xf numFmtId="3" fontId="32" fillId="0" borderId="26" xfId="59" applyNumberFormat="1" applyFont="1" applyBorder="1" applyAlignment="1">
      <alignment horizontal="center" wrapText="1"/>
      <protection/>
    </xf>
    <xf numFmtId="3" fontId="31" fillId="0" borderId="171" xfId="59" applyNumberFormat="1" applyFont="1" applyFill="1" applyBorder="1" applyAlignment="1">
      <alignment horizontal="left" vertical="center"/>
      <protection/>
    </xf>
    <xf numFmtId="3" fontId="31" fillId="0" borderId="172" xfId="59" applyNumberFormat="1" applyFont="1" applyFill="1" applyBorder="1" applyAlignment="1">
      <alignment horizontal="left" vertical="center"/>
      <protection/>
    </xf>
    <xf numFmtId="3" fontId="31" fillId="0" borderId="173" xfId="59" applyNumberFormat="1" applyFont="1" applyFill="1" applyBorder="1" applyAlignment="1">
      <alignment horizontal="left" vertical="center"/>
      <protection/>
    </xf>
    <xf numFmtId="3" fontId="33" fillId="0" borderId="20" xfId="59" applyNumberFormat="1" applyFont="1" applyFill="1" applyBorder="1" applyAlignment="1">
      <alignment horizontal="center" vertical="center" wrapText="1"/>
      <protection/>
    </xf>
    <xf numFmtId="0" fontId="29" fillId="0" borderId="17" xfId="59" applyBorder="1" applyAlignment="1">
      <alignment horizontal="center" vertical="center" wrapText="1"/>
      <protection/>
    </xf>
    <xf numFmtId="3" fontId="33" fillId="0" borderId="51" xfId="59" applyNumberFormat="1" applyFont="1" applyFill="1" applyBorder="1" applyAlignment="1">
      <alignment horizontal="center" vertical="center"/>
      <protection/>
    </xf>
    <xf numFmtId="3" fontId="33" fillId="0" borderId="49" xfId="59" applyNumberFormat="1" applyFont="1" applyFill="1" applyBorder="1" applyAlignment="1">
      <alignment horizontal="center" vertical="center"/>
      <protection/>
    </xf>
    <xf numFmtId="3" fontId="30" fillId="0" borderId="51" xfId="59" applyNumberFormat="1" applyFont="1" applyFill="1" applyBorder="1" applyAlignment="1">
      <alignment/>
      <protection/>
    </xf>
    <xf numFmtId="3" fontId="34" fillId="0" borderId="130" xfId="59" applyNumberFormat="1" applyFont="1" applyFill="1" applyBorder="1" applyAlignment="1">
      <alignment wrapText="1"/>
      <protection/>
    </xf>
    <xf numFmtId="3" fontId="34" fillId="0" borderId="179" xfId="59" applyNumberFormat="1" applyFont="1" applyFill="1" applyBorder="1" applyAlignment="1">
      <alignment wrapText="1"/>
      <protection/>
    </xf>
    <xf numFmtId="3" fontId="34" fillId="0" borderId="130" xfId="59" applyNumberFormat="1" applyFont="1" applyFill="1" applyBorder="1" applyAlignment="1">
      <alignment vertical="center" wrapText="1"/>
      <protection/>
    </xf>
    <xf numFmtId="3" fontId="36" fillId="0" borderId="130" xfId="59" applyNumberFormat="1" applyFont="1" applyFill="1" applyBorder="1" applyAlignment="1">
      <alignment vertical="center" wrapText="1"/>
      <protection/>
    </xf>
    <xf numFmtId="3" fontId="34" fillId="0" borderId="180" xfId="59" applyNumberFormat="1" applyFont="1" applyFill="1" applyBorder="1" applyAlignment="1">
      <alignment vertical="center" wrapText="1"/>
      <protection/>
    </xf>
    <xf numFmtId="3" fontId="34" fillId="0" borderId="86" xfId="59" applyNumberFormat="1" applyFont="1" applyFill="1" applyBorder="1" applyAlignment="1">
      <alignment vertical="center" wrapText="1"/>
      <protection/>
    </xf>
    <xf numFmtId="3" fontId="30" fillId="0" borderId="181" xfId="59" applyNumberFormat="1" applyFont="1" applyFill="1" applyBorder="1" applyAlignment="1">
      <alignment wrapText="1"/>
      <protection/>
    </xf>
    <xf numFmtId="3" fontId="30" fillId="0" borderId="182" xfId="59" applyNumberFormat="1" applyFont="1" applyFill="1" applyBorder="1" applyAlignment="1">
      <alignment wrapText="1"/>
      <protection/>
    </xf>
    <xf numFmtId="3" fontId="36" fillId="0" borderId="183" xfId="60" applyNumberFormat="1" applyFont="1" applyFill="1" applyBorder="1" applyAlignment="1">
      <alignment/>
      <protection/>
    </xf>
    <xf numFmtId="3" fontId="36" fillId="0" borderId="184" xfId="60" applyNumberFormat="1" applyFont="1" applyFill="1" applyBorder="1" applyAlignment="1">
      <alignment/>
      <protection/>
    </xf>
    <xf numFmtId="3" fontId="36" fillId="0" borderId="174" xfId="60" applyNumberFormat="1" applyFont="1" applyFill="1" applyBorder="1" applyAlignment="1">
      <alignment/>
      <protection/>
    </xf>
    <xf numFmtId="3" fontId="36" fillId="0" borderId="143" xfId="60" applyNumberFormat="1" applyFont="1" applyFill="1" applyBorder="1" applyAlignment="1">
      <alignment/>
      <protection/>
    </xf>
    <xf numFmtId="3" fontId="34" fillId="0" borderId="166" xfId="60" applyNumberFormat="1" applyFont="1" applyFill="1" applyBorder="1" applyAlignment="1">
      <alignment vertical="center"/>
      <protection/>
    </xf>
    <xf numFmtId="3" fontId="34" fillId="0" borderId="167" xfId="60" applyNumberFormat="1" applyFont="1" applyFill="1" applyBorder="1" applyAlignment="1">
      <alignment vertical="center" wrapText="1"/>
      <protection/>
    </xf>
    <xf numFmtId="3" fontId="34" fillId="0" borderId="130" xfId="60" applyNumberFormat="1" applyFont="1" applyFill="1" applyBorder="1" applyAlignment="1">
      <alignment vertical="center" wrapText="1"/>
      <protection/>
    </xf>
    <xf numFmtId="3" fontId="34" fillId="0" borderId="86" xfId="60" applyNumberFormat="1" applyFont="1" applyFill="1" applyBorder="1" applyAlignment="1">
      <alignment vertical="center" wrapText="1"/>
      <protection/>
    </xf>
    <xf numFmtId="3" fontId="36" fillId="0" borderId="176" xfId="60" applyNumberFormat="1" applyFont="1" applyFill="1" applyBorder="1" applyAlignment="1">
      <alignment/>
      <protection/>
    </xf>
    <xf numFmtId="3" fontId="36" fillId="0" borderId="115" xfId="60" applyNumberFormat="1" applyFont="1" applyFill="1" applyBorder="1" applyAlignment="1">
      <alignment/>
      <protection/>
    </xf>
    <xf numFmtId="3" fontId="34" fillId="0" borderId="110" xfId="60" applyNumberFormat="1" applyFont="1" applyFill="1" applyBorder="1" applyAlignment="1">
      <alignment vertical="center"/>
      <protection/>
    </xf>
    <xf numFmtId="3" fontId="34" fillId="0" borderId="166" xfId="60" applyNumberFormat="1" applyFont="1" applyFill="1" applyBorder="1" applyAlignment="1">
      <alignment vertical="center" wrapText="1"/>
      <protection/>
    </xf>
    <xf numFmtId="0" fontId="29" fillId="0" borderId="179" xfId="60" applyBorder="1" applyAlignment="1">
      <alignment vertical="center" wrapText="1"/>
      <protection/>
    </xf>
    <xf numFmtId="3" fontId="34" fillId="0" borderId="155" xfId="60" applyNumberFormat="1" applyFont="1" applyFill="1" applyBorder="1" applyAlignment="1">
      <alignment vertical="center"/>
      <protection/>
    </xf>
    <xf numFmtId="3" fontId="34" fillId="0" borderId="164" xfId="60" applyNumberFormat="1" applyFont="1" applyFill="1" applyBorder="1" applyAlignment="1">
      <alignment vertical="center"/>
      <protection/>
    </xf>
    <xf numFmtId="3" fontId="34" fillId="0" borderId="167" xfId="60" applyNumberFormat="1" applyFont="1" applyFill="1" applyBorder="1" applyAlignment="1">
      <alignment vertical="center"/>
      <protection/>
    </xf>
    <xf numFmtId="3" fontId="34" fillId="0" borderId="130" xfId="60" applyNumberFormat="1" applyFont="1" applyFill="1" applyBorder="1" applyAlignment="1">
      <alignment vertical="center"/>
      <protection/>
    </xf>
    <xf numFmtId="3" fontId="36" fillId="0" borderId="95" xfId="60" applyNumberFormat="1" applyFont="1" applyFill="1" applyBorder="1" applyAlignment="1">
      <alignment vertical="center" wrapText="1"/>
      <protection/>
    </xf>
    <xf numFmtId="0" fontId="35" fillId="0" borderId="135" xfId="60" applyFont="1" applyBorder="1" applyAlignment="1">
      <alignment/>
      <protection/>
    </xf>
    <xf numFmtId="0" fontId="31" fillId="0" borderId="185" xfId="60" applyFont="1" applyBorder="1" applyAlignment="1">
      <alignment vertical="center"/>
      <protection/>
    </xf>
    <xf numFmtId="0" fontId="31" fillId="0" borderId="186" xfId="60" applyFont="1" applyBorder="1" applyAlignment="1">
      <alignment vertical="center"/>
      <protection/>
    </xf>
    <xf numFmtId="0" fontId="31" fillId="0" borderId="187" xfId="60" applyFont="1" applyBorder="1" applyAlignment="1">
      <alignment vertical="center"/>
      <protection/>
    </xf>
    <xf numFmtId="3" fontId="36" fillId="0" borderId="188" xfId="60" applyNumberFormat="1" applyFont="1" applyFill="1" applyBorder="1" applyAlignment="1">
      <alignment/>
      <protection/>
    </xf>
    <xf numFmtId="3" fontId="36" fillId="0" borderId="189" xfId="60" applyNumberFormat="1" applyFont="1" applyFill="1" applyBorder="1" applyAlignment="1">
      <alignment/>
      <protection/>
    </xf>
    <xf numFmtId="3" fontId="36" fillId="0" borderId="150" xfId="60" applyNumberFormat="1" applyFont="1" applyFill="1" applyBorder="1" applyAlignment="1">
      <alignment/>
      <protection/>
    </xf>
    <xf numFmtId="3" fontId="34" fillId="0" borderId="180" xfId="60" applyNumberFormat="1" applyFont="1" applyFill="1" applyBorder="1" applyAlignment="1">
      <alignment vertical="center" wrapText="1"/>
      <protection/>
    </xf>
    <xf numFmtId="3" fontId="34" fillId="0" borderId="180" xfId="60" applyNumberFormat="1" applyFont="1" applyFill="1" applyBorder="1" applyAlignment="1">
      <alignment vertical="center"/>
      <protection/>
    </xf>
    <xf numFmtId="3" fontId="34" fillId="0" borderId="128" xfId="60" applyNumberFormat="1" applyFont="1" applyFill="1" applyBorder="1" applyAlignment="1">
      <alignment vertical="center"/>
      <protection/>
    </xf>
    <xf numFmtId="0" fontId="40" fillId="0" borderId="0" xfId="0" applyFont="1" applyAlignment="1" applyProtection="1">
      <alignment horizontal="center" vertical="center" wrapText="1"/>
      <protection locked="0"/>
    </xf>
    <xf numFmtId="0" fontId="24" fillId="0" borderId="2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65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4" fillId="0" borderId="70" xfId="0" applyFont="1" applyBorder="1" applyAlignment="1">
      <alignment horizontal="center" vertical="center" wrapText="1"/>
    </xf>
    <xf numFmtId="0" fontId="24" fillId="0" borderId="72" xfId="0" applyFont="1" applyBorder="1" applyAlignment="1">
      <alignment horizontal="center" vertical="center" wrapText="1"/>
    </xf>
    <xf numFmtId="0" fontId="24" fillId="0" borderId="74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75" xfId="0" applyFont="1" applyBorder="1" applyAlignment="1">
      <alignment horizontal="center" vertical="center" wrapText="1"/>
    </xf>
    <xf numFmtId="164" fontId="27" fillId="0" borderId="61" xfId="0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perhivatkozá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Már látott hiperhivatkozás" xfId="57"/>
    <cellStyle name="Followed Hyperlink" xfId="58"/>
    <cellStyle name="Normál_7. sz tájékoztató" xfId="59"/>
    <cellStyle name="Normál_8. sz. táblázat" xfId="60"/>
    <cellStyle name="Normál_KVRENMUNKA" xfId="61"/>
    <cellStyle name="Normál_SEGEDLETE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externalLink" Target="externalLinks/externalLink1.xml" /><Relationship Id="rId44" Type="http://schemas.openxmlformats.org/officeDocument/2006/relationships/externalLink" Target="externalLinks/externalLink2.xml" /><Relationship Id="rId45" Type="http://schemas.openxmlformats.org/officeDocument/2006/relationships/externalLink" Target="externalLinks/externalLink3.xml" /><Relationship Id="rId46" Type="http://schemas.openxmlformats.org/officeDocument/2006/relationships/externalLink" Target="externalLinks/externalLink4.xml" /><Relationship Id="rId47" Type="http://schemas.openxmlformats.org/officeDocument/2006/relationships/externalLink" Target="externalLinks/externalLink5.xml" /><Relationship Id="rId48" Type="http://schemas.openxmlformats.org/officeDocument/2006/relationships/externalLink" Target="externalLinks/externalLink6.xml" /><Relationship Id="rId49" Type="http://schemas.openxmlformats.org/officeDocument/2006/relationships/externalLink" Target="externalLinks/externalLink7.xml" /><Relationship Id="rId50" Type="http://schemas.openxmlformats.org/officeDocument/2006/relationships/externalLink" Target="externalLinks/externalLink8.xml" /><Relationship Id="rId51" Type="http://schemas.openxmlformats.org/officeDocument/2006/relationships/externalLink" Target="externalLinks/externalLink9.xml" /><Relationship Id="rId52" Type="http://schemas.openxmlformats.org/officeDocument/2006/relationships/externalLink" Target="externalLinks/externalLink10.xml" /><Relationship Id="rId53" Type="http://schemas.openxmlformats.org/officeDocument/2006/relationships/externalLink" Target="externalLinks/externalLink11.xml" /><Relationship Id="rId54" Type="http://schemas.openxmlformats.org/officeDocument/2006/relationships/externalLink" Target="externalLinks/externalLink12.xml" /><Relationship Id="rId55" Type="http://schemas.openxmlformats.org/officeDocument/2006/relationships/externalLink" Target="externalLinks/externalLink13.xml" /><Relationship Id="rId56" Type="http://schemas.openxmlformats.org/officeDocument/2006/relationships/externalLink" Target="externalLinks/externalLink14.xml" /><Relationship Id="rId57" Type="http://schemas.openxmlformats.org/officeDocument/2006/relationships/externalLink" Target="externalLinks/externalLink15.xml" /><Relationship Id="rId58" Type="http://schemas.openxmlformats.org/officeDocument/2006/relationships/externalLink" Target="externalLinks/externalLink16.xml" /><Relationship Id="rId59" Type="http://schemas.openxmlformats.org/officeDocument/2006/relationships/externalLink" Target="externalLinks/externalLink17.xml" /><Relationship Id="rId6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K&#214;H%202016.&#233;vi%20k&#246;lts&#233;gvet&#233;s\K&#214;H%202016%20&#233;vi%20k&#246;lts&#233;gvet&#233;s\K&#214;H%20k&#246;lts&#233;gvet&#233;si%20t&#225;bla%20%20B%204%20M&#369;k&#246;d&#233;si%20bev&#233;telek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Szent%20Gy&#246;rgy%202016.&#233;vi%20k&#246;lts&#233;gvet&#233;s\Szent%20Gy&#246;rgy%20k&#246;lts&#233;gvet&#233;si%20t&#225;bla%20%20B%208%20Finansz&#237;roz&#225;si%20bev&#233;tel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Szent%20Gy&#246;rgy%202016.&#233;vi%20k&#246;lts&#233;gvet&#233;s\Szent%20Gy&#246;rgy%20k&#246;lts&#233;gvet&#233;si%20t&#225;bla%20K%201%20,%20K%202%20,B&#233;rek%20&#233;s%20J&#225;rul&#233;kok%20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Szent%20Gy&#246;rgy%202016.&#233;vi%20k&#246;lts&#233;gvet&#233;s\Szent%20Gy&#246;ryg%20K&#246;lts&#233;gvet&#233;si%20t&#225;bla%20%20K%203%20dologi%20kiad&#225;sok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RENDSZ~1\LOCALS~1\Temp\Xl000027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RENDSZ~1\LOCALS~1\Temp\Xl000027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K&#246;lts&#233;gvet&#233;s%202016.%20T&#225;t%20&#214;nkorm&#225;nyzat\Kiad&#225;sok%20%20K%203%20dologi%20kiad&#225;sok2oldal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RENDSZ~1\LOCALS~1\Temp\Xl000027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&#246;lts&#233;gvet&#233;s%202016.%20T&#225;t%20&#214;nkorm&#225;nyzat\Kiad&#225;sok%20%20K%205%20Egy&#233;b%20m&#369;k&#246;d&#233;si%20kiad&#225;s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K&#214;H%202016.&#233;vi%20k&#246;lts&#233;gvet&#233;s\K&#214;H%202016%20&#233;vi%20k&#246;lts&#233;gvet&#233;s\K&#214;H.%20k&#246;lts&#233;gvet&#233;si%20t&#225;bla%20K%201%20,%20K%202%20,B&#233;rek%20&#233;s%20J&#225;rul&#233;kok%2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K&#214;H%202016.&#233;vi%20k&#246;lts&#233;gvet&#233;s\K&#214;H%202016%20&#233;vi%20k&#246;lts&#233;gvet&#233;s\K&#214;H.%20K&#246;lts&#233;gvet&#233;si%20t&#225;bla%20%20K%203%20dologi%20kiad&#225;so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K&#214;H%202016.&#233;vi%20k&#246;lts&#233;gvet&#233;s\K&#214;H%202016%20&#233;vi%20k&#246;lts&#233;gvet&#233;s\K&#214;H.%20k&#246;lts&#233;gvet&#233;si%20t&#225;bla%202o14%20B%208%20Finansz&#237;roz&#225;si%20bev&#233;tele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K&#250;lt&#250;rh&#225;z%202016.&#233;vi%20k&#246;lts&#233;gvet&#233;s\Kult&#250;r%20k&#246;lts&#233;gvet&#233;si%20t&#225;bla%20%20K%203%20dologi%20kiad&#225;sok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K&#250;lt&#250;rh&#225;z%202016.&#233;vi%20k&#246;lts&#233;gvet&#233;s\Kult&#250;r%20k&#246;lts&#233;gvet&#233;si%20t&#225;bla%20K1,%20K2%20b&#233;r%20&#233;s%20j&#225;rul&#233;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K&#250;lt&#250;rh&#225;z%202016.&#233;vi%20k&#246;lts&#233;gvet&#233;s\Kult&#250;r%20k&#246;lts&#233;gvet&#233;si%20t&#225;bla%20%20B%204%20M&#369;k&#246;d&#233;si%20bev&#233;tele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K&#250;lt&#250;rh&#225;z%202016.&#233;vi%20k&#246;lts&#233;gvet&#233;s\Kult&#250;r%20k&#246;lts&#233;gvet&#233;si%20t&#225;bla%20%20B%208%20Finansz&#237;roz&#225;si%20bev&#233;telek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Szent%20Gy&#246;rgy%202016.&#233;vi%20k&#246;lts&#233;gvet&#233;s\Szent%20Gy&#246;rgy%20k&#246;lts&#233;gvet&#233;si%20t&#225;bla%20%20B%204%20M&#369;k&#246;d&#233;si%20bev&#233;tel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43">
          <cell r="B43">
            <v>3000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9">
          <cell r="B9">
            <v>63749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45">
          <cell r="B45">
            <v>59115</v>
          </cell>
          <cell r="C45">
            <v>3939</v>
          </cell>
          <cell r="D45">
            <v>963</v>
          </cell>
          <cell r="E45">
            <v>962</v>
          </cell>
          <cell r="K45">
            <v>64979</v>
          </cell>
        </row>
        <row r="64">
          <cell r="B64">
            <v>16965</v>
          </cell>
          <cell r="C64">
            <v>1057</v>
          </cell>
          <cell r="D64">
            <v>262</v>
          </cell>
          <cell r="E64">
            <v>262</v>
          </cell>
          <cell r="K64">
            <v>18546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97">
          <cell r="B97">
            <v>56669</v>
          </cell>
          <cell r="C97">
            <v>170</v>
          </cell>
          <cell r="D97">
            <v>130</v>
          </cell>
          <cell r="E97">
            <v>0</v>
          </cell>
          <cell r="K97">
            <v>56969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47">
          <cell r="B47">
            <v>4317</v>
          </cell>
          <cell r="C47">
            <v>6514</v>
          </cell>
          <cell r="D47">
            <v>14888</v>
          </cell>
          <cell r="E47">
            <v>1326</v>
          </cell>
          <cell r="F47">
            <v>5538</v>
          </cell>
          <cell r="G47">
            <v>5432</v>
          </cell>
        </row>
        <row r="66">
          <cell r="B66">
            <v>1137</v>
          </cell>
          <cell r="C66">
            <v>1734</v>
          </cell>
          <cell r="D66">
            <v>4132</v>
          </cell>
          <cell r="E66">
            <v>358</v>
          </cell>
          <cell r="F66">
            <v>1495</v>
          </cell>
          <cell r="G66">
            <v>1630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99">
          <cell r="B99">
            <v>25400</v>
          </cell>
          <cell r="C99">
            <v>1778</v>
          </cell>
          <cell r="D99">
            <v>15240</v>
          </cell>
          <cell r="E99">
            <v>500</v>
          </cell>
          <cell r="F99">
            <v>500</v>
          </cell>
          <cell r="G99">
            <v>2920</v>
          </cell>
          <cell r="H99">
            <v>10160</v>
          </cell>
          <cell r="I99">
            <v>9000</v>
          </cell>
          <cell r="J99">
            <v>700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99">
          <cell r="B99">
            <v>335</v>
          </cell>
          <cell r="C99">
            <v>2200</v>
          </cell>
          <cell r="F99">
            <v>5079</v>
          </cell>
          <cell r="G99">
            <v>5675</v>
          </cell>
          <cell r="H99">
            <v>50000</v>
          </cell>
          <cell r="I99">
            <v>2032</v>
          </cell>
          <cell r="J99">
            <v>2565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45">
          <cell r="B45">
            <v>1100</v>
          </cell>
          <cell r="C45">
            <v>979</v>
          </cell>
          <cell r="D45">
            <v>1757</v>
          </cell>
          <cell r="G45">
            <v>3775</v>
          </cell>
          <cell r="H45">
            <v>500</v>
          </cell>
          <cell r="I45">
            <v>1500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5">
          <cell r="E5">
            <v>2000</v>
          </cell>
        </row>
        <row r="9">
          <cell r="E9">
            <v>126149</v>
          </cell>
        </row>
        <row r="15">
          <cell r="E15">
            <v>2800</v>
          </cell>
        </row>
        <row r="17">
          <cell r="E17">
            <v>400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45">
          <cell r="B45">
            <v>66232</v>
          </cell>
          <cell r="C45">
            <v>2018</v>
          </cell>
        </row>
        <row r="64">
          <cell r="B64">
            <v>18125</v>
          </cell>
          <cell r="C64">
            <v>545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97">
          <cell r="B97">
            <v>15304</v>
          </cell>
          <cell r="C97">
            <v>437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43">
          <cell r="B43">
            <v>99661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97">
          <cell r="B97">
            <v>1100</v>
          </cell>
          <cell r="C97">
            <v>750</v>
          </cell>
          <cell r="D97">
            <v>440</v>
          </cell>
          <cell r="E97">
            <v>5580</v>
          </cell>
          <cell r="F97">
            <v>596</v>
          </cell>
          <cell r="K97">
            <v>8466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45">
          <cell r="B45">
            <v>1733</v>
          </cell>
          <cell r="C45">
            <v>8140</v>
          </cell>
          <cell r="K45">
            <v>9873</v>
          </cell>
        </row>
        <row r="64">
          <cell r="B64">
            <v>468</v>
          </cell>
          <cell r="C64">
            <v>2127</v>
          </cell>
          <cell r="K64">
            <v>2595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3">
          <cell r="K3">
            <v>1000</v>
          </cell>
        </row>
        <row r="7">
          <cell r="K7">
            <v>30</v>
          </cell>
        </row>
        <row r="9">
          <cell r="K9">
            <v>2000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43">
          <cell r="B43">
            <v>17904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7">
          <cell r="B7">
            <v>71745</v>
          </cell>
        </row>
        <row r="9">
          <cell r="B9">
            <v>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2"/>
  <sheetViews>
    <sheetView view="pageBreakPreview" zoomScaleNormal="120" zoomScaleSheetLayoutView="100" workbookViewId="0" topLeftCell="A124">
      <selection activeCell="A152" sqref="A152"/>
    </sheetView>
  </sheetViews>
  <sheetFormatPr defaultColWidth="9.00390625" defaultRowHeight="12.75"/>
  <cols>
    <col min="1" max="1" width="9.50390625" style="368" customWidth="1"/>
    <col min="2" max="2" width="91.625" style="368" customWidth="1"/>
    <col min="3" max="7" width="16.375" style="369" customWidth="1"/>
    <col min="8" max="16384" width="9.375" style="392" customWidth="1"/>
  </cols>
  <sheetData>
    <row r="1" spans="1:7" ht="15.75" customHeight="1">
      <c r="A1" s="1249" t="s">
        <v>552</v>
      </c>
      <c r="B1" s="1249"/>
      <c r="C1" s="1249"/>
      <c r="D1" s="392"/>
      <c r="E1" s="392"/>
      <c r="F1" s="392"/>
      <c r="G1" s="392"/>
    </row>
    <row r="2" spans="1:7" ht="15.75" customHeight="1" thickBot="1">
      <c r="A2" s="1248" t="s">
        <v>689</v>
      </c>
      <c r="B2" s="1248"/>
      <c r="C2" s="294"/>
      <c r="D2" s="294"/>
      <c r="E2" s="294" t="s">
        <v>770</v>
      </c>
      <c r="F2" s="294"/>
      <c r="G2" s="294"/>
    </row>
    <row r="3" spans="1:7" ht="37.5" customHeight="1" thickBot="1">
      <c r="A3" s="21" t="s">
        <v>610</v>
      </c>
      <c r="B3" s="22" t="s">
        <v>554</v>
      </c>
      <c r="C3" s="37" t="s">
        <v>451</v>
      </c>
      <c r="D3" s="37" t="s">
        <v>884</v>
      </c>
      <c r="E3" s="37" t="s">
        <v>906</v>
      </c>
      <c r="F3" s="37" t="s">
        <v>911</v>
      </c>
      <c r="G3" s="1224" t="s">
        <v>7</v>
      </c>
    </row>
    <row r="4" spans="1:7" s="393" customFormat="1" ht="12" customHeight="1" thickBot="1">
      <c r="A4" s="387">
        <v>1</v>
      </c>
      <c r="B4" s="388">
        <v>2</v>
      </c>
      <c r="C4" s="389">
        <v>3</v>
      </c>
      <c r="D4" s="389">
        <v>4</v>
      </c>
      <c r="E4" s="389">
        <v>5</v>
      </c>
      <c r="F4" s="389">
        <v>6</v>
      </c>
      <c r="G4" s="389">
        <v>7</v>
      </c>
    </row>
    <row r="5" spans="1:7" s="394" customFormat="1" ht="12" customHeight="1" thickBot="1">
      <c r="A5" s="18" t="s">
        <v>555</v>
      </c>
      <c r="B5" s="19" t="s">
        <v>798</v>
      </c>
      <c r="C5" s="285">
        <f>+C6+C7+C8+C9+C10+C11</f>
        <v>388467</v>
      </c>
      <c r="D5" s="285">
        <f>+D6+D7+D8+D9+D10+D11</f>
        <v>393550</v>
      </c>
      <c r="E5" s="285">
        <f>+E6+E7+E8+E9+E10+E11</f>
        <v>396686</v>
      </c>
      <c r="F5" s="285">
        <f>+F6+F7+F8+F9+F10+F11</f>
        <v>396287778</v>
      </c>
      <c r="G5" s="285">
        <f>+G6+G7+G8+G9+G10+G11</f>
        <v>398046285</v>
      </c>
    </row>
    <row r="6" spans="1:7" s="394" customFormat="1" ht="12" customHeight="1">
      <c r="A6" s="13" t="s">
        <v>640</v>
      </c>
      <c r="B6" s="395" t="s">
        <v>799</v>
      </c>
      <c r="C6" s="288">
        <f>'9.1. melléklet'!C9</f>
        <v>129128</v>
      </c>
      <c r="D6" s="288">
        <f>'9.1. melléklet'!D9</f>
        <v>129128</v>
      </c>
      <c r="E6" s="288">
        <f>'9.1. melléklet'!E9</f>
        <v>129128</v>
      </c>
      <c r="F6" s="288">
        <v>129128455</v>
      </c>
      <c r="G6" s="288">
        <v>129659455</v>
      </c>
    </row>
    <row r="7" spans="1:7" s="394" customFormat="1" ht="12" customHeight="1">
      <c r="A7" s="12" t="s">
        <v>641</v>
      </c>
      <c r="B7" s="396" t="s">
        <v>800</v>
      </c>
      <c r="C7" s="288">
        <f>'9.1. melléklet'!C10</f>
        <v>114811</v>
      </c>
      <c r="D7" s="288">
        <f>'9.1. melléklet'!D10</f>
        <v>114811</v>
      </c>
      <c r="E7" s="288">
        <f>'9.1. melléklet'!E10</f>
        <v>114811</v>
      </c>
      <c r="F7" s="288">
        <v>114811100</v>
      </c>
      <c r="G7" s="288">
        <v>116255634</v>
      </c>
    </row>
    <row r="8" spans="1:7" s="394" customFormat="1" ht="12" customHeight="1">
      <c r="A8" s="12" t="s">
        <v>642</v>
      </c>
      <c r="B8" s="396" t="s">
        <v>801</v>
      </c>
      <c r="C8" s="288">
        <f>'9.1. melléklet'!C11</f>
        <v>138262</v>
      </c>
      <c r="D8" s="288">
        <f>'9.1. melléklet'!D11</f>
        <v>138262</v>
      </c>
      <c r="E8" s="288">
        <f>'9.1. melléklet'!E11</f>
        <v>138262</v>
      </c>
      <c r="F8" s="288">
        <v>137863413</v>
      </c>
      <c r="G8" s="288">
        <v>139048734</v>
      </c>
    </row>
    <row r="9" spans="1:7" s="394" customFormat="1" ht="12" customHeight="1">
      <c r="A9" s="12" t="s">
        <v>643</v>
      </c>
      <c r="B9" s="396" t="s">
        <v>802</v>
      </c>
      <c r="C9" s="288">
        <f>'9.1. melléklet'!C12</f>
        <v>6266</v>
      </c>
      <c r="D9" s="288">
        <f>'9.1. melléklet'!D12</f>
        <v>6266</v>
      </c>
      <c r="E9" s="288">
        <f>'9.1. melléklet'!E12</f>
        <v>6266</v>
      </c>
      <c r="F9" s="288">
        <v>6265440</v>
      </c>
      <c r="G9" s="288">
        <v>6607308</v>
      </c>
    </row>
    <row r="10" spans="1:7" s="394" customFormat="1" ht="12" customHeight="1">
      <c r="A10" s="12" t="s">
        <v>686</v>
      </c>
      <c r="B10" s="396" t="s">
        <v>803</v>
      </c>
      <c r="C10" s="288">
        <f>'9.1. melléklet'!C13</f>
        <v>0</v>
      </c>
      <c r="D10" s="288">
        <f>'9.1. melléklet'!D13</f>
        <v>5083</v>
      </c>
      <c r="E10" s="288">
        <f>'9.1. melléklet'!E13</f>
        <v>8219</v>
      </c>
      <c r="F10" s="288">
        <v>8219370</v>
      </c>
      <c r="G10" s="288">
        <v>640362</v>
      </c>
    </row>
    <row r="11" spans="1:7" s="394" customFormat="1" ht="12" customHeight="1" thickBot="1">
      <c r="A11" s="14" t="s">
        <v>644</v>
      </c>
      <c r="B11" s="397" t="s">
        <v>804</v>
      </c>
      <c r="C11" s="910">
        <f>'9.1. melléklet'!C14</f>
        <v>0</v>
      </c>
      <c r="D11" s="910">
        <f>'9.1. melléklet'!D14</f>
        <v>0</v>
      </c>
      <c r="E11" s="910">
        <f>'9.1. melléklet'!E14</f>
        <v>0</v>
      </c>
      <c r="F11" s="910">
        <f>'9.1. melléklet'!F14</f>
        <v>0</v>
      </c>
      <c r="G11" s="910">
        <v>5834792</v>
      </c>
    </row>
    <row r="12" spans="1:7" s="394" customFormat="1" ht="12" customHeight="1" thickBot="1">
      <c r="A12" s="18" t="s">
        <v>556</v>
      </c>
      <c r="B12" s="280" t="s">
        <v>805</v>
      </c>
      <c r="C12" s="911">
        <f>'9.1. melléklet'!C15</f>
        <v>9120</v>
      </c>
      <c r="D12" s="911">
        <f>'9.1. melléklet'!D15</f>
        <v>18325</v>
      </c>
      <c r="E12" s="911">
        <f>'9.1. melléklet'!E15</f>
        <v>23053</v>
      </c>
      <c r="F12" s="1196">
        <v>25950209</v>
      </c>
      <c r="G12" s="1196">
        <f>G15+G16+G17</f>
        <v>28922316</v>
      </c>
    </row>
    <row r="13" spans="1:7" s="394" customFormat="1" ht="12" customHeight="1">
      <c r="A13" s="13" t="s">
        <v>646</v>
      </c>
      <c r="B13" s="395" t="s">
        <v>806</v>
      </c>
      <c r="C13" s="288">
        <f>'9.1. melléklet'!C16</f>
        <v>0</v>
      </c>
      <c r="D13" s="288">
        <f>'9.1. melléklet'!D16</f>
        <v>0</v>
      </c>
      <c r="E13" s="288">
        <f>'9.1. melléklet'!E16</f>
        <v>0</v>
      </c>
      <c r="F13" s="288">
        <f>'9.1. melléklet'!F16</f>
        <v>0</v>
      </c>
      <c r="G13" s="288"/>
    </row>
    <row r="14" spans="1:7" s="394" customFormat="1" ht="12" customHeight="1">
      <c r="A14" s="12" t="s">
        <v>647</v>
      </c>
      <c r="B14" s="396" t="s">
        <v>807</v>
      </c>
      <c r="C14" s="288">
        <f>'9.1. melléklet'!C17</f>
        <v>0</v>
      </c>
      <c r="D14" s="288">
        <f>'9.1. melléklet'!D17</f>
        <v>0</v>
      </c>
      <c r="E14" s="288">
        <f>'9.1. melléklet'!E17</f>
        <v>0</v>
      </c>
      <c r="F14" s="288">
        <f>'9.1. melléklet'!F17</f>
        <v>0</v>
      </c>
      <c r="G14" s="288">
        <f>'9.1. melléklet'!G17</f>
        <v>0</v>
      </c>
    </row>
    <row r="15" spans="1:7" s="394" customFormat="1" ht="12" customHeight="1">
      <c r="A15" s="12" t="s">
        <v>648</v>
      </c>
      <c r="B15" s="396" t="s">
        <v>246</v>
      </c>
      <c r="C15" s="288">
        <f>'9.1. melléklet'!C18</f>
        <v>0</v>
      </c>
      <c r="D15" s="288">
        <f>'9.1. melléklet'!D18</f>
        <v>0</v>
      </c>
      <c r="E15" s="288">
        <f>'9.1. melléklet'!E18</f>
        <v>0</v>
      </c>
      <c r="F15" s="288">
        <f>'9.1. melléklet'!F18</f>
        <v>0</v>
      </c>
      <c r="G15" s="288">
        <v>465000</v>
      </c>
    </row>
    <row r="16" spans="1:7" s="394" customFormat="1" ht="12" customHeight="1">
      <c r="A16" s="12" t="s">
        <v>649</v>
      </c>
      <c r="B16" s="396" t="s">
        <v>331</v>
      </c>
      <c r="C16" s="288">
        <f>'9.1. melléklet'!C19</f>
        <v>9120</v>
      </c>
      <c r="D16" s="288">
        <f>'9.1. melléklet'!D19</f>
        <v>9120</v>
      </c>
      <c r="E16" s="288">
        <f>'9.1. melléklet'!E19</f>
        <v>9120</v>
      </c>
      <c r="F16" s="288">
        <v>10140600</v>
      </c>
      <c r="G16" s="288">
        <v>10140600</v>
      </c>
    </row>
    <row r="17" spans="1:7" s="394" customFormat="1" ht="12" customHeight="1">
      <c r="A17" s="12" t="s">
        <v>650</v>
      </c>
      <c r="B17" s="396" t="s">
        <v>332</v>
      </c>
      <c r="C17" s="288">
        <f>'9.1. melléklet'!C20</f>
        <v>0</v>
      </c>
      <c r="D17" s="288">
        <f>'9.1. melléklet'!D20</f>
        <v>9205</v>
      </c>
      <c r="E17" s="288">
        <f>'9.1. melléklet'!E20</f>
        <v>13933</v>
      </c>
      <c r="F17" s="288">
        <v>15809609</v>
      </c>
      <c r="G17" s="288">
        <v>18316716</v>
      </c>
    </row>
    <row r="18" spans="1:7" s="394" customFormat="1" ht="12" customHeight="1" thickBot="1">
      <c r="A18" s="14" t="s">
        <v>659</v>
      </c>
      <c r="B18" s="397" t="s">
        <v>809</v>
      </c>
      <c r="C18" s="910">
        <f>'9.1. melléklet'!C21</f>
        <v>0</v>
      </c>
      <c r="D18" s="910">
        <f>'9.1. melléklet'!D21</f>
        <v>0</v>
      </c>
      <c r="E18" s="910">
        <f>'9.1. melléklet'!E21</f>
        <v>0</v>
      </c>
      <c r="F18" s="910">
        <f>'9.1. melléklet'!F21</f>
        <v>0</v>
      </c>
      <c r="G18" s="910">
        <f>'9.1. melléklet'!G21</f>
        <v>0</v>
      </c>
    </row>
    <row r="19" spans="1:7" s="394" customFormat="1" ht="12" customHeight="1" thickBot="1">
      <c r="A19" s="18" t="s">
        <v>557</v>
      </c>
      <c r="B19" s="19" t="s">
        <v>810</v>
      </c>
      <c r="C19" s="911">
        <f>'9.1. melléklet'!C22</f>
        <v>33407</v>
      </c>
      <c r="D19" s="911">
        <f>'9.1. melléklet'!D22</f>
        <v>33407</v>
      </c>
      <c r="E19" s="911">
        <f>'9.1. melléklet'!E22</f>
        <v>33407</v>
      </c>
      <c r="F19" s="1196">
        <v>214407000</v>
      </c>
      <c r="G19" s="1196">
        <v>191800000</v>
      </c>
    </row>
    <row r="20" spans="1:7" s="394" customFormat="1" ht="12" customHeight="1">
      <c r="A20" s="13" t="s">
        <v>629</v>
      </c>
      <c r="B20" s="395" t="s">
        <v>0</v>
      </c>
      <c r="C20" s="288">
        <f>'9.1. melléklet'!C23</f>
        <v>0</v>
      </c>
      <c r="D20" s="288">
        <f>'9.1. melléklet'!D23</f>
        <v>0</v>
      </c>
      <c r="E20" s="288">
        <f>'9.1. melléklet'!E23</f>
        <v>0</v>
      </c>
      <c r="F20" s="288">
        <v>181000000</v>
      </c>
      <c r="G20" s="288">
        <v>181000000</v>
      </c>
    </row>
    <row r="21" spans="1:7" s="394" customFormat="1" ht="12" customHeight="1">
      <c r="A21" s="12" t="s">
        <v>630</v>
      </c>
      <c r="B21" s="396" t="s">
        <v>812</v>
      </c>
      <c r="C21" s="288">
        <f>'9.1. melléklet'!C24</f>
        <v>0</v>
      </c>
      <c r="D21" s="288">
        <f>'9.1. melléklet'!D24</f>
        <v>0</v>
      </c>
      <c r="E21" s="288">
        <f>'9.1. melléklet'!E24</f>
        <v>0</v>
      </c>
      <c r="F21" s="288">
        <f>'9.1. melléklet'!F24</f>
        <v>0</v>
      </c>
      <c r="G21" s="288">
        <f>'9.1. melléklet'!G24</f>
        <v>0</v>
      </c>
    </row>
    <row r="22" spans="1:7" s="394" customFormat="1" ht="12" customHeight="1">
      <c r="A22" s="12" t="s">
        <v>631</v>
      </c>
      <c r="B22" s="396" t="s">
        <v>174</v>
      </c>
      <c r="C22" s="288">
        <f>'9.1. melléklet'!C25</f>
        <v>0</v>
      </c>
      <c r="D22" s="288">
        <f>'9.1. melléklet'!D25</f>
        <v>0</v>
      </c>
      <c r="E22" s="288">
        <f>'9.1. melléklet'!E25</f>
        <v>0</v>
      </c>
      <c r="F22" s="288">
        <f>'9.1. melléklet'!F25</f>
        <v>0</v>
      </c>
      <c r="G22" s="288">
        <f>'9.1. melléklet'!G25</f>
        <v>0</v>
      </c>
    </row>
    <row r="23" spans="1:7" s="394" customFormat="1" ht="12" customHeight="1">
      <c r="A23" s="12" t="s">
        <v>632</v>
      </c>
      <c r="B23" s="396" t="s">
        <v>813</v>
      </c>
      <c r="C23" s="288">
        <f>'9.1. melléklet'!C26</f>
        <v>0</v>
      </c>
      <c r="D23" s="288">
        <f>'9.1. melléklet'!D26</f>
        <v>0</v>
      </c>
      <c r="E23" s="288">
        <f>'9.1. melléklet'!E26</f>
        <v>0</v>
      </c>
      <c r="F23" s="288">
        <f>'9.1. melléklet'!F26</f>
        <v>0</v>
      </c>
      <c r="G23" s="288">
        <f>'9.1. melléklet'!G26</f>
        <v>0</v>
      </c>
    </row>
    <row r="24" spans="1:7" s="394" customFormat="1" ht="12" customHeight="1">
      <c r="A24" s="12" t="s">
        <v>707</v>
      </c>
      <c r="B24" s="396" t="s">
        <v>395</v>
      </c>
      <c r="C24" s="288">
        <f>'9.1. melléklet'!C27</f>
        <v>33407</v>
      </c>
      <c r="D24" s="288">
        <v>33407</v>
      </c>
      <c r="E24" s="288">
        <v>33407</v>
      </c>
      <c r="F24" s="288">
        <v>33407000</v>
      </c>
      <c r="G24" s="288">
        <v>10800000</v>
      </c>
    </row>
    <row r="25" spans="1:7" s="394" customFormat="1" ht="12" customHeight="1" thickBot="1">
      <c r="A25" s="14" t="s">
        <v>708</v>
      </c>
      <c r="B25" s="397" t="s">
        <v>814</v>
      </c>
      <c r="C25" s="910">
        <f>'9.1. melléklet'!C28</f>
        <v>0</v>
      </c>
      <c r="D25" s="910">
        <f>'9.1. melléklet'!D28</f>
        <v>0</v>
      </c>
      <c r="E25" s="910">
        <f>'9.1. melléklet'!E28</f>
        <v>0</v>
      </c>
      <c r="F25" s="910">
        <f>'9.1. melléklet'!F28</f>
        <v>0</v>
      </c>
      <c r="G25" s="910">
        <f>'9.1. melléklet'!G28</f>
        <v>0</v>
      </c>
    </row>
    <row r="26" spans="1:7" s="394" customFormat="1" ht="12" customHeight="1" thickBot="1">
      <c r="A26" s="18" t="s">
        <v>709</v>
      </c>
      <c r="B26" s="19" t="s">
        <v>815</v>
      </c>
      <c r="C26" s="911">
        <f>'9.1. melléklet'!C29</f>
        <v>114350</v>
      </c>
      <c r="D26" s="911">
        <f>'9.1. melléklet'!D29</f>
        <v>114350</v>
      </c>
      <c r="E26" s="911">
        <f>'9.1. melléklet'!E29</f>
        <v>114350</v>
      </c>
      <c r="F26" s="1196">
        <v>149350000</v>
      </c>
      <c r="G26" s="1196">
        <v>180840000</v>
      </c>
    </row>
    <row r="27" spans="1:7" s="394" customFormat="1" ht="12" customHeight="1">
      <c r="A27" s="13" t="s">
        <v>816</v>
      </c>
      <c r="B27" s="395" t="s">
        <v>822</v>
      </c>
      <c r="C27" s="288">
        <f>'9.1. melléklet'!C30</f>
        <v>95800</v>
      </c>
      <c r="D27" s="288">
        <f>'9.1. melléklet'!D30</f>
        <v>95800</v>
      </c>
      <c r="E27" s="288">
        <f>'9.1. melléklet'!E30</f>
        <v>95800</v>
      </c>
      <c r="F27" s="288">
        <v>127800000</v>
      </c>
      <c r="G27" s="288">
        <v>155200000</v>
      </c>
    </row>
    <row r="28" spans="1:7" s="394" customFormat="1" ht="12" customHeight="1">
      <c r="A28" s="12" t="s">
        <v>817</v>
      </c>
      <c r="B28" s="654" t="s">
        <v>336</v>
      </c>
      <c r="C28" s="288">
        <f>'9.1. melléklet'!C31</f>
        <v>5800</v>
      </c>
      <c r="D28" s="288">
        <f>'9.1. melléklet'!D31</f>
        <v>5800</v>
      </c>
      <c r="E28" s="288">
        <f>'9.1. melléklet'!E31</f>
        <v>5800</v>
      </c>
      <c r="F28" s="288">
        <v>5800000</v>
      </c>
      <c r="G28" s="288">
        <v>6200000</v>
      </c>
    </row>
    <row r="29" spans="1:7" s="394" customFormat="1" ht="12" customHeight="1">
      <c r="A29" s="12" t="s">
        <v>818</v>
      </c>
      <c r="B29" s="654" t="s">
        <v>337</v>
      </c>
      <c r="C29" s="288">
        <f>'9.1. melléklet'!C32</f>
        <v>90000</v>
      </c>
      <c r="D29" s="288">
        <f>'9.1. melléklet'!D32</f>
        <v>90000</v>
      </c>
      <c r="E29" s="288">
        <f>'9.1. melléklet'!E32</f>
        <v>90000</v>
      </c>
      <c r="F29" s="288">
        <v>122000000</v>
      </c>
      <c r="G29" s="288">
        <v>149000000</v>
      </c>
    </row>
    <row r="30" spans="1:7" s="394" customFormat="1" ht="12" customHeight="1">
      <c r="A30" s="12" t="s">
        <v>819</v>
      </c>
      <c r="B30" s="396" t="s">
        <v>825</v>
      </c>
      <c r="C30" s="288">
        <f>'9.1. melléklet'!C33</f>
        <v>16000</v>
      </c>
      <c r="D30" s="288">
        <f>'9.1. melléklet'!D33</f>
        <v>16000</v>
      </c>
      <c r="E30" s="288">
        <f>'9.1. melléklet'!E33</f>
        <v>16000</v>
      </c>
      <c r="F30" s="288">
        <v>18500000</v>
      </c>
      <c r="G30" s="288">
        <v>21000000</v>
      </c>
    </row>
    <row r="31" spans="1:7" s="394" customFormat="1" ht="12" customHeight="1">
      <c r="A31" s="12" t="s">
        <v>820</v>
      </c>
      <c r="B31" s="396" t="s">
        <v>300</v>
      </c>
      <c r="C31" s="288">
        <f>'9.1. melléklet'!C34</f>
        <v>250</v>
      </c>
      <c r="D31" s="288">
        <f>'9.1. melléklet'!D34</f>
        <v>250</v>
      </c>
      <c r="E31" s="288">
        <f>'9.1. melléklet'!E34</f>
        <v>250</v>
      </c>
      <c r="F31" s="288">
        <v>250000</v>
      </c>
      <c r="G31" s="288">
        <v>440000</v>
      </c>
    </row>
    <row r="32" spans="1:7" s="394" customFormat="1" ht="12" customHeight="1">
      <c r="A32" s="14" t="s">
        <v>821</v>
      </c>
      <c r="B32" s="397" t="s">
        <v>303</v>
      </c>
      <c r="C32" s="288">
        <f>'9.1. melléklet'!C35</f>
        <v>1300</v>
      </c>
      <c r="D32" s="288">
        <f>'9.1. melléklet'!D35</f>
        <v>1300</v>
      </c>
      <c r="E32" s="288">
        <f>'9.1. melléklet'!E35</f>
        <v>1300</v>
      </c>
      <c r="F32" s="288">
        <v>1300000</v>
      </c>
      <c r="G32" s="288">
        <v>2200000</v>
      </c>
    </row>
    <row r="33" spans="1:7" s="394" customFormat="1" ht="12" customHeight="1" thickBot="1">
      <c r="A33" s="14" t="s">
        <v>301</v>
      </c>
      <c r="B33" s="397" t="s">
        <v>302</v>
      </c>
      <c r="C33" s="288">
        <f>'9.1. melléklet'!C36</f>
        <v>1000</v>
      </c>
      <c r="D33" s="288">
        <f>'9.1. melléklet'!D36</f>
        <v>1000</v>
      </c>
      <c r="E33" s="288">
        <f>'9.1. melléklet'!E36</f>
        <v>1000</v>
      </c>
      <c r="F33" s="288">
        <v>1500000</v>
      </c>
      <c r="G33" s="288">
        <v>2000000</v>
      </c>
    </row>
    <row r="34" spans="1:7" s="394" customFormat="1" ht="12" customHeight="1" thickBot="1">
      <c r="A34" s="18" t="s">
        <v>559</v>
      </c>
      <c r="B34" s="19" t="s">
        <v>828</v>
      </c>
      <c r="C34" s="285">
        <f>C36+C37+C39+C40+C42+C44</f>
        <v>105322</v>
      </c>
      <c r="D34" s="285">
        <f>D36+D37+D39+D40+D42+D44</f>
        <v>107112</v>
      </c>
      <c r="E34" s="285">
        <f>E36+E37+E39+E40+E42+E44</f>
        <v>107112</v>
      </c>
      <c r="F34" s="285">
        <f>F36+F37+F39+F40+F42+F44+F41</f>
        <v>151851894</v>
      </c>
      <c r="G34" s="285">
        <f>G36+G37+G39+G40+G42+G44+G41</f>
        <v>156118404</v>
      </c>
    </row>
    <row r="35" spans="1:7" s="394" customFormat="1" ht="12" customHeight="1">
      <c r="A35" s="13" t="s">
        <v>633</v>
      </c>
      <c r="B35" s="395" t="s">
        <v>831</v>
      </c>
      <c r="C35" s="288"/>
      <c r="D35" s="288"/>
      <c r="E35" s="288"/>
      <c r="F35" s="288"/>
      <c r="G35" s="288"/>
    </row>
    <row r="36" spans="1:7" s="394" customFormat="1" ht="12" customHeight="1">
      <c r="A36" s="12" t="s">
        <v>634</v>
      </c>
      <c r="B36" s="396" t="s">
        <v>832</v>
      </c>
      <c r="C36" s="287">
        <v>10200</v>
      </c>
      <c r="D36" s="287">
        <v>10200</v>
      </c>
      <c r="E36" s="287">
        <v>10200</v>
      </c>
      <c r="F36" s="287">
        <v>13622000</v>
      </c>
      <c r="G36" s="287">
        <v>21114680</v>
      </c>
    </row>
    <row r="37" spans="1:7" s="394" customFormat="1" ht="12" customHeight="1">
      <c r="A37" s="12" t="s">
        <v>635</v>
      </c>
      <c r="B37" s="396" t="s">
        <v>833</v>
      </c>
      <c r="C37" s="287">
        <v>300</v>
      </c>
      <c r="D37" s="287">
        <v>300</v>
      </c>
      <c r="E37" s="287">
        <v>300</v>
      </c>
      <c r="F37" s="287">
        <v>300000</v>
      </c>
      <c r="G37" s="287"/>
    </row>
    <row r="38" spans="1:7" s="394" customFormat="1" ht="12" customHeight="1">
      <c r="A38" s="12" t="s">
        <v>711</v>
      </c>
      <c r="B38" s="396" t="s">
        <v>834</v>
      </c>
      <c r="C38" s="287"/>
      <c r="D38" s="287"/>
      <c r="E38" s="287"/>
      <c r="F38" s="287"/>
      <c r="G38" s="287"/>
    </row>
    <row r="39" spans="1:7" s="394" customFormat="1" ht="12" customHeight="1">
      <c r="A39" s="12" t="s">
        <v>712</v>
      </c>
      <c r="B39" s="396" t="s">
        <v>835</v>
      </c>
      <c r="C39" s="287">
        <v>83277</v>
      </c>
      <c r="D39" s="287">
        <v>83277</v>
      </c>
      <c r="E39" s="287">
        <v>83277</v>
      </c>
      <c r="F39" s="287">
        <v>83277000</v>
      </c>
      <c r="G39" s="287">
        <v>83695000</v>
      </c>
    </row>
    <row r="40" spans="1:7" s="394" customFormat="1" ht="12" customHeight="1">
      <c r="A40" s="12" t="s">
        <v>713</v>
      </c>
      <c r="B40" s="396" t="s">
        <v>836</v>
      </c>
      <c r="C40" s="287">
        <v>3045</v>
      </c>
      <c r="D40" s="287">
        <v>3045</v>
      </c>
      <c r="E40" s="287">
        <v>3045</v>
      </c>
      <c r="F40" s="287">
        <v>33245000</v>
      </c>
      <c r="G40" s="287">
        <v>33338000</v>
      </c>
    </row>
    <row r="41" spans="1:7" s="394" customFormat="1" ht="12" customHeight="1">
      <c r="A41" s="12" t="s">
        <v>714</v>
      </c>
      <c r="B41" s="396" t="s">
        <v>837</v>
      </c>
      <c r="C41" s="287"/>
      <c r="D41" s="287"/>
      <c r="E41" s="287"/>
      <c r="F41" s="287">
        <v>9241000</v>
      </c>
      <c r="G41" s="287">
        <v>11088000</v>
      </c>
    </row>
    <row r="42" spans="1:7" s="394" customFormat="1" ht="12" customHeight="1">
      <c r="A42" s="12" t="s">
        <v>715</v>
      </c>
      <c r="B42" s="396" t="s">
        <v>838</v>
      </c>
      <c r="C42" s="287">
        <v>1500</v>
      </c>
      <c r="D42" s="287">
        <v>1500</v>
      </c>
      <c r="E42" s="287">
        <v>1500</v>
      </c>
      <c r="F42" s="287">
        <v>1500000</v>
      </c>
      <c r="G42" s="287">
        <v>659330</v>
      </c>
    </row>
    <row r="43" spans="1:7" s="394" customFormat="1" ht="12" customHeight="1">
      <c r="A43" s="12" t="s">
        <v>829</v>
      </c>
      <c r="B43" s="396" t="s">
        <v>839</v>
      </c>
      <c r="C43" s="290"/>
      <c r="D43" s="290"/>
      <c r="E43" s="290"/>
      <c r="F43" s="290"/>
      <c r="G43" s="290"/>
    </row>
    <row r="44" spans="1:7" s="394" customFormat="1" ht="12" customHeight="1" thickBot="1">
      <c r="A44" s="14" t="s">
        <v>830</v>
      </c>
      <c r="B44" s="397" t="s">
        <v>840</v>
      </c>
      <c r="C44" s="384">
        <v>7000</v>
      </c>
      <c r="D44" s="384">
        <v>8790</v>
      </c>
      <c r="E44" s="384">
        <v>8790</v>
      </c>
      <c r="F44" s="384">
        <v>10666894</v>
      </c>
      <c r="G44" s="384">
        <v>6223394</v>
      </c>
    </row>
    <row r="45" spans="1:7" s="394" customFormat="1" ht="12" customHeight="1" thickBot="1">
      <c r="A45" s="18" t="s">
        <v>560</v>
      </c>
      <c r="B45" s="19" t="s">
        <v>841</v>
      </c>
      <c r="C45" s="285">
        <f>SUM(C46:C50)</f>
        <v>0</v>
      </c>
      <c r="D45" s="285">
        <f>SUM(D46:D50)</f>
        <v>50000</v>
      </c>
      <c r="E45" s="285">
        <f>SUM(E46:E50)</f>
        <v>50000</v>
      </c>
      <c r="F45" s="285">
        <f>SUM(F46:F50)</f>
        <v>105000000</v>
      </c>
      <c r="G45" s="285">
        <f>SUM(G46:G50)</f>
        <v>126240000</v>
      </c>
    </row>
    <row r="46" spans="1:7" s="394" customFormat="1" ht="12" customHeight="1">
      <c r="A46" s="13" t="s">
        <v>636</v>
      </c>
      <c r="B46" s="395" t="s">
        <v>845</v>
      </c>
      <c r="C46" s="438"/>
      <c r="D46" s="438"/>
      <c r="E46" s="438"/>
      <c r="F46" s="438"/>
      <c r="G46" s="438"/>
    </row>
    <row r="47" spans="1:7" s="394" customFormat="1" ht="12" customHeight="1">
      <c r="A47" s="12" t="s">
        <v>637</v>
      </c>
      <c r="B47" s="396" t="s">
        <v>846</v>
      </c>
      <c r="C47" s="290"/>
      <c r="D47" s="290">
        <v>50000</v>
      </c>
      <c r="E47" s="290">
        <v>50000</v>
      </c>
      <c r="F47" s="290">
        <v>105000000</v>
      </c>
      <c r="G47" s="290">
        <v>126240000</v>
      </c>
    </row>
    <row r="48" spans="1:7" s="394" customFormat="1" ht="12" customHeight="1">
      <c r="A48" s="12" t="s">
        <v>842</v>
      </c>
      <c r="B48" s="396" t="s">
        <v>847</v>
      </c>
      <c r="C48" s="290"/>
      <c r="D48" s="290"/>
      <c r="E48" s="290"/>
      <c r="F48" s="290"/>
      <c r="G48" s="290"/>
    </row>
    <row r="49" spans="1:7" s="394" customFormat="1" ht="12" customHeight="1">
      <c r="A49" s="12" t="s">
        <v>843</v>
      </c>
      <c r="B49" s="396" t="s">
        <v>848</v>
      </c>
      <c r="C49" s="290"/>
      <c r="D49" s="290"/>
      <c r="E49" s="290"/>
      <c r="F49" s="290"/>
      <c r="G49" s="290"/>
    </row>
    <row r="50" spans="1:7" s="394" customFormat="1" ht="12" customHeight="1">
      <c r="A50" s="12" t="s">
        <v>844</v>
      </c>
      <c r="B50" s="396" t="s">
        <v>849</v>
      </c>
      <c r="C50" s="290"/>
      <c r="D50" s="290"/>
      <c r="E50" s="290"/>
      <c r="F50" s="290"/>
      <c r="G50" s="290"/>
    </row>
    <row r="51" spans="1:7" s="394" customFormat="1" ht="12" customHeight="1" thickBot="1">
      <c r="A51" s="11" t="s">
        <v>535</v>
      </c>
      <c r="B51" s="579" t="s">
        <v>190</v>
      </c>
      <c r="C51" s="580"/>
      <c r="D51" s="580"/>
      <c r="E51" s="580"/>
      <c r="F51" s="580"/>
      <c r="G51" s="580"/>
    </row>
    <row r="52" spans="1:7" s="394" customFormat="1" ht="12" customHeight="1" thickBot="1">
      <c r="A52" s="18" t="s">
        <v>716</v>
      </c>
      <c r="B52" s="19" t="s">
        <v>850</v>
      </c>
      <c r="C52" s="285">
        <f>SUM(C53:C55)</f>
        <v>0</v>
      </c>
      <c r="D52" s="285">
        <f>SUM(D53:D55)</f>
        <v>0</v>
      </c>
      <c r="E52" s="285">
        <f>SUM(E53:E55)</f>
        <v>0</v>
      </c>
      <c r="F52" s="285">
        <f>SUM(F53:F55)</f>
        <v>0</v>
      </c>
      <c r="G52" s="285">
        <v>844000</v>
      </c>
    </row>
    <row r="53" spans="1:7" s="394" customFormat="1" ht="12" customHeight="1">
      <c r="A53" s="13" t="s">
        <v>638</v>
      </c>
      <c r="B53" s="395" t="s">
        <v>851</v>
      </c>
      <c r="C53" s="288"/>
      <c r="D53" s="288"/>
      <c r="E53" s="288"/>
      <c r="F53" s="288"/>
      <c r="G53" s="288"/>
    </row>
    <row r="54" spans="1:7" s="394" customFormat="1" ht="12" customHeight="1">
      <c r="A54" s="12" t="s">
        <v>639</v>
      </c>
      <c r="B54" s="396" t="s">
        <v>323</v>
      </c>
      <c r="C54" s="287"/>
      <c r="D54" s="287"/>
      <c r="E54" s="287"/>
      <c r="F54" s="287"/>
      <c r="G54" s="287"/>
    </row>
    <row r="55" spans="1:7" s="394" customFormat="1" ht="12" customHeight="1">
      <c r="A55" s="12" t="s">
        <v>854</v>
      </c>
      <c r="B55" s="396" t="s">
        <v>325</v>
      </c>
      <c r="C55" s="287"/>
      <c r="D55" s="287"/>
      <c r="E55" s="287"/>
      <c r="F55" s="287"/>
      <c r="G55" s="287"/>
    </row>
    <row r="56" spans="1:7" s="394" customFormat="1" ht="12" customHeight="1" thickBot="1">
      <c r="A56" s="14" t="s">
        <v>855</v>
      </c>
      <c r="B56" s="397" t="s">
        <v>853</v>
      </c>
      <c r="C56" s="289"/>
      <c r="D56" s="289"/>
      <c r="E56" s="289"/>
      <c r="F56" s="289"/>
      <c r="G56" s="289"/>
    </row>
    <row r="57" spans="1:7" s="394" customFormat="1" ht="12" customHeight="1" thickBot="1">
      <c r="A57" s="18" t="s">
        <v>562</v>
      </c>
      <c r="B57" s="280" t="s">
        <v>856</v>
      </c>
      <c r="C57" s="285">
        <f>SUM(C58:C60)</f>
        <v>0</v>
      </c>
      <c r="D57" s="285">
        <f>SUM(D58:D60)</f>
        <v>0</v>
      </c>
      <c r="E57" s="285">
        <f>SUM(E58:E60)</f>
        <v>0</v>
      </c>
      <c r="F57" s="285">
        <f>SUM(F58:F60)</f>
        <v>0</v>
      </c>
      <c r="G57" s="285">
        <v>40080</v>
      </c>
    </row>
    <row r="58" spans="1:7" s="394" customFormat="1" ht="12" customHeight="1">
      <c r="A58" s="13" t="s">
        <v>717</v>
      </c>
      <c r="B58" s="395" t="s">
        <v>858</v>
      </c>
      <c r="C58" s="290"/>
      <c r="D58" s="290"/>
      <c r="E58" s="290"/>
      <c r="F58" s="290"/>
      <c r="G58" s="290"/>
    </row>
    <row r="59" spans="1:7" s="394" customFormat="1" ht="12" customHeight="1">
      <c r="A59" s="12" t="s">
        <v>718</v>
      </c>
      <c r="B59" s="396" t="s">
        <v>177</v>
      </c>
      <c r="C59" s="290"/>
      <c r="D59" s="290"/>
      <c r="E59" s="290"/>
      <c r="F59" s="290"/>
      <c r="G59" s="290"/>
    </row>
    <row r="60" spans="1:7" s="394" customFormat="1" ht="12" customHeight="1">
      <c r="A60" s="12" t="s">
        <v>771</v>
      </c>
      <c r="B60" s="396" t="s">
        <v>340</v>
      </c>
      <c r="C60" s="290"/>
      <c r="D60" s="290"/>
      <c r="E60" s="290"/>
      <c r="F60" s="290"/>
      <c r="G60" s="290"/>
    </row>
    <row r="61" spans="1:7" s="394" customFormat="1" ht="12" customHeight="1" thickBot="1">
      <c r="A61" s="14" t="s">
        <v>857</v>
      </c>
      <c r="B61" s="397" t="s">
        <v>860</v>
      </c>
      <c r="C61" s="290"/>
      <c r="D61" s="290"/>
      <c r="E61" s="290"/>
      <c r="F61" s="290"/>
      <c r="G61" s="290"/>
    </row>
    <row r="62" spans="1:7" s="394" customFormat="1" ht="12" customHeight="1" thickBot="1">
      <c r="A62" s="18" t="s">
        <v>563</v>
      </c>
      <c r="B62" s="19" t="s">
        <v>861</v>
      </c>
      <c r="C62" s="291">
        <f>+C5+C12+C19+C26+C34+C45+C52+C57</f>
        <v>650666</v>
      </c>
      <c r="D62" s="291">
        <f>+D5+D12+D19+D26+D34+D45+D52+D57</f>
        <v>716744</v>
      </c>
      <c r="E62" s="291">
        <f>+E5+E12+E19+E26+E34+E45+E52+E57</f>
        <v>724608</v>
      </c>
      <c r="F62" s="291">
        <f>+F5+F12+F19+F26+F34+F45+F52+F57</f>
        <v>1042846881</v>
      </c>
      <c r="G62" s="291">
        <f>+G5+G12+G19+G26+G34+G45+G52+G57</f>
        <v>1082851085</v>
      </c>
    </row>
    <row r="63" spans="1:7" s="394" customFormat="1" ht="12" customHeight="1" thickBot="1">
      <c r="A63" s="398" t="s">
        <v>862</v>
      </c>
      <c r="B63" s="280" t="s">
        <v>863</v>
      </c>
      <c r="C63" s="285">
        <f>SUM(C64:C66)</f>
        <v>0</v>
      </c>
      <c r="D63" s="285">
        <f>SUM(D64:D66)</f>
        <v>0</v>
      </c>
      <c r="E63" s="285">
        <f>SUM(E64:E66)</f>
        <v>0</v>
      </c>
      <c r="F63" s="285">
        <f>SUM(F64:F66)</f>
        <v>0</v>
      </c>
      <c r="G63" s="285">
        <f>SUM(G64:G66)</f>
        <v>0</v>
      </c>
    </row>
    <row r="64" spans="1:7" s="394" customFormat="1" ht="12" customHeight="1">
      <c r="A64" s="13" t="s">
        <v>41</v>
      </c>
      <c r="B64" s="395" t="s">
        <v>864</v>
      </c>
      <c r="C64" s="290"/>
      <c r="D64" s="290"/>
      <c r="E64" s="290"/>
      <c r="F64" s="290"/>
      <c r="G64" s="290"/>
    </row>
    <row r="65" spans="1:7" s="394" customFormat="1" ht="12" customHeight="1">
      <c r="A65" s="12" t="s">
        <v>50</v>
      </c>
      <c r="B65" s="396" t="s">
        <v>865</v>
      </c>
      <c r="C65" s="290"/>
      <c r="D65" s="290"/>
      <c r="E65" s="290"/>
      <c r="F65" s="290"/>
      <c r="G65" s="290"/>
    </row>
    <row r="66" spans="1:7" s="394" customFormat="1" ht="12" customHeight="1" thickBot="1">
      <c r="A66" s="14" t="s">
        <v>51</v>
      </c>
      <c r="B66" s="399" t="s">
        <v>866</v>
      </c>
      <c r="C66" s="290"/>
      <c r="D66" s="290"/>
      <c r="E66" s="290"/>
      <c r="F66" s="290"/>
      <c r="G66" s="290"/>
    </row>
    <row r="67" spans="1:7" s="394" customFormat="1" ht="12" customHeight="1" thickBot="1">
      <c r="A67" s="398" t="s">
        <v>867</v>
      </c>
      <c r="B67" s="280" t="s">
        <v>868</v>
      </c>
      <c r="C67" s="285">
        <f>SUM(C68:C71)</f>
        <v>0</v>
      </c>
      <c r="D67" s="285">
        <f>SUM(D68:D71)</f>
        <v>0</v>
      </c>
      <c r="E67" s="285">
        <f>SUM(E68:E71)</f>
        <v>0</v>
      </c>
      <c r="F67" s="285">
        <f>SUM(F68:F71)</f>
        <v>0</v>
      </c>
      <c r="G67" s="285">
        <f>SUM(G68:G71)</f>
        <v>0</v>
      </c>
    </row>
    <row r="68" spans="1:7" s="394" customFormat="1" ht="12" customHeight="1">
      <c r="A68" s="13" t="s">
        <v>687</v>
      </c>
      <c r="B68" s="395" t="s">
        <v>869</v>
      </c>
      <c r="C68" s="290"/>
      <c r="D68" s="290"/>
      <c r="E68" s="290"/>
      <c r="F68" s="290"/>
      <c r="G68" s="290"/>
    </row>
    <row r="69" spans="1:7" s="394" customFormat="1" ht="12" customHeight="1">
      <c r="A69" s="12" t="s">
        <v>688</v>
      </c>
      <c r="B69" s="396" t="s">
        <v>870</v>
      </c>
      <c r="C69" s="290"/>
      <c r="D69" s="290"/>
      <c r="E69" s="290"/>
      <c r="F69" s="290"/>
      <c r="G69" s="290"/>
    </row>
    <row r="70" spans="1:7" s="394" customFormat="1" ht="12" customHeight="1">
      <c r="A70" s="12" t="s">
        <v>42</v>
      </c>
      <c r="B70" s="396" t="s">
        <v>871</v>
      </c>
      <c r="C70" s="290"/>
      <c r="D70" s="290"/>
      <c r="E70" s="290"/>
      <c r="F70" s="290"/>
      <c r="G70" s="290"/>
    </row>
    <row r="71" spans="1:7" s="394" customFormat="1" ht="12" customHeight="1" thickBot="1">
      <c r="A71" s="14" t="s">
        <v>43</v>
      </c>
      <c r="B71" s="397" t="s">
        <v>872</v>
      </c>
      <c r="C71" s="290"/>
      <c r="D71" s="290"/>
      <c r="E71" s="290"/>
      <c r="F71" s="290"/>
      <c r="G71" s="290"/>
    </row>
    <row r="72" spans="1:7" s="394" customFormat="1" ht="12" customHeight="1" thickBot="1">
      <c r="A72" s="398" t="s">
        <v>873</v>
      </c>
      <c r="B72" s="280" t="s">
        <v>874</v>
      </c>
      <c r="C72" s="285">
        <f>C73</f>
        <v>100000</v>
      </c>
      <c r="D72" s="285">
        <f>D73</f>
        <v>194012</v>
      </c>
      <c r="E72" s="285">
        <f>E73</f>
        <v>194012</v>
      </c>
      <c r="F72" s="285">
        <f>F73</f>
        <v>194012000</v>
      </c>
      <c r="G72" s="285">
        <f>G73</f>
        <v>194011584</v>
      </c>
    </row>
    <row r="73" spans="1:7" s="394" customFormat="1" ht="12" customHeight="1">
      <c r="A73" s="13" t="s">
        <v>44</v>
      </c>
      <c r="B73" s="395" t="s">
        <v>875</v>
      </c>
      <c r="C73" s="290">
        <v>100000</v>
      </c>
      <c r="D73" s="290">
        <v>194012</v>
      </c>
      <c r="E73" s="290">
        <v>194012</v>
      </c>
      <c r="F73" s="290">
        <v>194012000</v>
      </c>
      <c r="G73" s="290">
        <v>194011584</v>
      </c>
    </row>
    <row r="74" spans="1:7" s="394" customFormat="1" ht="12" customHeight="1" thickBot="1">
      <c r="A74" s="14" t="s">
        <v>45</v>
      </c>
      <c r="B74" s="397" t="s">
        <v>876</v>
      </c>
      <c r="C74" s="290"/>
      <c r="D74" s="290"/>
      <c r="E74" s="290"/>
      <c r="F74" s="290"/>
      <c r="G74" s="290"/>
    </row>
    <row r="75" spans="1:7" s="394" customFormat="1" ht="12" customHeight="1" thickBot="1">
      <c r="A75" s="398" t="s">
        <v>877</v>
      </c>
      <c r="B75" s="280" t="s">
        <v>878</v>
      </c>
      <c r="C75" s="285">
        <f>SUM(C76:C78)</f>
        <v>0</v>
      </c>
      <c r="D75" s="285">
        <f>SUM(D76:D78)</f>
        <v>0</v>
      </c>
      <c r="E75" s="285">
        <f>SUM(E76:E78)</f>
        <v>0</v>
      </c>
      <c r="F75" s="285">
        <f>SUM(F76:F78)</f>
        <v>0</v>
      </c>
      <c r="G75" s="285">
        <v>14042123</v>
      </c>
    </row>
    <row r="76" spans="1:7" s="394" customFormat="1" ht="12" customHeight="1">
      <c r="A76" s="13" t="s">
        <v>46</v>
      </c>
      <c r="B76" s="395" t="s">
        <v>879</v>
      </c>
      <c r="C76" s="290"/>
      <c r="D76" s="290"/>
      <c r="E76" s="290"/>
      <c r="F76" s="290"/>
      <c r="G76" s="290">
        <v>14042123</v>
      </c>
    </row>
    <row r="77" spans="1:7" s="394" customFormat="1" ht="12" customHeight="1">
      <c r="A77" s="12" t="s">
        <v>47</v>
      </c>
      <c r="B77" s="396" t="s">
        <v>880</v>
      </c>
      <c r="C77" s="290"/>
      <c r="D77" s="290"/>
      <c r="E77" s="290"/>
      <c r="F77" s="290"/>
      <c r="G77" s="290"/>
    </row>
    <row r="78" spans="1:7" s="394" customFormat="1" ht="12" customHeight="1" thickBot="1">
      <c r="A78" s="14" t="s">
        <v>48</v>
      </c>
      <c r="B78" s="397" t="s">
        <v>881</v>
      </c>
      <c r="C78" s="290"/>
      <c r="D78" s="290"/>
      <c r="E78" s="290"/>
      <c r="F78" s="290"/>
      <c r="G78" s="290"/>
    </row>
    <row r="79" spans="1:7" s="394" customFormat="1" ht="12" customHeight="1" thickBot="1">
      <c r="A79" s="398" t="s">
        <v>882</v>
      </c>
      <c r="B79" s="280" t="s">
        <v>49</v>
      </c>
      <c r="C79" s="285">
        <f>SUM(C80:C83)</f>
        <v>0</v>
      </c>
      <c r="D79" s="285">
        <f>SUM(D80:D83)</f>
        <v>0</v>
      </c>
      <c r="E79" s="285">
        <f>SUM(E80:E83)</f>
        <v>0</v>
      </c>
      <c r="F79" s="285">
        <f>SUM(F80:F83)</f>
        <v>0</v>
      </c>
      <c r="G79" s="285">
        <f>SUM(G80:G83)</f>
        <v>0</v>
      </c>
    </row>
    <row r="80" spans="1:7" s="394" customFormat="1" ht="12" customHeight="1">
      <c r="A80" s="400" t="s">
        <v>883</v>
      </c>
      <c r="B80" s="395" t="s">
        <v>29</v>
      </c>
      <c r="C80" s="290"/>
      <c r="D80" s="290"/>
      <c r="E80" s="290"/>
      <c r="F80" s="290"/>
      <c r="G80" s="290"/>
    </row>
    <row r="81" spans="1:7" s="394" customFormat="1" ht="12" customHeight="1">
      <c r="A81" s="401" t="s">
        <v>30</v>
      </c>
      <c r="B81" s="396" t="s">
        <v>31</v>
      </c>
      <c r="C81" s="290"/>
      <c r="D81" s="290"/>
      <c r="E81" s="290"/>
      <c r="F81" s="290"/>
      <c r="G81" s="290"/>
    </row>
    <row r="82" spans="1:7" s="394" customFormat="1" ht="12" customHeight="1">
      <c r="A82" s="401" t="s">
        <v>32</v>
      </c>
      <c r="B82" s="396" t="s">
        <v>33</v>
      </c>
      <c r="C82" s="290"/>
      <c r="D82" s="290"/>
      <c r="E82" s="290"/>
      <c r="F82" s="290"/>
      <c r="G82" s="290"/>
    </row>
    <row r="83" spans="1:7" s="394" customFormat="1" ht="12" customHeight="1" thickBot="1">
      <c r="A83" s="402" t="s">
        <v>34</v>
      </c>
      <c r="B83" s="397" t="s">
        <v>35</v>
      </c>
      <c r="C83" s="290"/>
      <c r="D83" s="290"/>
      <c r="E83" s="290"/>
      <c r="F83" s="290"/>
      <c r="G83" s="290"/>
    </row>
    <row r="84" spans="1:7" s="394" customFormat="1" ht="13.5" customHeight="1" thickBot="1">
      <c r="A84" s="398" t="s">
        <v>36</v>
      </c>
      <c r="B84" s="280" t="s">
        <v>37</v>
      </c>
      <c r="C84" s="439"/>
      <c r="D84" s="439"/>
      <c r="E84" s="439"/>
      <c r="F84" s="439"/>
      <c r="G84" s="439"/>
    </row>
    <row r="85" spans="1:7" s="394" customFormat="1" ht="15.75" customHeight="1" thickBot="1">
      <c r="A85" s="398" t="s">
        <v>38</v>
      </c>
      <c r="B85" s="403" t="s">
        <v>39</v>
      </c>
      <c r="C85" s="291">
        <f>+C63+C67+C72+C75+C79+C84</f>
        <v>100000</v>
      </c>
      <c r="D85" s="291">
        <f>+D63+D67+D72+D75+D79+D84</f>
        <v>194012</v>
      </c>
      <c r="E85" s="291">
        <f>+E63+E67+E72+E75+E79+E84</f>
        <v>194012</v>
      </c>
      <c r="F85" s="291">
        <f>+F63+F67+F72+F75+F79+F84</f>
        <v>194012000</v>
      </c>
      <c r="G85" s="291">
        <f>+G63+G67+G72+G75+G79+G84</f>
        <v>208053707</v>
      </c>
    </row>
    <row r="86" spans="1:7" s="394" customFormat="1" ht="16.5" customHeight="1" thickBot="1">
      <c r="A86" s="404" t="s">
        <v>52</v>
      </c>
      <c r="B86" s="405" t="s">
        <v>40</v>
      </c>
      <c r="C86" s="291">
        <f>+C62+C85</f>
        <v>750666</v>
      </c>
      <c r="D86" s="291">
        <f>+D62+D85</f>
        <v>910756</v>
      </c>
      <c r="E86" s="291">
        <f>+E62+E85</f>
        <v>918620</v>
      </c>
      <c r="F86" s="291">
        <f>+F62+F85</f>
        <v>1236858881</v>
      </c>
      <c r="G86" s="291">
        <f>+G62+G85</f>
        <v>1290904792</v>
      </c>
    </row>
    <row r="87" spans="1:7" ht="16.5" customHeight="1">
      <c r="A87" s="1249" t="s">
        <v>583</v>
      </c>
      <c r="B87" s="1249"/>
      <c r="C87" s="1249"/>
      <c r="D87" s="392"/>
      <c r="E87" s="392"/>
      <c r="F87" s="392"/>
      <c r="G87" s="392"/>
    </row>
    <row r="88" spans="1:7" s="406" customFormat="1" ht="16.5" customHeight="1" thickBot="1">
      <c r="A88" s="1250" t="s">
        <v>690</v>
      </c>
      <c r="B88" s="1250"/>
      <c r="C88" s="128"/>
      <c r="D88" s="128"/>
      <c r="E88" s="128" t="s">
        <v>770</v>
      </c>
      <c r="F88" s="128"/>
      <c r="G88" s="128"/>
    </row>
    <row r="89" spans="1:7" ht="37.5" customHeight="1" thickBot="1">
      <c r="A89" s="21" t="s">
        <v>610</v>
      </c>
      <c r="B89" s="22" t="s">
        <v>584</v>
      </c>
      <c r="C89" s="37" t="s">
        <v>451</v>
      </c>
      <c r="D89" s="37" t="s">
        <v>906</v>
      </c>
      <c r="E89" s="37" t="s">
        <v>906</v>
      </c>
      <c r="F89" s="37" t="s">
        <v>911</v>
      </c>
      <c r="G89" s="37" t="s">
        <v>911</v>
      </c>
    </row>
    <row r="90" spans="1:7" s="393" customFormat="1" ht="12" customHeight="1" thickBot="1">
      <c r="A90" s="30">
        <v>1</v>
      </c>
      <c r="B90" s="31">
        <v>2</v>
      </c>
      <c r="C90" s="32">
        <v>3</v>
      </c>
      <c r="D90" s="32">
        <v>5</v>
      </c>
      <c r="E90" s="32">
        <v>5</v>
      </c>
      <c r="F90" s="32">
        <v>6</v>
      </c>
      <c r="G90" s="32">
        <v>6</v>
      </c>
    </row>
    <row r="91" spans="1:7" ht="12" customHeight="1" thickBot="1">
      <c r="A91" s="20" t="s">
        <v>555</v>
      </c>
      <c r="B91" s="29" t="s">
        <v>55</v>
      </c>
      <c r="C91" s="284">
        <f>SUM(C92:C96)</f>
        <v>589799</v>
      </c>
      <c r="D91" s="284">
        <f>D92+D93+D94+D95+D96</f>
        <v>627038</v>
      </c>
      <c r="E91" s="284">
        <f>E92+E93+E94+E95+E96</f>
        <v>637967</v>
      </c>
      <c r="F91" s="284">
        <f>F92+F93+F94+F95+F96</f>
        <v>668516901</v>
      </c>
      <c r="G91" s="284">
        <f>G92+G93+G94+G95+G96</f>
        <v>674638819</v>
      </c>
    </row>
    <row r="92" spans="1:7" ht="12" customHeight="1">
      <c r="A92" s="15" t="s">
        <v>640</v>
      </c>
      <c r="B92" s="8" t="s">
        <v>585</v>
      </c>
      <c r="C92" s="286">
        <v>181117</v>
      </c>
      <c r="D92" s="286">
        <v>193851</v>
      </c>
      <c r="E92" s="286">
        <v>199675</v>
      </c>
      <c r="F92" s="286">
        <v>198687051</v>
      </c>
      <c r="G92" s="286">
        <v>202900161</v>
      </c>
    </row>
    <row r="93" spans="1:7" ht="12" customHeight="1">
      <c r="A93" s="12" t="s">
        <v>641</v>
      </c>
      <c r="B93" s="6" t="s">
        <v>719</v>
      </c>
      <c r="C93" s="287">
        <v>50297</v>
      </c>
      <c r="D93" s="287">
        <v>53844</v>
      </c>
      <c r="E93" s="287">
        <v>55402</v>
      </c>
      <c r="F93" s="287">
        <v>56646815</v>
      </c>
      <c r="G93" s="287">
        <v>55612651</v>
      </c>
    </row>
    <row r="94" spans="1:7" ht="12" customHeight="1">
      <c r="A94" s="12" t="s">
        <v>642</v>
      </c>
      <c r="B94" s="6" t="s">
        <v>678</v>
      </c>
      <c r="C94" s="289">
        <v>217425</v>
      </c>
      <c r="D94" s="289">
        <v>236729</v>
      </c>
      <c r="E94" s="289">
        <v>236729</v>
      </c>
      <c r="F94" s="289">
        <v>265847537</v>
      </c>
      <c r="G94" s="289">
        <v>264608659</v>
      </c>
    </row>
    <row r="95" spans="1:7" ht="12" customHeight="1">
      <c r="A95" s="12" t="s">
        <v>643</v>
      </c>
      <c r="B95" s="9" t="s">
        <v>720</v>
      </c>
      <c r="C95" s="289">
        <v>9611</v>
      </c>
      <c r="D95" s="289">
        <f>'9.1. melléklet'!D96</f>
        <v>9611</v>
      </c>
      <c r="E95" s="289">
        <f>'9.1. melléklet'!E96</f>
        <v>9611</v>
      </c>
      <c r="F95" s="289">
        <v>9611000</v>
      </c>
      <c r="G95" s="289">
        <v>9591000</v>
      </c>
    </row>
    <row r="96" spans="1:7" ht="12" customHeight="1">
      <c r="A96" s="12" t="s">
        <v>654</v>
      </c>
      <c r="B96" s="17" t="s">
        <v>721</v>
      </c>
      <c r="C96" s="289">
        <f>'9.1. melléklet'!C97</f>
        <v>131349</v>
      </c>
      <c r="D96" s="289">
        <f>D100+D101+D102+D106</f>
        <v>133003</v>
      </c>
      <c r="E96" s="289">
        <f>E100+E101+E102+E106</f>
        <v>136550</v>
      </c>
      <c r="F96" s="289">
        <v>137724498</v>
      </c>
      <c r="G96" s="289">
        <v>141926348</v>
      </c>
    </row>
    <row r="97" spans="1:7" ht="12" customHeight="1">
      <c r="A97" s="12" t="s">
        <v>644</v>
      </c>
      <c r="B97" s="6" t="s">
        <v>56</v>
      </c>
      <c r="C97" s="289">
        <f>'9.1. melléklet'!C98</f>
        <v>0</v>
      </c>
      <c r="D97" s="289">
        <f>'9.1. melléklet'!D98</f>
        <v>0</v>
      </c>
      <c r="E97" s="289">
        <f>'9.1. melléklet'!E98</f>
        <v>0</v>
      </c>
      <c r="F97" s="289">
        <f>'9.1. melléklet'!F98</f>
        <v>0</v>
      </c>
      <c r="G97" s="289">
        <f>'9.1. melléklet'!G98</f>
        <v>0</v>
      </c>
    </row>
    <row r="98" spans="1:7" ht="12" customHeight="1">
      <c r="A98" s="12" t="s">
        <v>645</v>
      </c>
      <c r="B98" s="130" t="s">
        <v>57</v>
      </c>
      <c r="C98" s="289">
        <f>'9.1. melléklet'!C99</f>
        <v>0</v>
      </c>
      <c r="D98" s="289">
        <f>'9.1. melléklet'!D99</f>
        <v>0</v>
      </c>
      <c r="E98" s="289">
        <f>'9.1. melléklet'!E99</f>
        <v>0</v>
      </c>
      <c r="F98" s="289">
        <f>'9.1. melléklet'!F99</f>
        <v>0</v>
      </c>
      <c r="G98" s="289">
        <f>'9.1. melléklet'!G99</f>
        <v>0</v>
      </c>
    </row>
    <row r="99" spans="1:7" ht="12" customHeight="1">
      <c r="A99" s="12" t="s">
        <v>655</v>
      </c>
      <c r="B99" s="1115" t="s">
        <v>892</v>
      </c>
      <c r="C99" s="289">
        <f>'9.1. melléklet'!C100</f>
        <v>0</v>
      </c>
      <c r="D99" s="289"/>
      <c r="E99" s="289"/>
      <c r="F99" s="289"/>
      <c r="G99" s="289"/>
    </row>
    <row r="100" spans="1:7" ht="12" customHeight="1">
      <c r="A100" s="12" t="s">
        <v>656</v>
      </c>
      <c r="B100" s="1115" t="s">
        <v>893</v>
      </c>
      <c r="C100" s="289">
        <f>'9.1. melléklet'!C101</f>
        <v>0</v>
      </c>
      <c r="D100" s="289">
        <f>'9.1. melléklet'!D101</f>
        <v>1194</v>
      </c>
      <c r="E100" s="289">
        <f>'9.1. melléklet'!E101</f>
        <v>1194</v>
      </c>
      <c r="F100" s="289">
        <v>1194000</v>
      </c>
      <c r="G100" s="289">
        <v>1193850</v>
      </c>
    </row>
    <row r="101" spans="1:7" ht="12" customHeight="1">
      <c r="A101" s="12" t="s">
        <v>657</v>
      </c>
      <c r="B101" s="130" t="s">
        <v>247</v>
      </c>
      <c r="C101" s="289">
        <f>'9.1. melléklet'!C102</f>
        <v>126149</v>
      </c>
      <c r="D101" s="289">
        <v>126609</v>
      </c>
      <c r="E101" s="289">
        <v>130156</v>
      </c>
      <c r="F101" s="289">
        <v>131330498</v>
      </c>
      <c r="G101" s="289">
        <v>135172498</v>
      </c>
    </row>
    <row r="102" spans="1:7" ht="12" customHeight="1">
      <c r="A102" s="12" t="s">
        <v>658</v>
      </c>
      <c r="B102" s="130" t="s">
        <v>338</v>
      </c>
      <c r="C102" s="289">
        <f>'9.1. melléklet'!C103</f>
        <v>2000</v>
      </c>
      <c r="D102" s="289">
        <f>'9.1. melléklet'!D103</f>
        <v>2000</v>
      </c>
      <c r="E102" s="289">
        <f>'9.1. melléklet'!E103</f>
        <v>2000</v>
      </c>
      <c r="F102" s="289">
        <v>2000000</v>
      </c>
      <c r="G102" s="289">
        <v>2000000</v>
      </c>
    </row>
    <row r="103" spans="1:7" ht="12" customHeight="1">
      <c r="A103" s="12" t="s">
        <v>660</v>
      </c>
      <c r="B103" s="131" t="s">
        <v>62</v>
      </c>
      <c r="C103" s="289">
        <f>'9.1. melléklet'!C104</f>
        <v>0</v>
      </c>
      <c r="D103" s="289">
        <f>'9.1. melléklet'!D104</f>
        <v>0</v>
      </c>
      <c r="E103" s="289">
        <f>'9.1. melléklet'!E104</f>
        <v>0</v>
      </c>
      <c r="F103" s="289">
        <f>'9.1. melléklet'!F104</f>
        <v>0</v>
      </c>
      <c r="G103" s="289">
        <f>'9.1. melléklet'!G104</f>
        <v>0</v>
      </c>
    </row>
    <row r="104" spans="1:7" ht="12" customHeight="1">
      <c r="A104" s="11" t="s">
        <v>722</v>
      </c>
      <c r="B104" s="132" t="s">
        <v>63</v>
      </c>
      <c r="C104" s="289">
        <f>'9.1. melléklet'!C105</f>
        <v>0</v>
      </c>
      <c r="D104" s="289">
        <f>'9.1. melléklet'!D105</f>
        <v>0</v>
      </c>
      <c r="E104" s="289">
        <f>'9.1. melléklet'!E105</f>
        <v>0</v>
      </c>
      <c r="F104" s="289">
        <f>'9.1. melléklet'!F105</f>
        <v>0</v>
      </c>
      <c r="G104" s="289">
        <f>'9.1. melléklet'!G105</f>
        <v>0</v>
      </c>
    </row>
    <row r="105" spans="1:7" ht="12" customHeight="1">
      <c r="A105" s="12" t="s">
        <v>53</v>
      </c>
      <c r="B105" s="131" t="s">
        <v>328</v>
      </c>
      <c r="C105" s="289">
        <f>'9.1. melléklet'!C106</f>
        <v>0</v>
      </c>
      <c r="D105" s="289">
        <f>'9.1. melléklet'!D106</f>
        <v>0</v>
      </c>
      <c r="E105" s="289">
        <f>'9.1. melléklet'!E106</f>
        <v>0</v>
      </c>
      <c r="F105" s="289">
        <f>'9.1. melléklet'!F106</f>
        <v>0</v>
      </c>
      <c r="G105" s="289">
        <f>'9.1. melléklet'!G106</f>
        <v>0</v>
      </c>
    </row>
    <row r="106" spans="1:7" ht="12" customHeight="1" thickBot="1">
      <c r="A106" s="16" t="s">
        <v>54</v>
      </c>
      <c r="B106" s="691" t="s">
        <v>65</v>
      </c>
      <c r="C106" s="289">
        <f>'9.1. melléklet'!C107</f>
        <v>3200</v>
      </c>
      <c r="D106" s="289">
        <f>'9.1. melléklet'!D107</f>
        <v>3200</v>
      </c>
      <c r="E106" s="289">
        <f>'9.1. melléklet'!E107</f>
        <v>3200</v>
      </c>
      <c r="F106" s="289">
        <v>3200000</v>
      </c>
      <c r="G106" s="289">
        <v>3560000</v>
      </c>
    </row>
    <row r="107" spans="1:7" ht="12" customHeight="1" thickBot="1">
      <c r="A107" s="18" t="s">
        <v>556</v>
      </c>
      <c r="B107" s="28" t="s">
        <v>66</v>
      </c>
      <c r="C107" s="285">
        <f>+C108+C110+C112</f>
        <v>100000</v>
      </c>
      <c r="D107" s="285">
        <f>+D108+D110+D112</f>
        <v>113464</v>
      </c>
      <c r="E107" s="285">
        <f>+E108+E110+E112</f>
        <v>113464</v>
      </c>
      <c r="F107" s="285">
        <f>+F108+F110+F112</f>
        <v>134524000</v>
      </c>
      <c r="G107" s="285">
        <f>+G108+G110+G112</f>
        <v>97995500</v>
      </c>
    </row>
    <row r="108" spans="1:7" ht="12" customHeight="1">
      <c r="A108" s="13" t="s">
        <v>646</v>
      </c>
      <c r="B108" s="6" t="s">
        <v>339</v>
      </c>
      <c r="C108" s="288">
        <v>18354</v>
      </c>
      <c r="D108" s="288">
        <v>18354</v>
      </c>
      <c r="E108" s="288">
        <v>18354</v>
      </c>
      <c r="F108" s="288">
        <v>39412000</v>
      </c>
      <c r="G108" s="288">
        <v>33498500</v>
      </c>
    </row>
    <row r="109" spans="1:7" ht="12" customHeight="1">
      <c r="A109" s="13" t="s">
        <v>647</v>
      </c>
      <c r="B109" s="10" t="s">
        <v>70</v>
      </c>
      <c r="C109" s="288">
        <f>'9.1. melléklet'!C110</f>
        <v>0</v>
      </c>
      <c r="D109" s="288">
        <f>'9.1. melléklet'!D110</f>
        <v>0</v>
      </c>
      <c r="E109" s="288">
        <f>'9.1. melléklet'!E110</f>
        <v>0</v>
      </c>
      <c r="F109" s="288">
        <f>'9.1. melléklet'!F110</f>
        <v>0</v>
      </c>
      <c r="G109" s="288">
        <f>'9.1. melléklet'!G110</f>
        <v>0</v>
      </c>
    </row>
    <row r="110" spans="1:7" ht="12" customHeight="1">
      <c r="A110" s="13" t="s">
        <v>648</v>
      </c>
      <c r="B110" s="10" t="s">
        <v>723</v>
      </c>
      <c r="C110" s="288">
        <v>31681</v>
      </c>
      <c r="D110" s="288">
        <v>45145</v>
      </c>
      <c r="E110" s="288">
        <v>45145</v>
      </c>
      <c r="F110" s="288">
        <v>45147000</v>
      </c>
      <c r="G110" s="288">
        <v>32851000</v>
      </c>
    </row>
    <row r="111" spans="1:7" ht="12" customHeight="1">
      <c r="A111" s="13" t="s">
        <v>649</v>
      </c>
      <c r="B111" s="10" t="s">
        <v>71</v>
      </c>
      <c r="C111" s="288">
        <f>'9.1. melléklet'!C112</f>
        <v>0</v>
      </c>
      <c r="D111" s="288">
        <f>'9.1. melléklet'!D112</f>
        <v>0</v>
      </c>
      <c r="E111" s="288">
        <f>'9.1. melléklet'!E112</f>
        <v>0</v>
      </c>
      <c r="F111" s="288">
        <f>'9.1. melléklet'!F112</f>
        <v>0</v>
      </c>
      <c r="G111" s="288">
        <f>'9.1. melléklet'!G112</f>
        <v>0</v>
      </c>
    </row>
    <row r="112" spans="1:7" ht="12" customHeight="1">
      <c r="A112" s="13" t="s">
        <v>650</v>
      </c>
      <c r="B112" s="282" t="s">
        <v>772</v>
      </c>
      <c r="C112" s="288">
        <f>C115+C116+C120</f>
        <v>49965</v>
      </c>
      <c r="D112" s="288">
        <f>D115+D116+D120</f>
        <v>49965</v>
      </c>
      <c r="E112" s="288">
        <f>E115+E116+E120</f>
        <v>49965</v>
      </c>
      <c r="F112" s="288">
        <v>49965000</v>
      </c>
      <c r="G112" s="288">
        <v>31646000</v>
      </c>
    </row>
    <row r="113" spans="1:7" ht="12" customHeight="1">
      <c r="A113" s="13" t="s">
        <v>659</v>
      </c>
      <c r="B113" s="281" t="s">
        <v>178</v>
      </c>
      <c r="C113" s="288">
        <f>'9.1. melléklet'!C114</f>
        <v>0</v>
      </c>
      <c r="D113" s="288">
        <f>'9.1. melléklet'!D114</f>
        <v>0</v>
      </c>
      <c r="E113" s="288">
        <f>'9.1. melléklet'!E114</f>
        <v>0</v>
      </c>
      <c r="F113" s="288">
        <f>'9.1. melléklet'!F114</f>
        <v>0</v>
      </c>
      <c r="G113" s="288">
        <f>'9.1. melléklet'!G114</f>
        <v>0</v>
      </c>
    </row>
    <row r="114" spans="1:7" ht="12" customHeight="1">
      <c r="A114" s="13" t="s">
        <v>661</v>
      </c>
      <c r="B114" s="391" t="s">
        <v>76</v>
      </c>
      <c r="C114" s="288">
        <f>'9.1. melléklet'!C115</f>
        <v>0</v>
      </c>
      <c r="D114" s="288">
        <f>'9.1. melléklet'!D115</f>
        <v>0</v>
      </c>
      <c r="E114" s="288">
        <f>'9.1. melléklet'!E115</f>
        <v>0</v>
      </c>
      <c r="F114" s="288">
        <f>'9.1. melléklet'!F115</f>
        <v>0</v>
      </c>
      <c r="G114" s="288">
        <f>'9.1. melléklet'!G115</f>
        <v>0</v>
      </c>
    </row>
    <row r="115" spans="1:7" ht="15.75">
      <c r="A115" s="13" t="s">
        <v>724</v>
      </c>
      <c r="B115" s="131" t="s">
        <v>382</v>
      </c>
      <c r="C115" s="288">
        <v>31646</v>
      </c>
      <c r="D115" s="288">
        <v>31646</v>
      </c>
      <c r="E115" s="288">
        <v>31646</v>
      </c>
      <c r="F115" s="288">
        <v>31646000</v>
      </c>
      <c r="G115" s="288">
        <v>31646000</v>
      </c>
    </row>
    <row r="116" spans="1:7" ht="12" customHeight="1">
      <c r="A116" s="13" t="s">
        <v>725</v>
      </c>
      <c r="B116" s="131" t="s">
        <v>384</v>
      </c>
      <c r="C116" s="288">
        <v>17119</v>
      </c>
      <c r="D116" s="288">
        <v>17119</v>
      </c>
      <c r="E116" s="288">
        <v>17119</v>
      </c>
      <c r="F116" s="288">
        <v>17119000</v>
      </c>
      <c r="G116" s="288"/>
    </row>
    <row r="117" spans="1:7" ht="12" customHeight="1">
      <c r="A117" s="13" t="s">
        <v>726</v>
      </c>
      <c r="B117" s="131" t="s">
        <v>74</v>
      </c>
      <c r="C117" s="288">
        <f>'9.1. melléklet'!C118</f>
        <v>0</v>
      </c>
      <c r="D117" s="288">
        <f>'9.1. melléklet'!D118</f>
        <v>0</v>
      </c>
      <c r="E117" s="288">
        <f>'9.1. melléklet'!E118</f>
        <v>0</v>
      </c>
      <c r="F117" s="288">
        <f>'9.1. melléklet'!F118</f>
        <v>0</v>
      </c>
      <c r="G117" s="288">
        <f>'9.1. melléklet'!G118</f>
        <v>0</v>
      </c>
    </row>
    <row r="118" spans="1:7" ht="12" customHeight="1">
      <c r="A118" s="13" t="s">
        <v>67</v>
      </c>
      <c r="B118" s="131" t="s">
        <v>62</v>
      </c>
      <c r="C118" s="288">
        <f>'9.1. melléklet'!C119</f>
        <v>0</v>
      </c>
      <c r="D118" s="288">
        <f>'9.1. melléklet'!D119</f>
        <v>0</v>
      </c>
      <c r="E118" s="288">
        <f>'9.1. melléklet'!E119</f>
        <v>0</v>
      </c>
      <c r="F118" s="288">
        <f>'9.1. melléklet'!F119</f>
        <v>0</v>
      </c>
      <c r="G118" s="288">
        <f>'9.1. melléklet'!G119</f>
        <v>0</v>
      </c>
    </row>
    <row r="119" spans="1:7" ht="12" customHeight="1">
      <c r="A119" s="13" t="s">
        <v>68</v>
      </c>
      <c r="B119" s="131" t="s">
        <v>73</v>
      </c>
      <c r="C119" s="288">
        <f>'9.1. melléklet'!C120</f>
        <v>0</v>
      </c>
      <c r="D119" s="288">
        <f>'9.1. melléklet'!D120</f>
        <v>0</v>
      </c>
      <c r="E119" s="288">
        <f>'9.1. melléklet'!E120</f>
        <v>0</v>
      </c>
      <c r="F119" s="288">
        <f>'9.1. melléklet'!F120</f>
        <v>0</v>
      </c>
      <c r="G119" s="288">
        <f>'9.1. melléklet'!G120</f>
        <v>0</v>
      </c>
    </row>
    <row r="120" spans="1:7" ht="16.5" thickBot="1">
      <c r="A120" s="11" t="s">
        <v>69</v>
      </c>
      <c r="B120" s="131" t="s">
        <v>248</v>
      </c>
      <c r="C120" s="288">
        <f>'9.1. melléklet'!C121</f>
        <v>1200</v>
      </c>
      <c r="D120" s="288">
        <f>'9.1. melléklet'!D121</f>
        <v>1200</v>
      </c>
      <c r="E120" s="288">
        <f>'9.1. melléklet'!E121</f>
        <v>1200</v>
      </c>
      <c r="F120" s="288">
        <v>1200000</v>
      </c>
      <c r="G120" s="288"/>
    </row>
    <row r="121" spans="1:7" ht="12" customHeight="1" thickBot="1">
      <c r="A121" s="18" t="s">
        <v>557</v>
      </c>
      <c r="B121" s="121" t="s">
        <v>77</v>
      </c>
      <c r="C121" s="285">
        <f>+C122+C123</f>
        <v>60867</v>
      </c>
      <c r="D121" s="285">
        <f>+D122+D123</f>
        <v>106243</v>
      </c>
      <c r="E121" s="285">
        <f>+E122+E123</f>
        <v>103178</v>
      </c>
      <c r="F121" s="285">
        <f>+F122+F123</f>
        <v>124805980</v>
      </c>
      <c r="G121" s="285">
        <f>+G122+G123</f>
        <v>208093244</v>
      </c>
    </row>
    <row r="122" spans="1:7" ht="12" customHeight="1">
      <c r="A122" s="13" t="s">
        <v>629</v>
      </c>
      <c r="B122" s="7" t="s">
        <v>597</v>
      </c>
      <c r="C122" s="288">
        <f>'9.1. melléklet'!C123</f>
        <v>27460</v>
      </c>
      <c r="D122" s="288">
        <v>47423</v>
      </c>
      <c r="E122" s="288">
        <v>44358</v>
      </c>
      <c r="F122" s="288">
        <v>65985980</v>
      </c>
      <c r="G122" s="288">
        <v>145297464</v>
      </c>
    </row>
    <row r="123" spans="1:7" ht="12" customHeight="1" thickBot="1">
      <c r="A123" s="14" t="s">
        <v>630</v>
      </c>
      <c r="B123" s="10" t="s">
        <v>598</v>
      </c>
      <c r="C123" s="288">
        <f>'9.1. melléklet'!C124</f>
        <v>33407</v>
      </c>
      <c r="D123" s="288">
        <f>'9.1. melléklet'!D124</f>
        <v>58820</v>
      </c>
      <c r="E123" s="288">
        <f>'9.1. melléklet'!E124</f>
        <v>58820</v>
      </c>
      <c r="F123" s="288">
        <v>58820000</v>
      </c>
      <c r="G123" s="288">
        <v>62795780</v>
      </c>
    </row>
    <row r="124" spans="1:7" ht="12" customHeight="1" thickBot="1">
      <c r="A124" s="18" t="s">
        <v>558</v>
      </c>
      <c r="B124" s="121" t="s">
        <v>78</v>
      </c>
      <c r="C124" s="285">
        <f>+C91+C107+C121</f>
        <v>750666</v>
      </c>
      <c r="D124" s="285">
        <f>+D91+D107+D121</f>
        <v>846745</v>
      </c>
      <c r="E124" s="285">
        <f>+E91+E107+E121</f>
        <v>854609</v>
      </c>
      <c r="F124" s="285">
        <f>+F91+F107+F121</f>
        <v>927846881</v>
      </c>
      <c r="G124" s="285">
        <f>+G91+G107+G121</f>
        <v>980727563</v>
      </c>
    </row>
    <row r="125" spans="1:7" ht="12" customHeight="1" thickBot="1">
      <c r="A125" s="18" t="s">
        <v>559</v>
      </c>
      <c r="B125" s="121" t="s">
        <v>79</v>
      </c>
      <c r="C125" s="285">
        <f>+C126+C127+C128</f>
        <v>0</v>
      </c>
      <c r="D125" s="285">
        <f>+D126+D127+D128</f>
        <v>0</v>
      </c>
      <c r="E125" s="285">
        <f>+E126+E127+E128</f>
        <v>0</v>
      </c>
      <c r="F125" s="285">
        <f>+F126+F127+F128</f>
        <v>0</v>
      </c>
      <c r="G125" s="285">
        <f>+G126+G127+G128</f>
        <v>0</v>
      </c>
    </row>
    <row r="126" spans="1:7" ht="12" customHeight="1">
      <c r="A126" s="13" t="s">
        <v>633</v>
      </c>
      <c r="B126" s="7" t="s">
        <v>80</v>
      </c>
      <c r="C126" s="258"/>
      <c r="D126" s="258"/>
      <c r="E126" s="258"/>
      <c r="F126" s="258"/>
      <c r="G126" s="258"/>
    </row>
    <row r="127" spans="1:7" ht="12" customHeight="1">
      <c r="A127" s="13" t="s">
        <v>634</v>
      </c>
      <c r="B127" s="7" t="s">
        <v>81</v>
      </c>
      <c r="C127" s="258"/>
      <c r="D127" s="258"/>
      <c r="E127" s="258"/>
      <c r="F127" s="258"/>
      <c r="G127" s="258"/>
    </row>
    <row r="128" spans="1:7" ht="12" customHeight="1" thickBot="1">
      <c r="A128" s="11" t="s">
        <v>635</v>
      </c>
      <c r="B128" s="5" t="s">
        <v>82</v>
      </c>
      <c r="C128" s="258"/>
      <c r="D128" s="258"/>
      <c r="E128" s="258"/>
      <c r="F128" s="258"/>
      <c r="G128" s="258"/>
    </row>
    <row r="129" spans="1:7" ht="12" customHeight="1" thickBot="1">
      <c r="A129" s="18" t="s">
        <v>560</v>
      </c>
      <c r="B129" s="121" t="s">
        <v>132</v>
      </c>
      <c r="C129" s="285">
        <f>+C130+C131+C132+C133</f>
        <v>0</v>
      </c>
      <c r="D129" s="285">
        <f>+D130+D131+D132+D133</f>
        <v>50000</v>
      </c>
      <c r="E129" s="285">
        <f>+E130+E131+E132+E133</f>
        <v>50000</v>
      </c>
      <c r="F129" s="285">
        <f>+F130+F131+F132+F133</f>
        <v>295000000</v>
      </c>
      <c r="G129" s="285">
        <f>+G130+G131+G132+G133</f>
        <v>296165800</v>
      </c>
    </row>
    <row r="130" spans="1:7" ht="12" customHeight="1">
      <c r="A130" s="13" t="s">
        <v>636</v>
      </c>
      <c r="B130" s="7" t="s">
        <v>83</v>
      </c>
      <c r="C130" s="258"/>
      <c r="D130" s="258">
        <v>50000</v>
      </c>
      <c r="E130" s="258">
        <v>50000</v>
      </c>
      <c r="F130" s="258">
        <v>295000000</v>
      </c>
      <c r="G130" s="258">
        <v>296165800</v>
      </c>
    </row>
    <row r="131" spans="1:7" ht="12" customHeight="1">
      <c r="A131" s="13" t="s">
        <v>637</v>
      </c>
      <c r="B131" s="7" t="s">
        <v>84</v>
      </c>
      <c r="C131" s="258"/>
      <c r="D131" s="258"/>
      <c r="E131" s="258"/>
      <c r="F131" s="258"/>
      <c r="G131" s="258"/>
    </row>
    <row r="132" spans="1:7" ht="12" customHeight="1">
      <c r="A132" s="13" t="s">
        <v>842</v>
      </c>
      <c r="B132" s="7" t="s">
        <v>85</v>
      </c>
      <c r="C132" s="258"/>
      <c r="D132" s="258"/>
      <c r="E132" s="258"/>
      <c r="F132" s="258"/>
      <c r="G132" s="258"/>
    </row>
    <row r="133" spans="1:7" ht="12" customHeight="1" thickBot="1">
      <c r="A133" s="11" t="s">
        <v>843</v>
      </c>
      <c r="B133" s="5" t="s">
        <v>86</v>
      </c>
      <c r="C133" s="258"/>
      <c r="D133" s="258"/>
      <c r="E133" s="258"/>
      <c r="F133" s="258"/>
      <c r="G133" s="258"/>
    </row>
    <row r="134" spans="1:7" ht="12" customHeight="1" thickBot="1">
      <c r="A134" s="18" t="s">
        <v>561</v>
      </c>
      <c r="B134" s="121" t="s">
        <v>87</v>
      </c>
      <c r="C134" s="291">
        <f>+C135+C136+C137+C138</f>
        <v>0</v>
      </c>
      <c r="D134" s="291">
        <f>+D135+D136+D137+D138</f>
        <v>14011</v>
      </c>
      <c r="E134" s="291">
        <f>+E135+E136+E137+E138</f>
        <v>14011</v>
      </c>
      <c r="F134" s="291">
        <f>+F135+F136+F137+F138</f>
        <v>14012000</v>
      </c>
      <c r="G134" s="291">
        <f>+G135+G136+G137+G138</f>
        <v>14011429</v>
      </c>
    </row>
    <row r="135" spans="1:7" ht="12" customHeight="1">
      <c r="A135" s="13" t="s">
        <v>638</v>
      </c>
      <c r="B135" s="7" t="s">
        <v>88</v>
      </c>
      <c r="C135" s="258"/>
      <c r="D135" s="258"/>
      <c r="E135" s="258"/>
      <c r="F135" s="258"/>
      <c r="G135" s="258"/>
    </row>
    <row r="136" spans="1:7" ht="12" customHeight="1">
      <c r="A136" s="13" t="s">
        <v>639</v>
      </c>
      <c r="B136" s="7" t="s">
        <v>98</v>
      </c>
      <c r="C136" s="258"/>
      <c r="D136" s="258">
        <v>14011</v>
      </c>
      <c r="E136" s="258">
        <v>14011</v>
      </c>
      <c r="F136" s="258">
        <v>14012000</v>
      </c>
      <c r="G136" s="258">
        <v>14011429</v>
      </c>
    </row>
    <row r="137" spans="1:7" ht="12" customHeight="1">
      <c r="A137" s="13" t="s">
        <v>854</v>
      </c>
      <c r="B137" s="7" t="s">
        <v>895</v>
      </c>
      <c r="C137" s="258"/>
      <c r="D137" s="258"/>
      <c r="E137" s="258"/>
      <c r="F137" s="258"/>
      <c r="G137" s="258"/>
    </row>
    <row r="138" spans="1:7" ht="12" customHeight="1" thickBot="1">
      <c r="A138" s="11" t="s">
        <v>855</v>
      </c>
      <c r="B138" s="5" t="s">
        <v>90</v>
      </c>
      <c r="C138" s="258"/>
      <c r="D138" s="258"/>
      <c r="E138" s="258"/>
      <c r="F138" s="258"/>
      <c r="G138" s="258"/>
    </row>
    <row r="139" spans="1:7" ht="12" customHeight="1" thickBot="1">
      <c r="A139" s="18" t="s">
        <v>562</v>
      </c>
      <c r="B139" s="121" t="s">
        <v>91</v>
      </c>
      <c r="C139" s="912">
        <f>+C140+C141+C142+C143</f>
        <v>0</v>
      </c>
      <c r="D139" s="912">
        <f>+D140+D141+D142+D143</f>
        <v>0</v>
      </c>
      <c r="E139" s="912">
        <f>+E140+E141+E142+E143</f>
        <v>0</v>
      </c>
      <c r="F139" s="912">
        <f>+F140+F141+F142+F143</f>
        <v>0</v>
      </c>
      <c r="G139" s="912">
        <f>+G140+G141+G142+G143</f>
        <v>0</v>
      </c>
    </row>
    <row r="140" spans="1:7" ht="12" customHeight="1">
      <c r="A140" s="13" t="s">
        <v>717</v>
      </c>
      <c r="B140" s="7" t="s">
        <v>92</v>
      </c>
      <c r="C140" s="258"/>
      <c r="D140" s="258"/>
      <c r="E140" s="258"/>
      <c r="F140" s="258"/>
      <c r="G140" s="258"/>
    </row>
    <row r="141" spans="1:7" ht="12" customHeight="1">
      <c r="A141" s="13" t="s">
        <v>718</v>
      </c>
      <c r="B141" s="7" t="s">
        <v>93</v>
      </c>
      <c r="C141" s="258"/>
      <c r="D141" s="258"/>
      <c r="E141" s="258"/>
      <c r="F141" s="258"/>
      <c r="G141" s="258"/>
    </row>
    <row r="142" spans="1:7" ht="12" customHeight="1">
      <c r="A142" s="13" t="s">
        <v>771</v>
      </c>
      <c r="B142" s="7" t="s">
        <v>94</v>
      </c>
      <c r="C142" s="258"/>
      <c r="D142" s="258"/>
      <c r="E142" s="258"/>
      <c r="F142" s="258"/>
      <c r="G142" s="258"/>
    </row>
    <row r="143" spans="1:7" ht="12" customHeight="1" thickBot="1">
      <c r="A143" s="13" t="s">
        <v>857</v>
      </c>
      <c r="B143" s="7" t="s">
        <v>95</v>
      </c>
      <c r="C143" s="258"/>
      <c r="D143" s="258"/>
      <c r="E143" s="258"/>
      <c r="F143" s="258"/>
      <c r="G143" s="258"/>
    </row>
    <row r="144" spans="1:9" ht="15" customHeight="1" thickBot="1">
      <c r="A144" s="18" t="s">
        <v>563</v>
      </c>
      <c r="B144" s="121" t="s">
        <v>96</v>
      </c>
      <c r="C144" s="407">
        <f>+C125+C129+C134+C139</f>
        <v>0</v>
      </c>
      <c r="D144" s="407">
        <f>+D125+D129+D134+D139</f>
        <v>64011</v>
      </c>
      <c r="E144" s="407">
        <f>+E125+E129+E134+E139</f>
        <v>64011</v>
      </c>
      <c r="F144" s="407">
        <f>+F125+F129+F134+F139</f>
        <v>309012000</v>
      </c>
      <c r="G144" s="407">
        <f>+G125+G129+G134+G139</f>
        <v>310177229</v>
      </c>
      <c r="H144" s="408"/>
      <c r="I144" s="408"/>
    </row>
    <row r="145" spans="1:7" s="394" customFormat="1" ht="12.75" customHeight="1" thickBot="1">
      <c r="A145" s="283" t="s">
        <v>564</v>
      </c>
      <c r="B145" s="367" t="s">
        <v>97</v>
      </c>
      <c r="C145" s="407">
        <f>+C124+C144</f>
        <v>750666</v>
      </c>
      <c r="D145" s="407">
        <f>+D124+D144</f>
        <v>910756</v>
      </c>
      <c r="E145" s="407">
        <f>+E124+E144</f>
        <v>918620</v>
      </c>
      <c r="F145" s="407">
        <f>+F124+F144</f>
        <v>1236858881</v>
      </c>
      <c r="G145" s="407">
        <f>+G124+G144</f>
        <v>1290904792</v>
      </c>
    </row>
    <row r="146" ht="7.5" customHeight="1"/>
    <row r="147" spans="1:7" ht="15.75">
      <c r="A147" s="1251" t="s">
        <v>99</v>
      </c>
      <c r="B147" s="1251"/>
      <c r="C147" s="1251"/>
      <c r="D147" s="392"/>
      <c r="E147" s="392"/>
      <c r="F147" s="392"/>
      <c r="G147" s="392"/>
    </row>
    <row r="148" spans="1:7" ht="15" customHeight="1" thickBot="1">
      <c r="A148" s="1248" t="s">
        <v>691</v>
      </c>
      <c r="B148" s="1248"/>
      <c r="C148" s="294"/>
      <c r="D148" s="294" t="s">
        <v>770</v>
      </c>
      <c r="E148" s="294" t="s">
        <v>770</v>
      </c>
      <c r="F148" s="294"/>
      <c r="G148" s="294"/>
    </row>
    <row r="149" spans="1:7" ht="13.5" customHeight="1" thickBot="1">
      <c r="A149" s="18">
        <v>1</v>
      </c>
      <c r="B149" s="28" t="s">
        <v>100</v>
      </c>
      <c r="C149" s="285">
        <f>+C62-C124</f>
        <v>-100000</v>
      </c>
      <c r="D149" s="285">
        <f>+D62-D124</f>
        <v>-130001</v>
      </c>
      <c r="E149" s="285">
        <f>+E62-E124</f>
        <v>-130001</v>
      </c>
      <c r="F149" s="285">
        <f>+F62-F124</f>
        <v>115000000</v>
      </c>
      <c r="G149" s="285">
        <f>+G62-G124</f>
        <v>102123522</v>
      </c>
    </row>
    <row r="150" spans="1:7" ht="21.75" customHeight="1" thickBot="1">
      <c r="A150" s="18" t="s">
        <v>556</v>
      </c>
      <c r="B150" s="28" t="s">
        <v>101</v>
      </c>
      <c r="C150" s="285">
        <f>+C85-C144</f>
        <v>100000</v>
      </c>
      <c r="D150" s="285">
        <f>+D85-D144</f>
        <v>130001</v>
      </c>
      <c r="E150" s="285">
        <f>+E85-E144</f>
        <v>130001</v>
      </c>
      <c r="F150" s="285">
        <f>+F85-F144</f>
        <v>-115000000</v>
      </c>
      <c r="G150" s="285">
        <f>+G85-G144</f>
        <v>-102123522</v>
      </c>
    </row>
    <row r="152" ht="15.75">
      <c r="A152" s="368" t="s">
        <v>17</v>
      </c>
    </row>
  </sheetData>
  <sheetProtection/>
  <mergeCells count="6">
    <mergeCell ref="A148:B148"/>
    <mergeCell ref="A87:C87"/>
    <mergeCell ref="A1:C1"/>
    <mergeCell ref="A2:B2"/>
    <mergeCell ref="A88:B88"/>
    <mergeCell ref="A147:C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2" r:id="rId1"/>
  <headerFooter alignWithMargins="0">
    <oddHeader>&amp;C&amp;"Times New Roman CE,Félkövér"&amp;12
Tát Város Önkormányzat
2016. ÉVI KÖLTSÉGVETÉSÉNEK ÖSSZEVONT MÉRLEGE&amp;10
&amp;R&amp;"Times New Roman CE,Félkövér dőlt"&amp;11 1.1. melléklet az  1/2016. (I.26.) önkormányzati rendelethez*</oddHeader>
  </headerFooter>
  <rowBreaks count="1" manualBreakCount="1">
    <brk id="86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I26"/>
  <sheetViews>
    <sheetView view="pageBreakPreview" zoomScale="60" workbookViewId="0" topLeftCell="A1">
      <selection activeCell="F15" sqref="F15"/>
    </sheetView>
  </sheetViews>
  <sheetFormatPr defaultColWidth="9.00390625" defaultRowHeight="12.75"/>
  <cols>
    <col min="1" max="1" width="51.875" style="41" customWidth="1"/>
    <col min="2" max="2" width="15.625" style="40" customWidth="1"/>
    <col min="3" max="3" width="16.375" style="40" customWidth="1"/>
    <col min="4" max="4" width="16.50390625" style="40" customWidth="1"/>
    <col min="5" max="8" width="16.625" style="40" customWidth="1"/>
    <col min="9" max="9" width="17.875" style="54" customWidth="1"/>
    <col min="10" max="11" width="12.875" style="40" customWidth="1"/>
    <col min="12" max="12" width="13.875" style="40" customWidth="1"/>
    <col min="13" max="16384" width="9.375" style="40" customWidth="1"/>
  </cols>
  <sheetData>
    <row r="1" spans="1:9" ht="25.5" customHeight="1">
      <c r="A1" s="1270" t="s">
        <v>536</v>
      </c>
      <c r="B1" s="1270"/>
      <c r="C1" s="1270"/>
      <c r="D1" s="1270"/>
      <c r="E1" s="1270"/>
      <c r="F1" s="1270"/>
      <c r="G1" s="1270"/>
      <c r="H1" s="1270"/>
      <c r="I1" s="1270"/>
    </row>
    <row r="2" spans="1:9" ht="22.5" customHeight="1" thickBot="1">
      <c r="A2" s="182"/>
      <c r="B2" s="54"/>
      <c r="C2" s="54"/>
      <c r="D2" s="54"/>
      <c r="E2" s="54"/>
      <c r="F2" s="54"/>
      <c r="G2" s="54"/>
      <c r="H2" s="54"/>
      <c r="I2" s="49" t="s">
        <v>601</v>
      </c>
    </row>
    <row r="3" spans="1:9" s="43" customFormat="1" ht="44.25" customHeight="1" thickBot="1">
      <c r="A3" s="183" t="s">
        <v>605</v>
      </c>
      <c r="B3" s="184" t="s">
        <v>606</v>
      </c>
      <c r="C3" s="184" t="s">
        <v>607</v>
      </c>
      <c r="D3" s="184" t="s">
        <v>410</v>
      </c>
      <c r="E3" s="184" t="s">
        <v>451</v>
      </c>
      <c r="F3" s="184" t="s">
        <v>884</v>
      </c>
      <c r="G3" s="184" t="s">
        <v>906</v>
      </c>
      <c r="H3" s="50" t="s">
        <v>378</v>
      </c>
      <c r="I3" s="1049" t="s">
        <v>411</v>
      </c>
    </row>
    <row r="4" spans="1:9" s="54" customFormat="1" ht="12" customHeight="1" thickBot="1">
      <c r="A4" s="692">
        <v>1</v>
      </c>
      <c r="B4" s="693">
        <v>2</v>
      </c>
      <c r="C4" s="693">
        <v>3</v>
      </c>
      <c r="D4" s="693">
        <v>4</v>
      </c>
      <c r="E4" s="693">
        <v>5</v>
      </c>
      <c r="F4" s="693">
        <v>6</v>
      </c>
      <c r="G4" s="1156">
        <v>7</v>
      </c>
      <c r="H4" s="694">
        <v>8</v>
      </c>
      <c r="I4" s="1050">
        <v>9</v>
      </c>
    </row>
    <row r="5" spans="1:9" s="54" customFormat="1" ht="12" customHeight="1">
      <c r="A5" s="978" t="s">
        <v>375</v>
      </c>
      <c r="B5" s="709">
        <f>D5+E5</f>
        <v>64686</v>
      </c>
      <c r="C5" s="980" t="s">
        <v>346</v>
      </c>
      <c r="D5" s="709">
        <v>56183</v>
      </c>
      <c r="E5" s="709">
        <v>8503</v>
      </c>
      <c r="F5" s="709">
        <v>8503</v>
      </c>
      <c r="G5" s="1157"/>
      <c r="H5" s="1060">
        <f>B5*85%</f>
        <v>54983.1</v>
      </c>
      <c r="I5" s="1051"/>
    </row>
    <row r="6" spans="1:9" s="54" customFormat="1" ht="12" customHeight="1">
      <c r="A6" s="695" t="s">
        <v>376</v>
      </c>
      <c r="B6" s="908">
        <v>38668</v>
      </c>
      <c r="C6" s="702" t="s">
        <v>346</v>
      </c>
      <c r="D6" s="908">
        <f>B6-E6</f>
        <v>38257</v>
      </c>
      <c r="E6" s="908">
        <v>411</v>
      </c>
      <c r="F6" s="908">
        <v>411</v>
      </c>
      <c r="G6" s="1158"/>
      <c r="H6" s="1061">
        <f>B6*85%</f>
        <v>32867.799999999996</v>
      </c>
      <c r="I6" s="1052"/>
    </row>
    <row r="7" spans="1:9" s="54" customFormat="1" ht="12" customHeight="1">
      <c r="A7" s="979" t="s">
        <v>319</v>
      </c>
      <c r="B7" s="698">
        <v>65891</v>
      </c>
      <c r="C7" s="717" t="s">
        <v>318</v>
      </c>
      <c r="D7" s="698"/>
      <c r="E7" s="698">
        <v>911</v>
      </c>
      <c r="F7" s="698">
        <v>911</v>
      </c>
      <c r="G7" s="1159"/>
      <c r="H7" s="1062"/>
      <c r="I7" s="1053">
        <f>B7-D7-E7</f>
        <v>64980</v>
      </c>
    </row>
    <row r="8" spans="1:9" ht="15.75" customHeight="1" thickBot="1">
      <c r="A8" s="704" t="s">
        <v>377</v>
      </c>
      <c r="B8" s="711"/>
      <c r="C8" s="712"/>
      <c r="D8" s="711"/>
      <c r="E8" s="711">
        <v>8529</v>
      </c>
      <c r="F8" s="711">
        <v>8529</v>
      </c>
      <c r="G8" s="1160"/>
      <c r="H8" s="1063"/>
      <c r="I8" s="1054"/>
    </row>
    <row r="9" spans="1:9" ht="15.75" customHeight="1" thickBot="1">
      <c r="A9" s="706" t="s">
        <v>321</v>
      </c>
      <c r="B9" s="713">
        <f>B5+B6+B7</f>
        <v>169245</v>
      </c>
      <c r="C9" s="714"/>
      <c r="D9" s="713">
        <f>D5+D6+D7</f>
        <v>94440</v>
      </c>
      <c r="E9" s="713">
        <f>E5+E6+E7+E8</f>
        <v>18354</v>
      </c>
      <c r="F9" s="713">
        <f>F5+F6+F7+F8</f>
        <v>18354</v>
      </c>
      <c r="G9" s="1161"/>
      <c r="H9" s="1064">
        <f>H5+H6</f>
        <v>87850.9</v>
      </c>
      <c r="I9" s="1055">
        <f>I5+I6+I7</f>
        <v>64980</v>
      </c>
    </row>
    <row r="10" spans="1:9" ht="15.75" customHeight="1">
      <c r="A10" s="703" t="s">
        <v>320</v>
      </c>
      <c r="B10" s="709"/>
      <c r="C10" s="710"/>
      <c r="D10" s="709"/>
      <c r="E10" s="709"/>
      <c r="F10" s="709"/>
      <c r="G10" s="1162"/>
      <c r="H10" s="1065"/>
      <c r="I10" s="1051">
        <f aca="true" t="shared" si="0" ref="I10:I23">B10-D10-E10</f>
        <v>0</v>
      </c>
    </row>
    <row r="11" spans="1:9" ht="15.75" customHeight="1">
      <c r="A11" s="1271" t="s">
        <v>317</v>
      </c>
      <c r="B11" s="1273"/>
      <c r="C11" s="1275"/>
      <c r="D11" s="1273"/>
      <c r="E11" s="1273"/>
      <c r="F11" s="1273"/>
      <c r="G11" s="1158"/>
      <c r="H11" s="1066"/>
      <c r="I11" s="1277">
        <f>B11-D11-E11</f>
        <v>0</v>
      </c>
    </row>
    <row r="12" spans="1:9" ht="15.75" customHeight="1" thickBot="1">
      <c r="A12" s="1272"/>
      <c r="B12" s="1274"/>
      <c r="C12" s="1276"/>
      <c r="D12" s="1274"/>
      <c r="E12" s="1274"/>
      <c r="F12" s="1274"/>
      <c r="G12" s="1163"/>
      <c r="H12" s="1067"/>
      <c r="I12" s="1244"/>
    </row>
    <row r="13" spans="1:9" ht="15.75" customHeight="1" thickBot="1">
      <c r="A13" s="707" t="s">
        <v>322</v>
      </c>
      <c r="B13" s="708"/>
      <c r="C13" s="715"/>
      <c r="D13" s="708"/>
      <c r="E13" s="708">
        <f>SUM(E10+E11)</f>
        <v>0</v>
      </c>
      <c r="F13" s="708">
        <f>SUM(F10+F11)</f>
        <v>0</v>
      </c>
      <c r="G13" s="1164"/>
      <c r="H13" s="1068"/>
      <c r="I13" s="1056"/>
    </row>
    <row r="14" spans="1:9" ht="15.75" customHeight="1">
      <c r="A14" s="701"/>
      <c r="B14" s="705"/>
      <c r="C14" s="716"/>
      <c r="D14" s="705"/>
      <c r="E14" s="705"/>
      <c r="F14" s="705"/>
      <c r="G14" s="1165"/>
      <c r="H14" s="1069"/>
      <c r="I14" s="1057">
        <f t="shared" si="0"/>
        <v>0</v>
      </c>
    </row>
    <row r="15" spans="1:9" ht="15.75" customHeight="1">
      <c r="A15" s="695"/>
      <c r="B15" s="696"/>
      <c r="C15" s="702"/>
      <c r="D15" s="696"/>
      <c r="E15" s="696"/>
      <c r="F15" s="696"/>
      <c r="G15" s="1166"/>
      <c r="H15" s="1061"/>
      <c r="I15" s="1058">
        <f t="shared" si="0"/>
        <v>0</v>
      </c>
    </row>
    <row r="16" spans="1:9" ht="15.75" customHeight="1">
      <c r="A16" s="695"/>
      <c r="B16" s="696"/>
      <c r="C16" s="702"/>
      <c r="D16" s="696"/>
      <c r="E16" s="696"/>
      <c r="F16" s="696"/>
      <c r="G16" s="1166"/>
      <c r="H16" s="1061"/>
      <c r="I16" s="1058">
        <f t="shared" si="0"/>
        <v>0</v>
      </c>
    </row>
    <row r="17" spans="1:9" ht="15.75" customHeight="1">
      <c r="A17" s="695"/>
      <c r="B17" s="696"/>
      <c r="C17" s="702"/>
      <c r="D17" s="696"/>
      <c r="E17" s="696"/>
      <c r="F17" s="696"/>
      <c r="G17" s="1166"/>
      <c r="H17" s="1061"/>
      <c r="I17" s="1058">
        <f t="shared" si="0"/>
        <v>0</v>
      </c>
    </row>
    <row r="18" spans="1:9" ht="15.75" customHeight="1">
      <c r="A18" s="695"/>
      <c r="B18" s="696"/>
      <c r="C18" s="702"/>
      <c r="D18" s="696"/>
      <c r="E18" s="696"/>
      <c r="F18" s="696"/>
      <c r="G18" s="1166"/>
      <c r="H18" s="1061"/>
      <c r="I18" s="1058">
        <f t="shared" si="0"/>
        <v>0</v>
      </c>
    </row>
    <row r="19" spans="1:9" ht="15.75" customHeight="1">
      <c r="A19" s="695"/>
      <c r="B19" s="696"/>
      <c r="C19" s="702"/>
      <c r="D19" s="696"/>
      <c r="E19" s="696"/>
      <c r="F19" s="696"/>
      <c r="G19" s="1166"/>
      <c r="H19" s="1061"/>
      <c r="I19" s="1058">
        <f t="shared" si="0"/>
        <v>0</v>
      </c>
    </row>
    <row r="20" spans="1:9" ht="15.75" customHeight="1">
      <c r="A20" s="695"/>
      <c r="B20" s="696"/>
      <c r="C20" s="702"/>
      <c r="D20" s="696"/>
      <c r="E20" s="696"/>
      <c r="F20" s="696"/>
      <c r="G20" s="1166"/>
      <c r="H20" s="1061"/>
      <c r="I20" s="1058">
        <f t="shared" si="0"/>
        <v>0</v>
      </c>
    </row>
    <row r="21" spans="1:9" ht="15.75" customHeight="1">
      <c r="A21" s="695"/>
      <c r="B21" s="696"/>
      <c r="C21" s="702"/>
      <c r="D21" s="696"/>
      <c r="E21" s="696"/>
      <c r="F21" s="696"/>
      <c r="G21" s="1166"/>
      <c r="H21" s="1061"/>
      <c r="I21" s="1058">
        <f t="shared" si="0"/>
        <v>0</v>
      </c>
    </row>
    <row r="22" spans="1:9" ht="15.75" customHeight="1">
      <c r="A22" s="695"/>
      <c r="B22" s="696"/>
      <c r="C22" s="702"/>
      <c r="D22" s="696"/>
      <c r="E22" s="696"/>
      <c r="F22" s="696"/>
      <c r="G22" s="1166"/>
      <c r="H22" s="1061"/>
      <c r="I22" s="1058">
        <f t="shared" si="0"/>
        <v>0</v>
      </c>
    </row>
    <row r="23" spans="1:9" ht="15.75" customHeight="1" thickBot="1">
      <c r="A23" s="697"/>
      <c r="B23" s="698"/>
      <c r="C23" s="717"/>
      <c r="D23" s="698"/>
      <c r="E23" s="698"/>
      <c r="F23" s="698"/>
      <c r="G23" s="1159"/>
      <c r="H23" s="1062"/>
      <c r="I23" s="1053">
        <f t="shared" si="0"/>
        <v>0</v>
      </c>
    </row>
    <row r="24" spans="1:9" s="56" customFormat="1" ht="18" customHeight="1" thickBot="1">
      <c r="A24" s="699" t="s">
        <v>604</v>
      </c>
      <c r="B24" s="700">
        <f aca="true" t="shared" si="1" ref="B24:I24">B9+B13</f>
        <v>169245</v>
      </c>
      <c r="C24" s="700">
        <f t="shared" si="1"/>
        <v>0</v>
      </c>
      <c r="D24" s="700">
        <f t="shared" si="1"/>
        <v>94440</v>
      </c>
      <c r="E24" s="700">
        <f t="shared" si="1"/>
        <v>18354</v>
      </c>
      <c r="F24" s="700">
        <f>F9+F13</f>
        <v>18354</v>
      </c>
      <c r="G24" s="1167"/>
      <c r="H24" s="1070">
        <f t="shared" si="1"/>
        <v>87850.9</v>
      </c>
      <c r="I24" s="1059">
        <f t="shared" si="1"/>
        <v>64980</v>
      </c>
    </row>
    <row r="26" ht="15.75">
      <c r="A26" s="368"/>
    </row>
  </sheetData>
  <sheetProtection/>
  <mergeCells count="8">
    <mergeCell ref="A1:I1"/>
    <mergeCell ref="A11:A12"/>
    <mergeCell ref="B11:B12"/>
    <mergeCell ref="C11:C12"/>
    <mergeCell ref="D11:D12"/>
    <mergeCell ref="E11:E12"/>
    <mergeCell ref="I11:I12"/>
    <mergeCell ref="F11:F12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78" r:id="rId1"/>
  <headerFooter alignWithMargins="0">
    <oddHeader>&amp;R&amp;"Times New Roman CE,Félkövér dőlt"&amp;11 6. melléklet az 1/2016. (I.26.)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28"/>
  <sheetViews>
    <sheetView view="pageBreakPreview" zoomScale="60" workbookViewId="0" topLeftCell="A1">
      <selection activeCell="A28" sqref="A28"/>
    </sheetView>
  </sheetViews>
  <sheetFormatPr defaultColWidth="9.00390625" defaultRowHeight="12.75"/>
  <cols>
    <col min="1" max="1" width="44.875" style="41" customWidth="1"/>
    <col min="2" max="2" width="15.625" style="40" customWidth="1"/>
    <col min="3" max="3" width="16.375" style="40" customWidth="1"/>
    <col min="4" max="4" width="18.00390625" style="40" customWidth="1"/>
    <col min="5" max="8" width="16.625" style="40" customWidth="1"/>
    <col min="9" max="9" width="18.875" style="40" customWidth="1"/>
    <col min="10" max="11" width="12.875" style="40" customWidth="1"/>
    <col min="12" max="12" width="13.875" style="40" customWidth="1"/>
    <col min="13" max="16384" width="9.375" style="40" customWidth="1"/>
  </cols>
  <sheetData>
    <row r="1" spans="1:9" ht="24.75" customHeight="1">
      <c r="A1" s="1270" t="s">
        <v>537</v>
      </c>
      <c r="B1" s="1270"/>
      <c r="C1" s="1270"/>
      <c r="D1" s="1270"/>
      <c r="E1" s="1270"/>
      <c r="F1" s="1270"/>
      <c r="G1" s="1270"/>
      <c r="H1" s="1270"/>
      <c r="I1" s="1270"/>
    </row>
    <row r="2" spans="1:9" ht="23.25" customHeight="1" thickBot="1">
      <c r="A2" s="182"/>
      <c r="B2" s="54"/>
      <c r="C2" s="54"/>
      <c r="D2" s="54"/>
      <c r="E2" s="54"/>
      <c r="F2" s="54"/>
      <c r="G2" s="54"/>
      <c r="H2" s="54"/>
      <c r="I2" s="49" t="s">
        <v>601</v>
      </c>
    </row>
    <row r="3" spans="1:9" s="43" customFormat="1" ht="48.75" customHeight="1" thickBot="1">
      <c r="A3" s="183" t="s">
        <v>608</v>
      </c>
      <c r="B3" s="184" t="s">
        <v>606</v>
      </c>
      <c r="C3" s="184" t="s">
        <v>607</v>
      </c>
      <c r="D3" s="184" t="s">
        <v>287</v>
      </c>
      <c r="E3" s="184" t="s">
        <v>451</v>
      </c>
      <c r="F3" s="184" t="s">
        <v>884</v>
      </c>
      <c r="G3" s="184" t="s">
        <v>906</v>
      </c>
      <c r="H3" s="575" t="s">
        <v>378</v>
      </c>
      <c r="I3" s="50" t="s">
        <v>380</v>
      </c>
    </row>
    <row r="4" spans="1:9" s="54" customFormat="1" ht="15" customHeight="1" thickBot="1">
      <c r="A4" s="51">
        <v>1</v>
      </c>
      <c r="B4" s="52">
        <v>2</v>
      </c>
      <c r="C4" s="52">
        <v>3</v>
      </c>
      <c r="D4" s="52">
        <v>4</v>
      </c>
      <c r="E4" s="52">
        <v>5</v>
      </c>
      <c r="F4" s="576">
        <v>6</v>
      </c>
      <c r="G4" s="576">
        <v>7</v>
      </c>
      <c r="H4" s="576">
        <v>8</v>
      </c>
      <c r="I4" s="53">
        <v>9</v>
      </c>
    </row>
    <row r="5" spans="1:9" s="54" customFormat="1" ht="15" customHeight="1">
      <c r="A5" s="571" t="s">
        <v>412</v>
      </c>
      <c r="B5" s="982">
        <v>26307</v>
      </c>
      <c r="C5" s="982" t="s">
        <v>379</v>
      </c>
      <c r="D5" s="982">
        <f>B5-E5</f>
        <v>17100</v>
      </c>
      <c r="E5" s="982">
        <v>9207</v>
      </c>
      <c r="F5" s="982">
        <v>9207</v>
      </c>
      <c r="G5" s="983"/>
      <c r="H5" s="983">
        <f>B5*85%</f>
        <v>22360.95</v>
      </c>
      <c r="I5" s="981"/>
    </row>
    <row r="6" spans="1:9" ht="15.75" customHeight="1">
      <c r="A6" s="571" t="s">
        <v>381</v>
      </c>
      <c r="B6" s="985"/>
      <c r="C6" s="984"/>
      <c r="D6" s="985"/>
      <c r="E6" s="985">
        <v>22474</v>
      </c>
      <c r="F6" s="985">
        <v>22474</v>
      </c>
      <c r="G6" s="1168"/>
      <c r="H6" s="578"/>
      <c r="I6" s="574">
        <v>0</v>
      </c>
    </row>
    <row r="7" spans="1:9" ht="15.75" customHeight="1" thickBot="1">
      <c r="A7" s="1126" t="s">
        <v>897</v>
      </c>
      <c r="B7" s="1127"/>
      <c r="C7" s="1128"/>
      <c r="D7" s="1127"/>
      <c r="E7" s="1127"/>
      <c r="F7" s="1129">
        <v>13464</v>
      </c>
      <c r="G7" s="1129"/>
      <c r="H7" s="1130"/>
      <c r="I7" s="1131"/>
    </row>
    <row r="8" spans="1:9" ht="15.75" customHeight="1" thickBot="1">
      <c r="A8" s="723" t="s">
        <v>321</v>
      </c>
      <c r="B8" s="986">
        <f>B5+B6</f>
        <v>26307</v>
      </c>
      <c r="C8" s="986"/>
      <c r="D8" s="986">
        <f>D5+D6</f>
        <v>17100</v>
      </c>
      <c r="E8" s="986">
        <f>E5+E6+E7</f>
        <v>31681</v>
      </c>
      <c r="F8" s="986">
        <f>F5+F6+F7</f>
        <v>45145</v>
      </c>
      <c r="G8" s="986"/>
      <c r="H8" s="986">
        <f>H5+H6</f>
        <v>22360.95</v>
      </c>
      <c r="I8" s="987">
        <f>I5+I6</f>
        <v>0</v>
      </c>
    </row>
    <row r="9" spans="1:9" ht="15.75" customHeight="1">
      <c r="A9" s="725"/>
      <c r="B9" s="726"/>
      <c r="C9" s="727"/>
      <c r="D9" s="726"/>
      <c r="E9" s="726"/>
      <c r="F9" s="728"/>
      <c r="G9" s="728"/>
      <c r="H9" s="728"/>
      <c r="I9" s="724">
        <v>0</v>
      </c>
    </row>
    <row r="10" spans="1:9" ht="15.75" customHeight="1">
      <c r="A10" s="1132"/>
      <c r="B10" s="564"/>
      <c r="C10" s="565"/>
      <c r="D10" s="564"/>
      <c r="E10" s="1133"/>
      <c r="F10" s="1134"/>
      <c r="G10" s="1134"/>
      <c r="H10" s="577"/>
      <c r="I10" s="566">
        <v>0</v>
      </c>
    </row>
    <row r="11" spans="1:9" ht="15.75" customHeight="1">
      <c r="A11" s="718"/>
      <c r="B11" s="719"/>
      <c r="C11" s="720"/>
      <c r="D11" s="719"/>
      <c r="E11" s="719"/>
      <c r="F11" s="721"/>
      <c r="G11" s="721"/>
      <c r="H11" s="721"/>
      <c r="I11" s="722">
        <f aca="true" t="shared" si="0" ref="I11:I25">B11-D11-E11</f>
        <v>0</v>
      </c>
    </row>
    <row r="12" spans="1:9" ht="15.75" customHeight="1">
      <c r="A12" s="570"/>
      <c r="B12" s="564"/>
      <c r="C12" s="565"/>
      <c r="D12" s="564"/>
      <c r="E12" s="564"/>
      <c r="F12" s="577"/>
      <c r="G12" s="577"/>
      <c r="H12" s="577"/>
      <c r="I12" s="566">
        <f t="shared" si="0"/>
        <v>0</v>
      </c>
    </row>
    <row r="13" spans="1:9" ht="15.75" customHeight="1">
      <c r="A13" s="570"/>
      <c r="B13" s="564"/>
      <c r="C13" s="565"/>
      <c r="D13" s="564"/>
      <c r="E13" s="564"/>
      <c r="F13" s="577"/>
      <c r="G13" s="577"/>
      <c r="H13" s="577"/>
      <c r="I13" s="566">
        <f t="shared" si="0"/>
        <v>0</v>
      </c>
    </row>
    <row r="14" spans="1:9" ht="15.75" customHeight="1">
      <c r="A14" s="570"/>
      <c r="B14" s="564"/>
      <c r="C14" s="565"/>
      <c r="D14" s="564"/>
      <c r="E14" s="564"/>
      <c r="F14" s="577"/>
      <c r="G14" s="577"/>
      <c r="H14" s="577"/>
      <c r="I14" s="566">
        <f t="shared" si="0"/>
        <v>0</v>
      </c>
    </row>
    <row r="15" spans="1:9" ht="15.75" customHeight="1">
      <c r="A15" s="570"/>
      <c r="B15" s="564"/>
      <c r="C15" s="565"/>
      <c r="D15" s="564"/>
      <c r="E15" s="564"/>
      <c r="F15" s="577"/>
      <c r="G15" s="577"/>
      <c r="H15" s="577"/>
      <c r="I15" s="566">
        <f t="shared" si="0"/>
        <v>0</v>
      </c>
    </row>
    <row r="16" spans="1:9" ht="15.75" customHeight="1">
      <c r="A16" s="570"/>
      <c r="B16" s="564"/>
      <c r="C16" s="565"/>
      <c r="D16" s="564"/>
      <c r="E16" s="564"/>
      <c r="F16" s="577"/>
      <c r="G16" s="577"/>
      <c r="H16" s="577"/>
      <c r="I16" s="566">
        <f t="shared" si="0"/>
        <v>0</v>
      </c>
    </row>
    <row r="17" spans="1:9" ht="15.75" customHeight="1">
      <c r="A17" s="570"/>
      <c r="B17" s="564"/>
      <c r="C17" s="565"/>
      <c r="D17" s="564"/>
      <c r="E17" s="564"/>
      <c r="F17" s="577"/>
      <c r="G17" s="577"/>
      <c r="H17" s="577"/>
      <c r="I17" s="566">
        <f t="shared" si="0"/>
        <v>0</v>
      </c>
    </row>
    <row r="18" spans="1:9" ht="15.75" customHeight="1">
      <c r="A18" s="570"/>
      <c r="B18" s="564"/>
      <c r="C18" s="565"/>
      <c r="D18" s="564"/>
      <c r="E18" s="564"/>
      <c r="F18" s="577"/>
      <c r="G18" s="577"/>
      <c r="H18" s="577"/>
      <c r="I18" s="566">
        <f t="shared" si="0"/>
        <v>0</v>
      </c>
    </row>
    <row r="19" spans="1:9" ht="15.75" customHeight="1">
      <c r="A19" s="570"/>
      <c r="B19" s="564"/>
      <c r="C19" s="565"/>
      <c r="D19" s="564"/>
      <c r="E19" s="564"/>
      <c r="F19" s="577"/>
      <c r="G19" s="577"/>
      <c r="H19" s="577"/>
      <c r="I19" s="566">
        <f t="shared" si="0"/>
        <v>0</v>
      </c>
    </row>
    <row r="20" spans="1:9" ht="15.75" customHeight="1">
      <c r="A20" s="570"/>
      <c r="B20" s="564"/>
      <c r="C20" s="565"/>
      <c r="D20" s="564"/>
      <c r="E20" s="564"/>
      <c r="F20" s="577"/>
      <c r="G20" s="577"/>
      <c r="H20" s="577"/>
      <c r="I20" s="566">
        <f t="shared" si="0"/>
        <v>0</v>
      </c>
    </row>
    <row r="21" spans="1:9" ht="15.75" customHeight="1">
      <c r="A21" s="570"/>
      <c r="B21" s="564"/>
      <c r="C21" s="565"/>
      <c r="D21" s="564"/>
      <c r="E21" s="564"/>
      <c r="F21" s="577"/>
      <c r="G21" s="577"/>
      <c r="H21" s="577"/>
      <c r="I21" s="566">
        <f t="shared" si="0"/>
        <v>0</v>
      </c>
    </row>
    <row r="22" spans="1:9" ht="15.75" customHeight="1">
      <c r="A22" s="570"/>
      <c r="B22" s="564"/>
      <c r="C22" s="565"/>
      <c r="D22" s="564"/>
      <c r="E22" s="564"/>
      <c r="F22" s="577"/>
      <c r="G22" s="577"/>
      <c r="H22" s="577"/>
      <c r="I22" s="566">
        <f t="shared" si="0"/>
        <v>0</v>
      </c>
    </row>
    <row r="23" spans="1:9" ht="15.75" customHeight="1">
      <c r="A23" s="570"/>
      <c r="B23" s="564"/>
      <c r="C23" s="565"/>
      <c r="D23" s="564"/>
      <c r="E23" s="564"/>
      <c r="F23" s="577"/>
      <c r="G23" s="577"/>
      <c r="H23" s="577"/>
      <c r="I23" s="566">
        <f t="shared" si="0"/>
        <v>0</v>
      </c>
    </row>
    <row r="24" spans="1:9" ht="15.75" customHeight="1">
      <c r="A24" s="570"/>
      <c r="B24" s="564"/>
      <c r="C24" s="565"/>
      <c r="D24" s="564"/>
      <c r="E24" s="564"/>
      <c r="F24" s="577"/>
      <c r="G24" s="577"/>
      <c r="H24" s="577"/>
      <c r="I24" s="566">
        <f t="shared" si="0"/>
        <v>0</v>
      </c>
    </row>
    <row r="25" spans="1:9" ht="15.75" customHeight="1" thickBot="1">
      <c r="A25" s="571"/>
      <c r="B25" s="572"/>
      <c r="C25" s="573"/>
      <c r="D25" s="572"/>
      <c r="E25" s="572"/>
      <c r="F25" s="578"/>
      <c r="G25" s="578"/>
      <c r="H25" s="578"/>
      <c r="I25" s="574">
        <f t="shared" si="0"/>
        <v>0</v>
      </c>
    </row>
    <row r="26" spans="1:9" s="56" customFormat="1" ht="18" customHeight="1" thickBot="1">
      <c r="A26" s="567" t="s">
        <v>604</v>
      </c>
      <c r="B26" s="568">
        <f aca="true" t="shared" si="1" ref="B26:I26">B8+B10</f>
        <v>26307</v>
      </c>
      <c r="C26" s="568">
        <f t="shared" si="1"/>
        <v>0</v>
      </c>
      <c r="D26" s="568">
        <f t="shared" si="1"/>
        <v>17100</v>
      </c>
      <c r="E26" s="568">
        <f t="shared" si="1"/>
        <v>31681</v>
      </c>
      <c r="F26" s="568">
        <f t="shared" si="1"/>
        <v>45145</v>
      </c>
      <c r="G26" s="568"/>
      <c r="H26" s="568">
        <f t="shared" si="1"/>
        <v>22360.95</v>
      </c>
      <c r="I26" s="569">
        <f t="shared" si="1"/>
        <v>0</v>
      </c>
    </row>
    <row r="28" ht="15.75">
      <c r="A28" s="368"/>
    </row>
  </sheetData>
  <sheetProtection/>
  <mergeCells count="1">
    <mergeCell ref="A1:I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80" r:id="rId1"/>
  <headerFooter alignWithMargins="0">
    <oddHeader xml:space="preserve">&amp;R&amp;"Times New Roman CE,Félkövér dőlt"&amp;12 &amp;11 7. melléklet az 1/2016. (I.26.) önkormányzati rendelethez&amp;"Times New Roman CE,Normál"&amp;10
 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E21"/>
  <sheetViews>
    <sheetView view="pageBreakPreview" zoomScale="60" workbookViewId="0" topLeftCell="A1">
      <selection activeCell="B4" sqref="B4"/>
    </sheetView>
  </sheetViews>
  <sheetFormatPr defaultColWidth="9.00390625" defaultRowHeight="12.75"/>
  <cols>
    <col min="1" max="1" width="38.625" style="45" customWidth="1"/>
    <col min="2" max="5" width="13.875" style="45" customWidth="1"/>
    <col min="6" max="16384" width="9.375" style="45" customWidth="1"/>
  </cols>
  <sheetData>
    <row r="1" spans="1:5" ht="12.75">
      <c r="A1" s="200"/>
      <c r="B1" s="200"/>
      <c r="C1" s="200"/>
      <c r="D1" s="200"/>
      <c r="E1" s="200"/>
    </row>
    <row r="2" spans="1:5" ht="15.75">
      <c r="A2" s="201" t="s">
        <v>677</v>
      </c>
      <c r="B2" s="1245" t="s">
        <v>409</v>
      </c>
      <c r="C2" s="1245"/>
      <c r="D2" s="1245"/>
      <c r="E2" s="1245"/>
    </row>
    <row r="3" spans="1:5" ht="14.25" thickBot="1">
      <c r="A3" s="200"/>
      <c r="B3" s="200"/>
      <c r="C3" s="200"/>
      <c r="D3" s="1246" t="s">
        <v>670</v>
      </c>
      <c r="E3" s="1246"/>
    </row>
    <row r="4" spans="1:5" ht="15" customHeight="1" thickBot="1">
      <c r="A4" s="202" t="s">
        <v>669</v>
      </c>
      <c r="B4" s="203" t="s">
        <v>791</v>
      </c>
      <c r="C4" s="203" t="s">
        <v>792</v>
      </c>
      <c r="D4" s="203" t="s">
        <v>259</v>
      </c>
      <c r="E4" s="204" t="s">
        <v>587</v>
      </c>
    </row>
    <row r="5" spans="1:5" ht="12.75">
      <c r="A5" s="205" t="s">
        <v>671</v>
      </c>
      <c r="B5" s="86"/>
      <c r="C5" s="86"/>
      <c r="D5" s="86"/>
      <c r="E5" s="206">
        <f aca="true" t="shared" si="0" ref="E5:E11">SUM(B5:D5)</f>
        <v>0</v>
      </c>
    </row>
    <row r="6" spans="1:5" ht="12.75">
      <c r="A6" s="207" t="s">
        <v>683</v>
      </c>
      <c r="B6" s="87"/>
      <c r="C6" s="87"/>
      <c r="D6" s="87"/>
      <c r="E6" s="208">
        <f t="shared" si="0"/>
        <v>0</v>
      </c>
    </row>
    <row r="7" spans="1:5" ht="12.75">
      <c r="A7" s="209" t="s">
        <v>672</v>
      </c>
      <c r="B7" s="88"/>
      <c r="C7" s="88"/>
      <c r="D7" s="88"/>
      <c r="E7" s="210">
        <f t="shared" si="0"/>
        <v>0</v>
      </c>
    </row>
    <row r="8" spans="1:5" ht="12.75">
      <c r="A8" s="209" t="s">
        <v>685</v>
      </c>
      <c r="B8" s="88"/>
      <c r="C8" s="88"/>
      <c r="D8" s="88"/>
      <c r="E8" s="210">
        <f t="shared" si="0"/>
        <v>0</v>
      </c>
    </row>
    <row r="9" spans="1:5" ht="12.75">
      <c r="A9" s="209" t="s">
        <v>673</v>
      </c>
      <c r="B9" s="88"/>
      <c r="C9" s="88"/>
      <c r="D9" s="88"/>
      <c r="E9" s="210">
        <f t="shared" si="0"/>
        <v>0</v>
      </c>
    </row>
    <row r="10" spans="1:5" ht="12.75">
      <c r="A10" s="209" t="s">
        <v>674</v>
      </c>
      <c r="B10" s="88"/>
      <c r="C10" s="88"/>
      <c r="D10" s="88"/>
      <c r="E10" s="210">
        <f t="shared" si="0"/>
        <v>0</v>
      </c>
    </row>
    <row r="11" spans="1:5" ht="13.5" thickBot="1">
      <c r="A11" s="89"/>
      <c r="B11" s="90"/>
      <c r="C11" s="90"/>
      <c r="D11" s="90"/>
      <c r="E11" s="210">
        <f t="shared" si="0"/>
        <v>0</v>
      </c>
    </row>
    <row r="12" spans="1:5" ht="13.5" thickBot="1">
      <c r="A12" s="211" t="s">
        <v>676</v>
      </c>
      <c r="B12" s="212">
        <f>B5+SUM(B7:B11)</f>
        <v>0</v>
      </c>
      <c r="C12" s="212">
        <f>C5+SUM(C7:C11)</f>
        <v>0</v>
      </c>
      <c r="D12" s="212">
        <f>D5+SUM(D7:D11)</f>
        <v>0</v>
      </c>
      <c r="E12" s="213">
        <f>E5+SUM(E7:E11)</f>
        <v>0</v>
      </c>
    </row>
    <row r="13" spans="1:5" ht="13.5" thickBot="1">
      <c r="A13" s="48"/>
      <c r="B13" s="48"/>
      <c r="C13" s="48"/>
      <c r="D13" s="48"/>
      <c r="E13" s="48"/>
    </row>
    <row r="14" spans="1:5" ht="15" customHeight="1" thickBot="1">
      <c r="A14" s="202" t="s">
        <v>675</v>
      </c>
      <c r="B14" s="203" t="s">
        <v>791</v>
      </c>
      <c r="C14" s="203" t="s">
        <v>792</v>
      </c>
      <c r="D14" s="203" t="s">
        <v>259</v>
      </c>
      <c r="E14" s="204" t="s">
        <v>587</v>
      </c>
    </row>
    <row r="15" spans="1:5" ht="12.75">
      <c r="A15" s="205" t="s">
        <v>679</v>
      </c>
      <c r="B15" s="86"/>
      <c r="C15" s="86"/>
      <c r="D15" s="86"/>
      <c r="E15" s="206">
        <f>SUM(B15:D15)</f>
        <v>0</v>
      </c>
    </row>
    <row r="16" spans="1:5" ht="12.75">
      <c r="A16" s="214" t="s">
        <v>680</v>
      </c>
      <c r="B16" s="88"/>
      <c r="C16" s="88"/>
      <c r="D16" s="88"/>
      <c r="E16" s="210">
        <f>SUM(B16:D16)</f>
        <v>0</v>
      </c>
    </row>
    <row r="17" spans="1:5" ht="12.75">
      <c r="A17" s="209" t="s">
        <v>681</v>
      </c>
      <c r="B17" s="88"/>
      <c r="C17" s="88"/>
      <c r="D17" s="88"/>
      <c r="E17" s="210">
        <f>SUM(B17:D17)</f>
        <v>0</v>
      </c>
    </row>
    <row r="18" spans="1:5" ht="13.5" thickBot="1">
      <c r="A18" s="209" t="s">
        <v>682</v>
      </c>
      <c r="B18" s="88"/>
      <c r="C18" s="88"/>
      <c r="D18" s="88"/>
      <c r="E18" s="210">
        <f>SUM(B18:D18)</f>
        <v>0</v>
      </c>
    </row>
    <row r="19" spans="1:5" ht="13.5" thickBot="1">
      <c r="A19" s="211" t="s">
        <v>588</v>
      </c>
      <c r="B19" s="212"/>
      <c r="C19" s="212">
        <f>SUM(C15:C18)</f>
        <v>0</v>
      </c>
      <c r="D19" s="212">
        <f>SUM(D15:D18)</f>
        <v>0</v>
      </c>
      <c r="E19" s="213">
        <f>SUM(E15:E18)</f>
        <v>0</v>
      </c>
    </row>
    <row r="20" spans="1:5" ht="12.75">
      <c r="A20" s="200"/>
      <c r="B20" s="200"/>
      <c r="C20" s="200"/>
      <c r="D20" s="200"/>
      <c r="E20" s="200"/>
    </row>
    <row r="21" spans="1:5" ht="12.75">
      <c r="A21" s="200"/>
      <c r="B21" s="200"/>
      <c r="C21" s="200"/>
      <c r="D21" s="200"/>
      <c r="E21" s="200"/>
    </row>
  </sheetData>
  <sheetProtection/>
  <mergeCells count="2">
    <mergeCell ref="B2:E2"/>
    <mergeCell ref="D3:E3"/>
  </mergeCells>
  <conditionalFormatting sqref="B19:E19 E5:E12 B12:D12 E15:E18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az 1/2016. (I.26.)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0"/>
  <sheetViews>
    <sheetView view="pageBreakPreview" zoomScale="85" zoomScaleSheetLayoutView="85" workbookViewId="0" topLeftCell="A118">
      <selection activeCell="A150" sqref="A150"/>
    </sheetView>
  </sheetViews>
  <sheetFormatPr defaultColWidth="9.00390625" defaultRowHeight="12.75"/>
  <cols>
    <col min="1" max="1" width="19.50390625" style="378" customWidth="1"/>
    <col min="2" max="2" width="76.00390625" style="379" customWidth="1"/>
    <col min="3" max="7" width="25.00390625" style="380" customWidth="1"/>
    <col min="8" max="16384" width="9.375" style="3" customWidth="1"/>
  </cols>
  <sheetData>
    <row r="1" spans="1:7" s="2" customFormat="1" ht="16.5" customHeight="1" thickBot="1">
      <c r="A1" s="215"/>
      <c r="B1" s="217"/>
      <c r="C1" s="240" t="s">
        <v>899</v>
      </c>
      <c r="D1" s="240"/>
      <c r="E1" s="240"/>
      <c r="F1" s="240"/>
      <c r="G1" s="240"/>
    </row>
    <row r="2" spans="1:7" s="91" customFormat="1" ht="21" customHeight="1">
      <c r="A2" s="385" t="s">
        <v>602</v>
      </c>
      <c r="B2" s="345" t="s">
        <v>765</v>
      </c>
      <c r="C2" s="347"/>
      <c r="D2" s="347"/>
      <c r="E2" s="347"/>
      <c r="F2" s="347"/>
      <c r="G2" s="347" t="s">
        <v>589</v>
      </c>
    </row>
    <row r="3" spans="1:7" s="91" customFormat="1" ht="16.5" thickBot="1">
      <c r="A3" s="218" t="s">
        <v>739</v>
      </c>
      <c r="B3" s="346" t="s">
        <v>138</v>
      </c>
      <c r="C3" s="348"/>
      <c r="D3" s="348"/>
      <c r="E3" s="348"/>
      <c r="F3" s="348"/>
      <c r="G3" s="348">
        <v>1</v>
      </c>
    </row>
    <row r="4" spans="1:7" s="92" customFormat="1" ht="15.75" customHeight="1" thickBot="1">
      <c r="A4" s="219"/>
      <c r="B4" s="219"/>
      <c r="C4" s="220"/>
      <c r="D4" s="220"/>
      <c r="E4" s="220" t="s">
        <v>590</v>
      </c>
      <c r="F4" s="220"/>
      <c r="G4" s="220"/>
    </row>
    <row r="5" spans="1:7" ht="13.5" thickBot="1">
      <c r="A5" s="386" t="s">
        <v>741</v>
      </c>
      <c r="B5" s="221" t="s">
        <v>591</v>
      </c>
      <c r="C5" s="349" t="s">
        <v>592</v>
      </c>
      <c r="D5" s="349" t="s">
        <v>886</v>
      </c>
      <c r="E5" s="349" t="s">
        <v>908</v>
      </c>
      <c r="F5" s="349" t="s">
        <v>913</v>
      </c>
      <c r="G5" s="349" t="s">
        <v>8</v>
      </c>
    </row>
    <row r="6" spans="1:7" s="57" customFormat="1" ht="12.75" customHeight="1" thickBot="1">
      <c r="A6" s="188">
        <v>1</v>
      </c>
      <c r="B6" s="189">
        <v>2</v>
      </c>
      <c r="C6" s="190">
        <v>3</v>
      </c>
      <c r="D6" s="190">
        <v>4</v>
      </c>
      <c r="E6" s="190">
        <v>5</v>
      </c>
      <c r="F6" s="190">
        <v>6</v>
      </c>
      <c r="G6" s="190">
        <v>7</v>
      </c>
    </row>
    <row r="7" spans="1:7" s="57" customFormat="1" ht="15.75" customHeight="1" thickBot="1">
      <c r="A7" s="223"/>
      <c r="B7" s="224" t="s">
        <v>593</v>
      </c>
      <c r="C7" s="350"/>
      <c r="D7" s="350"/>
      <c r="E7" s="350"/>
      <c r="F7" s="350"/>
      <c r="G7" s="350"/>
    </row>
    <row r="8" spans="1:7" s="57" customFormat="1" ht="12" customHeight="1" thickBot="1">
      <c r="A8" s="30" t="s">
        <v>555</v>
      </c>
      <c r="B8" s="19" t="s">
        <v>798</v>
      </c>
      <c r="C8" s="285">
        <f>+C9+C10+C11+C12+C13+C14</f>
        <v>388467</v>
      </c>
      <c r="D8" s="285">
        <f>D9+D10+D11+D12+D13</f>
        <v>393550</v>
      </c>
      <c r="E8" s="285">
        <f>E9+E10+E11+E12+E13</f>
        <v>396686</v>
      </c>
      <c r="F8" s="285">
        <f>F9+F10+F11+F12+F13</f>
        <v>396287778</v>
      </c>
      <c r="G8" s="285">
        <f>G9+G10+G11+G12+G13+G14</f>
        <v>398046285</v>
      </c>
    </row>
    <row r="9" spans="1:7" s="93" customFormat="1" ht="12" customHeight="1">
      <c r="A9" s="412" t="s">
        <v>640</v>
      </c>
      <c r="B9" s="395" t="s">
        <v>799</v>
      </c>
      <c r="C9" s="301">
        <v>129128</v>
      </c>
      <c r="D9" s="301">
        <v>129128</v>
      </c>
      <c r="E9" s="301">
        <v>129128</v>
      </c>
      <c r="F9" s="301">
        <v>129128455</v>
      </c>
      <c r="G9" s="301">
        <v>129659455</v>
      </c>
    </row>
    <row r="10" spans="1:7" s="94" customFormat="1" ht="12" customHeight="1">
      <c r="A10" s="413" t="s">
        <v>641</v>
      </c>
      <c r="B10" s="396" t="s">
        <v>800</v>
      </c>
      <c r="C10" s="287">
        <v>114811</v>
      </c>
      <c r="D10" s="287">
        <v>114811</v>
      </c>
      <c r="E10" s="287">
        <v>114811</v>
      </c>
      <c r="F10" s="287">
        <v>114811100</v>
      </c>
      <c r="G10" s="287">
        <v>116255634</v>
      </c>
    </row>
    <row r="11" spans="1:7" s="94" customFormat="1" ht="12" customHeight="1">
      <c r="A11" s="413" t="s">
        <v>642</v>
      </c>
      <c r="B11" s="396" t="s">
        <v>801</v>
      </c>
      <c r="C11" s="287">
        <v>138262</v>
      </c>
      <c r="D11" s="287">
        <v>138262</v>
      </c>
      <c r="E11" s="287">
        <v>138262</v>
      </c>
      <c r="F11" s="287">
        <v>137863413</v>
      </c>
      <c r="G11" s="287">
        <v>139048734</v>
      </c>
    </row>
    <row r="12" spans="1:7" s="94" customFormat="1" ht="12" customHeight="1">
      <c r="A12" s="413" t="s">
        <v>643</v>
      </c>
      <c r="B12" s="396" t="s">
        <v>802</v>
      </c>
      <c r="C12" s="287">
        <v>6266</v>
      </c>
      <c r="D12" s="287">
        <v>6266</v>
      </c>
      <c r="E12" s="287">
        <v>6266</v>
      </c>
      <c r="F12" s="287">
        <v>6265440</v>
      </c>
      <c r="G12" s="287">
        <v>6607308</v>
      </c>
    </row>
    <row r="13" spans="1:7" s="94" customFormat="1" ht="12" customHeight="1">
      <c r="A13" s="413" t="s">
        <v>686</v>
      </c>
      <c r="B13" s="396" t="s">
        <v>803</v>
      </c>
      <c r="C13" s="814"/>
      <c r="D13" s="814">
        <f>2671+2412</f>
        <v>5083</v>
      </c>
      <c r="E13" s="814">
        <v>8219</v>
      </c>
      <c r="F13" s="814">
        <v>8219370</v>
      </c>
      <c r="G13" s="814">
        <v>640362</v>
      </c>
    </row>
    <row r="14" spans="1:7" s="93" customFormat="1" ht="12" customHeight="1" thickBot="1">
      <c r="A14" s="414" t="s">
        <v>644</v>
      </c>
      <c r="B14" s="397" t="s">
        <v>804</v>
      </c>
      <c r="C14" s="815"/>
      <c r="D14" s="815"/>
      <c r="E14" s="815"/>
      <c r="F14" s="815"/>
      <c r="G14" s="815">
        <v>5834792</v>
      </c>
    </row>
    <row r="15" spans="1:7" s="93" customFormat="1" ht="12" customHeight="1" thickBot="1">
      <c r="A15" s="30" t="s">
        <v>556</v>
      </c>
      <c r="B15" s="280" t="s">
        <v>805</v>
      </c>
      <c r="C15" s="285">
        <f>+C16+C17+C18+C19+C20</f>
        <v>9120</v>
      </c>
      <c r="D15" s="285">
        <f>+D16+D17+D18+D19+D20</f>
        <v>18325</v>
      </c>
      <c r="E15" s="285">
        <f>+E16+E17+E18+E19+E20</f>
        <v>23053</v>
      </c>
      <c r="F15" s="285">
        <f>+F16+F17+F18+F19+F20</f>
        <v>25950209</v>
      </c>
      <c r="G15" s="285">
        <f>+G16+G17+G18+G19+G20</f>
        <v>28457316</v>
      </c>
    </row>
    <row r="16" spans="1:7" s="93" customFormat="1" ht="12" customHeight="1">
      <c r="A16" s="412" t="s">
        <v>646</v>
      </c>
      <c r="B16" s="395" t="s">
        <v>806</v>
      </c>
      <c r="C16" s="288"/>
      <c r="D16" s="288"/>
      <c r="E16" s="288"/>
      <c r="F16" s="288"/>
      <c r="G16" s="288"/>
    </row>
    <row r="17" spans="1:7" s="93" customFormat="1" ht="12" customHeight="1">
      <c r="A17" s="413" t="s">
        <v>647</v>
      </c>
      <c r="B17" s="396" t="s">
        <v>807</v>
      </c>
      <c r="C17" s="287"/>
      <c r="D17" s="287"/>
      <c r="E17" s="287"/>
      <c r="F17" s="287"/>
      <c r="G17" s="287"/>
    </row>
    <row r="18" spans="1:7" s="93" customFormat="1" ht="12" customHeight="1">
      <c r="A18" s="413" t="s">
        <v>648</v>
      </c>
      <c r="B18" s="396" t="s">
        <v>324</v>
      </c>
      <c r="C18" s="287"/>
      <c r="D18" s="287"/>
      <c r="E18" s="287"/>
      <c r="F18" s="287"/>
      <c r="G18" s="287"/>
    </row>
    <row r="19" spans="1:7" s="93" customFormat="1" ht="12" customHeight="1">
      <c r="A19" s="413" t="s">
        <v>649</v>
      </c>
      <c r="B19" s="909" t="s">
        <v>298</v>
      </c>
      <c r="C19" s="287">
        <v>9120</v>
      </c>
      <c r="D19" s="287">
        <v>9120</v>
      </c>
      <c r="E19" s="287">
        <v>9120</v>
      </c>
      <c r="F19" s="287">
        <v>10140600</v>
      </c>
      <c r="G19" s="287">
        <v>10140600</v>
      </c>
    </row>
    <row r="20" spans="1:7" s="93" customFormat="1" ht="12" customHeight="1">
      <c r="A20" s="413" t="s">
        <v>650</v>
      </c>
      <c r="B20" s="909" t="s">
        <v>891</v>
      </c>
      <c r="C20" s="287"/>
      <c r="D20" s="287">
        <v>9205</v>
      </c>
      <c r="E20" s="287">
        <v>13933</v>
      </c>
      <c r="F20" s="287">
        <v>15809609</v>
      </c>
      <c r="G20" s="287">
        <v>18316716</v>
      </c>
    </row>
    <row r="21" spans="1:7" s="94" customFormat="1" ht="12" customHeight="1" thickBot="1">
      <c r="A21" s="414" t="s">
        <v>659</v>
      </c>
      <c r="B21" s="397" t="s">
        <v>809</v>
      </c>
      <c r="C21" s="289"/>
      <c r="D21" s="289"/>
      <c r="E21" s="289"/>
      <c r="F21" s="289"/>
      <c r="G21" s="289"/>
    </row>
    <row r="22" spans="1:7" s="94" customFormat="1" ht="12" customHeight="1" thickBot="1">
      <c r="A22" s="30" t="s">
        <v>557</v>
      </c>
      <c r="B22" s="19" t="s">
        <v>810</v>
      </c>
      <c r="C22" s="285">
        <f>+C23+C24+C25+C26+C27</f>
        <v>33407</v>
      </c>
      <c r="D22" s="285">
        <f>+D23+D24+D25+D26+D27</f>
        <v>33407</v>
      </c>
      <c r="E22" s="285">
        <f>+E23+E24+E25+E26+E27</f>
        <v>33407</v>
      </c>
      <c r="F22" s="285">
        <f>+F23+F24+F25+F26+F27</f>
        <v>214407000</v>
      </c>
      <c r="G22" s="285">
        <f>+G23+G24+G25+G26+G27</f>
        <v>191800000</v>
      </c>
    </row>
    <row r="23" spans="1:7" s="94" customFormat="1" ht="12" customHeight="1">
      <c r="A23" s="412" t="s">
        <v>629</v>
      </c>
      <c r="B23" s="395" t="s">
        <v>811</v>
      </c>
      <c r="C23" s="288"/>
      <c r="D23" s="288"/>
      <c r="E23" s="288"/>
      <c r="F23" s="288">
        <v>181000000</v>
      </c>
      <c r="G23" s="288">
        <v>181000000</v>
      </c>
    </row>
    <row r="24" spans="1:7" s="93" customFormat="1" ht="12" customHeight="1">
      <c r="A24" s="413" t="s">
        <v>630</v>
      </c>
      <c r="B24" s="396" t="s">
        <v>812</v>
      </c>
      <c r="C24" s="287"/>
      <c r="D24" s="287"/>
      <c r="E24" s="287"/>
      <c r="F24" s="287"/>
      <c r="G24" s="287"/>
    </row>
    <row r="25" spans="1:7" s="94" customFormat="1" ht="12" customHeight="1">
      <c r="A25" s="413" t="s">
        <v>631</v>
      </c>
      <c r="B25" s="396" t="s">
        <v>174</v>
      </c>
      <c r="C25" s="287"/>
      <c r="D25" s="287"/>
      <c r="E25" s="287"/>
      <c r="F25" s="287"/>
      <c r="G25" s="287"/>
    </row>
    <row r="26" spans="1:7" s="94" customFormat="1" ht="12" customHeight="1">
      <c r="A26" s="413" t="s">
        <v>632</v>
      </c>
      <c r="B26" s="909" t="s">
        <v>399</v>
      </c>
      <c r="C26" s="287"/>
      <c r="D26" s="287"/>
      <c r="E26" s="287"/>
      <c r="F26" s="287"/>
      <c r="G26" s="287"/>
    </row>
    <row r="27" spans="1:7" s="94" customFormat="1" ht="12" customHeight="1">
      <c r="A27" s="413" t="s">
        <v>707</v>
      </c>
      <c r="B27" s="909" t="s">
        <v>400</v>
      </c>
      <c r="C27" s="287">
        <v>33407</v>
      </c>
      <c r="D27" s="287">
        <v>33407</v>
      </c>
      <c r="E27" s="287">
        <v>33407</v>
      </c>
      <c r="F27" s="287">
        <v>33407000</v>
      </c>
      <c r="G27" s="287">
        <v>10800000</v>
      </c>
    </row>
    <row r="28" spans="1:7" s="94" customFormat="1" ht="12" customHeight="1" thickBot="1">
      <c r="A28" s="414" t="s">
        <v>708</v>
      </c>
      <c r="B28" s="397" t="s">
        <v>814</v>
      </c>
      <c r="C28" s="289"/>
      <c r="D28" s="289"/>
      <c r="E28" s="289"/>
      <c r="F28" s="289"/>
      <c r="G28" s="289"/>
    </row>
    <row r="29" spans="1:7" s="94" customFormat="1" ht="12" customHeight="1" thickBot="1">
      <c r="A29" s="30" t="s">
        <v>709</v>
      </c>
      <c r="B29" s="19" t="s">
        <v>815</v>
      </c>
      <c r="C29" s="291">
        <f>+C30+C33+C34+C36+C35</f>
        <v>114350</v>
      </c>
      <c r="D29" s="291">
        <f>+D30+D33+D34+D36+D35</f>
        <v>114350</v>
      </c>
      <c r="E29" s="291">
        <f>+E30+E33+E34+E36+E35</f>
        <v>114350</v>
      </c>
      <c r="F29" s="291">
        <f>+F30+F33+F34+F36+F35</f>
        <v>149350000</v>
      </c>
      <c r="G29" s="291">
        <f>+G30+G33+G34+G36+G35</f>
        <v>180840000</v>
      </c>
    </row>
    <row r="30" spans="1:7" s="94" customFormat="1" ht="12" customHeight="1">
      <c r="A30" s="412" t="s">
        <v>816</v>
      </c>
      <c r="B30" s="395" t="s">
        <v>822</v>
      </c>
      <c r="C30" s="390">
        <f>+C31+C32</f>
        <v>95800</v>
      </c>
      <c r="D30" s="390">
        <f>+D31+D32</f>
        <v>95800</v>
      </c>
      <c r="E30" s="390">
        <f>+E31+E32</f>
        <v>95800</v>
      </c>
      <c r="F30" s="390">
        <v>127800000</v>
      </c>
      <c r="G30" s="390">
        <v>155200000</v>
      </c>
    </row>
    <row r="31" spans="1:7" s="94" customFormat="1" ht="12" customHeight="1">
      <c r="A31" s="413" t="s">
        <v>817</v>
      </c>
      <c r="B31" s="654" t="s">
        <v>299</v>
      </c>
      <c r="C31" s="287">
        <v>5800</v>
      </c>
      <c r="D31" s="287">
        <v>5800</v>
      </c>
      <c r="E31" s="287">
        <v>5800</v>
      </c>
      <c r="F31" s="287">
        <v>5800000</v>
      </c>
      <c r="G31" s="287">
        <v>6200000</v>
      </c>
    </row>
    <row r="32" spans="1:7" s="94" customFormat="1" ht="12" customHeight="1">
      <c r="A32" s="413" t="s">
        <v>818</v>
      </c>
      <c r="B32" s="654" t="s">
        <v>304</v>
      </c>
      <c r="C32" s="287">
        <v>90000</v>
      </c>
      <c r="D32" s="287">
        <v>90000</v>
      </c>
      <c r="E32" s="287">
        <v>90000</v>
      </c>
      <c r="F32" s="287">
        <v>122000000</v>
      </c>
      <c r="G32" s="287">
        <v>149000000</v>
      </c>
    </row>
    <row r="33" spans="1:7" s="94" customFormat="1" ht="12" customHeight="1">
      <c r="A33" s="413" t="s">
        <v>819</v>
      </c>
      <c r="B33" s="396" t="s">
        <v>825</v>
      </c>
      <c r="C33" s="287">
        <v>16000</v>
      </c>
      <c r="D33" s="287">
        <v>16000</v>
      </c>
      <c r="E33" s="287">
        <v>16000</v>
      </c>
      <c r="F33" s="287">
        <v>18500000</v>
      </c>
      <c r="G33" s="287">
        <v>21000000</v>
      </c>
    </row>
    <row r="34" spans="1:7" s="94" customFormat="1" ht="12" customHeight="1">
      <c r="A34" s="413" t="s">
        <v>820</v>
      </c>
      <c r="B34" s="396" t="s">
        <v>300</v>
      </c>
      <c r="C34" s="287">
        <v>250</v>
      </c>
      <c r="D34" s="287">
        <v>250</v>
      </c>
      <c r="E34" s="287">
        <v>250</v>
      </c>
      <c r="F34" s="287">
        <v>250000</v>
      </c>
      <c r="G34" s="287">
        <v>440000</v>
      </c>
    </row>
    <row r="35" spans="1:7" s="94" customFormat="1" ht="12" customHeight="1">
      <c r="A35" s="413" t="s">
        <v>821</v>
      </c>
      <c r="B35" s="397" t="s">
        <v>303</v>
      </c>
      <c r="C35" s="289">
        <v>1300</v>
      </c>
      <c r="D35" s="289">
        <v>1300</v>
      </c>
      <c r="E35" s="289">
        <v>1300</v>
      </c>
      <c r="F35" s="289">
        <v>1300000</v>
      </c>
      <c r="G35" s="289">
        <v>2200000</v>
      </c>
    </row>
    <row r="36" spans="1:7" s="94" customFormat="1" ht="12" customHeight="1" thickBot="1">
      <c r="A36" s="413" t="s">
        <v>301</v>
      </c>
      <c r="B36" s="397" t="s">
        <v>302</v>
      </c>
      <c r="C36" s="289">
        <v>1000</v>
      </c>
      <c r="D36" s="289">
        <v>1000</v>
      </c>
      <c r="E36" s="289">
        <v>1000</v>
      </c>
      <c r="F36" s="289">
        <v>1500000</v>
      </c>
      <c r="G36" s="289">
        <v>2000000</v>
      </c>
    </row>
    <row r="37" spans="1:7" s="94" customFormat="1" ht="12" customHeight="1" thickBot="1">
      <c r="A37" s="30" t="s">
        <v>559</v>
      </c>
      <c r="B37" s="19" t="s">
        <v>828</v>
      </c>
      <c r="C37" s="285">
        <f>SUM(C38:C47)</f>
        <v>22547</v>
      </c>
      <c r="D37" s="285">
        <f>SUM(D38:D47)</f>
        <v>22547</v>
      </c>
      <c r="E37" s="285">
        <f>SUM(E38:E47)</f>
        <v>22547</v>
      </c>
      <c r="F37" s="285">
        <f>SUM(F38:F47)</f>
        <v>65110000</v>
      </c>
      <c r="G37" s="285">
        <f>SUM(G38:G47)</f>
        <v>70601000</v>
      </c>
    </row>
    <row r="38" spans="1:7" s="94" customFormat="1" ht="12" customHeight="1">
      <c r="A38" s="412" t="s">
        <v>633</v>
      </c>
      <c r="B38" s="395" t="s">
        <v>831</v>
      </c>
      <c r="C38" s="288"/>
      <c r="D38" s="288"/>
      <c r="E38" s="288"/>
      <c r="F38" s="288"/>
      <c r="G38" s="288"/>
    </row>
    <row r="39" spans="1:7" s="94" customFormat="1" ht="12" customHeight="1">
      <c r="A39" s="413" t="s">
        <v>634</v>
      </c>
      <c r="B39" s="396" t="s">
        <v>832</v>
      </c>
      <c r="C39" s="287">
        <v>6200</v>
      </c>
      <c r="D39" s="287">
        <v>6200</v>
      </c>
      <c r="E39" s="287">
        <v>6200</v>
      </c>
      <c r="F39" s="287">
        <v>9322000</v>
      </c>
      <c r="G39" s="287">
        <v>13575000</v>
      </c>
    </row>
    <row r="40" spans="1:7" s="94" customFormat="1" ht="12" customHeight="1">
      <c r="A40" s="413" t="s">
        <v>635</v>
      </c>
      <c r="B40" s="396" t="s">
        <v>833</v>
      </c>
      <c r="C40" s="287">
        <v>300</v>
      </c>
      <c r="D40" s="287">
        <v>300</v>
      </c>
      <c r="E40" s="287">
        <v>300</v>
      </c>
      <c r="F40" s="287">
        <v>300000</v>
      </c>
      <c r="G40" s="287"/>
    </row>
    <row r="41" spans="1:7" s="94" customFormat="1" ht="12" customHeight="1">
      <c r="A41" s="413" t="s">
        <v>711</v>
      </c>
      <c r="B41" s="396" t="s">
        <v>834</v>
      </c>
      <c r="C41" s="287"/>
      <c r="D41" s="287"/>
      <c r="E41" s="287"/>
      <c r="F41" s="287"/>
      <c r="G41" s="287"/>
    </row>
    <row r="42" spans="1:7" s="94" customFormat="1" ht="12" customHeight="1">
      <c r="A42" s="413" t="s">
        <v>712</v>
      </c>
      <c r="B42" s="396" t="s">
        <v>835</v>
      </c>
      <c r="C42" s="287">
        <v>11502</v>
      </c>
      <c r="D42" s="287">
        <v>11502</v>
      </c>
      <c r="E42" s="287">
        <v>11502</v>
      </c>
      <c r="F42" s="287">
        <v>11502000</v>
      </c>
      <c r="G42" s="287">
        <v>11950000</v>
      </c>
    </row>
    <row r="43" spans="1:7" s="94" customFormat="1" ht="12" customHeight="1">
      <c r="A43" s="413" t="s">
        <v>713</v>
      </c>
      <c r="B43" s="396" t="s">
        <v>836</v>
      </c>
      <c r="C43" s="287">
        <v>3045</v>
      </c>
      <c r="D43" s="287">
        <v>3045</v>
      </c>
      <c r="E43" s="287">
        <v>3045</v>
      </c>
      <c r="F43" s="287">
        <v>33245000</v>
      </c>
      <c r="G43" s="287">
        <v>33338000</v>
      </c>
    </row>
    <row r="44" spans="1:7" s="94" customFormat="1" ht="12" customHeight="1">
      <c r="A44" s="413" t="s">
        <v>714</v>
      </c>
      <c r="B44" s="396" t="s">
        <v>837</v>
      </c>
      <c r="C44" s="287"/>
      <c r="D44" s="287"/>
      <c r="E44" s="287"/>
      <c r="F44" s="287">
        <v>9241000</v>
      </c>
      <c r="G44" s="287">
        <v>11088000</v>
      </c>
    </row>
    <row r="45" spans="1:7" s="94" customFormat="1" ht="12" customHeight="1">
      <c r="A45" s="413" t="s">
        <v>715</v>
      </c>
      <c r="B45" s="396" t="s">
        <v>838</v>
      </c>
      <c r="C45" s="287">
        <v>1500</v>
      </c>
      <c r="D45" s="287">
        <v>1500</v>
      </c>
      <c r="E45" s="287">
        <v>1500</v>
      </c>
      <c r="F45" s="287">
        <v>1500000</v>
      </c>
      <c r="G45" s="287">
        <v>650000</v>
      </c>
    </row>
    <row r="46" spans="1:7" s="94" customFormat="1" ht="12" customHeight="1">
      <c r="A46" s="413" t="s">
        <v>829</v>
      </c>
      <c r="B46" s="396" t="s">
        <v>839</v>
      </c>
      <c r="C46" s="290"/>
      <c r="D46" s="290"/>
      <c r="E46" s="290"/>
      <c r="F46" s="290"/>
      <c r="G46" s="290"/>
    </row>
    <row r="47" spans="1:7" s="94" customFormat="1" ht="12" customHeight="1" thickBot="1">
      <c r="A47" s="414" t="s">
        <v>830</v>
      </c>
      <c r="B47" s="397" t="s">
        <v>840</v>
      </c>
      <c r="C47" s="384"/>
      <c r="D47" s="384"/>
      <c r="E47" s="384"/>
      <c r="F47" s="384"/>
      <c r="G47" s="384"/>
    </row>
    <row r="48" spans="1:7" s="94" customFormat="1" ht="12" customHeight="1" thickBot="1">
      <c r="A48" s="30" t="s">
        <v>560</v>
      </c>
      <c r="B48" s="19" t="s">
        <v>841</v>
      </c>
      <c r="C48" s="285">
        <f>SUM(C49:C53)</f>
        <v>0</v>
      </c>
      <c r="D48" s="285">
        <f>SUM(D49:D53)</f>
        <v>50000</v>
      </c>
      <c r="E48" s="285">
        <f>SUM(E49:E53)</f>
        <v>50000</v>
      </c>
      <c r="F48" s="285">
        <f>SUM(F49:F53)</f>
        <v>105000000</v>
      </c>
      <c r="G48" s="285">
        <f>SUM(G49:G53)</f>
        <v>126240000</v>
      </c>
    </row>
    <row r="49" spans="1:7" s="94" customFormat="1" ht="12" customHeight="1">
      <c r="A49" s="412" t="s">
        <v>636</v>
      </c>
      <c r="B49" s="395" t="s">
        <v>845</v>
      </c>
      <c r="C49" s="438"/>
      <c r="D49" s="438"/>
      <c r="E49" s="438"/>
      <c r="F49" s="438"/>
      <c r="G49" s="438"/>
    </row>
    <row r="50" spans="1:7" s="94" customFormat="1" ht="12" customHeight="1">
      <c r="A50" s="413" t="s">
        <v>637</v>
      </c>
      <c r="B50" s="396" t="s">
        <v>846</v>
      </c>
      <c r="C50" s="290"/>
      <c r="D50" s="290">
        <v>50000</v>
      </c>
      <c r="E50" s="290">
        <v>50000</v>
      </c>
      <c r="F50" s="290">
        <v>105000000</v>
      </c>
      <c r="G50" s="290">
        <v>126240000</v>
      </c>
    </row>
    <row r="51" spans="1:7" s="94" customFormat="1" ht="12" customHeight="1">
      <c r="A51" s="413" t="s">
        <v>842</v>
      </c>
      <c r="B51" s="396" t="s">
        <v>847</v>
      </c>
      <c r="C51" s="290"/>
      <c r="D51" s="290"/>
      <c r="E51" s="290"/>
      <c r="F51" s="290"/>
      <c r="G51" s="290"/>
    </row>
    <row r="52" spans="1:7" s="94" customFormat="1" ht="12" customHeight="1">
      <c r="A52" s="413" t="s">
        <v>843</v>
      </c>
      <c r="B52" s="396" t="s">
        <v>848</v>
      </c>
      <c r="C52" s="290"/>
      <c r="D52" s="290"/>
      <c r="E52" s="290"/>
      <c r="F52" s="290"/>
      <c r="G52" s="290"/>
    </row>
    <row r="53" spans="1:7" s="94" customFormat="1" ht="12" customHeight="1" thickBot="1">
      <c r="A53" s="414" t="s">
        <v>844</v>
      </c>
      <c r="B53" s="397" t="s">
        <v>849</v>
      </c>
      <c r="C53" s="384"/>
      <c r="D53" s="384"/>
      <c r="E53" s="384"/>
      <c r="F53" s="384"/>
      <c r="G53" s="384"/>
    </row>
    <row r="54" spans="1:7" s="94" customFormat="1" ht="12" customHeight="1" thickBot="1">
      <c r="A54" s="30" t="s">
        <v>716</v>
      </c>
      <c r="B54" s="19" t="s">
        <v>850</v>
      </c>
      <c r="C54" s="285">
        <f>SUM(C55:C57)</f>
        <v>0</v>
      </c>
      <c r="D54" s="285">
        <f>SUM(D55:D57)</f>
        <v>0</v>
      </c>
      <c r="E54" s="285">
        <f>SUM(E55:E57)</f>
        <v>0</v>
      </c>
      <c r="F54" s="285">
        <f>SUM(F55:F57)</f>
        <v>0</v>
      </c>
      <c r="G54" s="285">
        <v>388000</v>
      </c>
    </row>
    <row r="55" spans="1:7" s="94" customFormat="1" ht="12" customHeight="1">
      <c r="A55" s="412" t="s">
        <v>638</v>
      </c>
      <c r="B55" s="395" t="s">
        <v>851</v>
      </c>
      <c r="C55" s="288"/>
      <c r="D55" s="288"/>
      <c r="E55" s="288"/>
      <c r="F55" s="288"/>
      <c r="G55" s="288"/>
    </row>
    <row r="56" spans="1:7" s="94" customFormat="1" ht="12" customHeight="1">
      <c r="A56" s="413" t="s">
        <v>639</v>
      </c>
      <c r="B56" s="396" t="s">
        <v>323</v>
      </c>
      <c r="C56" s="287"/>
      <c r="D56" s="287"/>
      <c r="E56" s="287"/>
      <c r="F56" s="287"/>
      <c r="G56" s="287"/>
    </row>
    <row r="57" spans="1:7" s="94" customFormat="1" ht="12" customHeight="1">
      <c r="A57" s="413" t="s">
        <v>854</v>
      </c>
      <c r="B57" s="396" t="s">
        <v>325</v>
      </c>
      <c r="C57" s="287"/>
      <c r="D57" s="287"/>
      <c r="E57" s="287"/>
      <c r="F57" s="287"/>
      <c r="G57" s="287"/>
    </row>
    <row r="58" spans="1:7" s="94" customFormat="1" ht="12" customHeight="1" thickBot="1">
      <c r="A58" s="414" t="s">
        <v>855</v>
      </c>
      <c r="B58" s="397" t="s">
        <v>853</v>
      </c>
      <c r="C58" s="289"/>
      <c r="D58" s="289"/>
      <c r="E58" s="289"/>
      <c r="F58" s="289"/>
      <c r="G58" s="289"/>
    </row>
    <row r="59" spans="1:7" s="94" customFormat="1" ht="12" customHeight="1" thickBot="1">
      <c r="A59" s="30" t="s">
        <v>562</v>
      </c>
      <c r="B59" s="280" t="s">
        <v>856</v>
      </c>
      <c r="C59" s="285">
        <f>SUM(C60:C62)</f>
        <v>0</v>
      </c>
      <c r="D59" s="285">
        <f>SUM(D60:D62)</f>
        <v>0</v>
      </c>
      <c r="E59" s="285">
        <f>SUM(E60:E62)</f>
        <v>0</v>
      </c>
      <c r="F59" s="285">
        <f>SUM(F60:F62)</f>
        <v>0</v>
      </c>
      <c r="G59" s="285">
        <v>40080</v>
      </c>
    </row>
    <row r="60" spans="1:7" s="94" customFormat="1" ht="12" customHeight="1">
      <c r="A60" s="412" t="s">
        <v>717</v>
      </c>
      <c r="B60" s="395" t="s">
        <v>858</v>
      </c>
      <c r="C60" s="290"/>
      <c r="D60" s="290"/>
      <c r="E60" s="290"/>
      <c r="F60" s="290"/>
      <c r="G60" s="290"/>
    </row>
    <row r="61" spans="1:7" s="94" customFormat="1" ht="12" customHeight="1">
      <c r="A61" s="413" t="s">
        <v>718</v>
      </c>
      <c r="B61" s="396" t="s">
        <v>177</v>
      </c>
      <c r="C61" s="290"/>
      <c r="D61" s="290"/>
      <c r="E61" s="290"/>
      <c r="F61" s="290"/>
      <c r="G61" s="290"/>
    </row>
    <row r="62" spans="1:7" s="94" customFormat="1" ht="12" customHeight="1">
      <c r="A62" s="413" t="s">
        <v>771</v>
      </c>
      <c r="B62" s="396" t="s">
        <v>326</v>
      </c>
      <c r="C62" s="290"/>
      <c r="D62" s="290"/>
      <c r="E62" s="290"/>
      <c r="F62" s="290"/>
      <c r="G62" s="290"/>
    </row>
    <row r="63" spans="1:7" s="94" customFormat="1" ht="12" customHeight="1" thickBot="1">
      <c r="A63" s="414" t="s">
        <v>857</v>
      </c>
      <c r="B63" s="397" t="s">
        <v>860</v>
      </c>
      <c r="C63" s="290"/>
      <c r="D63" s="290"/>
      <c r="E63" s="290"/>
      <c r="F63" s="290"/>
      <c r="G63" s="290"/>
    </row>
    <row r="64" spans="1:7" s="94" customFormat="1" ht="12" customHeight="1" thickBot="1">
      <c r="A64" s="30" t="s">
        <v>563</v>
      </c>
      <c r="B64" s="19" t="s">
        <v>861</v>
      </c>
      <c r="C64" s="291">
        <f>+C8+C15+C22+C29+C37+C48+C54+C59</f>
        <v>567891</v>
      </c>
      <c r="D64" s="291">
        <f>+D8+D15+D22+D29+D37+D48+D54+D59</f>
        <v>632179</v>
      </c>
      <c r="E64" s="291">
        <f>+E8+E15+E22+E29+E37+E48+E54+E59</f>
        <v>640043</v>
      </c>
      <c r="F64" s="291">
        <f>+F8+F15+F22+F29+F37+F48+F54+F59</f>
        <v>956104987</v>
      </c>
      <c r="G64" s="291">
        <f>+G8+G15+G22+G29+G37+G48+G54+G59</f>
        <v>996412681</v>
      </c>
    </row>
    <row r="65" spans="1:7" s="94" customFormat="1" ht="12" customHeight="1" thickBot="1">
      <c r="A65" s="415" t="s">
        <v>133</v>
      </c>
      <c r="B65" s="280" t="s">
        <v>863</v>
      </c>
      <c r="C65" s="285">
        <f>SUM(C66:C68)</f>
        <v>0</v>
      </c>
      <c r="D65" s="285">
        <f>SUM(D66:D68)</f>
        <v>0</v>
      </c>
      <c r="E65" s="285">
        <f>SUM(E66:E68)</f>
        <v>0</v>
      </c>
      <c r="F65" s="285">
        <f>SUM(F66:F68)</f>
        <v>0</v>
      </c>
      <c r="G65" s="285">
        <f>SUM(G66:G68)</f>
        <v>0</v>
      </c>
    </row>
    <row r="66" spans="1:7" s="94" customFormat="1" ht="12" customHeight="1">
      <c r="A66" s="412" t="s">
        <v>41</v>
      </c>
      <c r="B66" s="395" t="s">
        <v>864</v>
      </c>
      <c r="C66" s="290"/>
      <c r="D66" s="290"/>
      <c r="E66" s="290"/>
      <c r="F66" s="290"/>
      <c r="G66" s="290"/>
    </row>
    <row r="67" spans="1:7" s="94" customFormat="1" ht="12" customHeight="1">
      <c r="A67" s="413" t="s">
        <v>50</v>
      </c>
      <c r="B67" s="396" t="s">
        <v>865</v>
      </c>
      <c r="C67" s="290"/>
      <c r="D67" s="290"/>
      <c r="E67" s="290"/>
      <c r="F67" s="290"/>
      <c r="G67" s="290"/>
    </row>
    <row r="68" spans="1:7" s="94" customFormat="1" ht="12" customHeight="1" thickBot="1">
      <c r="A68" s="414" t="s">
        <v>51</v>
      </c>
      <c r="B68" s="399" t="s">
        <v>866</v>
      </c>
      <c r="C68" s="290"/>
      <c r="D68" s="290"/>
      <c r="E68" s="290"/>
      <c r="F68" s="290"/>
      <c r="G68" s="290"/>
    </row>
    <row r="69" spans="1:7" s="94" customFormat="1" ht="12" customHeight="1" thickBot="1">
      <c r="A69" s="415" t="s">
        <v>867</v>
      </c>
      <c r="B69" s="280" t="s">
        <v>868</v>
      </c>
      <c r="C69" s="285">
        <f>SUM(C70:C73)</f>
        <v>0</v>
      </c>
      <c r="D69" s="285">
        <f>SUM(D70:D73)</f>
        <v>0</v>
      </c>
      <c r="E69" s="285">
        <f>SUM(E70:E73)</f>
        <v>0</v>
      </c>
      <c r="F69" s="285">
        <f>SUM(F70:F73)</f>
        <v>0</v>
      </c>
      <c r="G69" s="285">
        <f>SUM(G70:G73)</f>
        <v>0</v>
      </c>
    </row>
    <row r="70" spans="1:7" s="94" customFormat="1" ht="12" customHeight="1">
      <c r="A70" s="412" t="s">
        <v>687</v>
      </c>
      <c r="B70" s="395" t="s">
        <v>869</v>
      </c>
      <c r="C70" s="290"/>
      <c r="D70" s="290"/>
      <c r="E70" s="290"/>
      <c r="F70" s="290"/>
      <c r="G70" s="290"/>
    </row>
    <row r="71" spans="1:7" s="94" customFormat="1" ht="12" customHeight="1">
      <c r="A71" s="413" t="s">
        <v>688</v>
      </c>
      <c r="B71" s="396" t="s">
        <v>870</v>
      </c>
      <c r="C71" s="290"/>
      <c r="D71" s="290"/>
      <c r="E71" s="290"/>
      <c r="F71" s="290"/>
      <c r="G71" s="290"/>
    </row>
    <row r="72" spans="1:7" s="94" customFormat="1" ht="12" customHeight="1">
      <c r="A72" s="413" t="s">
        <v>42</v>
      </c>
      <c r="B72" s="396" t="s">
        <v>871</v>
      </c>
      <c r="C72" s="290"/>
      <c r="D72" s="290"/>
      <c r="E72" s="290"/>
      <c r="F72" s="290"/>
      <c r="G72" s="290"/>
    </row>
    <row r="73" spans="1:7" s="94" customFormat="1" ht="12" customHeight="1" thickBot="1">
      <c r="A73" s="414" t="s">
        <v>43</v>
      </c>
      <c r="B73" s="397" t="s">
        <v>872</v>
      </c>
      <c r="C73" s="290"/>
      <c r="D73" s="290"/>
      <c r="E73" s="290"/>
      <c r="F73" s="290"/>
      <c r="G73" s="290"/>
    </row>
    <row r="74" spans="1:7" s="94" customFormat="1" ht="12" customHeight="1" thickBot="1">
      <c r="A74" s="415" t="s">
        <v>873</v>
      </c>
      <c r="B74" s="280" t="s">
        <v>874</v>
      </c>
      <c r="C74" s="285">
        <f>SUM(C75:C76)</f>
        <v>100000</v>
      </c>
      <c r="D74" s="285">
        <f>SUM(D75:D76)</f>
        <v>187055</v>
      </c>
      <c r="E74" s="285">
        <f>SUM(E75:E76)</f>
        <v>187055</v>
      </c>
      <c r="F74" s="285">
        <f>SUM(F75:F76)</f>
        <v>187055000</v>
      </c>
      <c r="G74" s="285">
        <f>SUM(G75:G76)</f>
        <v>187054882</v>
      </c>
    </row>
    <row r="75" spans="1:7" s="94" customFormat="1" ht="12" customHeight="1">
      <c r="A75" s="412" t="s">
        <v>44</v>
      </c>
      <c r="B75" s="395" t="s">
        <v>329</v>
      </c>
      <c r="C75" s="290">
        <v>100000</v>
      </c>
      <c r="D75" s="290">
        <v>187055</v>
      </c>
      <c r="E75" s="290">
        <v>187055</v>
      </c>
      <c r="F75" s="290">
        <v>187055000</v>
      </c>
      <c r="G75" s="290">
        <v>187054882</v>
      </c>
    </row>
    <row r="76" spans="1:7" s="94" customFormat="1" ht="12" customHeight="1" thickBot="1">
      <c r="A76" s="414" t="s">
        <v>45</v>
      </c>
      <c r="B76" s="397" t="s">
        <v>876</v>
      </c>
      <c r="C76" s="290"/>
      <c r="D76" s="290"/>
      <c r="E76" s="290"/>
      <c r="F76" s="290"/>
      <c r="G76" s="290"/>
    </row>
    <row r="77" spans="1:7" s="93" customFormat="1" ht="12" customHeight="1" thickBot="1">
      <c r="A77" s="415" t="s">
        <v>877</v>
      </c>
      <c r="B77" s="280" t="s">
        <v>878</v>
      </c>
      <c r="C77" s="285">
        <f>SUM(C78:C80)</f>
        <v>0</v>
      </c>
      <c r="D77" s="285">
        <f>SUM(D78:D80)</f>
        <v>0</v>
      </c>
      <c r="E77" s="285">
        <f>SUM(E78:E80)</f>
        <v>0</v>
      </c>
      <c r="F77" s="285">
        <f>SUM(F78:F80)</f>
        <v>0</v>
      </c>
      <c r="G77" s="285">
        <f>SUM(G78:G80)</f>
        <v>14042123</v>
      </c>
    </row>
    <row r="78" spans="1:7" s="94" customFormat="1" ht="12" customHeight="1">
      <c r="A78" s="412" t="s">
        <v>46</v>
      </c>
      <c r="B78" s="395" t="s">
        <v>879</v>
      </c>
      <c r="C78" s="290"/>
      <c r="D78" s="290"/>
      <c r="E78" s="290"/>
      <c r="F78" s="290"/>
      <c r="G78" s="290">
        <v>14042123</v>
      </c>
    </row>
    <row r="79" spans="1:7" s="94" customFormat="1" ht="12" customHeight="1">
      <c r="A79" s="413" t="s">
        <v>47</v>
      </c>
      <c r="B79" s="396" t="s">
        <v>880</v>
      </c>
      <c r="C79" s="290"/>
      <c r="D79" s="290"/>
      <c r="E79" s="290"/>
      <c r="F79" s="290"/>
      <c r="G79" s="290"/>
    </row>
    <row r="80" spans="1:7" s="94" customFormat="1" ht="12" customHeight="1" thickBot="1">
      <c r="A80" s="414" t="s">
        <v>48</v>
      </c>
      <c r="B80" s="397" t="s">
        <v>881</v>
      </c>
      <c r="C80" s="290"/>
      <c r="D80" s="290"/>
      <c r="E80" s="290"/>
      <c r="F80" s="290"/>
      <c r="G80" s="290"/>
    </row>
    <row r="81" spans="1:7" s="94" customFormat="1" ht="12" customHeight="1" thickBot="1">
      <c r="A81" s="415" t="s">
        <v>882</v>
      </c>
      <c r="B81" s="280" t="s">
        <v>49</v>
      </c>
      <c r="C81" s="285">
        <f>SUM(C82:C85)</f>
        <v>0</v>
      </c>
      <c r="D81" s="285">
        <f>SUM(D82:D85)</f>
        <v>0</v>
      </c>
      <c r="E81" s="285">
        <f>SUM(E82:E85)</f>
        <v>0</v>
      </c>
      <c r="F81" s="285">
        <f>SUM(F82:F85)</f>
        <v>0</v>
      </c>
      <c r="G81" s="285">
        <f>SUM(G82:G85)</f>
        <v>0</v>
      </c>
    </row>
    <row r="82" spans="1:7" s="94" customFormat="1" ht="12" customHeight="1">
      <c r="A82" s="416" t="s">
        <v>883</v>
      </c>
      <c r="B82" s="395" t="s">
        <v>29</v>
      </c>
      <c r="C82" s="290"/>
      <c r="D82" s="290"/>
      <c r="E82" s="290"/>
      <c r="F82" s="290"/>
      <c r="G82" s="290"/>
    </row>
    <row r="83" spans="1:7" s="94" customFormat="1" ht="12" customHeight="1">
      <c r="A83" s="417" t="s">
        <v>30</v>
      </c>
      <c r="B83" s="396" t="s">
        <v>31</v>
      </c>
      <c r="C83" s="290"/>
      <c r="D83" s="290"/>
      <c r="E83" s="290"/>
      <c r="F83" s="290"/>
      <c r="G83" s="290"/>
    </row>
    <row r="84" spans="1:7" s="94" customFormat="1" ht="12" customHeight="1">
      <c r="A84" s="417" t="s">
        <v>32</v>
      </c>
      <c r="B84" s="396" t="s">
        <v>33</v>
      </c>
      <c r="C84" s="290"/>
      <c r="D84" s="290"/>
      <c r="E84" s="290"/>
      <c r="F84" s="290"/>
      <c r="G84" s="290"/>
    </row>
    <row r="85" spans="1:7" s="93" customFormat="1" ht="12" customHeight="1" thickBot="1">
      <c r="A85" s="418" t="s">
        <v>34</v>
      </c>
      <c r="B85" s="397" t="s">
        <v>35</v>
      </c>
      <c r="C85" s="290"/>
      <c r="D85" s="290"/>
      <c r="E85" s="290"/>
      <c r="F85" s="290"/>
      <c r="G85" s="290"/>
    </row>
    <row r="86" spans="1:7" s="93" customFormat="1" ht="12" customHeight="1" thickBot="1">
      <c r="A86" s="415" t="s">
        <v>36</v>
      </c>
      <c r="B86" s="280" t="s">
        <v>37</v>
      </c>
      <c r="C86" s="439"/>
      <c r="D86" s="439"/>
      <c r="E86" s="439"/>
      <c r="F86" s="439"/>
      <c r="G86" s="439"/>
    </row>
    <row r="87" spans="1:7" s="93" customFormat="1" ht="12" customHeight="1" thickBot="1">
      <c r="A87" s="415" t="s">
        <v>38</v>
      </c>
      <c r="B87" s="403" t="s">
        <v>39</v>
      </c>
      <c r="C87" s="291">
        <f>+C65+C69+C74+C77+C81+C86</f>
        <v>100000</v>
      </c>
      <c r="D87" s="291">
        <f>+D65+D69+D74+D77+D81+D86</f>
        <v>187055</v>
      </c>
      <c r="E87" s="291">
        <f>+E65+E69+E74+E77+E81+E86</f>
        <v>187055</v>
      </c>
      <c r="F87" s="291">
        <f>+F65+F69+F74+F77+F81+F86</f>
        <v>187055000</v>
      </c>
      <c r="G87" s="291">
        <f>+G65+G69+G74+G77+G81+G86</f>
        <v>201097005</v>
      </c>
    </row>
    <row r="88" spans="1:7" s="93" customFormat="1" ht="12" customHeight="1" thickBot="1">
      <c r="A88" s="419" t="s">
        <v>52</v>
      </c>
      <c r="B88" s="405" t="s">
        <v>165</v>
      </c>
      <c r="C88" s="291">
        <f>+C64+C87</f>
        <v>667891</v>
      </c>
      <c r="D88" s="291">
        <f>+D64+D87</f>
        <v>819234</v>
      </c>
      <c r="E88" s="291">
        <f>+E64+E87</f>
        <v>827098</v>
      </c>
      <c r="F88" s="291">
        <f>+F64+F87</f>
        <v>1143159987</v>
      </c>
      <c r="G88" s="291">
        <f>+G64+G87</f>
        <v>1197509686</v>
      </c>
    </row>
    <row r="89" spans="1:7" s="94" customFormat="1" ht="15" customHeight="1">
      <c r="A89" s="229"/>
      <c r="B89" s="230"/>
      <c r="C89" s="355"/>
      <c r="D89" s="355"/>
      <c r="E89" s="355"/>
      <c r="F89" s="355"/>
      <c r="G89" s="355"/>
    </row>
    <row r="90" spans="1:7" ht="13.5" thickBot="1">
      <c r="A90" s="420"/>
      <c r="B90" s="232"/>
      <c r="C90" s="356"/>
      <c r="D90" s="356"/>
      <c r="E90" s="356"/>
      <c r="F90" s="356"/>
      <c r="G90" s="356"/>
    </row>
    <row r="91" spans="1:7" s="57" customFormat="1" ht="16.5" customHeight="1" thickBot="1">
      <c r="A91" s="233"/>
      <c r="B91" s="234" t="s">
        <v>595</v>
      </c>
      <c r="C91" s="357"/>
      <c r="D91" s="357"/>
      <c r="E91" s="357"/>
      <c r="F91" s="357"/>
      <c r="G91" s="357"/>
    </row>
    <row r="92" spans="1:7" s="95" customFormat="1" ht="12" customHeight="1" thickBot="1">
      <c r="A92" s="387" t="s">
        <v>555</v>
      </c>
      <c r="B92" s="29" t="s">
        <v>55</v>
      </c>
      <c r="C92" s="284">
        <f>SUM(C93:C97)</f>
        <v>325710</v>
      </c>
      <c r="D92" s="284">
        <f>SUM(D93:D97)</f>
        <v>353435</v>
      </c>
      <c r="E92" s="284">
        <f>SUM(E93:E97)</f>
        <v>362374</v>
      </c>
      <c r="F92" s="284">
        <f>SUM(F93:F97)</f>
        <v>387089020</v>
      </c>
      <c r="G92" s="284">
        <f>SUM(G93:G97)</f>
        <v>395356226</v>
      </c>
    </row>
    <row r="93" spans="1:7" ht="12" customHeight="1">
      <c r="A93" s="421" t="s">
        <v>640</v>
      </c>
      <c r="B93" s="8" t="s">
        <v>585</v>
      </c>
      <c r="C93" s="286">
        <v>38015</v>
      </c>
      <c r="D93" s="286">
        <v>47447</v>
      </c>
      <c r="E93" s="286">
        <v>51694</v>
      </c>
      <c r="F93" s="286">
        <v>54010863</v>
      </c>
      <c r="G93" s="286">
        <v>57939883</v>
      </c>
    </row>
    <row r="94" spans="1:7" ht="12" customHeight="1">
      <c r="A94" s="413" t="s">
        <v>641</v>
      </c>
      <c r="B94" s="6" t="s">
        <v>719</v>
      </c>
      <c r="C94" s="287">
        <v>10486</v>
      </c>
      <c r="D94" s="287">
        <v>13125</v>
      </c>
      <c r="E94" s="287">
        <v>14270</v>
      </c>
      <c r="F94" s="287">
        <v>15971659</v>
      </c>
      <c r="G94" s="287">
        <v>14103295</v>
      </c>
    </row>
    <row r="95" spans="1:7" ht="12" customHeight="1">
      <c r="A95" s="413" t="s">
        <v>642</v>
      </c>
      <c r="B95" s="6" t="s">
        <v>401</v>
      </c>
      <c r="C95" s="289">
        <v>136249</v>
      </c>
      <c r="D95" s="289">
        <v>150249</v>
      </c>
      <c r="E95" s="289">
        <v>150249</v>
      </c>
      <c r="F95" s="289">
        <v>169771000</v>
      </c>
      <c r="G95" s="289">
        <v>171795700</v>
      </c>
    </row>
    <row r="96" spans="1:7" ht="12" customHeight="1">
      <c r="A96" s="413" t="s">
        <v>643</v>
      </c>
      <c r="B96" s="9" t="s">
        <v>720</v>
      </c>
      <c r="C96" s="289">
        <v>9611</v>
      </c>
      <c r="D96" s="289">
        <v>9611</v>
      </c>
      <c r="E96" s="289">
        <v>9611</v>
      </c>
      <c r="F96" s="289">
        <v>9611000</v>
      </c>
      <c r="G96" s="289">
        <v>9591000</v>
      </c>
    </row>
    <row r="97" spans="1:7" ht="12" customHeight="1">
      <c r="A97" s="413" t="s">
        <v>654</v>
      </c>
      <c r="B97" s="17" t="s">
        <v>721</v>
      </c>
      <c r="C97" s="289">
        <v>131349</v>
      </c>
      <c r="D97" s="289">
        <f>D101+D102+D103+D107</f>
        <v>133003</v>
      </c>
      <c r="E97" s="289">
        <f>E101+E102+E103+E107</f>
        <v>136550</v>
      </c>
      <c r="F97" s="289">
        <v>137724498</v>
      </c>
      <c r="G97" s="289">
        <v>141926348</v>
      </c>
    </row>
    <row r="98" spans="1:7" ht="12" customHeight="1">
      <c r="A98" s="413" t="s">
        <v>644</v>
      </c>
      <c r="B98" s="6" t="s">
        <v>56</v>
      </c>
      <c r="C98" s="289"/>
      <c r="D98" s="289"/>
      <c r="E98" s="289"/>
      <c r="F98" s="289"/>
      <c r="G98" s="289"/>
    </row>
    <row r="99" spans="1:7" ht="12" customHeight="1">
      <c r="A99" s="413" t="s">
        <v>645</v>
      </c>
      <c r="B99" s="130" t="s">
        <v>57</v>
      </c>
      <c r="C99" s="289"/>
      <c r="D99" s="289"/>
      <c r="E99" s="289"/>
      <c r="F99" s="289"/>
      <c r="G99" s="289"/>
    </row>
    <row r="100" spans="1:7" ht="12" customHeight="1">
      <c r="A100" s="413" t="s">
        <v>655</v>
      </c>
      <c r="B100" s="1115" t="s">
        <v>892</v>
      </c>
      <c r="C100" s="289"/>
      <c r="D100" s="289"/>
      <c r="E100" s="289"/>
      <c r="F100" s="289"/>
      <c r="G100" s="289"/>
    </row>
    <row r="101" spans="1:7" ht="12" customHeight="1">
      <c r="A101" s="413" t="s">
        <v>656</v>
      </c>
      <c r="B101" s="1115" t="s">
        <v>893</v>
      </c>
      <c r="C101" s="289"/>
      <c r="D101" s="289">
        <v>1194</v>
      </c>
      <c r="E101" s="289">
        <v>1194</v>
      </c>
      <c r="F101" s="289">
        <v>1194000</v>
      </c>
      <c r="G101" s="289">
        <v>1193850</v>
      </c>
    </row>
    <row r="102" spans="1:7" ht="12" customHeight="1">
      <c r="A102" s="413" t="s">
        <v>657</v>
      </c>
      <c r="B102" s="130" t="s">
        <v>402</v>
      </c>
      <c r="C102" s="289">
        <v>126149</v>
      </c>
      <c r="D102" s="289">
        <v>126609</v>
      </c>
      <c r="E102" s="289">
        <v>130156</v>
      </c>
      <c r="F102" s="289">
        <v>131330498</v>
      </c>
      <c r="G102" s="289">
        <v>135172498</v>
      </c>
    </row>
    <row r="103" spans="1:7" ht="12" customHeight="1">
      <c r="A103" s="413" t="s">
        <v>658</v>
      </c>
      <c r="B103" s="130" t="s">
        <v>403</v>
      </c>
      <c r="C103" s="289">
        <v>2000</v>
      </c>
      <c r="D103" s="289">
        <v>2000</v>
      </c>
      <c r="E103" s="289">
        <v>2000</v>
      </c>
      <c r="F103" s="289">
        <v>2000000</v>
      </c>
      <c r="G103" s="289">
        <v>2000000</v>
      </c>
    </row>
    <row r="104" spans="1:7" ht="12" customHeight="1">
      <c r="A104" s="413" t="s">
        <v>660</v>
      </c>
      <c r="B104" s="131" t="s">
        <v>62</v>
      </c>
      <c r="C104" s="289"/>
      <c r="D104" s="289"/>
      <c r="E104" s="289"/>
      <c r="F104" s="289"/>
      <c r="G104" s="289"/>
    </row>
    <row r="105" spans="1:7" ht="12.75">
      <c r="A105" s="422" t="s">
        <v>722</v>
      </c>
      <c r="B105" s="132" t="s">
        <v>63</v>
      </c>
      <c r="C105" s="289"/>
      <c r="D105" s="289"/>
      <c r="E105" s="289"/>
      <c r="F105" s="289"/>
      <c r="G105" s="289"/>
    </row>
    <row r="106" spans="1:7" ht="22.5">
      <c r="A106" s="413" t="s">
        <v>53</v>
      </c>
      <c r="B106" s="131" t="s">
        <v>357</v>
      </c>
      <c r="C106" s="289"/>
      <c r="D106" s="289"/>
      <c r="E106" s="289"/>
      <c r="F106" s="289"/>
      <c r="G106" s="289"/>
    </row>
    <row r="107" spans="1:7" ht="23.25" thickBot="1">
      <c r="A107" s="423" t="s">
        <v>54</v>
      </c>
      <c r="B107" s="691" t="s">
        <v>404</v>
      </c>
      <c r="C107" s="292">
        <v>3200</v>
      </c>
      <c r="D107" s="292">
        <v>3200</v>
      </c>
      <c r="E107" s="292">
        <v>3200</v>
      </c>
      <c r="F107" s="292">
        <v>3200000</v>
      </c>
      <c r="G107" s="292">
        <v>3560000</v>
      </c>
    </row>
    <row r="108" spans="1:7" ht="12" customHeight="1" thickBot="1">
      <c r="A108" s="30" t="s">
        <v>556</v>
      </c>
      <c r="B108" s="28" t="s">
        <v>66</v>
      </c>
      <c r="C108" s="285">
        <f>+C109+C111+C113</f>
        <v>100000</v>
      </c>
      <c r="D108" s="285">
        <f>+F115+D109+D111+D113</f>
        <v>113464</v>
      </c>
      <c r="E108" s="285">
        <f>+G115+E109+E111+E113</f>
        <v>113464</v>
      </c>
      <c r="F108" s="285">
        <f>+H115+F109+F111+F113</f>
        <v>134051000</v>
      </c>
      <c r="G108" s="285">
        <f>+I115+G109+G111+G113</f>
        <v>95301000</v>
      </c>
    </row>
    <row r="109" spans="1:7" ht="12" customHeight="1">
      <c r="A109" s="412" t="s">
        <v>646</v>
      </c>
      <c r="B109" s="6" t="s">
        <v>769</v>
      </c>
      <c r="C109" s="288">
        <v>18354</v>
      </c>
      <c r="D109" s="288">
        <v>18354</v>
      </c>
      <c r="E109" s="288">
        <v>18354</v>
      </c>
      <c r="F109" s="288">
        <v>38939000</v>
      </c>
      <c r="G109" s="288">
        <v>30804000</v>
      </c>
    </row>
    <row r="110" spans="1:7" ht="12" customHeight="1">
      <c r="A110" s="412" t="s">
        <v>647</v>
      </c>
      <c r="B110" s="10" t="s">
        <v>70</v>
      </c>
      <c r="C110" s="288"/>
      <c r="D110" s="288"/>
      <c r="E110" s="288"/>
      <c r="F110" s="288"/>
      <c r="G110" s="288"/>
    </row>
    <row r="111" spans="1:7" ht="12" customHeight="1">
      <c r="A111" s="412" t="s">
        <v>648</v>
      </c>
      <c r="B111" s="10" t="s">
        <v>723</v>
      </c>
      <c r="C111" s="287">
        <v>31681</v>
      </c>
      <c r="D111" s="287">
        <v>45145</v>
      </c>
      <c r="E111" s="287">
        <v>45145</v>
      </c>
      <c r="F111" s="287">
        <v>45147000</v>
      </c>
      <c r="G111" s="287">
        <v>32851000</v>
      </c>
    </row>
    <row r="112" spans="1:7" ht="12" customHeight="1">
      <c r="A112" s="412" t="s">
        <v>649</v>
      </c>
      <c r="B112" s="10" t="s">
        <v>71</v>
      </c>
      <c r="C112" s="258"/>
      <c r="D112" s="258"/>
      <c r="E112" s="258"/>
      <c r="F112" s="258"/>
      <c r="G112" s="258"/>
    </row>
    <row r="113" spans="1:7" ht="12" customHeight="1">
      <c r="A113" s="412" t="s">
        <v>650</v>
      </c>
      <c r="B113" s="282" t="s">
        <v>772</v>
      </c>
      <c r="C113" s="258">
        <f>1200+C116+C117</f>
        <v>49965</v>
      </c>
      <c r="D113" s="258">
        <f>1200+D116+D117</f>
        <v>49965</v>
      </c>
      <c r="E113" s="258">
        <f>1200+E116+E117</f>
        <v>49965</v>
      </c>
      <c r="F113" s="258">
        <v>49965000</v>
      </c>
      <c r="G113" s="258">
        <v>31646000</v>
      </c>
    </row>
    <row r="114" spans="1:7" ht="12" customHeight="1">
      <c r="A114" s="412" t="s">
        <v>659</v>
      </c>
      <c r="B114" s="281" t="s">
        <v>178</v>
      </c>
      <c r="C114" s="258"/>
      <c r="D114" s="258"/>
      <c r="E114" s="258"/>
      <c r="F114" s="258"/>
      <c r="G114" s="258"/>
    </row>
    <row r="115" spans="1:7" ht="12" customHeight="1">
      <c r="A115" s="412" t="s">
        <v>661</v>
      </c>
      <c r="B115" s="391" t="s">
        <v>76</v>
      </c>
      <c r="C115" s="258"/>
      <c r="D115" s="258"/>
      <c r="E115" s="258"/>
      <c r="F115" s="258"/>
      <c r="G115" s="258"/>
    </row>
    <row r="116" spans="1:7" ht="12" customHeight="1">
      <c r="A116" s="412" t="s">
        <v>724</v>
      </c>
      <c r="B116" s="729" t="s">
        <v>385</v>
      </c>
      <c r="C116" s="258">
        <v>31646</v>
      </c>
      <c r="D116" s="258">
        <v>31646</v>
      </c>
      <c r="E116" s="258">
        <v>31646</v>
      </c>
      <c r="F116" s="258">
        <v>31646000</v>
      </c>
      <c r="G116" s="258">
        <v>31646000</v>
      </c>
    </row>
    <row r="117" spans="1:7" ht="18.75" customHeight="1">
      <c r="A117" s="412" t="s">
        <v>725</v>
      </c>
      <c r="B117" s="988" t="s">
        <v>386</v>
      </c>
      <c r="C117" s="258">
        <v>17119</v>
      </c>
      <c r="D117" s="258">
        <v>17119</v>
      </c>
      <c r="E117" s="258">
        <v>17119</v>
      </c>
      <c r="F117" s="258">
        <v>17119000</v>
      </c>
      <c r="G117" s="258"/>
    </row>
    <row r="118" spans="1:7" ht="12" customHeight="1">
      <c r="A118" s="412" t="s">
        <v>726</v>
      </c>
      <c r="B118" s="131" t="s">
        <v>74</v>
      </c>
      <c r="C118" s="258"/>
      <c r="D118" s="258"/>
      <c r="E118" s="258"/>
      <c r="F118" s="258"/>
      <c r="G118" s="258"/>
    </row>
    <row r="119" spans="1:7" ht="12" customHeight="1">
      <c r="A119" s="412" t="s">
        <v>67</v>
      </c>
      <c r="B119" s="131" t="s">
        <v>62</v>
      </c>
      <c r="C119" s="258"/>
      <c r="D119" s="258"/>
      <c r="E119" s="258"/>
      <c r="F119" s="258"/>
      <c r="G119" s="258"/>
    </row>
    <row r="120" spans="1:7" ht="12" customHeight="1">
      <c r="A120" s="412" t="s">
        <v>68</v>
      </c>
      <c r="B120" s="131" t="s">
        <v>73</v>
      </c>
      <c r="C120" s="258"/>
      <c r="D120" s="258"/>
      <c r="E120" s="258"/>
      <c r="F120" s="258"/>
      <c r="G120" s="258"/>
    </row>
    <row r="121" spans="1:7" ht="12" customHeight="1" thickBot="1">
      <c r="A121" s="422" t="s">
        <v>69</v>
      </c>
      <c r="B121" s="131" t="s">
        <v>72</v>
      </c>
      <c r="C121" s="259">
        <v>1200</v>
      </c>
      <c r="D121" s="259">
        <v>1200</v>
      </c>
      <c r="E121" s="259">
        <v>1200</v>
      </c>
      <c r="F121" s="259">
        <v>1200000</v>
      </c>
      <c r="G121" s="259">
        <v>1200000</v>
      </c>
    </row>
    <row r="122" spans="1:7" ht="12" customHeight="1" thickBot="1">
      <c r="A122" s="30" t="s">
        <v>557</v>
      </c>
      <c r="B122" s="121" t="s">
        <v>77</v>
      </c>
      <c r="C122" s="285">
        <f>+C123+C124</f>
        <v>60867</v>
      </c>
      <c r="D122" s="285">
        <f>+D123+D124</f>
        <v>106243</v>
      </c>
      <c r="E122" s="285">
        <f>+E123+E124</f>
        <v>103178</v>
      </c>
      <c r="F122" s="285">
        <f>+F123+F124</f>
        <v>124806714</v>
      </c>
      <c r="G122" s="285">
        <f>+G123+G124</f>
        <v>208093244</v>
      </c>
    </row>
    <row r="123" spans="1:7" ht="12" customHeight="1">
      <c r="A123" s="412" t="s">
        <v>629</v>
      </c>
      <c r="B123" s="7" t="s">
        <v>406</v>
      </c>
      <c r="C123" s="288">
        <v>27460</v>
      </c>
      <c r="D123" s="288">
        <v>47423</v>
      </c>
      <c r="E123" s="288">
        <v>44358</v>
      </c>
      <c r="F123" s="288">
        <v>65986714</v>
      </c>
      <c r="G123" s="288">
        <v>145297464</v>
      </c>
    </row>
    <row r="124" spans="1:7" ht="12" customHeight="1" thickBot="1">
      <c r="A124" s="414" t="s">
        <v>630</v>
      </c>
      <c r="B124" s="10" t="s">
        <v>407</v>
      </c>
      <c r="C124" s="289">
        <v>33407</v>
      </c>
      <c r="D124" s="289">
        <v>58820</v>
      </c>
      <c r="E124" s="289">
        <v>58820</v>
      </c>
      <c r="F124" s="289">
        <v>58820000</v>
      </c>
      <c r="G124" s="289">
        <v>62795780</v>
      </c>
    </row>
    <row r="125" spans="1:7" ht="12" customHeight="1" thickBot="1">
      <c r="A125" s="30" t="s">
        <v>558</v>
      </c>
      <c r="B125" s="121" t="s">
        <v>78</v>
      </c>
      <c r="C125" s="285">
        <f>+C92+C108+C122</f>
        <v>486577</v>
      </c>
      <c r="D125" s="285">
        <f>+D92+D108+D122</f>
        <v>573142</v>
      </c>
      <c r="E125" s="285">
        <f>+E92+E108+E122</f>
        <v>579016</v>
      </c>
      <c r="F125" s="285">
        <f>+F92+F108+F122</f>
        <v>645946734</v>
      </c>
      <c r="G125" s="285">
        <f>+G92+G108+G122</f>
        <v>698750470</v>
      </c>
    </row>
    <row r="126" spans="1:7" ht="12" customHeight="1" thickBot="1">
      <c r="A126" s="30" t="s">
        <v>559</v>
      </c>
      <c r="B126" s="121" t="s">
        <v>79</v>
      </c>
      <c r="C126" s="285">
        <f>+C127+C128+C129</f>
        <v>0</v>
      </c>
      <c r="D126" s="285">
        <f>+D127+D128+D129</f>
        <v>0</v>
      </c>
      <c r="E126" s="285">
        <f>+E127+E128+E129</f>
        <v>0</v>
      </c>
      <c r="F126" s="285">
        <f>+F127+F128+F129</f>
        <v>0</v>
      </c>
      <c r="G126" s="285">
        <f>+G127+G128+G129</f>
        <v>0</v>
      </c>
    </row>
    <row r="127" spans="1:7" s="95" customFormat="1" ht="12" customHeight="1">
      <c r="A127" s="412" t="s">
        <v>633</v>
      </c>
      <c r="B127" s="7" t="s">
        <v>80</v>
      </c>
      <c r="C127" s="258"/>
      <c r="D127" s="258"/>
      <c r="E127" s="258"/>
      <c r="F127" s="258"/>
      <c r="G127" s="258"/>
    </row>
    <row r="128" spans="1:7" ht="12" customHeight="1">
      <c r="A128" s="412" t="s">
        <v>634</v>
      </c>
      <c r="B128" s="7" t="s">
        <v>81</v>
      </c>
      <c r="C128" s="258"/>
      <c r="D128" s="258"/>
      <c r="E128" s="258"/>
      <c r="F128" s="258"/>
      <c r="G128" s="258"/>
    </row>
    <row r="129" spans="1:7" ht="12" customHeight="1" thickBot="1">
      <c r="A129" s="422" t="s">
        <v>635</v>
      </c>
      <c r="B129" s="5" t="s">
        <v>82</v>
      </c>
      <c r="C129" s="258"/>
      <c r="D129" s="258"/>
      <c r="E129" s="258"/>
      <c r="F129" s="258"/>
      <c r="G129" s="258"/>
    </row>
    <row r="130" spans="1:7" ht="12" customHeight="1" thickBot="1">
      <c r="A130" s="30" t="s">
        <v>560</v>
      </c>
      <c r="B130" s="121" t="s">
        <v>132</v>
      </c>
      <c r="C130" s="285">
        <f>+C131+C132+C133+C134</f>
        <v>0</v>
      </c>
      <c r="D130" s="285">
        <f>+D131+D132+D133+D134</f>
        <v>50000</v>
      </c>
      <c r="E130" s="285">
        <f>+E131+E132+E133+E134</f>
        <v>50000</v>
      </c>
      <c r="F130" s="285">
        <f>+F131+F132+F133+F134</f>
        <v>295000000</v>
      </c>
      <c r="G130" s="285">
        <f>+G131+G132+G133+G134</f>
        <v>296165800</v>
      </c>
    </row>
    <row r="131" spans="1:7" ht="12" customHeight="1">
      <c r="A131" s="412" t="s">
        <v>636</v>
      </c>
      <c r="B131" s="7" t="s">
        <v>83</v>
      </c>
      <c r="C131" s="258"/>
      <c r="D131" s="258">
        <v>50000</v>
      </c>
      <c r="E131" s="258">
        <v>50000</v>
      </c>
      <c r="F131" s="258">
        <v>295000000</v>
      </c>
      <c r="G131" s="258">
        <v>296165800</v>
      </c>
    </row>
    <row r="132" spans="1:7" ht="12" customHeight="1">
      <c r="A132" s="412" t="s">
        <v>637</v>
      </c>
      <c r="B132" s="7" t="s">
        <v>84</v>
      </c>
      <c r="C132" s="258"/>
      <c r="D132" s="258"/>
      <c r="E132" s="258"/>
      <c r="F132" s="258"/>
      <c r="G132" s="258"/>
    </row>
    <row r="133" spans="1:7" ht="12" customHeight="1">
      <c r="A133" s="412" t="s">
        <v>842</v>
      </c>
      <c r="B133" s="7" t="s">
        <v>85</v>
      </c>
      <c r="C133" s="258"/>
      <c r="D133" s="258"/>
      <c r="E133" s="258"/>
      <c r="F133" s="258"/>
      <c r="G133" s="258"/>
    </row>
    <row r="134" spans="1:7" s="95" customFormat="1" ht="12" customHeight="1" thickBot="1">
      <c r="A134" s="422" t="s">
        <v>843</v>
      </c>
      <c r="B134" s="5" t="s">
        <v>86</v>
      </c>
      <c r="C134" s="258"/>
      <c r="D134" s="258"/>
      <c r="E134" s="258"/>
      <c r="F134" s="258"/>
      <c r="G134" s="258"/>
    </row>
    <row r="135" spans="1:11" ht="12" customHeight="1" thickBot="1">
      <c r="A135" s="30" t="s">
        <v>561</v>
      </c>
      <c r="B135" s="121" t="s">
        <v>87</v>
      </c>
      <c r="C135" s="291">
        <f>+C136+C137+C138+C139</f>
        <v>181314</v>
      </c>
      <c r="D135" s="291">
        <f>D137+D138</f>
        <v>196092</v>
      </c>
      <c r="E135" s="291">
        <f>E137+E138</f>
        <v>198082</v>
      </c>
      <c r="F135" s="291">
        <f>F137+F138</f>
        <v>202213253</v>
      </c>
      <c r="G135" s="291">
        <f>G137+G138</f>
        <v>202593416</v>
      </c>
      <c r="K135" s="241"/>
    </row>
    <row r="136" spans="1:7" ht="12.75">
      <c r="A136" s="412" t="s">
        <v>638</v>
      </c>
      <c r="B136" s="7" t="s">
        <v>88</v>
      </c>
      <c r="C136" s="258"/>
      <c r="D136" s="258"/>
      <c r="E136" s="258"/>
      <c r="F136" s="258"/>
      <c r="G136" s="258"/>
    </row>
    <row r="137" spans="1:7" ht="12" customHeight="1">
      <c r="A137" s="412" t="s">
        <v>639</v>
      </c>
      <c r="B137" s="7" t="s">
        <v>98</v>
      </c>
      <c r="C137" s="258"/>
      <c r="D137" s="258">
        <v>14011</v>
      </c>
      <c r="E137" s="258">
        <v>14011</v>
      </c>
      <c r="F137" s="258">
        <v>14012000</v>
      </c>
      <c r="G137" s="258">
        <v>14011429</v>
      </c>
    </row>
    <row r="138" spans="1:7" s="95" customFormat="1" ht="12" customHeight="1">
      <c r="A138" s="412" t="s">
        <v>854</v>
      </c>
      <c r="B138" s="7" t="s">
        <v>405</v>
      </c>
      <c r="C138" s="258">
        <v>181314</v>
      </c>
      <c r="D138" s="258">
        <v>182081</v>
      </c>
      <c r="E138" s="258">
        <v>184071</v>
      </c>
      <c r="F138" s="258">
        <v>188201253</v>
      </c>
      <c r="G138" s="258">
        <v>188581987</v>
      </c>
    </row>
    <row r="139" spans="1:7" s="95" customFormat="1" ht="12" customHeight="1" thickBot="1">
      <c r="A139" s="422" t="s">
        <v>855</v>
      </c>
      <c r="B139" s="5" t="s">
        <v>90</v>
      </c>
      <c r="C139" s="258"/>
      <c r="D139" s="258"/>
      <c r="E139" s="258"/>
      <c r="F139" s="258"/>
      <c r="G139" s="258"/>
    </row>
    <row r="140" spans="1:7" s="95" customFormat="1" ht="12" customHeight="1" thickBot="1">
      <c r="A140" s="30" t="s">
        <v>562</v>
      </c>
      <c r="B140" s="121" t="s">
        <v>91</v>
      </c>
      <c r="C140" s="293">
        <f>+C141+C142+C143+C144</f>
        <v>0</v>
      </c>
      <c r="D140" s="293">
        <f>+D141+D142+D143+D144</f>
        <v>0</v>
      </c>
      <c r="E140" s="293">
        <f>+E141+E142+E143+E144</f>
        <v>0</v>
      </c>
      <c r="F140" s="293">
        <f>+F141+F142+F143+F144</f>
        <v>0</v>
      </c>
      <c r="G140" s="293">
        <f>+G141+G142+G143+G144</f>
        <v>0</v>
      </c>
    </row>
    <row r="141" spans="1:7" s="95" customFormat="1" ht="12" customHeight="1">
      <c r="A141" s="412" t="s">
        <v>717</v>
      </c>
      <c r="B141" s="7" t="s">
        <v>92</v>
      </c>
      <c r="C141" s="258"/>
      <c r="D141" s="258"/>
      <c r="E141" s="258"/>
      <c r="F141" s="258"/>
      <c r="G141" s="258"/>
    </row>
    <row r="142" spans="1:7" s="95" customFormat="1" ht="12" customHeight="1">
      <c r="A142" s="412" t="s">
        <v>718</v>
      </c>
      <c r="B142" s="7" t="s">
        <v>93</v>
      </c>
      <c r="C142" s="258"/>
      <c r="D142" s="258"/>
      <c r="E142" s="258"/>
      <c r="F142" s="258"/>
      <c r="G142" s="258"/>
    </row>
    <row r="143" spans="1:7" s="95" customFormat="1" ht="12" customHeight="1">
      <c r="A143" s="412" t="s">
        <v>771</v>
      </c>
      <c r="B143" s="7" t="s">
        <v>94</v>
      </c>
      <c r="C143" s="258"/>
      <c r="D143" s="258"/>
      <c r="E143" s="258"/>
      <c r="F143" s="258"/>
      <c r="G143" s="258"/>
    </row>
    <row r="144" spans="1:7" ht="12.75" customHeight="1" thickBot="1">
      <c r="A144" s="412" t="s">
        <v>857</v>
      </c>
      <c r="B144" s="7" t="s">
        <v>95</v>
      </c>
      <c r="C144" s="258"/>
      <c r="D144" s="258"/>
      <c r="E144" s="258"/>
      <c r="F144" s="258"/>
      <c r="G144" s="258"/>
    </row>
    <row r="145" spans="1:7" ht="12" customHeight="1" thickBot="1">
      <c r="A145" s="30" t="s">
        <v>563</v>
      </c>
      <c r="B145" s="121" t="s">
        <v>96</v>
      </c>
      <c r="C145" s="407">
        <f>+C126+C130+C135+C140</f>
        <v>181314</v>
      </c>
      <c r="D145" s="407">
        <f>+D126+D130+D135+D140</f>
        <v>246092</v>
      </c>
      <c r="E145" s="407">
        <f>+E126+E130+E135+E140</f>
        <v>248082</v>
      </c>
      <c r="F145" s="407">
        <f>+F126+F130+F135+F140</f>
        <v>497213253</v>
      </c>
      <c r="G145" s="407">
        <f>+G126+G130+G135+G140</f>
        <v>498759216</v>
      </c>
    </row>
    <row r="146" spans="1:7" ht="15" customHeight="1" thickBot="1">
      <c r="A146" s="424" t="s">
        <v>564</v>
      </c>
      <c r="B146" s="367" t="s">
        <v>97</v>
      </c>
      <c r="C146" s="407">
        <f>+C125+C145</f>
        <v>667891</v>
      </c>
      <c r="D146" s="407">
        <f>+D125+D145</f>
        <v>819234</v>
      </c>
      <c r="E146" s="407">
        <f>+E125+E145</f>
        <v>827098</v>
      </c>
      <c r="F146" s="407">
        <f>+F125+F145</f>
        <v>1143159987</v>
      </c>
      <c r="G146" s="407">
        <f>+G125+G145</f>
        <v>1197509686</v>
      </c>
    </row>
    <row r="147" spans="1:7" ht="13.5" thickBot="1">
      <c r="A147" s="375"/>
      <c r="B147" s="376"/>
      <c r="C147" s="377"/>
      <c r="D147" s="377"/>
      <c r="E147" s="377"/>
      <c r="F147" s="377"/>
      <c r="G147" s="377"/>
    </row>
    <row r="148" spans="1:7" ht="15" customHeight="1" thickBot="1">
      <c r="A148" s="238" t="s">
        <v>742</v>
      </c>
      <c r="B148" s="239"/>
      <c r="C148" s="118">
        <v>17</v>
      </c>
      <c r="D148" s="118">
        <v>17</v>
      </c>
      <c r="E148" s="118">
        <v>17</v>
      </c>
      <c r="F148" s="118">
        <v>17</v>
      </c>
      <c r="G148" s="118">
        <v>17</v>
      </c>
    </row>
    <row r="149" spans="1:7" ht="14.25" customHeight="1" thickBot="1">
      <c r="A149" s="238" t="s">
        <v>743</v>
      </c>
      <c r="B149" s="239"/>
      <c r="C149" s="118">
        <v>15</v>
      </c>
      <c r="D149" s="118">
        <v>15</v>
      </c>
      <c r="E149" s="118">
        <v>15</v>
      </c>
      <c r="F149" s="118">
        <v>15</v>
      </c>
      <c r="G149" s="118">
        <v>15</v>
      </c>
    </row>
    <row r="150" ht="15.75">
      <c r="A150" s="368" t="s">
        <v>21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43" r:id="rId1"/>
  <rowBreaks count="1" manualBreakCount="1">
    <brk id="8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view="pageBreakPreview" zoomScale="85" zoomScaleSheetLayoutView="85" workbookViewId="0" topLeftCell="A115">
      <selection activeCell="A151" sqref="A151"/>
    </sheetView>
  </sheetViews>
  <sheetFormatPr defaultColWidth="9.00390625" defaultRowHeight="12.75"/>
  <cols>
    <col min="1" max="1" width="19.50390625" style="378" customWidth="1"/>
    <col min="2" max="2" width="72.00390625" style="379" customWidth="1"/>
    <col min="3" max="7" width="25.00390625" style="380" customWidth="1"/>
    <col min="8" max="16384" width="9.375" style="3" customWidth="1"/>
  </cols>
  <sheetData>
    <row r="1" spans="1:7" s="2" customFormat="1" ht="16.5" customHeight="1" thickBot="1">
      <c r="A1" s="215"/>
      <c r="B1" s="217"/>
      <c r="C1" s="240" t="s">
        <v>900</v>
      </c>
      <c r="D1" s="240"/>
      <c r="E1" s="240"/>
      <c r="F1" s="240"/>
      <c r="G1" s="240"/>
    </row>
    <row r="2" spans="1:7" s="91" customFormat="1" ht="21" customHeight="1">
      <c r="A2" s="385" t="s">
        <v>602</v>
      </c>
      <c r="B2" s="345" t="s">
        <v>765</v>
      </c>
      <c r="C2" s="347"/>
      <c r="D2" s="347"/>
      <c r="E2" s="347"/>
      <c r="F2" s="347"/>
      <c r="G2" s="347" t="s">
        <v>589</v>
      </c>
    </row>
    <row r="3" spans="1:7" s="91" customFormat="1" ht="16.5" thickBot="1">
      <c r="A3" s="218" t="s">
        <v>739</v>
      </c>
      <c r="B3" s="346" t="s">
        <v>179</v>
      </c>
      <c r="C3" s="348"/>
      <c r="D3" s="348"/>
      <c r="E3" s="348"/>
      <c r="F3" s="348"/>
      <c r="G3" s="348">
        <v>2</v>
      </c>
    </row>
    <row r="4" spans="1:7" s="92" customFormat="1" ht="15.75" customHeight="1" thickBot="1">
      <c r="A4" s="219"/>
      <c r="B4" s="219"/>
      <c r="C4" s="220"/>
      <c r="D4" s="220"/>
      <c r="E4" s="220" t="s">
        <v>590</v>
      </c>
      <c r="F4" s="220"/>
      <c r="G4" s="220"/>
    </row>
    <row r="5" spans="1:7" ht="13.5" thickBot="1">
      <c r="A5" s="386" t="s">
        <v>741</v>
      </c>
      <c r="B5" s="221" t="s">
        <v>591</v>
      </c>
      <c r="C5" s="349" t="s">
        <v>592</v>
      </c>
      <c r="D5" s="349" t="s">
        <v>886</v>
      </c>
      <c r="E5" s="349" t="s">
        <v>908</v>
      </c>
      <c r="F5" s="349" t="s">
        <v>913</v>
      </c>
      <c r="G5" s="349" t="s">
        <v>8</v>
      </c>
    </row>
    <row r="6" spans="1:7" s="57" customFormat="1" ht="12.75" customHeight="1" thickBot="1">
      <c r="A6" s="188">
        <v>1</v>
      </c>
      <c r="B6" s="189">
        <v>2</v>
      </c>
      <c r="C6" s="190">
        <v>3</v>
      </c>
      <c r="D6" s="190">
        <v>4</v>
      </c>
      <c r="E6" s="190">
        <v>5</v>
      </c>
      <c r="F6" s="190">
        <v>6</v>
      </c>
      <c r="G6" s="190">
        <v>7</v>
      </c>
    </row>
    <row r="7" spans="1:7" s="57" customFormat="1" ht="15.75" customHeight="1" thickBot="1">
      <c r="A7" s="223"/>
      <c r="B7" s="224" t="s">
        <v>593</v>
      </c>
      <c r="C7" s="350"/>
      <c r="D7" s="350"/>
      <c r="E7" s="350"/>
      <c r="F7" s="350"/>
      <c r="G7" s="350"/>
    </row>
    <row r="8" spans="1:7" s="57" customFormat="1" ht="12" customHeight="1" thickBot="1">
      <c r="A8" s="30" t="s">
        <v>555</v>
      </c>
      <c r="B8" s="19" t="s">
        <v>798</v>
      </c>
      <c r="C8" s="285">
        <f>+C9+C10+C11+C12+C13+C14</f>
        <v>288806</v>
      </c>
      <c r="D8" s="285">
        <f>D9+D10+D11+D12+D13</f>
        <v>393550</v>
      </c>
      <c r="E8" s="285">
        <f>E9+E10+E11+E12+E13</f>
        <v>396686</v>
      </c>
      <c r="F8" s="285">
        <f>F9+F10+F11+F12+F13</f>
        <v>396287778</v>
      </c>
      <c r="G8" s="285">
        <f>G9+G10+G11+G12+G13+G14</f>
        <v>398046285</v>
      </c>
    </row>
    <row r="9" spans="1:7" s="93" customFormat="1" ht="12" customHeight="1">
      <c r="A9" s="412" t="s">
        <v>640</v>
      </c>
      <c r="B9" s="395" t="s">
        <v>799</v>
      </c>
      <c r="C9" s="288">
        <f>'9.1. melléklet'!C9-'9.1.2.melléklet'!C9-'9.1.3. melléklet '!C9</f>
        <v>29467</v>
      </c>
      <c r="D9" s="301">
        <v>129128</v>
      </c>
      <c r="E9" s="301">
        <v>129128</v>
      </c>
      <c r="F9" s="301">
        <v>129128455</v>
      </c>
      <c r="G9" s="301">
        <v>129659455</v>
      </c>
    </row>
    <row r="10" spans="1:7" s="94" customFormat="1" ht="12" customHeight="1">
      <c r="A10" s="413" t="s">
        <v>641</v>
      </c>
      <c r="B10" s="396" t="s">
        <v>800</v>
      </c>
      <c r="C10" s="288">
        <f>'9.1. melléklet'!C10-'9.1.2.melléklet'!C10-'9.1.3. melléklet '!C10</f>
        <v>114811</v>
      </c>
      <c r="D10" s="287">
        <v>114811</v>
      </c>
      <c r="E10" s="287">
        <v>114811</v>
      </c>
      <c r="F10" s="287">
        <v>114811100</v>
      </c>
      <c r="G10" s="287">
        <v>116255634</v>
      </c>
    </row>
    <row r="11" spans="1:7" s="94" customFormat="1" ht="12" customHeight="1">
      <c r="A11" s="413" t="s">
        <v>642</v>
      </c>
      <c r="B11" s="396" t="s">
        <v>801</v>
      </c>
      <c r="C11" s="288">
        <f>'9.1. melléklet'!C11-'9.1.2.melléklet'!C11-'9.1.3. melléklet '!C11</f>
        <v>138262</v>
      </c>
      <c r="D11" s="287">
        <v>138262</v>
      </c>
      <c r="E11" s="287">
        <v>138262</v>
      </c>
      <c r="F11" s="287">
        <v>137863413</v>
      </c>
      <c r="G11" s="287">
        <v>139048734</v>
      </c>
    </row>
    <row r="12" spans="1:7" s="94" customFormat="1" ht="12" customHeight="1">
      <c r="A12" s="413" t="s">
        <v>643</v>
      </c>
      <c r="B12" s="396" t="s">
        <v>802</v>
      </c>
      <c r="C12" s="288">
        <f>'9.1. melléklet'!C12-'9.1.2.melléklet'!C12-'9.1.3. melléklet '!C12</f>
        <v>6266</v>
      </c>
      <c r="D12" s="287">
        <v>6266</v>
      </c>
      <c r="E12" s="287">
        <v>6266</v>
      </c>
      <c r="F12" s="287">
        <v>6265440</v>
      </c>
      <c r="G12" s="287">
        <v>6607308</v>
      </c>
    </row>
    <row r="13" spans="1:7" s="94" customFormat="1" ht="12" customHeight="1">
      <c r="A13" s="413" t="s">
        <v>686</v>
      </c>
      <c r="B13" s="396" t="s">
        <v>803</v>
      </c>
      <c r="C13" s="288">
        <f>'9.1. melléklet'!C13-'9.1.2.melléklet'!C13-'9.1.3. melléklet '!C13</f>
        <v>0</v>
      </c>
      <c r="D13" s="814">
        <f>2671+2412</f>
        <v>5083</v>
      </c>
      <c r="E13" s="814">
        <v>8219</v>
      </c>
      <c r="F13" s="814">
        <v>8219370</v>
      </c>
      <c r="G13" s="814">
        <v>640362</v>
      </c>
    </row>
    <row r="14" spans="1:7" s="93" customFormat="1" ht="12" customHeight="1" thickBot="1">
      <c r="A14" s="414" t="s">
        <v>644</v>
      </c>
      <c r="B14" s="397" t="s">
        <v>804</v>
      </c>
      <c r="C14" s="910">
        <f>'9.1. melléklet'!C14-'9.1.2.melléklet'!C14-'9.1.3. melléklet '!C14</f>
        <v>0</v>
      </c>
      <c r="D14" s="815"/>
      <c r="E14" s="815"/>
      <c r="F14" s="815"/>
      <c r="G14" s="815">
        <v>5834792</v>
      </c>
    </row>
    <row r="15" spans="1:7" s="93" customFormat="1" ht="12" customHeight="1" thickBot="1">
      <c r="A15" s="30" t="s">
        <v>556</v>
      </c>
      <c r="B15" s="280" t="s">
        <v>805</v>
      </c>
      <c r="C15" s="911">
        <f>'9.1. melléklet'!C15-'9.1.2.melléklet'!C15-'9.1.3. melléklet '!C15</f>
        <v>9120</v>
      </c>
      <c r="D15" s="285">
        <f>+D16+D17+D18+D19+D20</f>
        <v>18325</v>
      </c>
      <c r="E15" s="285">
        <f>+E16+E17+E18+E19+E20</f>
        <v>23053</v>
      </c>
      <c r="F15" s="285">
        <f>+F16+F17+F18+F19+F20</f>
        <v>25950209</v>
      </c>
      <c r="G15" s="285">
        <f>+G16+G17+G18+G19+G20</f>
        <v>28457316</v>
      </c>
    </row>
    <row r="16" spans="1:7" s="93" customFormat="1" ht="12" customHeight="1">
      <c r="A16" s="412" t="s">
        <v>646</v>
      </c>
      <c r="B16" s="395" t="s">
        <v>806</v>
      </c>
      <c r="C16" s="288">
        <f>'9.1. melléklet'!C16-'9.1.2.melléklet'!C16-'9.1.3. melléklet '!C16</f>
        <v>0</v>
      </c>
      <c r="D16" s="288"/>
      <c r="E16" s="288"/>
      <c r="F16" s="288"/>
      <c r="G16" s="288"/>
    </row>
    <row r="17" spans="1:7" s="93" customFormat="1" ht="12" customHeight="1">
      <c r="A17" s="413" t="s">
        <v>647</v>
      </c>
      <c r="B17" s="396" t="s">
        <v>807</v>
      </c>
      <c r="C17" s="288">
        <f>'9.1. melléklet'!C17-'9.1.2.melléklet'!C17-'9.1.3. melléklet '!C17</f>
        <v>0</v>
      </c>
      <c r="D17" s="287"/>
      <c r="E17" s="287"/>
      <c r="F17" s="287"/>
      <c r="G17" s="287"/>
    </row>
    <row r="18" spans="1:7" s="93" customFormat="1" ht="12" customHeight="1">
      <c r="A18" s="413" t="s">
        <v>648</v>
      </c>
      <c r="B18" s="396" t="s">
        <v>324</v>
      </c>
      <c r="C18" s="288">
        <f>'9.1. melléklet'!C18-'9.1.2.melléklet'!C18-'9.1.3. melléklet '!C18</f>
        <v>0</v>
      </c>
      <c r="D18" s="287"/>
      <c r="E18" s="287"/>
      <c r="F18" s="287"/>
      <c r="G18" s="287"/>
    </row>
    <row r="19" spans="1:7" s="93" customFormat="1" ht="12" customHeight="1">
      <c r="A19" s="413" t="s">
        <v>649</v>
      </c>
      <c r="B19" s="396" t="s">
        <v>298</v>
      </c>
      <c r="C19" s="288">
        <f>'9.1. melléklet'!C19-'9.1.2.melléklet'!C19-'9.1.3. melléklet '!C19</f>
        <v>9120</v>
      </c>
      <c r="D19" s="287">
        <v>9120</v>
      </c>
      <c r="E19" s="287">
        <v>9120</v>
      </c>
      <c r="F19" s="287">
        <v>10140600</v>
      </c>
      <c r="G19" s="287">
        <v>10140600</v>
      </c>
    </row>
    <row r="20" spans="1:7" s="93" customFormat="1" ht="12" customHeight="1">
      <c r="A20" s="413" t="s">
        <v>650</v>
      </c>
      <c r="B20" s="730" t="s">
        <v>891</v>
      </c>
      <c r="C20" s="288">
        <f>'9.1. melléklet'!C20-'9.1.2.melléklet'!C20-'9.1.3. melléklet '!C20</f>
        <v>0</v>
      </c>
      <c r="D20" s="287">
        <v>9205</v>
      </c>
      <c r="E20" s="287">
        <v>13933</v>
      </c>
      <c r="F20" s="287">
        <v>15809609</v>
      </c>
      <c r="G20" s="287">
        <v>18316716</v>
      </c>
    </row>
    <row r="21" spans="1:7" s="94" customFormat="1" ht="12" customHeight="1" thickBot="1">
      <c r="A21" s="414" t="s">
        <v>659</v>
      </c>
      <c r="B21" s="397" t="s">
        <v>809</v>
      </c>
      <c r="C21" s="910">
        <f>'9.1. melléklet'!C21-'9.1.2.melléklet'!C21-'9.1.3. melléklet '!C21</f>
        <v>0</v>
      </c>
      <c r="D21" s="289"/>
      <c r="E21" s="289"/>
      <c r="F21" s="289"/>
      <c r="G21" s="289"/>
    </row>
    <row r="22" spans="1:7" s="94" customFormat="1" ht="12" customHeight="1" thickBot="1">
      <c r="A22" s="30" t="s">
        <v>557</v>
      </c>
      <c r="B22" s="19" t="s">
        <v>810</v>
      </c>
      <c r="C22" s="911">
        <f>'9.1. melléklet'!C22-'9.1.2.melléklet'!C22-'9.1.3. melléklet '!C22</f>
        <v>33407</v>
      </c>
      <c r="D22" s="285">
        <f>+D23+D24+D25+D26+D27</f>
        <v>33407</v>
      </c>
      <c r="E22" s="285">
        <f>+E23+E24+E25+E26+E27</f>
        <v>33407</v>
      </c>
      <c r="F22" s="285">
        <f>+F23+F24+F25+F26+F27</f>
        <v>214407000</v>
      </c>
      <c r="G22" s="285">
        <f>+G23+G24+G25+G26+G27</f>
        <v>191800000</v>
      </c>
    </row>
    <row r="23" spans="1:7" s="94" customFormat="1" ht="12" customHeight="1">
      <c r="A23" s="412" t="s">
        <v>629</v>
      </c>
      <c r="B23" s="395" t="s">
        <v>811</v>
      </c>
      <c r="C23" s="288">
        <f>'9.1. melléklet'!C23-'9.1.2.melléklet'!C23-'9.1.3. melléklet '!C23</f>
        <v>0</v>
      </c>
      <c r="D23" s="288"/>
      <c r="E23" s="288"/>
      <c r="F23" s="288">
        <v>181000000</v>
      </c>
      <c r="G23" s="288">
        <v>181000000</v>
      </c>
    </row>
    <row r="24" spans="1:7" s="93" customFormat="1" ht="12" customHeight="1">
      <c r="A24" s="413" t="s">
        <v>630</v>
      </c>
      <c r="B24" s="396" t="s">
        <v>812</v>
      </c>
      <c r="C24" s="288">
        <f>'9.1. melléklet'!C24-'9.1.2.melléklet'!C24-'9.1.3. melléklet '!C24</f>
        <v>0</v>
      </c>
      <c r="D24" s="287"/>
      <c r="E24" s="287"/>
      <c r="F24" s="287"/>
      <c r="G24" s="287"/>
    </row>
    <row r="25" spans="1:7" s="94" customFormat="1" ht="12" customHeight="1">
      <c r="A25" s="413" t="s">
        <v>631</v>
      </c>
      <c r="B25" s="396" t="s">
        <v>174</v>
      </c>
      <c r="C25" s="288">
        <f>'9.1. melléklet'!C25-'9.1.2.melléklet'!C25-'9.1.3. melléklet '!C25</f>
        <v>0</v>
      </c>
      <c r="D25" s="287"/>
      <c r="E25" s="287"/>
      <c r="F25" s="287"/>
      <c r="G25" s="287"/>
    </row>
    <row r="26" spans="1:7" s="94" customFormat="1" ht="12" customHeight="1">
      <c r="A26" s="413" t="s">
        <v>632</v>
      </c>
      <c r="B26" s="730" t="s">
        <v>330</v>
      </c>
      <c r="C26" s="288">
        <f>'9.1. melléklet'!C26-'9.1.2.melléklet'!C26-'9.1.3. melléklet '!C26</f>
        <v>0</v>
      </c>
      <c r="D26" s="287"/>
      <c r="E26" s="287"/>
      <c r="F26" s="287"/>
      <c r="G26" s="287"/>
    </row>
    <row r="27" spans="1:7" s="94" customFormat="1" ht="12" customHeight="1">
      <c r="A27" s="413" t="s">
        <v>707</v>
      </c>
      <c r="B27" s="730" t="s">
        <v>305</v>
      </c>
      <c r="C27" s="288">
        <f>'9.1. melléklet'!C27-'9.1.2.melléklet'!C27-'9.1.3. melléklet '!C27</f>
        <v>33407</v>
      </c>
      <c r="D27" s="287">
        <v>33407</v>
      </c>
      <c r="E27" s="287">
        <v>33407</v>
      </c>
      <c r="F27" s="287">
        <v>33407000</v>
      </c>
      <c r="G27" s="287">
        <v>10800000</v>
      </c>
    </row>
    <row r="28" spans="1:7" s="94" customFormat="1" ht="12" customHeight="1" thickBot="1">
      <c r="A28" s="414" t="s">
        <v>708</v>
      </c>
      <c r="B28" s="397" t="s">
        <v>814</v>
      </c>
      <c r="C28" s="910">
        <f>'9.1. melléklet'!C28-'9.1.2.melléklet'!C28-'9.1.3. melléklet '!C28</f>
        <v>0</v>
      </c>
      <c r="D28" s="289"/>
      <c r="E28" s="289"/>
      <c r="F28" s="289"/>
      <c r="G28" s="289"/>
    </row>
    <row r="29" spans="1:7" s="94" customFormat="1" ht="12" customHeight="1" thickBot="1">
      <c r="A29" s="30" t="s">
        <v>709</v>
      </c>
      <c r="B29" s="19" t="s">
        <v>815</v>
      </c>
      <c r="C29" s="911">
        <f>'9.1. melléklet'!C29-'9.1.2.melléklet'!C29-'9.1.3. melléklet '!C29</f>
        <v>114350</v>
      </c>
      <c r="D29" s="291">
        <f>+D30+D33+D34+D36+D35</f>
        <v>114350</v>
      </c>
      <c r="E29" s="291">
        <f>+E30+E33+E34+E36+E35</f>
        <v>114350</v>
      </c>
      <c r="F29" s="291">
        <f>+F30+F33+F34+F36+F35</f>
        <v>149350000</v>
      </c>
      <c r="G29" s="291">
        <f>+G30+G33+G34+G36+G35</f>
        <v>180840000</v>
      </c>
    </row>
    <row r="30" spans="1:7" s="94" customFormat="1" ht="12" customHeight="1">
      <c r="A30" s="412" t="s">
        <v>816</v>
      </c>
      <c r="B30" s="395" t="s">
        <v>822</v>
      </c>
      <c r="C30" s="288">
        <f>'9.1. melléklet'!C30-'9.1.2.melléklet'!C30-'9.1.3. melléklet '!C30</f>
        <v>95800</v>
      </c>
      <c r="D30" s="390">
        <f>+D31+D32</f>
        <v>95800</v>
      </c>
      <c r="E30" s="390">
        <f>+E31+E32</f>
        <v>95800</v>
      </c>
      <c r="F30" s="390">
        <v>127800000</v>
      </c>
      <c r="G30" s="390">
        <v>155200000</v>
      </c>
    </row>
    <row r="31" spans="1:7" s="94" customFormat="1" ht="12" customHeight="1">
      <c r="A31" s="413" t="s">
        <v>817</v>
      </c>
      <c r="B31" s="654" t="s">
        <v>299</v>
      </c>
      <c r="C31" s="288">
        <f>'9.1. melléklet'!C31-'9.1.2.melléklet'!C31-'9.1.3. melléklet '!C31</f>
        <v>5800</v>
      </c>
      <c r="D31" s="287">
        <v>5800</v>
      </c>
      <c r="E31" s="287">
        <v>5800</v>
      </c>
      <c r="F31" s="287">
        <v>5800000</v>
      </c>
      <c r="G31" s="287">
        <v>6200000</v>
      </c>
    </row>
    <row r="32" spans="1:7" s="94" customFormat="1" ht="12" customHeight="1">
      <c r="A32" s="413" t="s">
        <v>818</v>
      </c>
      <c r="B32" s="654" t="s">
        <v>304</v>
      </c>
      <c r="C32" s="288">
        <f>'9.1. melléklet'!C32-'9.1.2.melléklet'!C32-'9.1.3. melléklet '!C32</f>
        <v>90000</v>
      </c>
      <c r="D32" s="287">
        <v>90000</v>
      </c>
      <c r="E32" s="287">
        <v>90000</v>
      </c>
      <c r="F32" s="287">
        <v>122000000</v>
      </c>
      <c r="G32" s="287">
        <v>149000000</v>
      </c>
    </row>
    <row r="33" spans="1:7" s="94" customFormat="1" ht="12" customHeight="1">
      <c r="A33" s="413" t="s">
        <v>819</v>
      </c>
      <c r="B33" s="396" t="s">
        <v>825</v>
      </c>
      <c r="C33" s="288">
        <f>'9.1. melléklet'!C33-'9.1.2.melléklet'!C33-'9.1.3. melléklet '!C33</f>
        <v>16000</v>
      </c>
      <c r="D33" s="287">
        <v>16000</v>
      </c>
      <c r="E33" s="287">
        <v>16000</v>
      </c>
      <c r="F33" s="287">
        <v>18500000</v>
      </c>
      <c r="G33" s="287">
        <v>21000000</v>
      </c>
    </row>
    <row r="34" spans="1:7" s="94" customFormat="1" ht="12" customHeight="1">
      <c r="A34" s="413" t="s">
        <v>820</v>
      </c>
      <c r="B34" s="396" t="s">
        <v>300</v>
      </c>
      <c r="C34" s="288">
        <f>'9.1. melléklet'!C34-'9.1.2.melléklet'!C34-'9.1.3. melléklet '!C34</f>
        <v>250</v>
      </c>
      <c r="D34" s="287">
        <v>250</v>
      </c>
      <c r="E34" s="287">
        <v>250</v>
      </c>
      <c r="F34" s="287">
        <v>250000</v>
      </c>
      <c r="G34" s="287">
        <v>440000</v>
      </c>
    </row>
    <row r="35" spans="1:7" s="94" customFormat="1" ht="12" customHeight="1">
      <c r="A35" s="413" t="s">
        <v>821</v>
      </c>
      <c r="B35" s="397" t="s">
        <v>303</v>
      </c>
      <c r="C35" s="288">
        <f>'9.1. melléklet'!C35-'9.1.2.melléklet'!C35-'9.1.3. melléklet '!C35</f>
        <v>1300</v>
      </c>
      <c r="D35" s="289">
        <v>1300</v>
      </c>
      <c r="E35" s="289">
        <v>1300</v>
      </c>
      <c r="F35" s="289">
        <v>1300000</v>
      </c>
      <c r="G35" s="289">
        <v>2200000</v>
      </c>
    </row>
    <row r="36" spans="1:7" s="94" customFormat="1" ht="12" customHeight="1" thickBot="1">
      <c r="A36" s="413" t="s">
        <v>301</v>
      </c>
      <c r="B36" s="397" t="s">
        <v>302</v>
      </c>
      <c r="C36" s="910">
        <v>1000</v>
      </c>
      <c r="D36" s="289">
        <v>1000</v>
      </c>
      <c r="E36" s="289">
        <v>1000</v>
      </c>
      <c r="F36" s="289">
        <v>1500000</v>
      </c>
      <c r="G36" s="289">
        <v>2000000</v>
      </c>
    </row>
    <row r="37" spans="1:7" s="94" customFormat="1" ht="12" customHeight="1" thickBot="1">
      <c r="A37" s="30" t="s">
        <v>559</v>
      </c>
      <c r="B37" s="19" t="s">
        <v>828</v>
      </c>
      <c r="C37" s="911">
        <f>C47+C46+C45+C44+C43+C42+C41+C40+C39</f>
        <v>17897</v>
      </c>
      <c r="D37" s="285">
        <f>SUM(D38:D47)</f>
        <v>22547</v>
      </c>
      <c r="E37" s="285">
        <f>SUM(E38:E47)</f>
        <v>22547</v>
      </c>
      <c r="F37" s="285">
        <f>SUM(F38:F47)</f>
        <v>65110000</v>
      </c>
      <c r="G37" s="285">
        <f>SUM(G38:G47)</f>
        <v>70601000</v>
      </c>
    </row>
    <row r="38" spans="1:7" s="94" customFormat="1" ht="12" customHeight="1">
      <c r="A38" s="412" t="s">
        <v>633</v>
      </c>
      <c r="B38" s="395" t="s">
        <v>831</v>
      </c>
      <c r="C38" s="288"/>
      <c r="D38" s="288"/>
      <c r="E38" s="288"/>
      <c r="F38" s="288"/>
      <c r="G38" s="288"/>
    </row>
    <row r="39" spans="1:7" s="94" customFormat="1" ht="12" customHeight="1">
      <c r="A39" s="413" t="s">
        <v>634</v>
      </c>
      <c r="B39" s="396" t="s">
        <v>832</v>
      </c>
      <c r="C39" s="288">
        <f>6200-4650</f>
        <v>1550</v>
      </c>
      <c r="D39" s="287">
        <v>6200</v>
      </c>
      <c r="E39" s="287">
        <v>6200</v>
      </c>
      <c r="F39" s="287">
        <v>9322000</v>
      </c>
      <c r="G39" s="287">
        <v>13575000</v>
      </c>
    </row>
    <row r="40" spans="1:7" s="94" customFormat="1" ht="12" customHeight="1">
      <c r="A40" s="413" t="s">
        <v>635</v>
      </c>
      <c r="B40" s="396" t="s">
        <v>833</v>
      </c>
      <c r="C40" s="288">
        <f>'9.1. melléklet'!C40-'9.1.2.melléklet'!C40-'9.1.3. melléklet '!C40</f>
        <v>300</v>
      </c>
      <c r="D40" s="287">
        <v>300</v>
      </c>
      <c r="E40" s="287">
        <v>300</v>
      </c>
      <c r="F40" s="287">
        <v>300000</v>
      </c>
      <c r="G40" s="287"/>
    </row>
    <row r="41" spans="1:7" s="94" customFormat="1" ht="12" customHeight="1">
      <c r="A41" s="413" t="s">
        <v>711</v>
      </c>
      <c r="B41" s="396" t="s">
        <v>834</v>
      </c>
      <c r="C41" s="288">
        <f>'9.1. melléklet'!C41-'9.1.2.melléklet'!C41-'9.1.3. melléklet '!C41</f>
        <v>0</v>
      </c>
      <c r="D41" s="287"/>
      <c r="E41" s="287"/>
      <c r="F41" s="287"/>
      <c r="G41" s="287"/>
    </row>
    <row r="42" spans="1:7" s="94" customFormat="1" ht="12" customHeight="1">
      <c r="A42" s="413" t="s">
        <v>712</v>
      </c>
      <c r="B42" s="396" t="s">
        <v>835</v>
      </c>
      <c r="C42" s="288">
        <f>'9.1. melléklet'!C42-'9.1.2.melléklet'!C42-'9.1.3. melléklet '!C42</f>
        <v>11502</v>
      </c>
      <c r="D42" s="287">
        <v>11502</v>
      </c>
      <c r="E42" s="287">
        <v>11502</v>
      </c>
      <c r="F42" s="287">
        <v>11502000</v>
      </c>
      <c r="G42" s="287">
        <v>11950000</v>
      </c>
    </row>
    <row r="43" spans="1:7" s="94" customFormat="1" ht="12" customHeight="1">
      <c r="A43" s="413" t="s">
        <v>713</v>
      </c>
      <c r="B43" s="396" t="s">
        <v>836</v>
      </c>
      <c r="C43" s="288">
        <f>'9.1. melléklet'!C43-'9.1.2.melléklet'!C43-'9.1.3. melléklet '!C43</f>
        <v>3045</v>
      </c>
      <c r="D43" s="287">
        <v>3045</v>
      </c>
      <c r="E43" s="287">
        <v>3045</v>
      </c>
      <c r="F43" s="287">
        <v>33245000</v>
      </c>
      <c r="G43" s="287">
        <v>33338000</v>
      </c>
    </row>
    <row r="44" spans="1:7" s="94" customFormat="1" ht="12" customHeight="1">
      <c r="A44" s="413" t="s">
        <v>714</v>
      </c>
      <c r="B44" s="396" t="s">
        <v>837</v>
      </c>
      <c r="C44" s="288">
        <f>'9.1. melléklet'!C44-'9.1.2.melléklet'!C44-'9.1.3. melléklet '!C44</f>
        <v>0</v>
      </c>
      <c r="D44" s="287"/>
      <c r="E44" s="287"/>
      <c r="F44" s="287">
        <v>9241000</v>
      </c>
      <c r="G44" s="287">
        <v>11088000</v>
      </c>
    </row>
    <row r="45" spans="1:7" s="94" customFormat="1" ht="12" customHeight="1">
      <c r="A45" s="413" t="s">
        <v>715</v>
      </c>
      <c r="B45" s="396" t="s">
        <v>838</v>
      </c>
      <c r="C45" s="288">
        <f>'9.1. melléklet'!C45-'9.1.2.melléklet'!C45-'9.1.3. melléklet '!C45</f>
        <v>1500</v>
      </c>
      <c r="D45" s="287">
        <v>1500</v>
      </c>
      <c r="E45" s="287">
        <v>1500</v>
      </c>
      <c r="F45" s="287">
        <v>1500000</v>
      </c>
      <c r="G45" s="287">
        <v>650000</v>
      </c>
    </row>
    <row r="46" spans="1:7" s="94" customFormat="1" ht="12" customHeight="1">
      <c r="A46" s="413" t="s">
        <v>829</v>
      </c>
      <c r="B46" s="396" t="s">
        <v>839</v>
      </c>
      <c r="C46" s="288">
        <f>'9.1. melléklet'!C46-'9.1.2.melléklet'!C46-'9.1.3. melléklet '!C46</f>
        <v>0</v>
      </c>
      <c r="D46" s="290"/>
      <c r="E46" s="290"/>
      <c r="F46" s="290"/>
      <c r="G46" s="290"/>
    </row>
    <row r="47" spans="1:7" s="94" customFormat="1" ht="12" customHeight="1" thickBot="1">
      <c r="A47" s="414" t="s">
        <v>830</v>
      </c>
      <c r="B47" s="397" t="s">
        <v>840</v>
      </c>
      <c r="C47" s="910">
        <f>'9.1. melléklet'!C47-'9.1.2.melléklet'!C47-'9.1.3. melléklet '!C47</f>
        <v>0</v>
      </c>
      <c r="D47" s="384"/>
      <c r="E47" s="384"/>
      <c r="F47" s="384"/>
      <c r="G47" s="384"/>
    </row>
    <row r="48" spans="1:7" s="94" customFormat="1" ht="12" customHeight="1" thickBot="1">
      <c r="A48" s="30" t="s">
        <v>560</v>
      </c>
      <c r="B48" s="19" t="s">
        <v>841</v>
      </c>
      <c r="C48" s="911">
        <f>'9.1. melléklet'!C48-'9.1.2.melléklet'!C48-'9.1.3. melléklet '!C48</f>
        <v>0</v>
      </c>
      <c r="D48" s="285">
        <f>SUM(D49:D53)</f>
        <v>50000</v>
      </c>
      <c r="E48" s="285">
        <f>SUM(E49:E53)</f>
        <v>50000</v>
      </c>
      <c r="F48" s="285">
        <f>SUM(F49:F53)</f>
        <v>105000000</v>
      </c>
      <c r="G48" s="285">
        <f>SUM(G49:G53)</f>
        <v>126240000</v>
      </c>
    </row>
    <row r="49" spans="1:7" s="94" customFormat="1" ht="12" customHeight="1">
      <c r="A49" s="412" t="s">
        <v>636</v>
      </c>
      <c r="B49" s="395" t="s">
        <v>845</v>
      </c>
      <c r="C49" s="288">
        <f>'9.1. melléklet'!C49-'9.1.2.melléklet'!C49-'9.1.3. melléklet '!C49</f>
        <v>0</v>
      </c>
      <c r="D49" s="438"/>
      <c r="E49" s="438"/>
      <c r="F49" s="438"/>
      <c r="G49" s="438"/>
    </row>
    <row r="50" spans="1:7" s="94" customFormat="1" ht="12" customHeight="1">
      <c r="A50" s="413" t="s">
        <v>637</v>
      </c>
      <c r="B50" s="396" t="s">
        <v>846</v>
      </c>
      <c r="C50" s="288">
        <f>'9.1. melléklet'!C50-'9.1.2.melléklet'!C50-'9.1.3. melléklet '!C50</f>
        <v>0</v>
      </c>
      <c r="D50" s="290">
        <v>50000</v>
      </c>
      <c r="E50" s="290">
        <v>50000</v>
      </c>
      <c r="F50" s="290">
        <v>105000000</v>
      </c>
      <c r="G50" s="290">
        <v>126240000</v>
      </c>
    </row>
    <row r="51" spans="1:7" s="94" customFormat="1" ht="12" customHeight="1">
      <c r="A51" s="413" t="s">
        <v>842</v>
      </c>
      <c r="B51" s="396" t="s">
        <v>847</v>
      </c>
      <c r="C51" s="288">
        <f>'9.1. melléklet'!C51-'9.1.2.melléklet'!C51-'9.1.3. melléklet '!C51</f>
        <v>0</v>
      </c>
      <c r="D51" s="290"/>
      <c r="E51" s="290"/>
      <c r="F51" s="290"/>
      <c r="G51" s="290"/>
    </row>
    <row r="52" spans="1:7" s="94" customFormat="1" ht="12" customHeight="1">
      <c r="A52" s="413" t="s">
        <v>843</v>
      </c>
      <c r="B52" s="396" t="s">
        <v>848</v>
      </c>
      <c r="C52" s="288">
        <f>'9.1. melléklet'!C52-'9.1.2.melléklet'!C52-'9.1.3. melléklet '!C52</f>
        <v>0</v>
      </c>
      <c r="D52" s="290"/>
      <c r="E52" s="290"/>
      <c r="F52" s="290"/>
      <c r="G52" s="290"/>
    </row>
    <row r="53" spans="1:7" s="94" customFormat="1" ht="12" customHeight="1" thickBot="1">
      <c r="A53" s="414" t="s">
        <v>844</v>
      </c>
      <c r="B53" s="397" t="s">
        <v>849</v>
      </c>
      <c r="C53" s="910">
        <f>'9.1. melléklet'!C53-'9.1.2.melléklet'!C53-'9.1.3. melléklet '!C53</f>
        <v>0</v>
      </c>
      <c r="D53" s="384"/>
      <c r="E53" s="384"/>
      <c r="F53" s="384"/>
      <c r="G53" s="384"/>
    </row>
    <row r="54" spans="1:7" s="94" customFormat="1" ht="12" customHeight="1" thickBot="1">
      <c r="A54" s="30" t="s">
        <v>716</v>
      </c>
      <c r="B54" s="19" t="s">
        <v>850</v>
      </c>
      <c r="C54" s="911">
        <f>'9.1. melléklet'!C54-'9.1.2.melléklet'!C54-'9.1.3. melléklet '!C54</f>
        <v>0</v>
      </c>
      <c r="D54" s="285">
        <f>SUM(D55:D57)</f>
        <v>0</v>
      </c>
      <c r="E54" s="285">
        <f>SUM(E55:E57)</f>
        <v>0</v>
      </c>
      <c r="F54" s="285">
        <f>SUM(F55:F57)</f>
        <v>0</v>
      </c>
      <c r="G54" s="285">
        <v>388000</v>
      </c>
    </row>
    <row r="55" spans="1:7" s="94" customFormat="1" ht="12" customHeight="1">
      <c r="A55" s="412" t="s">
        <v>638</v>
      </c>
      <c r="B55" s="395" t="s">
        <v>851</v>
      </c>
      <c r="C55" s="288">
        <f>'9.1. melléklet'!C55-'9.1.2.melléklet'!C55-'9.1.3. melléklet '!C55</f>
        <v>0</v>
      </c>
      <c r="D55" s="288"/>
      <c r="E55" s="288"/>
      <c r="F55" s="288"/>
      <c r="G55" s="288"/>
    </row>
    <row r="56" spans="1:7" s="94" customFormat="1" ht="12" customHeight="1">
      <c r="A56" s="413" t="s">
        <v>639</v>
      </c>
      <c r="B56" s="396" t="s">
        <v>323</v>
      </c>
      <c r="C56" s="288">
        <f>'9.1. melléklet'!C56-'9.1.2.melléklet'!C56-'9.1.3. melléklet '!C56</f>
        <v>0</v>
      </c>
      <c r="D56" s="287"/>
      <c r="E56" s="287"/>
      <c r="F56" s="287"/>
      <c r="G56" s="287"/>
    </row>
    <row r="57" spans="1:7" s="94" customFormat="1" ht="12" customHeight="1">
      <c r="A57" s="413" t="s">
        <v>854</v>
      </c>
      <c r="B57" s="396" t="s">
        <v>325</v>
      </c>
      <c r="C57" s="288">
        <f>'9.1. melléklet'!C57-'9.1.2.melléklet'!C57-'9.1.3. melléklet '!C57</f>
        <v>0</v>
      </c>
      <c r="D57" s="287"/>
      <c r="E57" s="287"/>
      <c r="F57" s="287"/>
      <c r="G57" s="287"/>
    </row>
    <row r="58" spans="1:7" s="94" customFormat="1" ht="12" customHeight="1" thickBot="1">
      <c r="A58" s="414" t="s">
        <v>855</v>
      </c>
      <c r="B58" s="397" t="s">
        <v>853</v>
      </c>
      <c r="C58" s="910">
        <f>'9.1. melléklet'!C58-'9.1.2.melléklet'!C58-'9.1.3. melléklet '!C58</f>
        <v>0</v>
      </c>
      <c r="D58" s="289"/>
      <c r="E58" s="289"/>
      <c r="F58" s="289"/>
      <c r="G58" s="289"/>
    </row>
    <row r="59" spans="1:7" s="94" customFormat="1" ht="12" customHeight="1" thickBot="1">
      <c r="A59" s="30" t="s">
        <v>562</v>
      </c>
      <c r="B59" s="280" t="s">
        <v>856</v>
      </c>
      <c r="C59" s="911">
        <f>'9.1. melléklet'!C59-'9.1.2.melléklet'!C59-'9.1.3. melléklet '!C59</f>
        <v>0</v>
      </c>
      <c r="D59" s="285">
        <f>SUM(D60:D62)</f>
        <v>0</v>
      </c>
      <c r="E59" s="285">
        <f>SUM(E60:E62)</f>
        <v>0</v>
      </c>
      <c r="F59" s="285">
        <f>SUM(F60:F62)</f>
        <v>0</v>
      </c>
      <c r="G59" s="285">
        <v>40080</v>
      </c>
    </row>
    <row r="60" spans="1:7" s="94" customFormat="1" ht="12" customHeight="1">
      <c r="A60" s="412" t="s">
        <v>717</v>
      </c>
      <c r="B60" s="395" t="s">
        <v>858</v>
      </c>
      <c r="C60" s="288">
        <f>'9.1. melléklet'!C60-'9.1.2.melléklet'!C60-'9.1.3. melléklet '!C60</f>
        <v>0</v>
      </c>
      <c r="D60" s="290"/>
      <c r="E60" s="290"/>
      <c r="F60" s="290"/>
      <c r="G60" s="290"/>
    </row>
    <row r="61" spans="1:7" s="94" customFormat="1" ht="12" customHeight="1">
      <c r="A61" s="413" t="s">
        <v>718</v>
      </c>
      <c r="B61" s="396" t="s">
        <v>177</v>
      </c>
      <c r="C61" s="288">
        <f>'9.1. melléklet'!C61-'9.1.2.melléklet'!C61-'9.1.3. melléklet '!C61</f>
        <v>0</v>
      </c>
      <c r="D61" s="290"/>
      <c r="E61" s="290"/>
      <c r="F61" s="290"/>
      <c r="G61" s="290"/>
    </row>
    <row r="62" spans="1:7" s="94" customFormat="1" ht="12" customHeight="1">
      <c r="A62" s="413" t="s">
        <v>771</v>
      </c>
      <c r="B62" s="396" t="s">
        <v>326</v>
      </c>
      <c r="C62" s="288">
        <f>'9.1. melléklet'!C62-'9.1.2.melléklet'!C62-'9.1.3. melléklet '!C62</f>
        <v>0</v>
      </c>
      <c r="D62" s="290"/>
      <c r="E62" s="290"/>
      <c r="F62" s="290"/>
      <c r="G62" s="290"/>
    </row>
    <row r="63" spans="1:7" s="94" customFormat="1" ht="12" customHeight="1" thickBot="1">
      <c r="A63" s="414" t="s">
        <v>857</v>
      </c>
      <c r="B63" s="397" t="s">
        <v>860</v>
      </c>
      <c r="C63" s="910"/>
      <c r="D63" s="290"/>
      <c r="E63" s="290"/>
      <c r="F63" s="290"/>
      <c r="G63" s="290"/>
    </row>
    <row r="64" spans="1:7" s="94" customFormat="1" ht="12" customHeight="1" thickBot="1">
      <c r="A64" s="30" t="s">
        <v>563</v>
      </c>
      <c r="B64" s="19" t="s">
        <v>861</v>
      </c>
      <c r="C64" s="911">
        <f>C8+C15+C22+C29+C37+C48+C54+C59</f>
        <v>463580</v>
      </c>
      <c r="D64" s="291">
        <f>+D8+D15+D22+D29+D37+D48+D54+D59</f>
        <v>632179</v>
      </c>
      <c r="E64" s="291">
        <f>+E8+E15+E22+E29+E37+E48+E54+E59</f>
        <v>640043</v>
      </c>
      <c r="F64" s="291">
        <f>+F8+F15+F22+F29+F37+F48+F54+F59</f>
        <v>956104987</v>
      </c>
      <c r="G64" s="291">
        <f>+G8+G15+G22+G29+G37+G48+G54+G59</f>
        <v>996412681</v>
      </c>
    </row>
    <row r="65" spans="1:7" s="94" customFormat="1" ht="12" customHeight="1" thickBot="1">
      <c r="A65" s="415" t="s">
        <v>133</v>
      </c>
      <c r="B65" s="280" t="s">
        <v>863</v>
      </c>
      <c r="C65" s="911">
        <f>'9.1. melléklet'!C65-'9.1.2.melléklet'!C65-'9.1.3. melléklet '!C65</f>
        <v>0</v>
      </c>
      <c r="D65" s="285">
        <f>SUM(D66:D68)</f>
        <v>0</v>
      </c>
      <c r="E65" s="285">
        <f>SUM(E66:E68)</f>
        <v>0</v>
      </c>
      <c r="F65" s="285">
        <f>SUM(F66:F68)</f>
        <v>0</v>
      </c>
      <c r="G65" s="285">
        <f>SUM(G66:G68)</f>
        <v>0</v>
      </c>
    </row>
    <row r="66" spans="1:7" s="94" customFormat="1" ht="12" customHeight="1">
      <c r="A66" s="412" t="s">
        <v>41</v>
      </c>
      <c r="B66" s="395" t="s">
        <v>864</v>
      </c>
      <c r="C66" s="288">
        <f>'9.1. melléklet'!C66-'9.1.2.melléklet'!C66-'9.1.3. melléklet '!C66</f>
        <v>0</v>
      </c>
      <c r="D66" s="290"/>
      <c r="E66" s="290"/>
      <c r="F66" s="290"/>
      <c r="G66" s="290"/>
    </row>
    <row r="67" spans="1:7" s="94" customFormat="1" ht="12" customHeight="1">
      <c r="A67" s="413" t="s">
        <v>50</v>
      </c>
      <c r="B67" s="396" t="s">
        <v>865</v>
      </c>
      <c r="C67" s="288">
        <f>'9.1. melléklet'!C67-'9.1.2.melléklet'!C67-'9.1.3. melléklet '!C67</f>
        <v>0</v>
      </c>
      <c r="D67" s="290"/>
      <c r="E67" s="290"/>
      <c r="F67" s="290"/>
      <c r="G67" s="290"/>
    </row>
    <row r="68" spans="1:7" s="94" customFormat="1" ht="12" customHeight="1" thickBot="1">
      <c r="A68" s="414" t="s">
        <v>51</v>
      </c>
      <c r="B68" s="399" t="s">
        <v>866</v>
      </c>
      <c r="C68" s="910">
        <f>'9.1. melléklet'!C68-'9.1.2.melléklet'!C68-'9.1.3. melléklet '!C68</f>
        <v>0</v>
      </c>
      <c r="D68" s="290"/>
      <c r="E68" s="290"/>
      <c r="F68" s="290"/>
      <c r="G68" s="290"/>
    </row>
    <row r="69" spans="1:7" s="94" customFormat="1" ht="12" customHeight="1" thickBot="1">
      <c r="A69" s="415" t="s">
        <v>867</v>
      </c>
      <c r="B69" s="280" t="s">
        <v>868</v>
      </c>
      <c r="C69" s="911">
        <f>'9.1. melléklet'!C69-'9.1.2.melléklet'!C69-'9.1.3. melléklet '!C69</f>
        <v>0</v>
      </c>
      <c r="D69" s="285">
        <f>SUM(D70:D73)</f>
        <v>0</v>
      </c>
      <c r="E69" s="285">
        <f>SUM(E70:E73)</f>
        <v>0</v>
      </c>
      <c r="F69" s="285">
        <f>SUM(F70:F73)</f>
        <v>0</v>
      </c>
      <c r="G69" s="285">
        <f>SUM(G70:G73)</f>
        <v>0</v>
      </c>
    </row>
    <row r="70" spans="1:7" s="94" customFormat="1" ht="12" customHeight="1">
      <c r="A70" s="412" t="s">
        <v>687</v>
      </c>
      <c r="B70" s="395" t="s">
        <v>869</v>
      </c>
      <c r="C70" s="288">
        <f>'9.1. melléklet'!C70-'9.1.2.melléklet'!C70-'9.1.3. melléklet '!C70</f>
        <v>0</v>
      </c>
      <c r="D70" s="290"/>
      <c r="E70" s="290"/>
      <c r="F70" s="290"/>
      <c r="G70" s="290"/>
    </row>
    <row r="71" spans="1:7" s="94" customFormat="1" ht="12" customHeight="1">
      <c r="A71" s="413" t="s">
        <v>688</v>
      </c>
      <c r="B71" s="396" t="s">
        <v>870</v>
      </c>
      <c r="C71" s="288">
        <f>'9.1. melléklet'!C71-'9.1.2.melléklet'!C71-'9.1.3. melléklet '!C71</f>
        <v>0</v>
      </c>
      <c r="D71" s="290"/>
      <c r="E71" s="290"/>
      <c r="F71" s="290"/>
      <c r="G71" s="290"/>
    </row>
    <row r="72" spans="1:7" s="94" customFormat="1" ht="12" customHeight="1">
      <c r="A72" s="413" t="s">
        <v>42</v>
      </c>
      <c r="B72" s="396" t="s">
        <v>871</v>
      </c>
      <c r="C72" s="288">
        <f>'9.1. melléklet'!C72-'9.1.2.melléklet'!C72-'9.1.3. melléklet '!C72</f>
        <v>0</v>
      </c>
      <c r="D72" s="290"/>
      <c r="E72" s="290"/>
      <c r="F72" s="290"/>
      <c r="G72" s="290"/>
    </row>
    <row r="73" spans="1:7" s="94" customFormat="1" ht="12" customHeight="1" thickBot="1">
      <c r="A73" s="414" t="s">
        <v>43</v>
      </c>
      <c r="B73" s="397" t="s">
        <v>872</v>
      </c>
      <c r="C73" s="910">
        <f>'9.1. melléklet'!C73-'9.1.2.melléklet'!C73-'9.1.3. melléklet '!C73</f>
        <v>0</v>
      </c>
      <c r="D73" s="290"/>
      <c r="E73" s="290"/>
      <c r="F73" s="290"/>
      <c r="G73" s="290"/>
    </row>
    <row r="74" spans="1:7" s="94" customFormat="1" ht="12" customHeight="1" thickBot="1">
      <c r="A74" s="415" t="s">
        <v>873</v>
      </c>
      <c r="B74" s="280" t="s">
        <v>874</v>
      </c>
      <c r="C74" s="911">
        <f>'9.1. melléklet'!C74-'9.1.2.melléklet'!C74-'9.1.3. melléklet '!C74</f>
        <v>100000</v>
      </c>
      <c r="D74" s="285">
        <f>SUM(D75:D76)</f>
        <v>187055</v>
      </c>
      <c r="E74" s="285">
        <f>SUM(E75:E76)</f>
        <v>187055</v>
      </c>
      <c r="F74" s="285">
        <f>SUM(F75:F76)</f>
        <v>187055000</v>
      </c>
      <c r="G74" s="285">
        <f>SUM(G75:G76)</f>
        <v>187054882</v>
      </c>
    </row>
    <row r="75" spans="1:7" s="94" customFormat="1" ht="12" customHeight="1">
      <c r="A75" s="412" t="s">
        <v>44</v>
      </c>
      <c r="B75" s="395" t="s">
        <v>875</v>
      </c>
      <c r="C75" s="288">
        <f>'9.1. melléklet'!C75-'9.1.2.melléklet'!C75-'9.1.3. melléklet '!C75</f>
        <v>100000</v>
      </c>
      <c r="D75" s="290">
        <v>187055</v>
      </c>
      <c r="E75" s="290">
        <v>187055</v>
      </c>
      <c r="F75" s="290">
        <v>187055000</v>
      </c>
      <c r="G75" s="290">
        <v>187054882</v>
      </c>
    </row>
    <row r="76" spans="1:7" s="94" customFormat="1" ht="12" customHeight="1" thickBot="1">
      <c r="A76" s="414" t="s">
        <v>45</v>
      </c>
      <c r="B76" s="397" t="s">
        <v>876</v>
      </c>
      <c r="C76" s="910">
        <f>'9.1. melléklet'!C76-'9.1.2.melléklet'!C76-'9.1.3. melléklet '!C76</f>
        <v>0</v>
      </c>
      <c r="D76" s="290"/>
      <c r="E76" s="290"/>
      <c r="F76" s="290"/>
      <c r="G76" s="290"/>
    </row>
    <row r="77" spans="1:7" s="93" customFormat="1" ht="12" customHeight="1" thickBot="1">
      <c r="A77" s="415" t="s">
        <v>877</v>
      </c>
      <c r="B77" s="280" t="s">
        <v>878</v>
      </c>
      <c r="C77" s="911">
        <f>'9.1. melléklet'!C77-'9.1.2.melléklet'!C77-'9.1.3. melléklet '!C77</f>
        <v>0</v>
      </c>
      <c r="D77" s="285">
        <f>SUM(D78:D80)</f>
        <v>0</v>
      </c>
      <c r="E77" s="285">
        <f>SUM(E78:E80)</f>
        <v>0</v>
      </c>
      <c r="F77" s="285">
        <f>SUM(F78:F80)</f>
        <v>0</v>
      </c>
      <c r="G77" s="285">
        <f>SUM(G78:G80)</f>
        <v>14042123</v>
      </c>
    </row>
    <row r="78" spans="1:7" s="94" customFormat="1" ht="12" customHeight="1">
      <c r="A78" s="412" t="s">
        <v>46</v>
      </c>
      <c r="B78" s="395" t="s">
        <v>879</v>
      </c>
      <c r="C78" s="288">
        <f>'9.1. melléklet'!C78-'9.1.2.melléklet'!C78-'9.1.3. melléklet '!C78</f>
        <v>0</v>
      </c>
      <c r="D78" s="290"/>
      <c r="E78" s="290"/>
      <c r="F78" s="290"/>
      <c r="G78" s="290">
        <v>14042123</v>
      </c>
    </row>
    <row r="79" spans="1:7" s="94" customFormat="1" ht="12" customHeight="1">
      <c r="A79" s="413" t="s">
        <v>47</v>
      </c>
      <c r="B79" s="396" t="s">
        <v>880</v>
      </c>
      <c r="C79" s="288">
        <f>'9.1. melléklet'!C79-'9.1.2.melléklet'!C79-'9.1.3. melléklet '!C79</f>
        <v>0</v>
      </c>
      <c r="D79" s="290"/>
      <c r="E79" s="290"/>
      <c r="F79" s="290"/>
      <c r="G79" s="290"/>
    </row>
    <row r="80" spans="1:7" s="94" customFormat="1" ht="12" customHeight="1" thickBot="1">
      <c r="A80" s="414" t="s">
        <v>48</v>
      </c>
      <c r="B80" s="397" t="s">
        <v>881</v>
      </c>
      <c r="C80" s="910">
        <f>'9.1. melléklet'!C80-'9.1.2.melléklet'!C80-'9.1.3. melléklet '!C80</f>
        <v>0</v>
      </c>
      <c r="D80" s="290"/>
      <c r="E80" s="290"/>
      <c r="F80" s="290"/>
      <c r="G80" s="290"/>
    </row>
    <row r="81" spans="1:7" s="94" customFormat="1" ht="12" customHeight="1" thickBot="1">
      <c r="A81" s="415" t="s">
        <v>882</v>
      </c>
      <c r="B81" s="280" t="s">
        <v>49</v>
      </c>
      <c r="C81" s="911">
        <f>'9.1. melléklet'!C81-'9.1.2.melléklet'!C81-'9.1.3. melléklet '!C81</f>
        <v>0</v>
      </c>
      <c r="D81" s="285">
        <f>SUM(D82:D85)</f>
        <v>0</v>
      </c>
      <c r="E81" s="285">
        <f>SUM(E82:E85)</f>
        <v>0</v>
      </c>
      <c r="F81" s="285">
        <f>SUM(F82:F85)</f>
        <v>0</v>
      </c>
      <c r="G81" s="285">
        <f>SUM(G82:G85)</f>
        <v>0</v>
      </c>
    </row>
    <row r="82" spans="1:7" s="94" customFormat="1" ht="12" customHeight="1">
      <c r="A82" s="416" t="s">
        <v>883</v>
      </c>
      <c r="B82" s="395" t="s">
        <v>29</v>
      </c>
      <c r="C82" s="288">
        <f>'9.1. melléklet'!C82-'9.1.2.melléklet'!C82-'9.1.3. melléklet '!C82</f>
        <v>0</v>
      </c>
      <c r="D82" s="290"/>
      <c r="E82" s="290"/>
      <c r="F82" s="290"/>
      <c r="G82" s="290"/>
    </row>
    <row r="83" spans="1:7" s="94" customFormat="1" ht="12" customHeight="1">
      <c r="A83" s="417" t="s">
        <v>30</v>
      </c>
      <c r="B83" s="396" t="s">
        <v>31</v>
      </c>
      <c r="C83" s="288">
        <f>'9.1. melléklet'!C83-'9.1.2.melléklet'!C83-'9.1.3. melléklet '!C83</f>
        <v>0</v>
      </c>
      <c r="D83" s="290"/>
      <c r="E83" s="290"/>
      <c r="F83" s="290"/>
      <c r="G83" s="290"/>
    </row>
    <row r="84" spans="1:7" s="94" customFormat="1" ht="12" customHeight="1">
      <c r="A84" s="417" t="s">
        <v>32</v>
      </c>
      <c r="B84" s="396" t="s">
        <v>33</v>
      </c>
      <c r="C84" s="288">
        <f>'9.1. melléklet'!C84-'9.1.2.melléklet'!C84-'9.1.3. melléklet '!C84</f>
        <v>0</v>
      </c>
      <c r="D84" s="290"/>
      <c r="E84" s="290"/>
      <c r="F84" s="290"/>
      <c r="G84" s="290"/>
    </row>
    <row r="85" spans="1:7" s="93" customFormat="1" ht="12" customHeight="1" thickBot="1">
      <c r="A85" s="418" t="s">
        <v>34</v>
      </c>
      <c r="B85" s="397" t="s">
        <v>35</v>
      </c>
      <c r="C85" s="910">
        <f>'9.1. melléklet'!C85-'9.1.2.melléklet'!C85-'9.1.3. melléklet '!C85</f>
        <v>0</v>
      </c>
      <c r="D85" s="290"/>
      <c r="E85" s="290"/>
      <c r="F85" s="290"/>
      <c r="G85" s="290"/>
    </row>
    <row r="86" spans="1:7" s="93" customFormat="1" ht="12" customHeight="1" thickBot="1">
      <c r="A86" s="415" t="s">
        <v>36</v>
      </c>
      <c r="B86" s="280" t="s">
        <v>37</v>
      </c>
      <c r="C86" s="911">
        <f>'9.1. melléklet'!C86-'9.1.2.melléklet'!C86-'9.1.3. melléklet '!C86</f>
        <v>0</v>
      </c>
      <c r="D86" s="439"/>
      <c r="E86" s="439"/>
      <c r="F86" s="439"/>
      <c r="G86" s="439"/>
    </row>
    <row r="87" spans="1:7" s="93" customFormat="1" ht="12" customHeight="1" thickBot="1">
      <c r="A87" s="415" t="s">
        <v>38</v>
      </c>
      <c r="B87" s="403" t="s">
        <v>39</v>
      </c>
      <c r="C87" s="911">
        <f>C65+C69+C74+C77+C81+C86</f>
        <v>100000</v>
      </c>
      <c r="D87" s="291">
        <f>+D65+D69+D74+D77+D81+D86</f>
        <v>187055</v>
      </c>
      <c r="E87" s="291">
        <f>+E65+E69+E74+E77+E81+E86</f>
        <v>187055</v>
      </c>
      <c r="F87" s="291">
        <f>+F65+F69+F74+F77+F81+F86</f>
        <v>187055000</v>
      </c>
      <c r="G87" s="291">
        <f>+G65+G69+G74+G77+G81+G86</f>
        <v>201097005</v>
      </c>
    </row>
    <row r="88" spans="1:7" s="93" customFormat="1" ht="12" customHeight="1" thickBot="1">
      <c r="A88" s="419" t="s">
        <v>52</v>
      </c>
      <c r="B88" s="405" t="s">
        <v>165</v>
      </c>
      <c r="C88" s="911">
        <f>C87+C64</f>
        <v>563580</v>
      </c>
      <c r="D88" s="291">
        <f>+D64+D87</f>
        <v>819234</v>
      </c>
      <c r="E88" s="291">
        <f>+E64+E87</f>
        <v>827098</v>
      </c>
      <c r="F88" s="291">
        <f>+F64+F87</f>
        <v>1143159987</v>
      </c>
      <c r="G88" s="291">
        <f>+G64+G87</f>
        <v>1197509686</v>
      </c>
    </row>
    <row r="89" spans="1:7" s="94" customFormat="1" ht="15" customHeight="1">
      <c r="A89" s="229"/>
      <c r="B89" s="230"/>
      <c r="C89" s="355"/>
      <c r="D89" s="355"/>
      <c r="E89" s="355"/>
      <c r="F89" s="355"/>
      <c r="G89" s="355"/>
    </row>
    <row r="90" spans="1:7" ht="13.5" thickBot="1">
      <c r="A90" s="420"/>
      <c r="B90" s="232"/>
      <c r="C90" s="356"/>
      <c r="D90" s="356"/>
      <c r="E90" s="356"/>
      <c r="F90" s="356"/>
      <c r="G90" s="356"/>
    </row>
    <row r="91" spans="1:7" s="57" customFormat="1" ht="16.5" customHeight="1" thickBot="1">
      <c r="A91" s="233"/>
      <c r="B91" s="234" t="s">
        <v>595</v>
      </c>
      <c r="C91" s="357"/>
      <c r="D91" s="357"/>
      <c r="E91" s="357"/>
      <c r="F91" s="357"/>
      <c r="G91" s="357"/>
    </row>
    <row r="92" spans="1:7" s="95" customFormat="1" ht="12" customHeight="1" thickBot="1">
      <c r="A92" s="387" t="s">
        <v>555</v>
      </c>
      <c r="B92" s="29" t="s">
        <v>55</v>
      </c>
      <c r="C92" s="284">
        <f>SUM(C93:C97)</f>
        <v>322260</v>
      </c>
      <c r="D92" s="284">
        <f>SUM(D93:D97)</f>
        <v>353435</v>
      </c>
      <c r="E92" s="284">
        <f>SUM(E93:E97)</f>
        <v>362374</v>
      </c>
      <c r="F92" s="284">
        <f>SUM(F93:F97)</f>
        <v>387089020</v>
      </c>
      <c r="G92" s="284">
        <f>SUM(G93:G97)</f>
        <v>395356226</v>
      </c>
    </row>
    <row r="93" spans="1:7" ht="12" customHeight="1">
      <c r="A93" s="421" t="s">
        <v>640</v>
      </c>
      <c r="B93" s="8" t="s">
        <v>585</v>
      </c>
      <c r="C93" s="286">
        <f>'9.1. melléklet'!C93-'9.1.2.melléklet'!C92</f>
        <v>38015</v>
      </c>
      <c r="D93" s="286">
        <v>47447</v>
      </c>
      <c r="E93" s="286">
        <v>51694</v>
      </c>
      <c r="F93" s="286">
        <v>54010863</v>
      </c>
      <c r="G93" s="286">
        <v>57939883</v>
      </c>
    </row>
    <row r="94" spans="1:7" ht="12" customHeight="1">
      <c r="A94" s="413" t="s">
        <v>641</v>
      </c>
      <c r="B94" s="6" t="s">
        <v>719</v>
      </c>
      <c r="C94" s="287">
        <f>'9.1. melléklet'!C94-'9.1.2.melléklet'!C93</f>
        <v>10486</v>
      </c>
      <c r="D94" s="287">
        <v>13125</v>
      </c>
      <c r="E94" s="287">
        <v>14270</v>
      </c>
      <c r="F94" s="287">
        <v>15971659</v>
      </c>
      <c r="G94" s="287">
        <v>14103295</v>
      </c>
    </row>
    <row r="95" spans="1:7" ht="12" customHeight="1">
      <c r="A95" s="413" t="s">
        <v>642</v>
      </c>
      <c r="B95" s="6" t="s">
        <v>678</v>
      </c>
      <c r="C95" s="287">
        <f>'9.1. melléklet'!C95-'9.1.2.melléklet'!C94</f>
        <v>136249</v>
      </c>
      <c r="D95" s="289">
        <v>150249</v>
      </c>
      <c r="E95" s="289">
        <v>150249</v>
      </c>
      <c r="F95" s="289">
        <v>169771000</v>
      </c>
      <c r="G95" s="289">
        <v>171795700</v>
      </c>
    </row>
    <row r="96" spans="1:7" ht="12" customHeight="1">
      <c r="A96" s="413" t="s">
        <v>643</v>
      </c>
      <c r="B96" s="9" t="s">
        <v>720</v>
      </c>
      <c r="C96" s="287">
        <f>'9.1. melléklet'!C96-'9.1.2.melléklet'!C95</f>
        <v>9611</v>
      </c>
      <c r="D96" s="289">
        <v>9611</v>
      </c>
      <c r="E96" s="289">
        <v>9611</v>
      </c>
      <c r="F96" s="289">
        <v>9611000</v>
      </c>
      <c r="G96" s="289">
        <v>9591000</v>
      </c>
    </row>
    <row r="97" spans="1:7" ht="12" customHeight="1">
      <c r="A97" s="413" t="s">
        <v>654</v>
      </c>
      <c r="B97" s="17" t="s">
        <v>721</v>
      </c>
      <c r="C97" s="287">
        <f>'9.1. melléklet'!C97-'9.1.2.melléklet'!C96</f>
        <v>127899</v>
      </c>
      <c r="D97" s="289">
        <f>D101+D102+D103+D107</f>
        <v>133003</v>
      </c>
      <c r="E97" s="289">
        <f>E101+E102+E103+E107</f>
        <v>136550</v>
      </c>
      <c r="F97" s="289">
        <v>137724498</v>
      </c>
      <c r="G97" s="289">
        <v>141926348</v>
      </c>
    </row>
    <row r="98" spans="1:7" ht="12" customHeight="1">
      <c r="A98" s="413" t="s">
        <v>644</v>
      </c>
      <c r="B98" s="6" t="s">
        <v>56</v>
      </c>
      <c r="C98" s="287">
        <f>'9.1. melléklet'!C98-'9.1.2.melléklet'!C97</f>
        <v>0</v>
      </c>
      <c r="D98" s="289"/>
      <c r="E98" s="289"/>
      <c r="F98" s="289"/>
      <c r="G98" s="289"/>
    </row>
    <row r="99" spans="1:7" ht="12" customHeight="1">
      <c r="A99" s="413" t="s">
        <v>645</v>
      </c>
      <c r="B99" s="130" t="s">
        <v>57</v>
      </c>
      <c r="C99" s="287">
        <f>'9.1. melléklet'!C99-'9.1.2.melléklet'!C98</f>
        <v>0</v>
      </c>
      <c r="D99" s="289"/>
      <c r="E99" s="289"/>
      <c r="F99" s="289"/>
      <c r="G99" s="289"/>
    </row>
    <row r="100" spans="1:7" ht="12" customHeight="1">
      <c r="A100" s="413" t="s">
        <v>655</v>
      </c>
      <c r="B100" s="1115" t="s">
        <v>892</v>
      </c>
      <c r="C100" s="287">
        <f>'9.1. melléklet'!C100-'9.1.2.melléklet'!C99</f>
        <v>0</v>
      </c>
      <c r="D100" s="289"/>
      <c r="E100" s="289"/>
      <c r="F100" s="289"/>
      <c r="G100" s="289"/>
    </row>
    <row r="101" spans="1:7" ht="12" customHeight="1">
      <c r="A101" s="413" t="s">
        <v>656</v>
      </c>
      <c r="B101" s="1115" t="s">
        <v>893</v>
      </c>
      <c r="C101" s="287">
        <f>'9.1. melléklet'!C101-'9.1.2.melléklet'!C100</f>
        <v>0</v>
      </c>
      <c r="D101" s="289">
        <v>1194</v>
      </c>
      <c r="E101" s="289">
        <v>1194</v>
      </c>
      <c r="F101" s="289">
        <v>1194000</v>
      </c>
      <c r="G101" s="289">
        <v>1193850</v>
      </c>
    </row>
    <row r="102" spans="1:7" ht="12" customHeight="1">
      <c r="A102" s="413" t="s">
        <v>657</v>
      </c>
      <c r="B102" s="130" t="s">
        <v>342</v>
      </c>
      <c r="C102" s="287">
        <f>'9.1. melléklet'!C102-'9.1.2.melléklet'!C101</f>
        <v>124149</v>
      </c>
      <c r="D102" s="289">
        <v>126609</v>
      </c>
      <c r="E102" s="289">
        <v>130156</v>
      </c>
      <c r="F102" s="289">
        <v>131330498</v>
      </c>
      <c r="G102" s="289">
        <v>135172498</v>
      </c>
    </row>
    <row r="103" spans="1:7" ht="12" customHeight="1">
      <c r="A103" s="413" t="s">
        <v>658</v>
      </c>
      <c r="B103" s="130" t="s">
        <v>327</v>
      </c>
      <c r="C103" s="287">
        <f>'9.1. melléklet'!C103-'9.1.2.melléklet'!C102</f>
        <v>2000</v>
      </c>
      <c r="D103" s="289">
        <v>2000</v>
      </c>
      <c r="E103" s="289">
        <v>2000</v>
      </c>
      <c r="F103" s="289">
        <v>2000000</v>
      </c>
      <c r="G103" s="289">
        <v>2000000</v>
      </c>
    </row>
    <row r="104" spans="1:7" ht="12" customHeight="1">
      <c r="A104" s="413" t="s">
        <v>660</v>
      </c>
      <c r="B104" s="131" t="s">
        <v>62</v>
      </c>
      <c r="C104" s="287">
        <f>'9.1. melléklet'!C104-'9.1.2.melléklet'!C103</f>
        <v>0</v>
      </c>
      <c r="D104" s="289"/>
      <c r="E104" s="289"/>
      <c r="F104" s="289"/>
      <c r="G104" s="289"/>
    </row>
    <row r="105" spans="1:7" ht="12" customHeight="1">
      <c r="A105" s="422" t="s">
        <v>722</v>
      </c>
      <c r="B105" s="132" t="s">
        <v>63</v>
      </c>
      <c r="C105" s="287">
        <f>'9.1. melléklet'!C105-'9.1.2.melléklet'!C104</f>
        <v>0</v>
      </c>
      <c r="D105" s="289"/>
      <c r="E105" s="289"/>
      <c r="F105" s="289"/>
      <c r="G105" s="289"/>
    </row>
    <row r="106" spans="1:7" ht="12" customHeight="1">
      <c r="A106" s="413" t="s">
        <v>53</v>
      </c>
      <c r="B106" s="131" t="s">
        <v>328</v>
      </c>
      <c r="C106" s="287">
        <f>'9.1. melléklet'!C106-'9.1.2.melléklet'!C105</f>
        <v>0</v>
      </c>
      <c r="D106" s="289"/>
      <c r="E106" s="289"/>
      <c r="F106" s="289"/>
      <c r="G106" s="289"/>
    </row>
    <row r="107" spans="1:7" ht="12" customHeight="1" thickBot="1">
      <c r="A107" s="423" t="s">
        <v>54</v>
      </c>
      <c r="B107" s="133" t="s">
        <v>65</v>
      </c>
      <c r="C107" s="292">
        <f>'9.1. melléklet'!C107-'9.1.2.melléklet'!C106</f>
        <v>1750</v>
      </c>
      <c r="D107" s="292">
        <v>3200</v>
      </c>
      <c r="E107" s="292">
        <v>3200</v>
      </c>
      <c r="F107" s="292">
        <v>3200000</v>
      </c>
      <c r="G107" s="292">
        <v>3560000</v>
      </c>
    </row>
    <row r="108" spans="1:7" ht="12" customHeight="1" thickBot="1">
      <c r="A108" s="30" t="s">
        <v>556</v>
      </c>
      <c r="B108" s="28" t="s">
        <v>66</v>
      </c>
      <c r="C108" s="286">
        <f>C109+C111+C113</f>
        <v>98800</v>
      </c>
      <c r="D108" s="285">
        <f>+F115+D109+D111+D113</f>
        <v>113464</v>
      </c>
      <c r="E108" s="285">
        <f>+G115+E109+E111+E113</f>
        <v>113464</v>
      </c>
      <c r="F108" s="285">
        <f>+H115+F109+F111+F113</f>
        <v>134051000</v>
      </c>
      <c r="G108" s="285">
        <f>+I115+G109+G111+G113</f>
        <v>95301000</v>
      </c>
    </row>
    <row r="109" spans="1:7" ht="12" customHeight="1">
      <c r="A109" s="412" t="s">
        <v>646</v>
      </c>
      <c r="B109" s="6" t="s">
        <v>769</v>
      </c>
      <c r="C109" s="286">
        <f>'9.1. melléklet'!C109-'9.1.2.melléklet'!C108</f>
        <v>18354</v>
      </c>
      <c r="D109" s="288">
        <v>18354</v>
      </c>
      <c r="E109" s="288">
        <v>18354</v>
      </c>
      <c r="F109" s="288">
        <v>38939000</v>
      </c>
      <c r="G109" s="288">
        <v>30804000</v>
      </c>
    </row>
    <row r="110" spans="1:7" ht="12" customHeight="1">
      <c r="A110" s="412" t="s">
        <v>647</v>
      </c>
      <c r="B110" s="10" t="s">
        <v>70</v>
      </c>
      <c r="C110" s="287">
        <f>'9.1. melléklet'!C110-'9.1.2.melléklet'!C109</f>
        <v>0</v>
      </c>
      <c r="D110" s="288"/>
      <c r="E110" s="288"/>
      <c r="F110" s="288"/>
      <c r="G110" s="288"/>
    </row>
    <row r="111" spans="1:7" ht="12" customHeight="1">
      <c r="A111" s="412" t="s">
        <v>648</v>
      </c>
      <c r="B111" s="10" t="s">
        <v>723</v>
      </c>
      <c r="C111" s="287">
        <v>31681</v>
      </c>
      <c r="D111" s="287">
        <v>45145</v>
      </c>
      <c r="E111" s="287">
        <v>45145</v>
      </c>
      <c r="F111" s="287">
        <v>45147000</v>
      </c>
      <c r="G111" s="287">
        <v>32851000</v>
      </c>
    </row>
    <row r="112" spans="1:7" ht="12" customHeight="1">
      <c r="A112" s="412" t="s">
        <v>649</v>
      </c>
      <c r="B112" s="10" t="s">
        <v>71</v>
      </c>
      <c r="C112" s="287">
        <f>'9.1. melléklet'!C112-'9.1.2.melléklet'!C111</f>
        <v>0</v>
      </c>
      <c r="D112" s="258"/>
      <c r="E112" s="258"/>
      <c r="F112" s="258"/>
      <c r="G112" s="258"/>
    </row>
    <row r="113" spans="1:7" ht="12" customHeight="1">
      <c r="A113" s="412" t="s">
        <v>650</v>
      </c>
      <c r="B113" s="282" t="s">
        <v>772</v>
      </c>
      <c r="C113" s="287">
        <f>C116+C117</f>
        <v>48765</v>
      </c>
      <c r="D113" s="258">
        <f>1200+D116+D117</f>
        <v>49965</v>
      </c>
      <c r="E113" s="258">
        <f>1200+E116+E117</f>
        <v>49965</v>
      </c>
      <c r="F113" s="258">
        <v>49965000</v>
      </c>
      <c r="G113" s="258">
        <v>31646000</v>
      </c>
    </row>
    <row r="114" spans="1:7" ht="12" customHeight="1">
      <c r="A114" s="412" t="s">
        <v>659</v>
      </c>
      <c r="B114" s="281" t="s">
        <v>178</v>
      </c>
      <c r="C114" s="287">
        <f>'9.1. melléklet'!C114-'9.1.2.melléklet'!C113</f>
        <v>0</v>
      </c>
      <c r="D114" s="258"/>
      <c r="E114" s="258"/>
      <c r="F114" s="258"/>
      <c r="G114" s="258"/>
    </row>
    <row r="115" spans="1:7" ht="12" customHeight="1">
      <c r="A115" s="412" t="s">
        <v>661</v>
      </c>
      <c r="B115" s="391" t="s">
        <v>76</v>
      </c>
      <c r="C115" s="287">
        <f>'9.1. melléklet'!C115-'9.1.2.melléklet'!C114</f>
        <v>0</v>
      </c>
      <c r="D115" s="258"/>
      <c r="E115" s="258"/>
      <c r="F115" s="258"/>
      <c r="G115" s="258"/>
    </row>
    <row r="116" spans="1:7" ht="12" customHeight="1">
      <c r="A116" s="412" t="s">
        <v>724</v>
      </c>
      <c r="B116" s="729" t="s">
        <v>385</v>
      </c>
      <c r="C116" s="287">
        <f>'9.1. melléklet'!C116-'9.1.2.melléklet'!C115</f>
        <v>31646</v>
      </c>
      <c r="D116" s="258">
        <v>31646</v>
      </c>
      <c r="E116" s="258">
        <v>31646</v>
      </c>
      <c r="F116" s="258">
        <v>31646000</v>
      </c>
      <c r="G116" s="258">
        <v>31646000</v>
      </c>
    </row>
    <row r="117" spans="1:7" ht="12" customHeight="1">
      <c r="A117" s="412" t="s">
        <v>725</v>
      </c>
      <c r="B117" s="988" t="s">
        <v>386</v>
      </c>
      <c r="C117" s="287">
        <f>'9.1. melléklet'!C117-'9.1.2.melléklet'!C116</f>
        <v>17119</v>
      </c>
      <c r="D117" s="258">
        <v>17119</v>
      </c>
      <c r="E117" s="258">
        <v>17119</v>
      </c>
      <c r="F117" s="258">
        <v>17119000</v>
      </c>
      <c r="G117" s="258"/>
    </row>
    <row r="118" spans="1:7" ht="12" customHeight="1">
      <c r="A118" s="412" t="s">
        <v>726</v>
      </c>
      <c r="B118" s="131" t="s">
        <v>341</v>
      </c>
      <c r="C118" s="287">
        <f>'9.1. melléklet'!C118-'9.1.2.melléklet'!C117</f>
        <v>0</v>
      </c>
      <c r="D118" s="258"/>
      <c r="E118" s="258"/>
      <c r="F118" s="258"/>
      <c r="G118" s="258"/>
    </row>
    <row r="119" spans="1:7" ht="12" customHeight="1">
      <c r="A119" s="412" t="s">
        <v>67</v>
      </c>
      <c r="B119" s="131" t="s">
        <v>62</v>
      </c>
      <c r="C119" s="287">
        <f>'9.1. melléklet'!C119-'9.1.2.melléklet'!C118</f>
        <v>0</v>
      </c>
      <c r="D119" s="258"/>
      <c r="E119" s="258"/>
      <c r="F119" s="258"/>
      <c r="G119" s="258"/>
    </row>
    <row r="120" spans="1:7" ht="12" customHeight="1">
      <c r="A120" s="412" t="s">
        <v>68</v>
      </c>
      <c r="B120" s="131" t="s">
        <v>73</v>
      </c>
      <c r="C120" s="287">
        <f>'9.1. melléklet'!C120-'9.1.2.melléklet'!C119</f>
        <v>0</v>
      </c>
      <c r="D120" s="258"/>
      <c r="E120" s="258"/>
      <c r="F120" s="258"/>
      <c r="G120" s="258"/>
    </row>
    <row r="121" spans="1:7" ht="12" customHeight="1" thickBot="1">
      <c r="A121" s="422" t="s">
        <v>69</v>
      </c>
      <c r="B121" s="131" t="s">
        <v>72</v>
      </c>
      <c r="C121" s="292"/>
      <c r="D121" s="259">
        <v>1200</v>
      </c>
      <c r="E121" s="259">
        <v>1200</v>
      </c>
      <c r="F121" s="259">
        <v>1200000</v>
      </c>
      <c r="G121" s="259">
        <v>1200000</v>
      </c>
    </row>
    <row r="122" spans="1:7" ht="12" customHeight="1" thickBot="1">
      <c r="A122" s="30" t="s">
        <v>557</v>
      </c>
      <c r="B122" s="121" t="s">
        <v>77</v>
      </c>
      <c r="C122" s="286">
        <f>'9.1. melléklet'!C122-'9.1.2.melléklet'!C121</f>
        <v>60867</v>
      </c>
      <c r="D122" s="285">
        <f>+D123+D124</f>
        <v>106243</v>
      </c>
      <c r="E122" s="285">
        <f>+E123+E124</f>
        <v>103178</v>
      </c>
      <c r="F122" s="285">
        <f>+F123+F124</f>
        <v>124806714</v>
      </c>
      <c r="G122" s="285">
        <f>+G123+G124</f>
        <v>208093244</v>
      </c>
    </row>
    <row r="123" spans="1:7" ht="12" customHeight="1">
      <c r="A123" s="412" t="s">
        <v>629</v>
      </c>
      <c r="B123" s="7" t="s">
        <v>597</v>
      </c>
      <c r="C123" s="286">
        <f>'9.1. melléklet'!C123-'9.1.2.melléklet'!C122</f>
        <v>27460</v>
      </c>
      <c r="D123" s="288">
        <v>47423</v>
      </c>
      <c r="E123" s="288">
        <v>44358</v>
      </c>
      <c r="F123" s="288">
        <v>65986714</v>
      </c>
      <c r="G123" s="288">
        <v>145297464</v>
      </c>
    </row>
    <row r="124" spans="1:7" ht="12" customHeight="1" thickBot="1">
      <c r="A124" s="414" t="s">
        <v>630</v>
      </c>
      <c r="B124" s="10" t="s">
        <v>598</v>
      </c>
      <c r="C124" s="292">
        <f>'9.1. melléklet'!C124-'9.1.2.melléklet'!C123</f>
        <v>33407</v>
      </c>
      <c r="D124" s="289">
        <v>58820</v>
      </c>
      <c r="E124" s="289">
        <v>58820</v>
      </c>
      <c r="F124" s="289">
        <v>58820000</v>
      </c>
      <c r="G124" s="289">
        <v>62795780</v>
      </c>
    </row>
    <row r="125" spans="1:7" ht="12" customHeight="1" thickBot="1">
      <c r="A125" s="30" t="s">
        <v>558</v>
      </c>
      <c r="B125" s="121" t="s">
        <v>78</v>
      </c>
      <c r="C125" s="286">
        <f>'9.1. melléklet'!C125-'9.1.2.melléklet'!C124</f>
        <v>481927</v>
      </c>
      <c r="D125" s="285">
        <f>+D92+D108+D122</f>
        <v>573142</v>
      </c>
      <c r="E125" s="285">
        <f>+E92+E108+E122</f>
        <v>579016</v>
      </c>
      <c r="F125" s="285">
        <f>+F92+F108+F122</f>
        <v>645946734</v>
      </c>
      <c r="G125" s="285">
        <f>+G92+G108+G122</f>
        <v>698750470</v>
      </c>
    </row>
    <row r="126" spans="1:7" ht="12" customHeight="1" thickBot="1">
      <c r="A126" s="30" t="s">
        <v>559</v>
      </c>
      <c r="B126" s="121" t="s">
        <v>79</v>
      </c>
      <c r="C126" s="286">
        <f>'9.1. melléklet'!C126-'9.1.2.melléklet'!C125</f>
        <v>0</v>
      </c>
      <c r="D126" s="285">
        <f>+D127+D128+D129</f>
        <v>0</v>
      </c>
      <c r="E126" s="285">
        <f>+E127+E128+E129</f>
        <v>0</v>
      </c>
      <c r="F126" s="285">
        <f>+F127+F128+F129</f>
        <v>0</v>
      </c>
      <c r="G126" s="285">
        <f>+G127+G128+G129</f>
        <v>0</v>
      </c>
    </row>
    <row r="127" spans="1:7" s="95" customFormat="1" ht="12" customHeight="1">
      <c r="A127" s="412" t="s">
        <v>633</v>
      </c>
      <c r="B127" s="7" t="s">
        <v>80</v>
      </c>
      <c r="C127" s="286">
        <f>'9.1. melléklet'!C127-'9.1.2.melléklet'!C126</f>
        <v>0</v>
      </c>
      <c r="D127" s="258"/>
      <c r="E127" s="258"/>
      <c r="F127" s="258"/>
      <c r="G127" s="258"/>
    </row>
    <row r="128" spans="1:7" ht="12" customHeight="1">
      <c r="A128" s="412" t="s">
        <v>634</v>
      </c>
      <c r="B128" s="7" t="s">
        <v>81</v>
      </c>
      <c r="C128" s="287">
        <f>'9.1. melléklet'!C128-'9.1.2.melléklet'!C127</f>
        <v>0</v>
      </c>
      <c r="D128" s="258"/>
      <c r="E128" s="258"/>
      <c r="F128" s="258"/>
      <c r="G128" s="258"/>
    </row>
    <row r="129" spans="1:7" ht="12" customHeight="1" thickBot="1">
      <c r="A129" s="422" t="s">
        <v>635</v>
      </c>
      <c r="B129" s="5" t="s">
        <v>82</v>
      </c>
      <c r="C129" s="292">
        <f>'9.1. melléklet'!C129-'9.1.2.melléklet'!C128</f>
        <v>0</v>
      </c>
      <c r="D129" s="258"/>
      <c r="E129" s="258"/>
      <c r="F129" s="258"/>
      <c r="G129" s="258"/>
    </row>
    <row r="130" spans="1:7" ht="12" customHeight="1" thickBot="1">
      <c r="A130" s="30" t="s">
        <v>560</v>
      </c>
      <c r="B130" s="121" t="s">
        <v>132</v>
      </c>
      <c r="C130" s="286">
        <f>'9.1. melléklet'!C130-'9.1.2.melléklet'!C129</f>
        <v>0</v>
      </c>
      <c r="D130" s="285">
        <f>+D131+D132+D133+D134</f>
        <v>50000</v>
      </c>
      <c r="E130" s="285">
        <f>+E131+E132+E133+E134</f>
        <v>50000</v>
      </c>
      <c r="F130" s="285">
        <f>+F131+F132+F133+F134</f>
        <v>295000000</v>
      </c>
      <c r="G130" s="285">
        <f>+G131+G132+G133+G134</f>
        <v>296165800</v>
      </c>
    </row>
    <row r="131" spans="1:7" ht="12" customHeight="1">
      <c r="A131" s="412" t="s">
        <v>636</v>
      </c>
      <c r="B131" s="7" t="s">
        <v>83</v>
      </c>
      <c r="C131" s="286">
        <f>'9.1. melléklet'!C131-'9.1.2.melléklet'!C130</f>
        <v>0</v>
      </c>
      <c r="D131" s="258">
        <v>50000</v>
      </c>
      <c r="E131" s="258">
        <v>50000</v>
      </c>
      <c r="F131" s="258">
        <v>295000000</v>
      </c>
      <c r="G131" s="258">
        <v>296165800</v>
      </c>
    </row>
    <row r="132" spans="1:7" ht="12" customHeight="1">
      <c r="A132" s="412" t="s">
        <v>637</v>
      </c>
      <c r="B132" s="7" t="s">
        <v>84</v>
      </c>
      <c r="C132" s="287">
        <f>'9.1. melléklet'!C132-'9.1.2.melléklet'!C131</f>
        <v>0</v>
      </c>
      <c r="D132" s="258"/>
      <c r="E132" s="258"/>
      <c r="F132" s="258"/>
      <c r="G132" s="258"/>
    </row>
    <row r="133" spans="1:7" ht="12" customHeight="1">
      <c r="A133" s="412" t="s">
        <v>842</v>
      </c>
      <c r="B133" s="7" t="s">
        <v>85</v>
      </c>
      <c r="C133" s="287">
        <f>'9.1. melléklet'!C133-'9.1.2.melléklet'!C132</f>
        <v>0</v>
      </c>
      <c r="D133" s="258"/>
      <c r="E133" s="258"/>
      <c r="F133" s="258"/>
      <c r="G133" s="258"/>
    </row>
    <row r="134" spans="1:7" s="95" customFormat="1" ht="12" customHeight="1" thickBot="1">
      <c r="A134" s="422" t="s">
        <v>843</v>
      </c>
      <c r="B134" s="5" t="s">
        <v>86</v>
      </c>
      <c r="C134" s="292">
        <f>'9.1. melléklet'!C134-'9.1.2.melléklet'!C133</f>
        <v>0</v>
      </c>
      <c r="D134" s="258"/>
      <c r="E134" s="258"/>
      <c r="F134" s="258"/>
      <c r="G134" s="258"/>
    </row>
    <row r="135" spans="1:11" ht="12" customHeight="1" thickBot="1">
      <c r="A135" s="30" t="s">
        <v>561</v>
      </c>
      <c r="B135" s="121" t="s">
        <v>87</v>
      </c>
      <c r="C135" s="286">
        <f>C138</f>
        <v>81653</v>
      </c>
      <c r="D135" s="291">
        <f>D137+D138</f>
        <v>196092</v>
      </c>
      <c r="E135" s="291">
        <f>E137+E138</f>
        <v>198082</v>
      </c>
      <c r="F135" s="291">
        <f>F137+F138</f>
        <v>202213253</v>
      </c>
      <c r="G135" s="291">
        <f>G137+G138</f>
        <v>202593416</v>
      </c>
      <c r="K135" s="241"/>
    </row>
    <row r="136" spans="1:7" ht="12.75">
      <c r="A136" s="412" t="s">
        <v>638</v>
      </c>
      <c r="B136" s="7" t="s">
        <v>88</v>
      </c>
      <c r="C136" s="286">
        <f>'9.1. melléklet'!C136-'9.1.2.melléklet'!C135</f>
        <v>0</v>
      </c>
      <c r="D136" s="258"/>
      <c r="E136" s="258"/>
      <c r="F136" s="258"/>
      <c r="G136" s="258"/>
    </row>
    <row r="137" spans="1:7" ht="12" customHeight="1">
      <c r="A137" s="412" t="s">
        <v>639</v>
      </c>
      <c r="B137" s="7" t="s">
        <v>98</v>
      </c>
      <c r="C137" s="287">
        <f>'9.1. melléklet'!C137-'9.1.2.melléklet'!C136</f>
        <v>0</v>
      </c>
      <c r="D137" s="258">
        <v>14011</v>
      </c>
      <c r="E137" s="258">
        <v>14011</v>
      </c>
      <c r="F137" s="258">
        <v>14012000</v>
      </c>
      <c r="G137" s="258">
        <v>14011429</v>
      </c>
    </row>
    <row r="138" spans="1:7" s="95" customFormat="1" ht="12" customHeight="1">
      <c r="A138" s="412" t="s">
        <v>854</v>
      </c>
      <c r="B138" s="7" t="s">
        <v>89</v>
      </c>
      <c r="C138" s="287">
        <f>'9.1. melléklet'!C138-'9.1.2.melléklet'!C137-'9.1.3. melléklet '!C9</f>
        <v>81653</v>
      </c>
      <c r="D138" s="258">
        <v>182081</v>
      </c>
      <c r="E138" s="258">
        <v>184071</v>
      </c>
      <c r="F138" s="258">
        <v>188201253</v>
      </c>
      <c r="G138" s="258">
        <v>188581987</v>
      </c>
    </row>
    <row r="139" spans="1:7" s="95" customFormat="1" ht="12" customHeight="1" thickBot="1">
      <c r="A139" s="422" t="s">
        <v>855</v>
      </c>
      <c r="B139" s="5" t="s">
        <v>90</v>
      </c>
      <c r="C139" s="292">
        <f>'9.1. melléklet'!C139-'9.1.2.melléklet'!C138</f>
        <v>0</v>
      </c>
      <c r="D139" s="258"/>
      <c r="E139" s="258"/>
      <c r="F139" s="258"/>
      <c r="G139" s="258"/>
    </row>
    <row r="140" spans="1:7" s="95" customFormat="1" ht="12" customHeight="1" thickBot="1">
      <c r="A140" s="30" t="s">
        <v>562</v>
      </c>
      <c r="B140" s="121" t="s">
        <v>91</v>
      </c>
      <c r="C140" s="286">
        <f>'9.1. melléklet'!C140-'9.1.2.melléklet'!C139</f>
        <v>0</v>
      </c>
      <c r="D140" s="293">
        <f>+D141+D142+D143+D144</f>
        <v>0</v>
      </c>
      <c r="E140" s="293">
        <f>+E141+E142+E143+E144</f>
        <v>0</v>
      </c>
      <c r="F140" s="293">
        <f>+F141+F142+F143+F144</f>
        <v>0</v>
      </c>
      <c r="G140" s="293">
        <f>+G141+G142+G143+G144</f>
        <v>0</v>
      </c>
    </row>
    <row r="141" spans="1:7" s="95" customFormat="1" ht="12" customHeight="1">
      <c r="A141" s="412" t="s">
        <v>717</v>
      </c>
      <c r="B141" s="7" t="s">
        <v>92</v>
      </c>
      <c r="C141" s="286">
        <f>'9.1. melléklet'!C141-'9.1.2.melléklet'!C140</f>
        <v>0</v>
      </c>
      <c r="D141" s="258"/>
      <c r="E141" s="258"/>
      <c r="F141" s="258"/>
      <c r="G141" s="258"/>
    </row>
    <row r="142" spans="1:7" s="95" customFormat="1" ht="12" customHeight="1">
      <c r="A142" s="412" t="s">
        <v>718</v>
      </c>
      <c r="B142" s="7" t="s">
        <v>93</v>
      </c>
      <c r="C142" s="287">
        <f>'9.1. melléklet'!C142-'9.1.2.melléklet'!C141</f>
        <v>0</v>
      </c>
      <c r="D142" s="258"/>
      <c r="E142" s="258"/>
      <c r="F142" s="258"/>
      <c r="G142" s="258"/>
    </row>
    <row r="143" spans="1:7" s="95" customFormat="1" ht="12" customHeight="1">
      <c r="A143" s="412" t="s">
        <v>771</v>
      </c>
      <c r="B143" s="7" t="s">
        <v>94</v>
      </c>
      <c r="C143" s="287">
        <f>'9.1. melléklet'!C143-'9.1.2.melléklet'!C142</f>
        <v>0</v>
      </c>
      <c r="D143" s="258"/>
      <c r="E143" s="258"/>
      <c r="F143" s="258"/>
      <c r="G143" s="258"/>
    </row>
    <row r="144" spans="1:7" ht="12.75" customHeight="1" thickBot="1">
      <c r="A144" s="412" t="s">
        <v>857</v>
      </c>
      <c r="B144" s="7" t="s">
        <v>95</v>
      </c>
      <c r="C144" s="292">
        <f>'9.1. melléklet'!C144-'9.1.2.melléklet'!C143</f>
        <v>0</v>
      </c>
      <c r="D144" s="258"/>
      <c r="E144" s="258"/>
      <c r="F144" s="258"/>
      <c r="G144" s="258"/>
    </row>
    <row r="145" spans="1:7" ht="12" customHeight="1" thickBot="1">
      <c r="A145" s="30" t="s">
        <v>563</v>
      </c>
      <c r="B145" s="121" t="s">
        <v>96</v>
      </c>
      <c r="C145" s="286">
        <f>C140+C135+C130+C126</f>
        <v>81653</v>
      </c>
      <c r="D145" s="407">
        <f>+D126+D130+D135+D140</f>
        <v>246092</v>
      </c>
      <c r="E145" s="407">
        <f>+E126+E130+E135+E140</f>
        <v>248082</v>
      </c>
      <c r="F145" s="407">
        <f>+F126+F130+F135+F140</f>
        <v>497213253</v>
      </c>
      <c r="G145" s="407">
        <f>+G126+G130+G135+G140</f>
        <v>498759216</v>
      </c>
    </row>
    <row r="146" spans="1:7" ht="15" customHeight="1" thickBot="1">
      <c r="A146" s="424" t="s">
        <v>564</v>
      </c>
      <c r="B146" s="367" t="s">
        <v>97</v>
      </c>
      <c r="C146" s="911">
        <f>C125+C145</f>
        <v>563580</v>
      </c>
      <c r="D146" s="407">
        <f>+D125+D145</f>
        <v>819234</v>
      </c>
      <c r="E146" s="407">
        <f>+E125+E145</f>
        <v>827098</v>
      </c>
      <c r="F146" s="407">
        <f>+F125+F145</f>
        <v>1143159987</v>
      </c>
      <c r="G146" s="407">
        <f>+G125+G145</f>
        <v>1197509686</v>
      </c>
    </row>
    <row r="147" spans="1:7" ht="13.5" thickBot="1">
      <c r="A147" s="375"/>
      <c r="B147" s="376"/>
      <c r="C147" s="377"/>
      <c r="D147" s="377"/>
      <c r="E147" s="377"/>
      <c r="F147" s="377"/>
      <c r="G147" s="377"/>
    </row>
    <row r="148" spans="1:7" ht="15" customHeight="1" thickBot="1">
      <c r="A148" s="238" t="s">
        <v>742</v>
      </c>
      <c r="B148" s="239"/>
      <c r="C148" s="118">
        <v>17</v>
      </c>
      <c r="D148" s="118">
        <v>17</v>
      </c>
      <c r="E148" s="118">
        <v>17</v>
      </c>
      <c r="F148" s="118">
        <v>17</v>
      </c>
      <c r="G148" s="118">
        <v>17</v>
      </c>
    </row>
    <row r="149" spans="1:7" ht="14.25" customHeight="1" thickBot="1">
      <c r="A149" s="238" t="s">
        <v>743</v>
      </c>
      <c r="B149" s="239"/>
      <c r="C149" s="118">
        <v>15</v>
      </c>
      <c r="D149" s="118">
        <v>15</v>
      </c>
      <c r="E149" s="118">
        <v>15</v>
      </c>
      <c r="F149" s="118">
        <v>15</v>
      </c>
      <c r="G149" s="118">
        <v>15</v>
      </c>
    </row>
    <row r="151" ht="15.75">
      <c r="A151" s="368" t="s">
        <v>22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44" r:id="rId1"/>
  <rowBreaks count="1" manualBreakCount="1">
    <brk id="8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view="pageBreakPreview" zoomScale="85" zoomScaleSheetLayoutView="85" workbookViewId="0" topLeftCell="A118">
      <selection activeCell="E6" sqref="E6"/>
    </sheetView>
  </sheetViews>
  <sheetFormatPr defaultColWidth="9.00390625" defaultRowHeight="12.75"/>
  <cols>
    <col min="1" max="1" width="19.50390625" style="378" customWidth="1"/>
    <col min="2" max="2" width="72.00390625" style="379" customWidth="1"/>
    <col min="3" max="5" width="25.00390625" style="380" customWidth="1"/>
    <col min="6" max="16384" width="9.375" style="3" customWidth="1"/>
  </cols>
  <sheetData>
    <row r="1" spans="1:5" s="2" customFormat="1" ht="16.5" customHeight="1" thickBot="1">
      <c r="A1" s="215"/>
      <c r="B1" s="217"/>
      <c r="C1" s="240" t="s">
        <v>159</v>
      </c>
      <c r="D1" s="240"/>
      <c r="E1" s="240"/>
    </row>
    <row r="2" spans="1:5" s="91" customFormat="1" ht="21" customHeight="1">
      <c r="A2" s="385" t="s">
        <v>602</v>
      </c>
      <c r="B2" s="345" t="s">
        <v>765</v>
      </c>
      <c r="C2" s="347"/>
      <c r="D2" s="347"/>
      <c r="E2" s="347" t="s">
        <v>589</v>
      </c>
    </row>
    <row r="3" spans="1:5" s="91" customFormat="1" ht="16.5" thickBot="1">
      <c r="A3" s="218" t="s">
        <v>739</v>
      </c>
      <c r="B3" s="346" t="s">
        <v>180</v>
      </c>
      <c r="C3" s="348"/>
      <c r="D3" s="348"/>
      <c r="E3" s="348">
        <v>3</v>
      </c>
    </row>
    <row r="4" spans="1:5" s="92" customFormat="1" ht="15.75" customHeight="1" thickBot="1">
      <c r="A4" s="219"/>
      <c r="B4" s="219"/>
      <c r="C4" s="220"/>
      <c r="D4" s="220"/>
      <c r="E4" s="220" t="s">
        <v>590</v>
      </c>
    </row>
    <row r="5" spans="1:5" ht="13.5" thickBot="1">
      <c r="A5" s="386" t="s">
        <v>741</v>
      </c>
      <c r="B5" s="221" t="s">
        <v>591</v>
      </c>
      <c r="C5" s="349" t="s">
        <v>592</v>
      </c>
      <c r="D5" s="349" t="s">
        <v>909</v>
      </c>
      <c r="E5" s="349" t="s">
        <v>910</v>
      </c>
    </row>
    <row r="6" spans="1:5" s="57" customFormat="1" ht="12.75" customHeight="1" thickBot="1">
      <c r="A6" s="188">
        <v>1</v>
      </c>
      <c r="B6" s="189">
        <v>2</v>
      </c>
      <c r="C6" s="190">
        <v>3</v>
      </c>
      <c r="D6" s="190">
        <v>4</v>
      </c>
      <c r="E6" s="190">
        <v>5</v>
      </c>
    </row>
    <row r="7" spans="1:5" s="57" customFormat="1" ht="15.75" customHeight="1" thickBot="1">
      <c r="A7" s="223"/>
      <c r="B7" s="224" t="s">
        <v>593</v>
      </c>
      <c r="C7" s="350"/>
      <c r="D7" s="350"/>
      <c r="E7" s="350"/>
    </row>
    <row r="8" spans="1:5" s="57" customFormat="1" ht="12" customHeight="1" thickBot="1">
      <c r="A8" s="30" t="s">
        <v>555</v>
      </c>
      <c r="B8" s="19" t="s">
        <v>798</v>
      </c>
      <c r="C8" s="285">
        <f>+C9+C10+C11+C12+C13+C14</f>
        <v>0</v>
      </c>
      <c r="D8" s="285">
        <f>+D9+D10+D11+D12+D13+D14</f>
        <v>0</v>
      </c>
      <c r="E8" s="285">
        <f>+E9+E10+E11+E12+E13+E14</f>
        <v>0</v>
      </c>
    </row>
    <row r="9" spans="1:5" s="93" customFormat="1" ht="12" customHeight="1">
      <c r="A9" s="412" t="s">
        <v>640</v>
      </c>
      <c r="B9" s="395" t="s">
        <v>799</v>
      </c>
      <c r="C9" s="288"/>
      <c r="D9" s="288"/>
      <c r="E9" s="288"/>
    </row>
    <row r="10" spans="1:5" s="94" customFormat="1" ht="12" customHeight="1">
      <c r="A10" s="413" t="s">
        <v>641</v>
      </c>
      <c r="B10" s="396" t="s">
        <v>800</v>
      </c>
      <c r="C10" s="287"/>
      <c r="D10" s="287"/>
      <c r="E10" s="287"/>
    </row>
    <row r="11" spans="1:5" s="94" customFormat="1" ht="12" customHeight="1">
      <c r="A11" s="413" t="s">
        <v>642</v>
      </c>
      <c r="B11" s="396" t="s">
        <v>801</v>
      </c>
      <c r="C11" s="287"/>
      <c r="D11" s="287"/>
      <c r="E11" s="287"/>
    </row>
    <row r="12" spans="1:5" s="94" customFormat="1" ht="12" customHeight="1">
      <c r="A12" s="413" t="s">
        <v>643</v>
      </c>
      <c r="B12" s="396" t="s">
        <v>802</v>
      </c>
      <c r="C12" s="287"/>
      <c r="D12" s="287"/>
      <c r="E12" s="287"/>
    </row>
    <row r="13" spans="1:5" s="94" customFormat="1" ht="12" customHeight="1">
      <c r="A13" s="413" t="s">
        <v>686</v>
      </c>
      <c r="B13" s="396" t="s">
        <v>803</v>
      </c>
      <c r="C13" s="814"/>
      <c r="D13" s="814"/>
      <c r="E13" s="814"/>
    </row>
    <row r="14" spans="1:5" s="93" customFormat="1" ht="12" customHeight="1" thickBot="1">
      <c r="A14" s="414" t="s">
        <v>644</v>
      </c>
      <c r="B14" s="397" t="s">
        <v>804</v>
      </c>
      <c r="C14" s="815"/>
      <c r="D14" s="815"/>
      <c r="E14" s="815"/>
    </row>
    <row r="15" spans="1:5" s="93" customFormat="1" ht="12" customHeight="1" thickBot="1">
      <c r="A15" s="30" t="s">
        <v>556</v>
      </c>
      <c r="B15" s="280" t="s">
        <v>805</v>
      </c>
      <c r="C15" s="285">
        <f>+C16+C17+C18+C19+C20</f>
        <v>0</v>
      </c>
      <c r="D15" s="285">
        <f>+D16+D17+D18+D19+D20</f>
        <v>0</v>
      </c>
      <c r="E15" s="285">
        <f>+E16+E17+E18+E19+E20</f>
        <v>0</v>
      </c>
    </row>
    <row r="16" spans="1:5" s="93" customFormat="1" ht="12" customHeight="1">
      <c r="A16" s="412" t="s">
        <v>646</v>
      </c>
      <c r="B16" s="395" t="s">
        <v>806</v>
      </c>
      <c r="C16" s="288"/>
      <c r="D16" s="288"/>
      <c r="E16" s="288"/>
    </row>
    <row r="17" spans="1:5" s="93" customFormat="1" ht="12" customHeight="1">
      <c r="A17" s="413" t="s">
        <v>647</v>
      </c>
      <c r="B17" s="396" t="s">
        <v>807</v>
      </c>
      <c r="C17" s="287"/>
      <c r="D17" s="287"/>
      <c r="E17" s="287"/>
    </row>
    <row r="18" spans="1:5" s="93" customFormat="1" ht="12" customHeight="1">
      <c r="A18" s="413" t="s">
        <v>648</v>
      </c>
      <c r="B18" s="396" t="s">
        <v>172</v>
      </c>
      <c r="C18" s="287"/>
      <c r="D18" s="287"/>
      <c r="E18" s="287"/>
    </row>
    <row r="19" spans="1:5" s="93" customFormat="1" ht="12" customHeight="1">
      <c r="A19" s="413" t="s">
        <v>649</v>
      </c>
      <c r="B19" s="396" t="s">
        <v>173</v>
      </c>
      <c r="C19" s="287"/>
      <c r="D19" s="287"/>
      <c r="E19" s="287"/>
    </row>
    <row r="20" spans="1:5" s="93" customFormat="1" ht="12" customHeight="1">
      <c r="A20" s="413" t="s">
        <v>650</v>
      </c>
      <c r="B20" s="396" t="s">
        <v>808</v>
      </c>
      <c r="C20" s="287"/>
      <c r="D20" s="287"/>
      <c r="E20" s="287"/>
    </row>
    <row r="21" spans="1:5" s="94" customFormat="1" ht="12" customHeight="1" thickBot="1">
      <c r="A21" s="414" t="s">
        <v>659</v>
      </c>
      <c r="B21" s="397" t="s">
        <v>809</v>
      </c>
      <c r="C21" s="289"/>
      <c r="D21" s="289"/>
      <c r="E21" s="289"/>
    </row>
    <row r="22" spans="1:5" s="94" customFormat="1" ht="12" customHeight="1" thickBot="1">
      <c r="A22" s="30" t="s">
        <v>557</v>
      </c>
      <c r="B22" s="19" t="s">
        <v>810</v>
      </c>
      <c r="C22" s="285">
        <f>+C23+C24+C25+C26+C27</f>
        <v>0</v>
      </c>
      <c r="D22" s="285">
        <f>+D23+D24+D25+D26+D27</f>
        <v>0</v>
      </c>
      <c r="E22" s="285">
        <f>+E23+E24+E25+E26+E27</f>
        <v>0</v>
      </c>
    </row>
    <row r="23" spans="1:5" s="94" customFormat="1" ht="12" customHeight="1">
      <c r="A23" s="412" t="s">
        <v>629</v>
      </c>
      <c r="B23" s="395" t="s">
        <v>811</v>
      </c>
      <c r="C23" s="288"/>
      <c r="D23" s="288"/>
      <c r="E23" s="288"/>
    </row>
    <row r="24" spans="1:5" s="93" customFormat="1" ht="12" customHeight="1">
      <c r="A24" s="413" t="s">
        <v>630</v>
      </c>
      <c r="B24" s="396" t="s">
        <v>812</v>
      </c>
      <c r="C24" s="287"/>
      <c r="D24" s="287"/>
      <c r="E24" s="287"/>
    </row>
    <row r="25" spans="1:5" s="94" customFormat="1" ht="12" customHeight="1">
      <c r="A25" s="413" t="s">
        <v>631</v>
      </c>
      <c r="B25" s="396" t="s">
        <v>174</v>
      </c>
      <c r="C25" s="287"/>
      <c r="D25" s="287"/>
      <c r="E25" s="287"/>
    </row>
    <row r="26" spans="1:5" s="94" customFormat="1" ht="12" customHeight="1">
      <c r="A26" s="413" t="s">
        <v>632</v>
      </c>
      <c r="B26" s="396" t="s">
        <v>175</v>
      </c>
      <c r="C26" s="287"/>
      <c r="D26" s="287"/>
      <c r="E26" s="287"/>
    </row>
    <row r="27" spans="1:5" s="94" customFormat="1" ht="12" customHeight="1">
      <c r="A27" s="413" t="s">
        <v>707</v>
      </c>
      <c r="B27" s="396" t="s">
        <v>813</v>
      </c>
      <c r="C27" s="287"/>
      <c r="D27" s="287"/>
      <c r="E27" s="287"/>
    </row>
    <row r="28" spans="1:5" s="94" customFormat="1" ht="12" customHeight="1" thickBot="1">
      <c r="A28" s="414" t="s">
        <v>708</v>
      </c>
      <c r="B28" s="397" t="s">
        <v>814</v>
      </c>
      <c r="C28" s="289"/>
      <c r="D28" s="289"/>
      <c r="E28" s="289"/>
    </row>
    <row r="29" spans="1:5" s="94" customFormat="1" ht="12" customHeight="1" thickBot="1">
      <c r="A29" s="30" t="s">
        <v>709</v>
      </c>
      <c r="B29" s="19" t="s">
        <v>815</v>
      </c>
      <c r="C29" s="291">
        <f>+C30+C33+C34+C35</f>
        <v>0</v>
      </c>
      <c r="D29" s="291">
        <f>+D30+D33+D34+D35</f>
        <v>0</v>
      </c>
      <c r="E29" s="291">
        <f>+E30+E33+E34+E35</f>
        <v>0</v>
      </c>
    </row>
    <row r="30" spans="1:5" s="94" customFormat="1" ht="12" customHeight="1">
      <c r="A30" s="412" t="s">
        <v>816</v>
      </c>
      <c r="B30" s="395" t="s">
        <v>822</v>
      </c>
      <c r="C30" s="390">
        <f>+C31+C32</f>
        <v>0</v>
      </c>
      <c r="D30" s="390">
        <f>+D31+D32</f>
        <v>0</v>
      </c>
      <c r="E30" s="390">
        <f>+E31+E32</f>
        <v>0</v>
      </c>
    </row>
    <row r="31" spans="1:5" s="94" customFormat="1" ht="12" customHeight="1">
      <c r="A31" s="413" t="s">
        <v>817</v>
      </c>
      <c r="B31" s="396" t="s">
        <v>823</v>
      </c>
      <c r="C31" s="287"/>
      <c r="D31" s="287"/>
      <c r="E31" s="287"/>
    </row>
    <row r="32" spans="1:5" s="94" customFormat="1" ht="12" customHeight="1">
      <c r="A32" s="413" t="s">
        <v>818</v>
      </c>
      <c r="B32" s="396" t="s">
        <v>824</v>
      </c>
      <c r="C32" s="287"/>
      <c r="D32" s="287"/>
      <c r="E32" s="287"/>
    </row>
    <row r="33" spans="1:5" s="94" customFormat="1" ht="12" customHeight="1">
      <c r="A33" s="413" t="s">
        <v>819</v>
      </c>
      <c r="B33" s="396" t="s">
        <v>825</v>
      </c>
      <c r="C33" s="287"/>
      <c r="D33" s="287"/>
      <c r="E33" s="287"/>
    </row>
    <row r="34" spans="1:5" s="94" customFormat="1" ht="12" customHeight="1">
      <c r="A34" s="413" t="s">
        <v>820</v>
      </c>
      <c r="B34" s="396" t="s">
        <v>826</v>
      </c>
      <c r="C34" s="287"/>
      <c r="D34" s="287"/>
      <c r="E34" s="287"/>
    </row>
    <row r="35" spans="1:5" s="94" customFormat="1" ht="12" customHeight="1" thickBot="1">
      <c r="A35" s="414" t="s">
        <v>821</v>
      </c>
      <c r="B35" s="397" t="s">
        <v>827</v>
      </c>
      <c r="C35" s="289"/>
      <c r="D35" s="289"/>
      <c r="E35" s="289"/>
    </row>
    <row r="36" spans="1:5" s="94" customFormat="1" ht="12" customHeight="1" thickBot="1">
      <c r="A36" s="30" t="s">
        <v>559</v>
      </c>
      <c r="B36" s="19" t="s">
        <v>828</v>
      </c>
      <c r="C36" s="285">
        <f>SUM(C37:C46)</f>
        <v>4650</v>
      </c>
      <c r="D36" s="285">
        <f>SUM(D37:D46)</f>
        <v>4650</v>
      </c>
      <c r="E36" s="285">
        <f>SUM(E37:E46)</f>
        <v>4650</v>
      </c>
    </row>
    <row r="37" spans="1:5" s="94" customFormat="1" ht="12" customHeight="1">
      <c r="A37" s="412" t="s">
        <v>633</v>
      </c>
      <c r="B37" s="395" t="s">
        <v>831</v>
      </c>
      <c r="C37" s="288"/>
      <c r="D37" s="288"/>
      <c r="E37" s="288"/>
    </row>
    <row r="38" spans="1:5" s="94" customFormat="1" ht="12" customHeight="1">
      <c r="A38" s="413" t="s">
        <v>634</v>
      </c>
      <c r="B38" s="396" t="s">
        <v>832</v>
      </c>
      <c r="C38" s="287">
        <v>4650</v>
      </c>
      <c r="D38" s="287">
        <v>4650</v>
      </c>
      <c r="E38" s="287">
        <v>4650</v>
      </c>
    </row>
    <row r="39" spans="1:5" s="94" customFormat="1" ht="12" customHeight="1">
      <c r="A39" s="413" t="s">
        <v>635</v>
      </c>
      <c r="B39" s="396" t="s">
        <v>833</v>
      </c>
      <c r="C39" s="287"/>
      <c r="D39" s="287"/>
      <c r="E39" s="287"/>
    </row>
    <row r="40" spans="1:5" s="94" customFormat="1" ht="12" customHeight="1">
      <c r="A40" s="413" t="s">
        <v>711</v>
      </c>
      <c r="B40" s="396" t="s">
        <v>834</v>
      </c>
      <c r="C40" s="287"/>
      <c r="D40" s="287"/>
      <c r="E40" s="287"/>
    </row>
    <row r="41" spans="1:5" s="94" customFormat="1" ht="12" customHeight="1">
      <c r="A41" s="413" t="s">
        <v>712</v>
      </c>
      <c r="B41" s="396" t="s">
        <v>835</v>
      </c>
      <c r="C41" s="287"/>
      <c r="D41" s="287"/>
      <c r="E41" s="287"/>
    </row>
    <row r="42" spans="1:5" s="94" customFormat="1" ht="12" customHeight="1">
      <c r="A42" s="413" t="s">
        <v>713</v>
      </c>
      <c r="B42" s="396" t="s">
        <v>836</v>
      </c>
      <c r="C42" s="287"/>
      <c r="D42" s="287"/>
      <c r="E42" s="287"/>
    </row>
    <row r="43" spans="1:5" s="94" customFormat="1" ht="12" customHeight="1">
      <c r="A43" s="413" t="s">
        <v>714</v>
      </c>
      <c r="B43" s="396" t="s">
        <v>837</v>
      </c>
      <c r="C43" s="287"/>
      <c r="D43" s="287"/>
      <c r="E43" s="287"/>
    </row>
    <row r="44" spans="1:5" s="94" customFormat="1" ht="12" customHeight="1">
      <c r="A44" s="413" t="s">
        <v>715</v>
      </c>
      <c r="B44" s="396" t="s">
        <v>838</v>
      </c>
      <c r="C44" s="287"/>
      <c r="D44" s="287"/>
      <c r="E44" s="287"/>
    </row>
    <row r="45" spans="1:5" s="94" customFormat="1" ht="12" customHeight="1">
      <c r="A45" s="413" t="s">
        <v>829</v>
      </c>
      <c r="B45" s="396" t="s">
        <v>839</v>
      </c>
      <c r="C45" s="290"/>
      <c r="D45" s="290"/>
      <c r="E45" s="290"/>
    </row>
    <row r="46" spans="1:5" s="94" customFormat="1" ht="12" customHeight="1" thickBot="1">
      <c r="A46" s="414" t="s">
        <v>830</v>
      </c>
      <c r="B46" s="397" t="s">
        <v>840</v>
      </c>
      <c r="C46" s="384"/>
      <c r="D46" s="384"/>
      <c r="E46" s="384"/>
    </row>
    <row r="47" spans="1:5" s="94" customFormat="1" ht="12" customHeight="1" thickBot="1">
      <c r="A47" s="30" t="s">
        <v>560</v>
      </c>
      <c r="B47" s="19" t="s">
        <v>841</v>
      </c>
      <c r="C47" s="285">
        <f>SUM(C48:C52)</f>
        <v>0</v>
      </c>
      <c r="D47" s="285">
        <f>SUM(D48:D52)</f>
        <v>0</v>
      </c>
      <c r="E47" s="285">
        <f>SUM(E48:E52)</f>
        <v>0</v>
      </c>
    </row>
    <row r="48" spans="1:5" s="94" customFormat="1" ht="12" customHeight="1">
      <c r="A48" s="412" t="s">
        <v>636</v>
      </c>
      <c r="B48" s="395" t="s">
        <v>845</v>
      </c>
      <c r="C48" s="438"/>
      <c r="D48" s="438"/>
      <c r="E48" s="438"/>
    </row>
    <row r="49" spans="1:5" s="94" customFormat="1" ht="12" customHeight="1">
      <c r="A49" s="413" t="s">
        <v>637</v>
      </c>
      <c r="B49" s="396" t="s">
        <v>846</v>
      </c>
      <c r="C49" s="290"/>
      <c r="D49" s="290"/>
      <c r="E49" s="290"/>
    </row>
    <row r="50" spans="1:5" s="94" customFormat="1" ht="12" customHeight="1">
      <c r="A50" s="413" t="s">
        <v>842</v>
      </c>
      <c r="B50" s="396" t="s">
        <v>847</v>
      </c>
      <c r="C50" s="290"/>
      <c r="D50" s="290"/>
      <c r="E50" s="290"/>
    </row>
    <row r="51" spans="1:5" s="94" customFormat="1" ht="12" customHeight="1">
      <c r="A51" s="413" t="s">
        <v>843</v>
      </c>
      <c r="B51" s="396" t="s">
        <v>848</v>
      </c>
      <c r="C51" s="290"/>
      <c r="D51" s="290"/>
      <c r="E51" s="290"/>
    </row>
    <row r="52" spans="1:5" s="94" customFormat="1" ht="12" customHeight="1" thickBot="1">
      <c r="A52" s="414" t="s">
        <v>844</v>
      </c>
      <c r="B52" s="397" t="s">
        <v>849</v>
      </c>
      <c r="C52" s="384"/>
      <c r="D52" s="384"/>
      <c r="E52" s="384"/>
    </row>
    <row r="53" spans="1:5" s="94" customFormat="1" ht="12" customHeight="1" thickBot="1">
      <c r="A53" s="30" t="s">
        <v>716</v>
      </c>
      <c r="B53" s="19" t="s">
        <v>850</v>
      </c>
      <c r="C53" s="285">
        <f>SUM(C54:C56)</f>
        <v>0</v>
      </c>
      <c r="D53" s="285">
        <f>SUM(D54:D56)</f>
        <v>0</v>
      </c>
      <c r="E53" s="285">
        <f>SUM(E54:E56)</f>
        <v>0</v>
      </c>
    </row>
    <row r="54" spans="1:5" s="94" customFormat="1" ht="12" customHeight="1">
      <c r="A54" s="412" t="s">
        <v>638</v>
      </c>
      <c r="B54" s="395" t="s">
        <v>851</v>
      </c>
      <c r="C54" s="288"/>
      <c r="D54" s="288"/>
      <c r="E54" s="288"/>
    </row>
    <row r="55" spans="1:5" s="94" customFormat="1" ht="12" customHeight="1">
      <c r="A55" s="413" t="s">
        <v>639</v>
      </c>
      <c r="B55" s="396" t="s">
        <v>176</v>
      </c>
      <c r="C55" s="287"/>
      <c r="D55" s="287"/>
      <c r="E55" s="287"/>
    </row>
    <row r="56" spans="1:5" s="94" customFormat="1" ht="12" customHeight="1">
      <c r="A56" s="413" t="s">
        <v>854</v>
      </c>
      <c r="B56" s="396" t="s">
        <v>852</v>
      </c>
      <c r="C56" s="287"/>
      <c r="D56" s="287"/>
      <c r="E56" s="287"/>
    </row>
    <row r="57" spans="1:5" s="94" customFormat="1" ht="12" customHeight="1" thickBot="1">
      <c r="A57" s="414" t="s">
        <v>855</v>
      </c>
      <c r="B57" s="397" t="s">
        <v>853</v>
      </c>
      <c r="C57" s="289"/>
      <c r="D57" s="289"/>
      <c r="E57" s="289"/>
    </row>
    <row r="58" spans="1:5" s="94" customFormat="1" ht="12" customHeight="1" thickBot="1">
      <c r="A58" s="30" t="s">
        <v>562</v>
      </c>
      <c r="B58" s="280" t="s">
        <v>856</v>
      </c>
      <c r="C58" s="285">
        <f>SUM(C59:C61)</f>
        <v>0</v>
      </c>
      <c r="D58" s="285">
        <f>SUM(D59:D61)</f>
        <v>0</v>
      </c>
      <c r="E58" s="285">
        <f>SUM(E59:E61)</f>
        <v>0</v>
      </c>
    </row>
    <row r="59" spans="1:5" s="94" customFormat="1" ht="12" customHeight="1">
      <c r="A59" s="412" t="s">
        <v>717</v>
      </c>
      <c r="B59" s="395" t="s">
        <v>858</v>
      </c>
      <c r="C59" s="290"/>
      <c r="D59" s="290"/>
      <c r="E59" s="290"/>
    </row>
    <row r="60" spans="1:5" s="94" customFormat="1" ht="12" customHeight="1">
      <c r="A60" s="413" t="s">
        <v>718</v>
      </c>
      <c r="B60" s="396" t="s">
        <v>177</v>
      </c>
      <c r="C60" s="290"/>
      <c r="D60" s="290"/>
      <c r="E60" s="290"/>
    </row>
    <row r="61" spans="1:5" s="94" customFormat="1" ht="12" customHeight="1">
      <c r="A61" s="413" t="s">
        <v>771</v>
      </c>
      <c r="B61" s="396" t="s">
        <v>859</v>
      </c>
      <c r="C61" s="290"/>
      <c r="D61" s="290"/>
      <c r="E61" s="290"/>
    </row>
    <row r="62" spans="1:5" s="94" customFormat="1" ht="12" customHeight="1" thickBot="1">
      <c r="A62" s="414" t="s">
        <v>857</v>
      </c>
      <c r="B62" s="397" t="s">
        <v>860</v>
      </c>
      <c r="C62" s="290"/>
      <c r="D62" s="290"/>
      <c r="E62" s="290"/>
    </row>
    <row r="63" spans="1:5" s="94" customFormat="1" ht="12" customHeight="1" thickBot="1">
      <c r="A63" s="30" t="s">
        <v>563</v>
      </c>
      <c r="B63" s="19" t="s">
        <v>861</v>
      </c>
      <c r="C63" s="291">
        <f>+C8+C15+C22+C29+C36+C47+C53+C58</f>
        <v>4650</v>
      </c>
      <c r="D63" s="291">
        <f>+D8+D15+D22+D29+D36+D47+D53+D58</f>
        <v>4650</v>
      </c>
      <c r="E63" s="291">
        <f>+E8+E15+E22+E29+E36+E47+E53+E58</f>
        <v>4650</v>
      </c>
    </row>
    <row r="64" spans="1:5" s="94" customFormat="1" ht="12" customHeight="1" thickBot="1">
      <c r="A64" s="415" t="s">
        <v>133</v>
      </c>
      <c r="B64" s="280" t="s">
        <v>863</v>
      </c>
      <c r="C64" s="285">
        <f>SUM(C65:C67)</f>
        <v>0</v>
      </c>
      <c r="D64" s="285">
        <f>SUM(D65:D67)</f>
        <v>0</v>
      </c>
      <c r="E64" s="285">
        <f>SUM(E65:E67)</f>
        <v>0</v>
      </c>
    </row>
    <row r="65" spans="1:5" s="94" customFormat="1" ht="12" customHeight="1">
      <c r="A65" s="412" t="s">
        <v>41</v>
      </c>
      <c r="B65" s="395" t="s">
        <v>864</v>
      </c>
      <c r="C65" s="290"/>
      <c r="D65" s="290"/>
      <c r="E65" s="290"/>
    </row>
    <row r="66" spans="1:5" s="94" customFormat="1" ht="12" customHeight="1">
      <c r="A66" s="413" t="s">
        <v>50</v>
      </c>
      <c r="B66" s="396" t="s">
        <v>865</v>
      </c>
      <c r="C66" s="290"/>
      <c r="D66" s="290"/>
      <c r="E66" s="290"/>
    </row>
    <row r="67" spans="1:5" s="94" customFormat="1" ht="12" customHeight="1" thickBot="1">
      <c r="A67" s="414" t="s">
        <v>51</v>
      </c>
      <c r="B67" s="399" t="s">
        <v>866</v>
      </c>
      <c r="C67" s="290"/>
      <c r="D67" s="290"/>
      <c r="E67" s="290"/>
    </row>
    <row r="68" spans="1:5" s="94" customFormat="1" ht="12" customHeight="1" thickBot="1">
      <c r="A68" s="415" t="s">
        <v>867</v>
      </c>
      <c r="B68" s="280" t="s">
        <v>868</v>
      </c>
      <c r="C68" s="285">
        <f>SUM(C69:C72)</f>
        <v>0</v>
      </c>
      <c r="D68" s="285">
        <f>SUM(D69:D72)</f>
        <v>0</v>
      </c>
      <c r="E68" s="285">
        <f>SUM(E69:E72)</f>
        <v>0</v>
      </c>
    </row>
    <row r="69" spans="1:5" s="94" customFormat="1" ht="12" customHeight="1">
      <c r="A69" s="412" t="s">
        <v>687</v>
      </c>
      <c r="B69" s="395" t="s">
        <v>869</v>
      </c>
      <c r="C69" s="290"/>
      <c r="D69" s="290"/>
      <c r="E69" s="290"/>
    </row>
    <row r="70" spans="1:5" s="94" customFormat="1" ht="12" customHeight="1">
      <c r="A70" s="413" t="s">
        <v>688</v>
      </c>
      <c r="B70" s="396" t="s">
        <v>870</v>
      </c>
      <c r="C70" s="290"/>
      <c r="D70" s="290"/>
      <c r="E70" s="290"/>
    </row>
    <row r="71" spans="1:5" s="94" customFormat="1" ht="12" customHeight="1">
      <c r="A71" s="413" t="s">
        <v>42</v>
      </c>
      <c r="B71" s="396" t="s">
        <v>871</v>
      </c>
      <c r="C71" s="290"/>
      <c r="D71" s="290"/>
      <c r="E71" s="290"/>
    </row>
    <row r="72" spans="1:5" s="94" customFormat="1" ht="12" customHeight="1" thickBot="1">
      <c r="A72" s="414" t="s">
        <v>43</v>
      </c>
      <c r="B72" s="397" t="s">
        <v>872</v>
      </c>
      <c r="C72" s="290"/>
      <c r="D72" s="290"/>
      <c r="E72" s="290"/>
    </row>
    <row r="73" spans="1:5" s="94" customFormat="1" ht="12" customHeight="1" thickBot="1">
      <c r="A73" s="415" t="s">
        <v>873</v>
      </c>
      <c r="B73" s="280" t="s">
        <v>874</v>
      </c>
      <c r="C73" s="285">
        <f>SUM(C74:C75)</f>
        <v>0</v>
      </c>
      <c r="D73" s="285">
        <f>SUM(D74:D75)</f>
        <v>0</v>
      </c>
      <c r="E73" s="285">
        <f>SUM(E74:E75)</f>
        <v>0</v>
      </c>
    </row>
    <row r="74" spans="1:5" s="94" customFormat="1" ht="12" customHeight="1">
      <c r="A74" s="412" t="s">
        <v>44</v>
      </c>
      <c r="B74" s="395" t="s">
        <v>875</v>
      </c>
      <c r="C74" s="290"/>
      <c r="D74" s="290"/>
      <c r="E74" s="290"/>
    </row>
    <row r="75" spans="1:5" s="94" customFormat="1" ht="12" customHeight="1" thickBot="1">
      <c r="A75" s="414" t="s">
        <v>45</v>
      </c>
      <c r="B75" s="397" t="s">
        <v>876</v>
      </c>
      <c r="C75" s="290"/>
      <c r="D75" s="290"/>
      <c r="E75" s="290"/>
    </row>
    <row r="76" spans="1:5" s="93" customFormat="1" ht="12" customHeight="1" thickBot="1">
      <c r="A76" s="415" t="s">
        <v>877</v>
      </c>
      <c r="B76" s="280" t="s">
        <v>878</v>
      </c>
      <c r="C76" s="285">
        <f>SUM(C77:C79)</f>
        <v>0</v>
      </c>
      <c r="D76" s="285">
        <f>SUM(D77:D79)</f>
        <v>0</v>
      </c>
      <c r="E76" s="285">
        <f>SUM(E77:E79)</f>
        <v>0</v>
      </c>
    </row>
    <row r="77" spans="1:5" s="94" customFormat="1" ht="12" customHeight="1">
      <c r="A77" s="412" t="s">
        <v>46</v>
      </c>
      <c r="B77" s="395" t="s">
        <v>879</v>
      </c>
      <c r="C77" s="290"/>
      <c r="D77" s="290"/>
      <c r="E77" s="290"/>
    </row>
    <row r="78" spans="1:5" s="94" customFormat="1" ht="12" customHeight="1">
      <c r="A78" s="413" t="s">
        <v>47</v>
      </c>
      <c r="B78" s="396" t="s">
        <v>880</v>
      </c>
      <c r="C78" s="290"/>
      <c r="D78" s="290"/>
      <c r="E78" s="290"/>
    </row>
    <row r="79" spans="1:5" s="94" customFormat="1" ht="12" customHeight="1" thickBot="1">
      <c r="A79" s="414" t="s">
        <v>48</v>
      </c>
      <c r="B79" s="397" t="s">
        <v>881</v>
      </c>
      <c r="C79" s="290"/>
      <c r="D79" s="290"/>
      <c r="E79" s="290"/>
    </row>
    <row r="80" spans="1:5" s="94" customFormat="1" ht="12" customHeight="1" thickBot="1">
      <c r="A80" s="415" t="s">
        <v>882</v>
      </c>
      <c r="B80" s="280" t="s">
        <v>49</v>
      </c>
      <c r="C80" s="285">
        <f>SUM(C81:C84)</f>
        <v>0</v>
      </c>
      <c r="D80" s="285">
        <f>SUM(D81:D84)</f>
        <v>0</v>
      </c>
      <c r="E80" s="285">
        <f>SUM(E81:E84)</f>
        <v>0</v>
      </c>
    </row>
    <row r="81" spans="1:5" s="94" customFormat="1" ht="12" customHeight="1">
      <c r="A81" s="416" t="s">
        <v>883</v>
      </c>
      <c r="B81" s="395" t="s">
        <v>29</v>
      </c>
      <c r="C81" s="290"/>
      <c r="D81" s="290"/>
      <c r="E81" s="290"/>
    </row>
    <row r="82" spans="1:5" s="94" customFormat="1" ht="12" customHeight="1">
      <c r="A82" s="417" t="s">
        <v>30</v>
      </c>
      <c r="B82" s="396" t="s">
        <v>31</v>
      </c>
      <c r="C82" s="290"/>
      <c r="D82" s="290"/>
      <c r="E82" s="290"/>
    </row>
    <row r="83" spans="1:5" s="94" customFormat="1" ht="12" customHeight="1">
      <c r="A83" s="417" t="s">
        <v>32</v>
      </c>
      <c r="B83" s="396" t="s">
        <v>33</v>
      </c>
      <c r="C83" s="290"/>
      <c r="D83" s="290"/>
      <c r="E83" s="290"/>
    </row>
    <row r="84" spans="1:5" s="93" customFormat="1" ht="12" customHeight="1" thickBot="1">
      <c r="A84" s="418" t="s">
        <v>34</v>
      </c>
      <c r="B84" s="397" t="s">
        <v>35</v>
      </c>
      <c r="C84" s="290"/>
      <c r="D84" s="290"/>
      <c r="E84" s="290"/>
    </row>
    <row r="85" spans="1:5" s="93" customFormat="1" ht="12" customHeight="1" thickBot="1">
      <c r="A85" s="415" t="s">
        <v>36</v>
      </c>
      <c r="B85" s="280" t="s">
        <v>37</v>
      </c>
      <c r="C85" s="439"/>
      <c r="D85" s="439"/>
      <c r="E85" s="439"/>
    </row>
    <row r="86" spans="1:5" s="93" customFormat="1" ht="12" customHeight="1" thickBot="1">
      <c r="A86" s="415" t="s">
        <v>38</v>
      </c>
      <c r="B86" s="403" t="s">
        <v>39</v>
      </c>
      <c r="C86" s="291">
        <f>+C64+C68+C73+C76+C80+C85</f>
        <v>0</v>
      </c>
      <c r="D86" s="291">
        <f>+D64+D68+D73+D76+D80+D85</f>
        <v>0</v>
      </c>
      <c r="E86" s="291">
        <f>+E64+E68+E73+E76+E80+E85</f>
        <v>0</v>
      </c>
    </row>
    <row r="87" spans="1:5" s="93" customFormat="1" ht="12" customHeight="1" thickBot="1">
      <c r="A87" s="419" t="s">
        <v>52</v>
      </c>
      <c r="B87" s="405" t="s">
        <v>165</v>
      </c>
      <c r="C87" s="291">
        <f>+C63+C86</f>
        <v>4650</v>
      </c>
      <c r="D87" s="291">
        <f>+D63+D86</f>
        <v>4650</v>
      </c>
      <c r="E87" s="291">
        <f>+E63+E86</f>
        <v>4650</v>
      </c>
    </row>
    <row r="88" spans="1:5" s="94" customFormat="1" ht="15" customHeight="1">
      <c r="A88" s="229"/>
      <c r="B88" s="230"/>
      <c r="C88" s="355"/>
      <c r="D88" s="355"/>
      <c r="E88" s="355"/>
    </row>
    <row r="89" spans="1:5" ht="13.5" thickBot="1">
      <c r="A89" s="420"/>
      <c r="B89" s="232"/>
      <c r="C89" s="356"/>
      <c r="D89" s="356"/>
      <c r="E89" s="356"/>
    </row>
    <row r="90" spans="1:5" s="57" customFormat="1" ht="16.5" customHeight="1" thickBot="1">
      <c r="A90" s="233"/>
      <c r="B90" s="234" t="s">
        <v>595</v>
      </c>
      <c r="C90" s="357"/>
      <c r="D90" s="357"/>
      <c r="E90" s="357"/>
    </row>
    <row r="91" spans="1:5" s="95" customFormat="1" ht="12" customHeight="1" thickBot="1">
      <c r="A91" s="387" t="s">
        <v>555</v>
      </c>
      <c r="B91" s="29" t="s">
        <v>55</v>
      </c>
      <c r="C91" s="284">
        <f>SUM(C92:C96)</f>
        <v>3450</v>
      </c>
      <c r="D91" s="284">
        <f>SUM(D92:D96)</f>
        <v>3450</v>
      </c>
      <c r="E91" s="284">
        <f>SUM(E92:E96)</f>
        <v>3450</v>
      </c>
    </row>
    <row r="92" spans="1:5" ht="12" customHeight="1">
      <c r="A92" s="421" t="s">
        <v>640</v>
      </c>
      <c r="B92" s="8" t="s">
        <v>585</v>
      </c>
      <c r="C92" s="286"/>
      <c r="D92" s="286"/>
      <c r="E92" s="286"/>
    </row>
    <row r="93" spans="1:5" ht="12" customHeight="1">
      <c r="A93" s="413" t="s">
        <v>641</v>
      </c>
      <c r="B93" s="6" t="s">
        <v>719</v>
      </c>
      <c r="C93" s="287"/>
      <c r="D93" s="287"/>
      <c r="E93" s="287"/>
    </row>
    <row r="94" spans="1:5" ht="12" customHeight="1">
      <c r="A94" s="413" t="s">
        <v>642</v>
      </c>
      <c r="B94" s="6" t="s">
        <v>678</v>
      </c>
      <c r="C94" s="289"/>
      <c r="D94" s="289"/>
      <c r="E94" s="289"/>
    </row>
    <row r="95" spans="1:5" ht="12" customHeight="1">
      <c r="A95" s="413" t="s">
        <v>643</v>
      </c>
      <c r="B95" s="9" t="s">
        <v>720</v>
      </c>
      <c r="C95" s="289"/>
      <c r="D95" s="289"/>
      <c r="E95" s="289"/>
    </row>
    <row r="96" spans="1:5" ht="12" customHeight="1">
      <c r="A96" s="413" t="s">
        <v>654</v>
      </c>
      <c r="B96" s="17" t="s">
        <v>721</v>
      </c>
      <c r="C96" s="289">
        <v>3450</v>
      </c>
      <c r="D96" s="289">
        <v>3450</v>
      </c>
      <c r="E96" s="289">
        <v>3450</v>
      </c>
    </row>
    <row r="97" spans="1:5" ht="12" customHeight="1">
      <c r="A97" s="413" t="s">
        <v>644</v>
      </c>
      <c r="B97" s="6" t="s">
        <v>56</v>
      </c>
      <c r="C97" s="289"/>
      <c r="D97" s="289"/>
      <c r="E97" s="289"/>
    </row>
    <row r="98" spans="1:5" ht="12" customHeight="1">
      <c r="A98" s="413" t="s">
        <v>645</v>
      </c>
      <c r="B98" s="130" t="s">
        <v>57</v>
      </c>
      <c r="C98" s="289"/>
      <c r="D98" s="289"/>
      <c r="E98" s="289"/>
    </row>
    <row r="99" spans="1:5" ht="12" customHeight="1">
      <c r="A99" s="413" t="s">
        <v>655</v>
      </c>
      <c r="B99" s="131" t="s">
        <v>58</v>
      </c>
      <c r="C99" s="289"/>
      <c r="D99" s="289"/>
      <c r="E99" s="289"/>
    </row>
    <row r="100" spans="1:5" ht="12" customHeight="1">
      <c r="A100" s="413" t="s">
        <v>656</v>
      </c>
      <c r="B100" s="131" t="s">
        <v>59</v>
      </c>
      <c r="C100" s="289"/>
      <c r="D100" s="289"/>
      <c r="E100" s="289"/>
    </row>
    <row r="101" spans="1:5" ht="12" customHeight="1">
      <c r="A101" s="413" t="s">
        <v>657</v>
      </c>
      <c r="B101" s="130" t="s">
        <v>60</v>
      </c>
      <c r="C101" s="289">
        <v>2000</v>
      </c>
      <c r="D101" s="289">
        <v>2000</v>
      </c>
      <c r="E101" s="289">
        <v>2000</v>
      </c>
    </row>
    <row r="102" spans="1:5" ht="12" customHeight="1">
      <c r="A102" s="413" t="s">
        <v>658</v>
      </c>
      <c r="B102" s="130" t="s">
        <v>61</v>
      </c>
      <c r="C102" s="289"/>
      <c r="D102" s="289"/>
      <c r="E102" s="289"/>
    </row>
    <row r="103" spans="1:5" ht="12" customHeight="1">
      <c r="A103" s="413" t="s">
        <v>660</v>
      </c>
      <c r="B103" s="131" t="s">
        <v>62</v>
      </c>
      <c r="C103" s="289"/>
      <c r="D103" s="289"/>
      <c r="E103" s="289"/>
    </row>
    <row r="104" spans="1:5" ht="12" customHeight="1">
      <c r="A104" s="422" t="s">
        <v>722</v>
      </c>
      <c r="B104" s="132" t="s">
        <v>63</v>
      </c>
      <c r="C104" s="289"/>
      <c r="D104" s="289"/>
      <c r="E104" s="289"/>
    </row>
    <row r="105" spans="1:5" ht="12" customHeight="1">
      <c r="A105" s="413" t="s">
        <v>53</v>
      </c>
      <c r="B105" s="132" t="s">
        <v>64</v>
      </c>
      <c r="C105" s="289"/>
      <c r="D105" s="289"/>
      <c r="E105" s="289"/>
    </row>
    <row r="106" spans="1:5" ht="12" customHeight="1" thickBot="1">
      <c r="A106" s="423" t="s">
        <v>54</v>
      </c>
      <c r="B106" s="133" t="s">
        <v>65</v>
      </c>
      <c r="C106" s="292">
        <v>1450</v>
      </c>
      <c r="D106" s="292">
        <v>1450</v>
      </c>
      <c r="E106" s="292">
        <v>1450</v>
      </c>
    </row>
    <row r="107" spans="1:5" ht="12" customHeight="1" thickBot="1">
      <c r="A107" s="30" t="s">
        <v>556</v>
      </c>
      <c r="B107" s="28" t="s">
        <v>66</v>
      </c>
      <c r="C107" s="285">
        <f>+C108+C110+C112</f>
        <v>1200</v>
      </c>
      <c r="D107" s="285">
        <f>+D108+D110+D112</f>
        <v>1200</v>
      </c>
      <c r="E107" s="285">
        <f>+E108+E110+E112</f>
        <v>1200</v>
      </c>
    </row>
    <row r="108" spans="1:5" ht="12" customHeight="1">
      <c r="A108" s="412" t="s">
        <v>646</v>
      </c>
      <c r="B108" s="6" t="s">
        <v>769</v>
      </c>
      <c r="C108" s="288"/>
      <c r="D108" s="288"/>
      <c r="E108" s="288"/>
    </row>
    <row r="109" spans="1:5" ht="12" customHeight="1">
      <c r="A109" s="412" t="s">
        <v>647</v>
      </c>
      <c r="B109" s="10" t="s">
        <v>70</v>
      </c>
      <c r="C109" s="288"/>
      <c r="D109" s="288"/>
      <c r="E109" s="288"/>
    </row>
    <row r="110" spans="1:5" ht="12" customHeight="1">
      <c r="A110" s="412" t="s">
        <v>648</v>
      </c>
      <c r="B110" s="10" t="s">
        <v>723</v>
      </c>
      <c r="C110" s="287"/>
      <c r="D110" s="287"/>
      <c r="E110" s="287"/>
    </row>
    <row r="111" spans="1:5" ht="12" customHeight="1">
      <c r="A111" s="412" t="s">
        <v>649</v>
      </c>
      <c r="B111" s="10" t="s">
        <v>71</v>
      </c>
      <c r="C111" s="258"/>
      <c r="D111" s="258"/>
      <c r="E111" s="258"/>
    </row>
    <row r="112" spans="1:5" ht="12" customHeight="1">
      <c r="A112" s="412" t="s">
        <v>650</v>
      </c>
      <c r="B112" s="282" t="s">
        <v>772</v>
      </c>
      <c r="C112" s="258">
        <v>1200</v>
      </c>
      <c r="D112" s="258">
        <v>1200</v>
      </c>
      <c r="E112" s="258">
        <v>1200</v>
      </c>
    </row>
    <row r="113" spans="1:5" ht="12" customHeight="1">
      <c r="A113" s="412" t="s">
        <v>659</v>
      </c>
      <c r="B113" s="281" t="s">
        <v>178</v>
      </c>
      <c r="C113" s="258"/>
      <c r="D113" s="258"/>
      <c r="E113" s="258"/>
    </row>
    <row r="114" spans="1:5" ht="12" customHeight="1">
      <c r="A114" s="412" t="s">
        <v>661</v>
      </c>
      <c r="B114" s="391" t="s">
        <v>76</v>
      </c>
      <c r="C114" s="258"/>
      <c r="D114" s="258"/>
      <c r="E114" s="258"/>
    </row>
    <row r="115" spans="1:5" ht="12" customHeight="1">
      <c r="A115" s="412" t="s">
        <v>724</v>
      </c>
      <c r="B115" s="131" t="s">
        <v>59</v>
      </c>
      <c r="C115" s="258"/>
      <c r="D115" s="258"/>
      <c r="E115" s="258"/>
    </row>
    <row r="116" spans="1:5" ht="12" customHeight="1">
      <c r="A116" s="412" t="s">
        <v>725</v>
      </c>
      <c r="B116" s="131" t="s">
        <v>75</v>
      </c>
      <c r="C116" s="258"/>
      <c r="D116" s="258"/>
      <c r="E116" s="258"/>
    </row>
    <row r="117" spans="1:5" ht="12" customHeight="1">
      <c r="A117" s="412" t="s">
        <v>726</v>
      </c>
      <c r="B117" s="131" t="s">
        <v>74</v>
      </c>
      <c r="C117" s="258"/>
      <c r="D117" s="258"/>
      <c r="E117" s="258"/>
    </row>
    <row r="118" spans="1:5" ht="12" customHeight="1">
      <c r="A118" s="412" t="s">
        <v>67</v>
      </c>
      <c r="B118" s="131" t="s">
        <v>62</v>
      </c>
      <c r="C118" s="258"/>
      <c r="D118" s="258"/>
      <c r="E118" s="258"/>
    </row>
    <row r="119" spans="1:5" ht="12" customHeight="1">
      <c r="A119" s="412" t="s">
        <v>68</v>
      </c>
      <c r="B119" s="131" t="s">
        <v>73</v>
      </c>
      <c r="C119" s="258"/>
      <c r="D119" s="258"/>
      <c r="E119" s="258"/>
    </row>
    <row r="120" spans="1:5" ht="12" customHeight="1" thickBot="1">
      <c r="A120" s="422" t="s">
        <v>69</v>
      </c>
      <c r="B120" s="131" t="s">
        <v>72</v>
      </c>
      <c r="C120" s="259">
        <v>1200</v>
      </c>
      <c r="D120" s="259">
        <v>1200</v>
      </c>
      <c r="E120" s="259">
        <v>1200</v>
      </c>
    </row>
    <row r="121" spans="1:5" ht="12" customHeight="1" thickBot="1">
      <c r="A121" s="30" t="s">
        <v>557</v>
      </c>
      <c r="B121" s="121" t="s">
        <v>77</v>
      </c>
      <c r="C121" s="285">
        <f>+C122+C123</f>
        <v>0</v>
      </c>
      <c r="D121" s="285">
        <f>+D122+D123</f>
        <v>0</v>
      </c>
      <c r="E121" s="285">
        <f>+E122+E123</f>
        <v>0</v>
      </c>
    </row>
    <row r="122" spans="1:5" ht="12" customHeight="1">
      <c r="A122" s="412" t="s">
        <v>629</v>
      </c>
      <c r="B122" s="7" t="s">
        <v>597</v>
      </c>
      <c r="C122" s="288"/>
      <c r="D122" s="288"/>
      <c r="E122" s="288"/>
    </row>
    <row r="123" spans="1:5" ht="12" customHeight="1" thickBot="1">
      <c r="A123" s="414" t="s">
        <v>630</v>
      </c>
      <c r="B123" s="10" t="s">
        <v>598</v>
      </c>
      <c r="C123" s="289"/>
      <c r="D123" s="289"/>
      <c r="E123" s="289"/>
    </row>
    <row r="124" spans="1:5" ht="12" customHeight="1" thickBot="1">
      <c r="A124" s="30" t="s">
        <v>558</v>
      </c>
      <c r="B124" s="121" t="s">
        <v>78</v>
      </c>
      <c r="C124" s="285">
        <f>+C91+C107+C121</f>
        <v>4650</v>
      </c>
      <c r="D124" s="285">
        <f>+D91+D107+D121</f>
        <v>4650</v>
      </c>
      <c r="E124" s="285">
        <f>+E91+E107+E121</f>
        <v>4650</v>
      </c>
    </row>
    <row r="125" spans="1:5" ht="12" customHeight="1" thickBot="1">
      <c r="A125" s="30" t="s">
        <v>559</v>
      </c>
      <c r="B125" s="121" t="s">
        <v>79</v>
      </c>
      <c r="C125" s="285">
        <f>+C126+C127+C128</f>
        <v>0</v>
      </c>
      <c r="D125" s="285">
        <f>+D126+D127+D128</f>
        <v>0</v>
      </c>
      <c r="E125" s="285">
        <f>+E126+E127+E128</f>
        <v>0</v>
      </c>
    </row>
    <row r="126" spans="1:5" s="95" customFormat="1" ht="12" customHeight="1">
      <c r="A126" s="412" t="s">
        <v>633</v>
      </c>
      <c r="B126" s="7" t="s">
        <v>80</v>
      </c>
      <c r="C126" s="258"/>
      <c r="D126" s="258"/>
      <c r="E126" s="258"/>
    </row>
    <row r="127" spans="1:5" ht="12" customHeight="1">
      <c r="A127" s="412" t="s">
        <v>634</v>
      </c>
      <c r="B127" s="7" t="s">
        <v>81</v>
      </c>
      <c r="C127" s="258"/>
      <c r="D127" s="258"/>
      <c r="E127" s="258"/>
    </row>
    <row r="128" spans="1:5" ht="12" customHeight="1" thickBot="1">
      <c r="A128" s="422" t="s">
        <v>635</v>
      </c>
      <c r="B128" s="5" t="s">
        <v>82</v>
      </c>
      <c r="C128" s="258"/>
      <c r="D128" s="258"/>
      <c r="E128" s="258"/>
    </row>
    <row r="129" spans="1:5" ht="12" customHeight="1" thickBot="1">
      <c r="A129" s="30" t="s">
        <v>560</v>
      </c>
      <c r="B129" s="121" t="s">
        <v>132</v>
      </c>
      <c r="C129" s="285">
        <f>+C130+C131+C132+C133</f>
        <v>0</v>
      </c>
      <c r="D129" s="285">
        <f>+D130+D131+D132+D133</f>
        <v>0</v>
      </c>
      <c r="E129" s="285">
        <f>+E130+E131+E132+E133</f>
        <v>0</v>
      </c>
    </row>
    <row r="130" spans="1:5" ht="12" customHeight="1">
      <c r="A130" s="412" t="s">
        <v>636</v>
      </c>
      <c r="B130" s="7" t="s">
        <v>83</v>
      </c>
      <c r="C130" s="258"/>
      <c r="D130" s="258"/>
      <c r="E130" s="258"/>
    </row>
    <row r="131" spans="1:5" ht="12" customHeight="1">
      <c r="A131" s="412" t="s">
        <v>637</v>
      </c>
      <c r="B131" s="7" t="s">
        <v>84</v>
      </c>
      <c r="C131" s="258"/>
      <c r="D131" s="258"/>
      <c r="E131" s="258"/>
    </row>
    <row r="132" spans="1:5" ht="12" customHeight="1">
      <c r="A132" s="412" t="s">
        <v>842</v>
      </c>
      <c r="B132" s="7" t="s">
        <v>85</v>
      </c>
      <c r="C132" s="258"/>
      <c r="D132" s="258"/>
      <c r="E132" s="258"/>
    </row>
    <row r="133" spans="1:5" s="95" customFormat="1" ht="12" customHeight="1" thickBot="1">
      <c r="A133" s="422" t="s">
        <v>843</v>
      </c>
      <c r="B133" s="5" t="s">
        <v>86</v>
      </c>
      <c r="C133" s="258"/>
      <c r="D133" s="258"/>
      <c r="E133" s="258"/>
    </row>
    <row r="134" spans="1:11" ht="12" customHeight="1" thickBot="1">
      <c r="A134" s="30" t="s">
        <v>561</v>
      </c>
      <c r="B134" s="121" t="s">
        <v>87</v>
      </c>
      <c r="C134" s="291">
        <f>+C135+C136+C137+C138</f>
        <v>0</v>
      </c>
      <c r="D134" s="291">
        <f>+D135+D136+D137+D138</f>
        <v>0</v>
      </c>
      <c r="E134" s="291">
        <f>+E135+E136+E137+E138</f>
        <v>0</v>
      </c>
      <c r="K134" s="241"/>
    </row>
    <row r="135" spans="1:5" ht="12.75">
      <c r="A135" s="412" t="s">
        <v>638</v>
      </c>
      <c r="B135" s="7" t="s">
        <v>88</v>
      </c>
      <c r="C135" s="258"/>
      <c r="D135" s="258"/>
      <c r="E135" s="258"/>
    </row>
    <row r="136" spans="1:5" ht="12" customHeight="1">
      <c r="A136" s="412" t="s">
        <v>639</v>
      </c>
      <c r="B136" s="7" t="s">
        <v>98</v>
      </c>
      <c r="C136" s="258"/>
      <c r="D136" s="258"/>
      <c r="E136" s="258"/>
    </row>
    <row r="137" spans="1:5" s="95" customFormat="1" ht="12" customHeight="1">
      <c r="A137" s="412" t="s">
        <v>854</v>
      </c>
      <c r="B137" s="7" t="s">
        <v>89</v>
      </c>
      <c r="C137" s="258"/>
      <c r="D137" s="258"/>
      <c r="E137" s="258"/>
    </row>
    <row r="138" spans="1:5" s="95" customFormat="1" ht="12" customHeight="1" thickBot="1">
      <c r="A138" s="422" t="s">
        <v>855</v>
      </c>
      <c r="B138" s="5" t="s">
        <v>90</v>
      </c>
      <c r="C138" s="258"/>
      <c r="D138" s="258"/>
      <c r="E138" s="258"/>
    </row>
    <row r="139" spans="1:5" s="95" customFormat="1" ht="12" customHeight="1" thickBot="1">
      <c r="A139" s="30" t="s">
        <v>562</v>
      </c>
      <c r="B139" s="121" t="s">
        <v>91</v>
      </c>
      <c r="C139" s="293">
        <f>+C140+C141+C142+C143</f>
        <v>0</v>
      </c>
      <c r="D139" s="293">
        <f>+D140+D141+D142+D143</f>
        <v>0</v>
      </c>
      <c r="E139" s="293">
        <f>+E140+E141+E142+E143</f>
        <v>0</v>
      </c>
    </row>
    <row r="140" spans="1:5" s="95" customFormat="1" ht="12" customHeight="1">
      <c r="A140" s="412" t="s">
        <v>717</v>
      </c>
      <c r="B140" s="7" t="s">
        <v>92</v>
      </c>
      <c r="C140" s="258"/>
      <c r="D140" s="258"/>
      <c r="E140" s="258"/>
    </row>
    <row r="141" spans="1:5" s="95" customFormat="1" ht="12" customHeight="1">
      <c r="A141" s="412" t="s">
        <v>718</v>
      </c>
      <c r="B141" s="7" t="s">
        <v>93</v>
      </c>
      <c r="C141" s="258"/>
      <c r="D141" s="258"/>
      <c r="E141" s="258"/>
    </row>
    <row r="142" spans="1:5" s="95" customFormat="1" ht="12" customHeight="1">
      <c r="A142" s="412" t="s">
        <v>771</v>
      </c>
      <c r="B142" s="7" t="s">
        <v>94</v>
      </c>
      <c r="C142" s="258"/>
      <c r="D142" s="258"/>
      <c r="E142" s="258"/>
    </row>
    <row r="143" spans="1:5" ht="12.75" customHeight="1" thickBot="1">
      <c r="A143" s="412" t="s">
        <v>857</v>
      </c>
      <c r="B143" s="7" t="s">
        <v>95</v>
      </c>
      <c r="C143" s="258"/>
      <c r="D143" s="258"/>
      <c r="E143" s="258"/>
    </row>
    <row r="144" spans="1:5" ht="12" customHeight="1" thickBot="1">
      <c r="A144" s="30" t="s">
        <v>563</v>
      </c>
      <c r="B144" s="121" t="s">
        <v>96</v>
      </c>
      <c r="C144" s="407">
        <f>+C125+C129+C134+C139</f>
        <v>0</v>
      </c>
      <c r="D144" s="407">
        <f>+D125+D129+D134+D139</f>
        <v>0</v>
      </c>
      <c r="E144" s="407">
        <f>+E125+E129+E134+E139</f>
        <v>0</v>
      </c>
    </row>
    <row r="145" spans="1:5" ht="15" customHeight="1" thickBot="1">
      <c r="A145" s="424" t="s">
        <v>564</v>
      </c>
      <c r="B145" s="367" t="s">
        <v>97</v>
      </c>
      <c r="C145" s="407">
        <f>+C124+C144</f>
        <v>4650</v>
      </c>
      <c r="D145" s="407">
        <f>+D124+D144</f>
        <v>4650</v>
      </c>
      <c r="E145" s="407">
        <f>+E124+E144</f>
        <v>4650</v>
      </c>
    </row>
    <row r="146" spans="1:5" ht="13.5" thickBot="1">
      <c r="A146" s="375"/>
      <c r="B146" s="376"/>
      <c r="C146" s="377"/>
      <c r="D146" s="377"/>
      <c r="E146" s="377"/>
    </row>
    <row r="147" spans="1:5" ht="15" customHeight="1" thickBot="1">
      <c r="A147" s="238" t="s">
        <v>742</v>
      </c>
      <c r="B147" s="239"/>
      <c r="C147" s="118"/>
      <c r="D147" s="118"/>
      <c r="E147" s="118"/>
    </row>
    <row r="148" spans="1:5" ht="14.25" customHeight="1" thickBot="1">
      <c r="A148" s="238" t="s">
        <v>743</v>
      </c>
      <c r="B148" s="239"/>
      <c r="C148" s="118"/>
      <c r="D148" s="118"/>
      <c r="E14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4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view="pageBreakPreview" zoomScale="85" zoomScaleSheetLayoutView="85" workbookViewId="0" topLeftCell="A1">
      <selection activeCell="E10" sqref="E10"/>
    </sheetView>
  </sheetViews>
  <sheetFormatPr defaultColWidth="9.00390625" defaultRowHeight="12.75"/>
  <cols>
    <col min="1" max="1" width="19.50390625" style="378" customWidth="1"/>
    <col min="2" max="2" width="72.00390625" style="379" customWidth="1"/>
    <col min="3" max="5" width="25.00390625" style="380" customWidth="1"/>
    <col min="6" max="16384" width="9.375" style="3" customWidth="1"/>
  </cols>
  <sheetData>
    <row r="1" spans="1:5" s="2" customFormat="1" ht="16.5" customHeight="1" thickBot="1">
      <c r="A1" s="215"/>
      <c r="B1" s="217"/>
      <c r="C1" s="240" t="s">
        <v>160</v>
      </c>
      <c r="D1" s="240"/>
      <c r="E1" s="240"/>
    </row>
    <row r="2" spans="1:5" s="91" customFormat="1" ht="21" customHeight="1">
      <c r="A2" s="385" t="s">
        <v>602</v>
      </c>
      <c r="B2" s="345" t="s">
        <v>765</v>
      </c>
      <c r="C2" s="347"/>
      <c r="D2" s="347"/>
      <c r="E2" s="347" t="s">
        <v>589</v>
      </c>
    </row>
    <row r="3" spans="1:5" s="91" customFormat="1" ht="16.5" thickBot="1">
      <c r="A3" s="218" t="s">
        <v>739</v>
      </c>
      <c r="B3" s="346" t="s">
        <v>181</v>
      </c>
      <c r="C3" s="348"/>
      <c r="D3" s="348"/>
      <c r="E3" s="348">
        <v>4</v>
      </c>
    </row>
    <row r="4" spans="1:5" s="92" customFormat="1" ht="15.75" customHeight="1" thickBot="1">
      <c r="A4" s="219"/>
      <c r="B4" s="219"/>
      <c r="C4" s="220"/>
      <c r="D4" s="220"/>
      <c r="E4" s="220" t="s">
        <v>590</v>
      </c>
    </row>
    <row r="5" spans="1:5" ht="13.5" thickBot="1">
      <c r="A5" s="386" t="s">
        <v>741</v>
      </c>
      <c r="B5" s="221" t="s">
        <v>591</v>
      </c>
      <c r="C5" s="349" t="s">
        <v>592</v>
      </c>
      <c r="D5" s="349" t="s">
        <v>886</v>
      </c>
      <c r="E5" s="349" t="s">
        <v>908</v>
      </c>
    </row>
    <row r="6" spans="1:5" s="57" customFormat="1" ht="12.75" customHeight="1" thickBot="1">
      <c r="A6" s="188">
        <v>1</v>
      </c>
      <c r="B6" s="189">
        <v>2</v>
      </c>
      <c r="C6" s="190">
        <v>3</v>
      </c>
      <c r="D6" s="190">
        <v>4</v>
      </c>
      <c r="E6" s="190">
        <v>5</v>
      </c>
    </row>
    <row r="7" spans="1:5" s="57" customFormat="1" ht="15.75" customHeight="1" thickBot="1">
      <c r="A7" s="223"/>
      <c r="B7" s="224" t="s">
        <v>593</v>
      </c>
      <c r="C7" s="350"/>
      <c r="D7" s="350"/>
      <c r="E7" s="350"/>
    </row>
    <row r="8" spans="1:5" s="57" customFormat="1" ht="12" customHeight="1" thickBot="1">
      <c r="A8" s="30" t="s">
        <v>555</v>
      </c>
      <c r="B8" s="19" t="s">
        <v>798</v>
      </c>
      <c r="C8" s="285">
        <f>+C9+C10+C11+C12+C13+C14</f>
        <v>99661</v>
      </c>
      <c r="D8" s="285">
        <f>+D9+D10+D11+D12+D13+D14</f>
        <v>99661</v>
      </c>
      <c r="E8" s="285">
        <f>+E9+E10+E11+E12+E13+E14</f>
        <v>99661</v>
      </c>
    </row>
    <row r="9" spans="1:5" s="93" customFormat="1" ht="12" customHeight="1">
      <c r="A9" s="412" t="s">
        <v>640</v>
      </c>
      <c r="B9" s="395" t="s">
        <v>799</v>
      </c>
      <c r="C9" s="288">
        <f>'5. tájékoztató '!I7</f>
        <v>99661</v>
      </c>
      <c r="D9" s="288">
        <v>99661</v>
      </c>
      <c r="E9" s="288">
        <v>99661</v>
      </c>
    </row>
    <row r="10" spans="1:5" s="94" customFormat="1" ht="12" customHeight="1">
      <c r="A10" s="413" t="s">
        <v>641</v>
      </c>
      <c r="B10" s="396" t="s">
        <v>800</v>
      </c>
      <c r="C10" s="287"/>
      <c r="D10" s="287"/>
      <c r="E10" s="287"/>
    </row>
    <row r="11" spans="1:5" s="94" customFormat="1" ht="12" customHeight="1">
      <c r="A11" s="413" t="s">
        <v>642</v>
      </c>
      <c r="B11" s="396" t="s">
        <v>801</v>
      </c>
      <c r="C11" s="287"/>
      <c r="D11" s="287"/>
      <c r="E11" s="287"/>
    </row>
    <row r="12" spans="1:5" s="94" customFormat="1" ht="12" customHeight="1">
      <c r="A12" s="413" t="s">
        <v>643</v>
      </c>
      <c r="B12" s="396" t="s">
        <v>802</v>
      </c>
      <c r="C12" s="287"/>
      <c r="D12" s="287"/>
      <c r="E12" s="287"/>
    </row>
    <row r="13" spans="1:5" s="94" customFormat="1" ht="12" customHeight="1">
      <c r="A13" s="413" t="s">
        <v>686</v>
      </c>
      <c r="B13" s="396" t="s">
        <v>803</v>
      </c>
      <c r="C13" s="814"/>
      <c r="D13" s="814"/>
      <c r="E13" s="814"/>
    </row>
    <row r="14" spans="1:5" s="93" customFormat="1" ht="12" customHeight="1" thickBot="1">
      <c r="A14" s="414" t="s">
        <v>644</v>
      </c>
      <c r="B14" s="397" t="s">
        <v>804</v>
      </c>
      <c r="C14" s="815"/>
      <c r="D14" s="815"/>
      <c r="E14" s="815"/>
    </row>
    <row r="15" spans="1:5" s="93" customFormat="1" ht="12" customHeight="1" thickBot="1">
      <c r="A15" s="30" t="s">
        <v>556</v>
      </c>
      <c r="B15" s="280" t="s">
        <v>805</v>
      </c>
      <c r="C15" s="285">
        <f>+C16+C17+C18+C19+C20</f>
        <v>0</v>
      </c>
      <c r="D15" s="285">
        <f>+D16+D17+D18+D19+D20</f>
        <v>0</v>
      </c>
      <c r="E15" s="285">
        <f>+E16+E17+E18+E19+E20</f>
        <v>0</v>
      </c>
    </row>
    <row r="16" spans="1:5" s="93" customFormat="1" ht="12" customHeight="1">
      <c r="A16" s="412" t="s">
        <v>646</v>
      </c>
      <c r="B16" s="395" t="s">
        <v>806</v>
      </c>
      <c r="C16" s="288"/>
      <c r="D16" s="288"/>
      <c r="E16" s="288"/>
    </row>
    <row r="17" spans="1:5" s="93" customFormat="1" ht="12" customHeight="1">
      <c r="A17" s="413" t="s">
        <v>647</v>
      </c>
      <c r="B17" s="396" t="s">
        <v>807</v>
      </c>
      <c r="C17" s="287"/>
      <c r="D17" s="287"/>
      <c r="E17" s="287"/>
    </row>
    <row r="18" spans="1:5" s="93" customFormat="1" ht="12" customHeight="1">
      <c r="A18" s="413" t="s">
        <v>648</v>
      </c>
      <c r="B18" s="396" t="s">
        <v>172</v>
      </c>
      <c r="C18" s="287"/>
      <c r="D18" s="287"/>
      <c r="E18" s="287"/>
    </row>
    <row r="19" spans="1:5" s="93" customFormat="1" ht="12" customHeight="1">
      <c r="A19" s="413" t="s">
        <v>649</v>
      </c>
      <c r="B19" s="396" t="s">
        <v>173</v>
      </c>
      <c r="C19" s="287"/>
      <c r="D19" s="287"/>
      <c r="E19" s="287"/>
    </row>
    <row r="20" spans="1:5" s="93" customFormat="1" ht="12" customHeight="1">
      <c r="A20" s="413" t="s">
        <v>650</v>
      </c>
      <c r="B20" s="396" t="s">
        <v>808</v>
      </c>
      <c r="C20" s="287"/>
      <c r="D20" s="287"/>
      <c r="E20" s="287"/>
    </row>
    <row r="21" spans="1:5" s="94" customFormat="1" ht="12" customHeight="1" thickBot="1">
      <c r="A21" s="414" t="s">
        <v>659</v>
      </c>
      <c r="B21" s="397" t="s">
        <v>809</v>
      </c>
      <c r="C21" s="289"/>
      <c r="D21" s="289"/>
      <c r="E21" s="289"/>
    </row>
    <row r="22" spans="1:5" s="94" customFormat="1" ht="12" customHeight="1" thickBot="1">
      <c r="A22" s="30" t="s">
        <v>557</v>
      </c>
      <c r="B22" s="19" t="s">
        <v>810</v>
      </c>
      <c r="C22" s="285">
        <f>+C23+C24+C25+C26+C27</f>
        <v>0</v>
      </c>
      <c r="D22" s="285">
        <f>+D23+D24+D25+D26+D27</f>
        <v>0</v>
      </c>
      <c r="E22" s="285">
        <f>+E23+E24+E25+E26+E27</f>
        <v>0</v>
      </c>
    </row>
    <row r="23" spans="1:5" s="94" customFormat="1" ht="12" customHeight="1">
      <c r="A23" s="412" t="s">
        <v>629</v>
      </c>
      <c r="B23" s="395" t="s">
        <v>811</v>
      </c>
      <c r="C23" s="288"/>
      <c r="D23" s="288"/>
      <c r="E23" s="288"/>
    </row>
    <row r="24" spans="1:5" s="93" customFormat="1" ht="12" customHeight="1">
      <c r="A24" s="413" t="s">
        <v>630</v>
      </c>
      <c r="B24" s="396" t="s">
        <v>812</v>
      </c>
      <c r="C24" s="287"/>
      <c r="D24" s="287"/>
      <c r="E24" s="287"/>
    </row>
    <row r="25" spans="1:5" s="94" customFormat="1" ht="12" customHeight="1">
      <c r="A25" s="413" t="s">
        <v>631</v>
      </c>
      <c r="B25" s="396" t="s">
        <v>174</v>
      </c>
      <c r="C25" s="287"/>
      <c r="D25" s="287"/>
      <c r="E25" s="287"/>
    </row>
    <row r="26" spans="1:5" s="94" customFormat="1" ht="12" customHeight="1">
      <c r="A26" s="413" t="s">
        <v>632</v>
      </c>
      <c r="B26" s="396" t="s">
        <v>175</v>
      </c>
      <c r="C26" s="287"/>
      <c r="D26" s="287"/>
      <c r="E26" s="287"/>
    </row>
    <row r="27" spans="1:5" s="94" customFormat="1" ht="12" customHeight="1">
      <c r="A27" s="413" t="s">
        <v>707</v>
      </c>
      <c r="B27" s="396" t="s">
        <v>813</v>
      </c>
      <c r="C27" s="287"/>
      <c r="D27" s="287"/>
      <c r="E27" s="287"/>
    </row>
    <row r="28" spans="1:5" s="94" customFormat="1" ht="12" customHeight="1" thickBot="1">
      <c r="A28" s="414" t="s">
        <v>708</v>
      </c>
      <c r="B28" s="397" t="s">
        <v>814</v>
      </c>
      <c r="C28" s="289"/>
      <c r="D28" s="289"/>
      <c r="E28" s="289"/>
    </row>
    <row r="29" spans="1:5" s="94" customFormat="1" ht="12" customHeight="1" thickBot="1">
      <c r="A29" s="30" t="s">
        <v>709</v>
      </c>
      <c r="B29" s="19" t="s">
        <v>815</v>
      </c>
      <c r="C29" s="291">
        <f>+C30+C33+C34+C35</f>
        <v>0</v>
      </c>
      <c r="D29" s="291">
        <f>+D30+D33+D34+D35</f>
        <v>0</v>
      </c>
      <c r="E29" s="291">
        <f>+E30+E33+E34+E35</f>
        <v>0</v>
      </c>
    </row>
    <row r="30" spans="1:5" s="94" customFormat="1" ht="12" customHeight="1">
      <c r="A30" s="412" t="s">
        <v>816</v>
      </c>
      <c r="B30" s="395" t="s">
        <v>822</v>
      </c>
      <c r="C30" s="390">
        <f>+C31+C32</f>
        <v>0</v>
      </c>
      <c r="D30" s="390">
        <f>+D31+D32</f>
        <v>0</v>
      </c>
      <c r="E30" s="390">
        <f>+E31+E32</f>
        <v>0</v>
      </c>
    </row>
    <row r="31" spans="1:5" s="94" customFormat="1" ht="12" customHeight="1">
      <c r="A31" s="413" t="s">
        <v>817</v>
      </c>
      <c r="B31" s="396" t="s">
        <v>823</v>
      </c>
      <c r="C31" s="287"/>
      <c r="D31" s="287"/>
      <c r="E31" s="287"/>
    </row>
    <row r="32" spans="1:5" s="94" customFormat="1" ht="12" customHeight="1">
      <c r="A32" s="413" t="s">
        <v>818</v>
      </c>
      <c r="B32" s="396" t="s">
        <v>824</v>
      </c>
      <c r="C32" s="287"/>
      <c r="D32" s="287"/>
      <c r="E32" s="287"/>
    </row>
    <row r="33" spans="1:5" s="94" customFormat="1" ht="12" customHeight="1">
      <c r="A33" s="413" t="s">
        <v>819</v>
      </c>
      <c r="B33" s="396" t="s">
        <v>825</v>
      </c>
      <c r="C33" s="287"/>
      <c r="D33" s="287"/>
      <c r="E33" s="287"/>
    </row>
    <row r="34" spans="1:5" s="94" customFormat="1" ht="12" customHeight="1">
      <c r="A34" s="413" t="s">
        <v>820</v>
      </c>
      <c r="B34" s="396" t="s">
        <v>826</v>
      </c>
      <c r="C34" s="287"/>
      <c r="D34" s="287"/>
      <c r="E34" s="287"/>
    </row>
    <row r="35" spans="1:5" s="94" customFormat="1" ht="12" customHeight="1" thickBot="1">
      <c r="A35" s="414" t="s">
        <v>821</v>
      </c>
      <c r="B35" s="397" t="s">
        <v>827</v>
      </c>
      <c r="C35" s="289"/>
      <c r="D35" s="289"/>
      <c r="E35" s="289"/>
    </row>
    <row r="36" spans="1:5" s="94" customFormat="1" ht="12" customHeight="1" thickBot="1">
      <c r="A36" s="30" t="s">
        <v>559</v>
      </c>
      <c r="B36" s="19" t="s">
        <v>828</v>
      </c>
      <c r="C36" s="285">
        <f>SUM(C37:C46)</f>
        <v>0</v>
      </c>
      <c r="D36" s="285">
        <f>SUM(D37:D46)</f>
        <v>0</v>
      </c>
      <c r="E36" s="285">
        <f>SUM(E37:E46)</f>
        <v>0</v>
      </c>
    </row>
    <row r="37" spans="1:5" s="94" customFormat="1" ht="12" customHeight="1">
      <c r="A37" s="412" t="s">
        <v>633</v>
      </c>
      <c r="B37" s="395" t="s">
        <v>831</v>
      </c>
      <c r="C37" s="288"/>
      <c r="D37" s="288"/>
      <c r="E37" s="288"/>
    </row>
    <row r="38" spans="1:5" s="94" customFormat="1" ht="12" customHeight="1">
      <c r="A38" s="413" t="s">
        <v>634</v>
      </c>
      <c r="B38" s="396" t="s">
        <v>832</v>
      </c>
      <c r="C38" s="287"/>
      <c r="D38" s="287"/>
      <c r="E38" s="287"/>
    </row>
    <row r="39" spans="1:5" s="94" customFormat="1" ht="12" customHeight="1">
      <c r="A39" s="413" t="s">
        <v>635</v>
      </c>
      <c r="B39" s="396" t="s">
        <v>833</v>
      </c>
      <c r="C39" s="287"/>
      <c r="D39" s="287"/>
      <c r="E39" s="287"/>
    </row>
    <row r="40" spans="1:5" s="94" customFormat="1" ht="12" customHeight="1">
      <c r="A40" s="413" t="s">
        <v>711</v>
      </c>
      <c r="B40" s="396" t="s">
        <v>834</v>
      </c>
      <c r="C40" s="287"/>
      <c r="D40" s="287"/>
      <c r="E40" s="287"/>
    </row>
    <row r="41" spans="1:5" s="94" customFormat="1" ht="12" customHeight="1">
      <c r="A41" s="413" t="s">
        <v>712</v>
      </c>
      <c r="B41" s="396" t="s">
        <v>835</v>
      </c>
      <c r="C41" s="287"/>
      <c r="D41" s="287"/>
      <c r="E41" s="287"/>
    </row>
    <row r="42" spans="1:5" s="94" customFormat="1" ht="12" customHeight="1">
      <c r="A42" s="413" t="s">
        <v>713</v>
      </c>
      <c r="B42" s="396" t="s">
        <v>836</v>
      </c>
      <c r="C42" s="287"/>
      <c r="D42" s="287"/>
      <c r="E42" s="287"/>
    </row>
    <row r="43" spans="1:5" s="94" customFormat="1" ht="12" customHeight="1">
      <c r="A43" s="413" t="s">
        <v>714</v>
      </c>
      <c r="B43" s="396" t="s">
        <v>837</v>
      </c>
      <c r="C43" s="287"/>
      <c r="D43" s="287"/>
      <c r="E43" s="287"/>
    </row>
    <row r="44" spans="1:5" s="94" customFormat="1" ht="12" customHeight="1">
      <c r="A44" s="413" t="s">
        <v>715</v>
      </c>
      <c r="B44" s="396" t="s">
        <v>838</v>
      </c>
      <c r="C44" s="287"/>
      <c r="D44" s="287"/>
      <c r="E44" s="287"/>
    </row>
    <row r="45" spans="1:5" s="94" customFormat="1" ht="12" customHeight="1">
      <c r="A45" s="413" t="s">
        <v>829</v>
      </c>
      <c r="B45" s="396" t="s">
        <v>839</v>
      </c>
      <c r="C45" s="290"/>
      <c r="D45" s="290"/>
      <c r="E45" s="290"/>
    </row>
    <row r="46" spans="1:5" s="94" customFormat="1" ht="12" customHeight="1" thickBot="1">
      <c r="A46" s="414" t="s">
        <v>830</v>
      </c>
      <c r="B46" s="397" t="s">
        <v>840</v>
      </c>
      <c r="C46" s="384"/>
      <c r="D46" s="384"/>
      <c r="E46" s="384"/>
    </row>
    <row r="47" spans="1:5" s="94" customFormat="1" ht="12" customHeight="1" thickBot="1">
      <c r="A47" s="30" t="s">
        <v>560</v>
      </c>
      <c r="B47" s="19" t="s">
        <v>841</v>
      </c>
      <c r="C47" s="285">
        <f>SUM(C48:C52)</f>
        <v>0</v>
      </c>
      <c r="D47" s="285">
        <f>SUM(D48:D52)</f>
        <v>0</v>
      </c>
      <c r="E47" s="285">
        <f>SUM(E48:E52)</f>
        <v>0</v>
      </c>
    </row>
    <row r="48" spans="1:5" s="94" customFormat="1" ht="12" customHeight="1">
      <c r="A48" s="412" t="s">
        <v>636</v>
      </c>
      <c r="B48" s="395" t="s">
        <v>845</v>
      </c>
      <c r="C48" s="438"/>
      <c r="D48" s="438"/>
      <c r="E48" s="438"/>
    </row>
    <row r="49" spans="1:5" s="94" customFormat="1" ht="12" customHeight="1">
      <c r="A49" s="413" t="s">
        <v>637</v>
      </c>
      <c r="B49" s="396" t="s">
        <v>846</v>
      </c>
      <c r="C49" s="290"/>
      <c r="D49" s="290"/>
      <c r="E49" s="290"/>
    </row>
    <row r="50" spans="1:5" s="94" customFormat="1" ht="12" customHeight="1">
      <c r="A50" s="413" t="s">
        <v>842</v>
      </c>
      <c r="B50" s="396" t="s">
        <v>847</v>
      </c>
      <c r="C50" s="290"/>
      <c r="D50" s="290"/>
      <c r="E50" s="290"/>
    </row>
    <row r="51" spans="1:5" s="94" customFormat="1" ht="12" customHeight="1">
      <c r="A51" s="413" t="s">
        <v>843</v>
      </c>
      <c r="B51" s="396" t="s">
        <v>848</v>
      </c>
      <c r="C51" s="290"/>
      <c r="D51" s="290"/>
      <c r="E51" s="290"/>
    </row>
    <row r="52" spans="1:5" s="94" customFormat="1" ht="12" customHeight="1" thickBot="1">
      <c r="A52" s="414" t="s">
        <v>844</v>
      </c>
      <c r="B52" s="397" t="s">
        <v>849</v>
      </c>
      <c r="C52" s="384"/>
      <c r="D52" s="384"/>
      <c r="E52" s="384"/>
    </row>
    <row r="53" spans="1:5" s="94" customFormat="1" ht="12" customHeight="1" thickBot="1">
      <c r="A53" s="30" t="s">
        <v>716</v>
      </c>
      <c r="B53" s="19" t="s">
        <v>850</v>
      </c>
      <c r="C53" s="285">
        <f>SUM(C54:C56)</f>
        <v>0</v>
      </c>
      <c r="D53" s="285">
        <f>SUM(D54:D56)</f>
        <v>0</v>
      </c>
      <c r="E53" s="285">
        <f>SUM(E54:E56)</f>
        <v>0</v>
      </c>
    </row>
    <row r="54" spans="1:5" s="94" customFormat="1" ht="12" customHeight="1">
      <c r="A54" s="412" t="s">
        <v>638</v>
      </c>
      <c r="B54" s="395" t="s">
        <v>851</v>
      </c>
      <c r="C54" s="288"/>
      <c r="D54" s="288"/>
      <c r="E54" s="288"/>
    </row>
    <row r="55" spans="1:5" s="94" customFormat="1" ht="12" customHeight="1">
      <c r="A55" s="413" t="s">
        <v>639</v>
      </c>
      <c r="B55" s="396" t="s">
        <v>176</v>
      </c>
      <c r="C55" s="287"/>
      <c r="D55" s="287"/>
      <c r="E55" s="287"/>
    </row>
    <row r="56" spans="1:5" s="94" customFormat="1" ht="12" customHeight="1">
      <c r="A56" s="413" t="s">
        <v>854</v>
      </c>
      <c r="B56" s="396" t="s">
        <v>852</v>
      </c>
      <c r="C56" s="287"/>
      <c r="D56" s="287"/>
      <c r="E56" s="287"/>
    </row>
    <row r="57" spans="1:5" s="94" customFormat="1" ht="12" customHeight="1" thickBot="1">
      <c r="A57" s="414" t="s">
        <v>855</v>
      </c>
      <c r="B57" s="397" t="s">
        <v>853</v>
      </c>
      <c r="C57" s="289"/>
      <c r="D57" s="289"/>
      <c r="E57" s="289"/>
    </row>
    <row r="58" spans="1:5" s="94" customFormat="1" ht="12" customHeight="1" thickBot="1">
      <c r="A58" s="30" t="s">
        <v>562</v>
      </c>
      <c r="B58" s="280" t="s">
        <v>856</v>
      </c>
      <c r="C58" s="285">
        <f>SUM(C59:C61)</f>
        <v>0</v>
      </c>
      <c r="D58" s="285">
        <f>SUM(D59:D61)</f>
        <v>0</v>
      </c>
      <c r="E58" s="285">
        <f>SUM(E59:E61)</f>
        <v>0</v>
      </c>
    </row>
    <row r="59" spans="1:5" s="94" customFormat="1" ht="12" customHeight="1">
      <c r="A59" s="412" t="s">
        <v>717</v>
      </c>
      <c r="B59" s="395" t="s">
        <v>858</v>
      </c>
      <c r="C59" s="290"/>
      <c r="D59" s="290"/>
      <c r="E59" s="290"/>
    </row>
    <row r="60" spans="1:5" s="94" customFormat="1" ht="12" customHeight="1">
      <c r="A60" s="413" t="s">
        <v>718</v>
      </c>
      <c r="B60" s="396" t="s">
        <v>177</v>
      </c>
      <c r="C60" s="290"/>
      <c r="D60" s="290"/>
      <c r="E60" s="290"/>
    </row>
    <row r="61" spans="1:5" s="94" customFormat="1" ht="12" customHeight="1">
      <c r="A61" s="413" t="s">
        <v>771</v>
      </c>
      <c r="B61" s="396" t="s">
        <v>859</v>
      </c>
      <c r="C61" s="290"/>
      <c r="D61" s="290"/>
      <c r="E61" s="290"/>
    </row>
    <row r="62" spans="1:5" s="94" customFormat="1" ht="12" customHeight="1" thickBot="1">
      <c r="A62" s="414" t="s">
        <v>857</v>
      </c>
      <c r="B62" s="397" t="s">
        <v>860</v>
      </c>
      <c r="C62" s="290"/>
      <c r="D62" s="290"/>
      <c r="E62" s="290"/>
    </row>
    <row r="63" spans="1:5" s="94" customFormat="1" ht="12" customHeight="1" thickBot="1">
      <c r="A63" s="30" t="s">
        <v>563</v>
      </c>
      <c r="B63" s="19" t="s">
        <v>861</v>
      </c>
      <c r="C63" s="291">
        <f>+C8+C15+C22+C29+C36+C47+C53+C58</f>
        <v>99661</v>
      </c>
      <c r="D63" s="291">
        <f>+D8+D15+D22+D29+D36+D47+D53+D58</f>
        <v>99661</v>
      </c>
      <c r="E63" s="291">
        <f>+E8+E15+E22+E29+E36+E47+E53+E58</f>
        <v>99661</v>
      </c>
    </row>
    <row r="64" spans="1:5" s="94" customFormat="1" ht="12" customHeight="1" thickBot="1">
      <c r="A64" s="415" t="s">
        <v>133</v>
      </c>
      <c r="B64" s="280" t="s">
        <v>863</v>
      </c>
      <c r="C64" s="285">
        <f>SUM(C65:C67)</f>
        <v>0</v>
      </c>
      <c r="D64" s="285">
        <f>SUM(D65:D67)</f>
        <v>0</v>
      </c>
      <c r="E64" s="285">
        <f>SUM(E65:E67)</f>
        <v>0</v>
      </c>
    </row>
    <row r="65" spans="1:5" s="94" customFormat="1" ht="12" customHeight="1">
      <c r="A65" s="412" t="s">
        <v>41</v>
      </c>
      <c r="B65" s="395" t="s">
        <v>864</v>
      </c>
      <c r="C65" s="290"/>
      <c r="D65" s="290"/>
      <c r="E65" s="290"/>
    </row>
    <row r="66" spans="1:5" s="94" customFormat="1" ht="12" customHeight="1">
      <c r="A66" s="413" t="s">
        <v>50</v>
      </c>
      <c r="B66" s="396" t="s">
        <v>865</v>
      </c>
      <c r="C66" s="290"/>
      <c r="D66" s="290"/>
      <c r="E66" s="290"/>
    </row>
    <row r="67" spans="1:5" s="94" customFormat="1" ht="12" customHeight="1" thickBot="1">
      <c r="A67" s="414" t="s">
        <v>51</v>
      </c>
      <c r="B67" s="399" t="s">
        <v>866</v>
      </c>
      <c r="C67" s="290"/>
      <c r="D67" s="290"/>
      <c r="E67" s="290"/>
    </row>
    <row r="68" spans="1:5" s="94" customFormat="1" ht="12" customHeight="1" thickBot="1">
      <c r="A68" s="415" t="s">
        <v>867</v>
      </c>
      <c r="B68" s="280" t="s">
        <v>868</v>
      </c>
      <c r="C68" s="285">
        <f>SUM(C69:C72)</f>
        <v>0</v>
      </c>
      <c r="D68" s="285">
        <f>SUM(D69:D72)</f>
        <v>0</v>
      </c>
      <c r="E68" s="285">
        <f>SUM(E69:E72)</f>
        <v>0</v>
      </c>
    </row>
    <row r="69" spans="1:5" s="94" customFormat="1" ht="12" customHeight="1">
      <c r="A69" s="412" t="s">
        <v>687</v>
      </c>
      <c r="B69" s="395" t="s">
        <v>869</v>
      </c>
      <c r="C69" s="290"/>
      <c r="D69" s="290"/>
      <c r="E69" s="290"/>
    </row>
    <row r="70" spans="1:5" s="94" customFormat="1" ht="12" customHeight="1">
      <c r="A70" s="413" t="s">
        <v>688</v>
      </c>
      <c r="B70" s="396" t="s">
        <v>870</v>
      </c>
      <c r="C70" s="290"/>
      <c r="D70" s="290"/>
      <c r="E70" s="290"/>
    </row>
    <row r="71" spans="1:5" s="94" customFormat="1" ht="12" customHeight="1">
      <c r="A71" s="413" t="s">
        <v>42</v>
      </c>
      <c r="B71" s="396" t="s">
        <v>871</v>
      </c>
      <c r="C71" s="290"/>
      <c r="D71" s="290"/>
      <c r="E71" s="290"/>
    </row>
    <row r="72" spans="1:5" s="94" customFormat="1" ht="12" customHeight="1" thickBot="1">
      <c r="A72" s="414" t="s">
        <v>43</v>
      </c>
      <c r="B72" s="397" t="s">
        <v>872</v>
      </c>
      <c r="C72" s="290"/>
      <c r="D72" s="290"/>
      <c r="E72" s="290"/>
    </row>
    <row r="73" spans="1:5" s="94" customFormat="1" ht="12" customHeight="1" thickBot="1">
      <c r="A73" s="415" t="s">
        <v>873</v>
      </c>
      <c r="B73" s="280" t="s">
        <v>874</v>
      </c>
      <c r="C73" s="285">
        <f>SUM(C74:C75)</f>
        <v>0</v>
      </c>
      <c r="D73" s="285">
        <f>SUM(D74:D75)</f>
        <v>0</v>
      </c>
      <c r="E73" s="285">
        <f>SUM(E74:E75)</f>
        <v>0</v>
      </c>
    </row>
    <row r="74" spans="1:5" s="94" customFormat="1" ht="12" customHeight="1">
      <c r="A74" s="412" t="s">
        <v>44</v>
      </c>
      <c r="B74" s="395" t="s">
        <v>875</v>
      </c>
      <c r="C74" s="290"/>
      <c r="D74" s="290"/>
      <c r="E74" s="290"/>
    </row>
    <row r="75" spans="1:5" s="94" customFormat="1" ht="12" customHeight="1" thickBot="1">
      <c r="A75" s="414" t="s">
        <v>45</v>
      </c>
      <c r="B75" s="397" t="s">
        <v>876</v>
      </c>
      <c r="C75" s="290"/>
      <c r="D75" s="290"/>
      <c r="E75" s="290"/>
    </row>
    <row r="76" spans="1:5" s="93" customFormat="1" ht="12" customHeight="1" thickBot="1">
      <c r="A76" s="415" t="s">
        <v>877</v>
      </c>
      <c r="B76" s="280" t="s">
        <v>878</v>
      </c>
      <c r="C76" s="285">
        <f>SUM(C77:C79)</f>
        <v>0</v>
      </c>
      <c r="D76" s="285">
        <f>SUM(D77:D79)</f>
        <v>0</v>
      </c>
      <c r="E76" s="285">
        <f>SUM(E77:E79)</f>
        <v>0</v>
      </c>
    </row>
    <row r="77" spans="1:5" s="94" customFormat="1" ht="12" customHeight="1">
      <c r="A77" s="412" t="s">
        <v>46</v>
      </c>
      <c r="B77" s="395" t="s">
        <v>879</v>
      </c>
      <c r="C77" s="290"/>
      <c r="D77" s="290"/>
      <c r="E77" s="290"/>
    </row>
    <row r="78" spans="1:5" s="94" customFormat="1" ht="12" customHeight="1">
      <c r="A78" s="413" t="s">
        <v>47</v>
      </c>
      <c r="B78" s="396" t="s">
        <v>880</v>
      </c>
      <c r="C78" s="290"/>
      <c r="D78" s="290"/>
      <c r="E78" s="290"/>
    </row>
    <row r="79" spans="1:5" s="94" customFormat="1" ht="12" customHeight="1" thickBot="1">
      <c r="A79" s="414" t="s">
        <v>48</v>
      </c>
      <c r="B79" s="397" t="s">
        <v>881</v>
      </c>
      <c r="C79" s="290"/>
      <c r="D79" s="290"/>
      <c r="E79" s="290"/>
    </row>
    <row r="80" spans="1:5" s="94" customFormat="1" ht="12" customHeight="1" thickBot="1">
      <c r="A80" s="415" t="s">
        <v>882</v>
      </c>
      <c r="B80" s="280" t="s">
        <v>49</v>
      </c>
      <c r="C80" s="285">
        <f>SUM(C81:C84)</f>
        <v>0</v>
      </c>
      <c r="D80" s="285">
        <f>SUM(D81:D84)</f>
        <v>0</v>
      </c>
      <c r="E80" s="285">
        <f>SUM(E81:E84)</f>
        <v>0</v>
      </c>
    </row>
    <row r="81" spans="1:5" s="94" customFormat="1" ht="12" customHeight="1">
      <c r="A81" s="416" t="s">
        <v>883</v>
      </c>
      <c r="B81" s="395" t="s">
        <v>29</v>
      </c>
      <c r="C81" s="290"/>
      <c r="D81" s="290"/>
      <c r="E81" s="290"/>
    </row>
    <row r="82" spans="1:5" s="94" customFormat="1" ht="12" customHeight="1">
      <c r="A82" s="417" t="s">
        <v>30</v>
      </c>
      <c r="B82" s="396" t="s">
        <v>31</v>
      </c>
      <c r="C82" s="290"/>
      <c r="D82" s="290"/>
      <c r="E82" s="290"/>
    </row>
    <row r="83" spans="1:5" s="94" customFormat="1" ht="12" customHeight="1">
      <c r="A83" s="417" t="s">
        <v>32</v>
      </c>
      <c r="B83" s="396" t="s">
        <v>33</v>
      </c>
      <c r="C83" s="290"/>
      <c r="D83" s="290"/>
      <c r="E83" s="290"/>
    </row>
    <row r="84" spans="1:5" s="93" customFormat="1" ht="12" customHeight="1" thickBot="1">
      <c r="A84" s="418" t="s">
        <v>34</v>
      </c>
      <c r="B84" s="397" t="s">
        <v>35</v>
      </c>
      <c r="C84" s="290"/>
      <c r="D84" s="290"/>
      <c r="E84" s="290"/>
    </row>
    <row r="85" spans="1:5" s="93" customFormat="1" ht="12" customHeight="1" thickBot="1">
      <c r="A85" s="415" t="s">
        <v>36</v>
      </c>
      <c r="B85" s="280" t="s">
        <v>37</v>
      </c>
      <c r="C85" s="439"/>
      <c r="D85" s="439"/>
      <c r="E85" s="439"/>
    </row>
    <row r="86" spans="1:5" s="93" customFormat="1" ht="12" customHeight="1" thickBot="1">
      <c r="A86" s="415" t="s">
        <v>38</v>
      </c>
      <c r="B86" s="403" t="s">
        <v>39</v>
      </c>
      <c r="C86" s="291">
        <f>+C64+C68+C73+C76+C80+C85</f>
        <v>0</v>
      </c>
      <c r="D86" s="291">
        <f>+D64+D68+D73+D76+D80+D85</f>
        <v>0</v>
      </c>
      <c r="E86" s="291">
        <f>+E64+E68+E73+E76+E80+E85</f>
        <v>0</v>
      </c>
    </row>
    <row r="87" spans="1:5" s="93" customFormat="1" ht="12" customHeight="1" thickBot="1">
      <c r="A87" s="419" t="s">
        <v>52</v>
      </c>
      <c r="B87" s="405" t="s">
        <v>165</v>
      </c>
      <c r="C87" s="291">
        <f>+C63+C86</f>
        <v>99661</v>
      </c>
      <c r="D87" s="291">
        <f>+D63+D86</f>
        <v>99661</v>
      </c>
      <c r="E87" s="291">
        <f>+E63+E86</f>
        <v>99661</v>
      </c>
    </row>
    <row r="88" spans="1:5" s="94" customFormat="1" ht="15" customHeight="1">
      <c r="A88" s="229"/>
      <c r="B88" s="230"/>
      <c r="C88" s="355"/>
      <c r="D88" s="355"/>
      <c r="E88" s="355"/>
    </row>
    <row r="89" spans="1:5" ht="13.5" thickBot="1">
      <c r="A89" s="420"/>
      <c r="B89" s="232"/>
      <c r="C89" s="356"/>
      <c r="D89" s="356"/>
      <c r="E89" s="356"/>
    </row>
    <row r="90" spans="1:5" s="57" customFormat="1" ht="16.5" customHeight="1" thickBot="1">
      <c r="A90" s="233"/>
      <c r="B90" s="234" t="s">
        <v>595</v>
      </c>
      <c r="C90" s="357"/>
      <c r="D90" s="357"/>
      <c r="E90" s="357"/>
    </row>
    <row r="91" spans="1:5" s="95" customFormat="1" ht="12" customHeight="1" thickBot="1">
      <c r="A91" s="387" t="s">
        <v>555</v>
      </c>
      <c r="B91" s="29" t="s">
        <v>55</v>
      </c>
      <c r="C91" s="284">
        <f>SUM(C92:C96)</f>
        <v>0</v>
      </c>
      <c r="D91" s="284">
        <f>SUM(D92:D96)</f>
        <v>0</v>
      </c>
      <c r="E91" s="284">
        <f>SUM(E92:E96)</f>
        <v>0</v>
      </c>
    </row>
    <row r="92" spans="1:5" ht="12" customHeight="1">
      <c r="A92" s="421" t="s">
        <v>640</v>
      </c>
      <c r="B92" s="8" t="s">
        <v>585</v>
      </c>
      <c r="C92" s="286"/>
      <c r="D92" s="286"/>
      <c r="E92" s="286"/>
    </row>
    <row r="93" spans="1:5" ht="12" customHeight="1">
      <c r="A93" s="413" t="s">
        <v>641</v>
      </c>
      <c r="B93" s="6" t="s">
        <v>719</v>
      </c>
      <c r="C93" s="287"/>
      <c r="D93" s="287"/>
      <c r="E93" s="287"/>
    </row>
    <row r="94" spans="1:5" ht="12" customHeight="1">
      <c r="A94" s="413" t="s">
        <v>642</v>
      </c>
      <c r="B94" s="6" t="s">
        <v>678</v>
      </c>
      <c r="C94" s="289"/>
      <c r="D94" s="289"/>
      <c r="E94" s="289"/>
    </row>
    <row r="95" spans="1:5" ht="12" customHeight="1">
      <c r="A95" s="413" t="s">
        <v>643</v>
      </c>
      <c r="B95" s="9" t="s">
        <v>720</v>
      </c>
      <c r="C95" s="289"/>
      <c r="D95" s="289"/>
      <c r="E95" s="289"/>
    </row>
    <row r="96" spans="1:5" ht="12" customHeight="1">
      <c r="A96" s="413" t="s">
        <v>654</v>
      </c>
      <c r="B96" s="17" t="s">
        <v>721</v>
      </c>
      <c r="C96" s="289"/>
      <c r="D96" s="289"/>
      <c r="E96" s="289"/>
    </row>
    <row r="97" spans="1:5" ht="12" customHeight="1">
      <c r="A97" s="413" t="s">
        <v>644</v>
      </c>
      <c r="B97" s="6" t="s">
        <v>56</v>
      </c>
      <c r="C97" s="289"/>
      <c r="D97" s="289"/>
      <c r="E97" s="289"/>
    </row>
    <row r="98" spans="1:5" ht="12" customHeight="1">
      <c r="A98" s="413" t="s">
        <v>645</v>
      </c>
      <c r="B98" s="130" t="s">
        <v>57</v>
      </c>
      <c r="C98" s="289"/>
      <c r="D98" s="289"/>
      <c r="E98" s="289"/>
    </row>
    <row r="99" spans="1:5" ht="12" customHeight="1">
      <c r="A99" s="413" t="s">
        <v>655</v>
      </c>
      <c r="B99" s="131" t="s">
        <v>58</v>
      </c>
      <c r="C99" s="289"/>
      <c r="D99" s="289"/>
      <c r="E99" s="289"/>
    </row>
    <row r="100" spans="1:5" ht="12" customHeight="1">
      <c r="A100" s="413" t="s">
        <v>656</v>
      </c>
      <c r="B100" s="131" t="s">
        <v>59</v>
      </c>
      <c r="C100" s="289"/>
      <c r="D100" s="289"/>
      <c r="E100" s="289"/>
    </row>
    <row r="101" spans="1:5" ht="12" customHeight="1">
      <c r="A101" s="413" t="s">
        <v>657</v>
      </c>
      <c r="B101" s="130" t="s">
        <v>249</v>
      </c>
      <c r="C101" s="289"/>
      <c r="D101" s="289"/>
      <c r="E101" s="289"/>
    </row>
    <row r="102" spans="1:5" ht="12" customHeight="1">
      <c r="A102" s="413" t="s">
        <v>658</v>
      </c>
      <c r="B102" s="130" t="s">
        <v>61</v>
      </c>
      <c r="C102" s="289"/>
      <c r="D102" s="289"/>
      <c r="E102" s="289"/>
    </row>
    <row r="103" spans="1:5" ht="12" customHeight="1">
      <c r="A103" s="413" t="s">
        <v>660</v>
      </c>
      <c r="B103" s="131" t="s">
        <v>62</v>
      </c>
      <c r="C103" s="289"/>
      <c r="D103" s="289"/>
      <c r="E103" s="289"/>
    </row>
    <row r="104" spans="1:5" ht="12" customHeight="1">
      <c r="A104" s="422" t="s">
        <v>722</v>
      </c>
      <c r="B104" s="132" t="s">
        <v>63</v>
      </c>
      <c r="C104" s="289"/>
      <c r="D104" s="289"/>
      <c r="E104" s="289"/>
    </row>
    <row r="105" spans="1:5" ht="12" customHeight="1">
      <c r="A105" s="413" t="s">
        <v>53</v>
      </c>
      <c r="B105" s="132" t="s">
        <v>64</v>
      </c>
      <c r="C105" s="289"/>
      <c r="D105" s="289"/>
      <c r="E105" s="289"/>
    </row>
    <row r="106" spans="1:5" ht="12" customHeight="1" thickBot="1">
      <c r="A106" s="423" t="s">
        <v>54</v>
      </c>
      <c r="B106" s="133" t="s">
        <v>65</v>
      </c>
      <c r="C106" s="292"/>
      <c r="D106" s="292"/>
      <c r="E106" s="292"/>
    </row>
    <row r="107" spans="1:5" ht="12" customHeight="1" thickBot="1">
      <c r="A107" s="30" t="s">
        <v>556</v>
      </c>
      <c r="B107" s="28" t="s">
        <v>66</v>
      </c>
      <c r="C107" s="285">
        <f>+C108+C110+C112</f>
        <v>0</v>
      </c>
      <c r="D107" s="285">
        <f>+D108+D110+D112</f>
        <v>0</v>
      </c>
      <c r="E107" s="285">
        <f>+E108+E110+E112</f>
        <v>0</v>
      </c>
    </row>
    <row r="108" spans="1:5" ht="12" customHeight="1">
      <c r="A108" s="412" t="s">
        <v>646</v>
      </c>
      <c r="B108" s="6" t="s">
        <v>769</v>
      </c>
      <c r="C108" s="288"/>
      <c r="D108" s="288"/>
      <c r="E108" s="288"/>
    </row>
    <row r="109" spans="1:5" ht="12" customHeight="1">
      <c r="A109" s="412" t="s">
        <v>647</v>
      </c>
      <c r="B109" s="10" t="s">
        <v>70</v>
      </c>
      <c r="C109" s="288"/>
      <c r="D109" s="288"/>
      <c r="E109" s="288"/>
    </row>
    <row r="110" spans="1:5" ht="12" customHeight="1">
      <c r="A110" s="412" t="s">
        <v>648</v>
      </c>
      <c r="B110" s="10" t="s">
        <v>723</v>
      </c>
      <c r="C110" s="287"/>
      <c r="D110" s="287"/>
      <c r="E110" s="287"/>
    </row>
    <row r="111" spans="1:5" ht="12" customHeight="1">
      <c r="A111" s="412" t="s">
        <v>649</v>
      </c>
      <c r="B111" s="10" t="s">
        <v>71</v>
      </c>
      <c r="C111" s="258"/>
      <c r="D111" s="258"/>
      <c r="E111" s="258"/>
    </row>
    <row r="112" spans="1:5" ht="12" customHeight="1">
      <c r="A112" s="412" t="s">
        <v>650</v>
      </c>
      <c r="B112" s="282" t="s">
        <v>772</v>
      </c>
      <c r="C112" s="258"/>
      <c r="D112" s="258"/>
      <c r="E112" s="258"/>
    </row>
    <row r="113" spans="1:5" ht="12" customHeight="1">
      <c r="A113" s="412" t="s">
        <v>659</v>
      </c>
      <c r="B113" s="281" t="s">
        <v>178</v>
      </c>
      <c r="C113" s="258"/>
      <c r="D113" s="258"/>
      <c r="E113" s="258"/>
    </row>
    <row r="114" spans="1:5" ht="12" customHeight="1">
      <c r="A114" s="412" t="s">
        <v>661</v>
      </c>
      <c r="B114" s="391" t="s">
        <v>76</v>
      </c>
      <c r="C114" s="258"/>
      <c r="D114" s="258"/>
      <c r="E114" s="258"/>
    </row>
    <row r="115" spans="1:5" ht="12" customHeight="1">
      <c r="A115" s="412" t="s">
        <v>724</v>
      </c>
      <c r="B115" s="131" t="s">
        <v>59</v>
      </c>
      <c r="C115" s="258"/>
      <c r="D115" s="258"/>
      <c r="E115" s="258"/>
    </row>
    <row r="116" spans="1:5" ht="12" customHeight="1">
      <c r="A116" s="412" t="s">
        <v>725</v>
      </c>
      <c r="B116" s="131" t="s">
        <v>75</v>
      </c>
      <c r="C116" s="258"/>
      <c r="D116" s="258"/>
      <c r="E116" s="258"/>
    </row>
    <row r="117" spans="1:5" ht="12" customHeight="1">
      <c r="A117" s="412" t="s">
        <v>726</v>
      </c>
      <c r="B117" s="131" t="s">
        <v>74</v>
      </c>
      <c r="C117" s="258"/>
      <c r="D117" s="258"/>
      <c r="E117" s="258"/>
    </row>
    <row r="118" spans="1:5" ht="12" customHeight="1">
      <c r="A118" s="412" t="s">
        <v>67</v>
      </c>
      <c r="B118" s="131" t="s">
        <v>62</v>
      </c>
      <c r="C118" s="258"/>
      <c r="D118" s="258"/>
      <c r="E118" s="258"/>
    </row>
    <row r="119" spans="1:5" ht="12" customHeight="1">
      <c r="A119" s="412" t="s">
        <v>68</v>
      </c>
      <c r="B119" s="131" t="s">
        <v>73</v>
      </c>
      <c r="C119" s="258"/>
      <c r="D119" s="258"/>
      <c r="E119" s="258"/>
    </row>
    <row r="120" spans="1:5" ht="12" customHeight="1" thickBot="1">
      <c r="A120" s="422" t="s">
        <v>69</v>
      </c>
      <c r="B120" s="131" t="s">
        <v>72</v>
      </c>
      <c r="C120" s="259"/>
      <c r="D120" s="259"/>
      <c r="E120" s="259"/>
    </row>
    <row r="121" spans="1:5" ht="12" customHeight="1" thickBot="1">
      <c r="A121" s="30" t="s">
        <v>557</v>
      </c>
      <c r="B121" s="121" t="s">
        <v>77</v>
      </c>
      <c r="C121" s="285">
        <f>+C122+C123</f>
        <v>0</v>
      </c>
      <c r="D121" s="285">
        <f>+D122+D123</f>
        <v>0</v>
      </c>
      <c r="E121" s="285">
        <f>+E122+E123</f>
        <v>0</v>
      </c>
    </row>
    <row r="122" spans="1:5" ht="12" customHeight="1">
      <c r="A122" s="412" t="s">
        <v>629</v>
      </c>
      <c r="B122" s="7" t="s">
        <v>597</v>
      </c>
      <c r="C122" s="288"/>
      <c r="D122" s="288"/>
      <c r="E122" s="288"/>
    </row>
    <row r="123" spans="1:5" ht="12" customHeight="1" thickBot="1">
      <c r="A123" s="414" t="s">
        <v>630</v>
      </c>
      <c r="B123" s="10" t="s">
        <v>598</v>
      </c>
      <c r="C123" s="289"/>
      <c r="D123" s="289"/>
      <c r="E123" s="289"/>
    </row>
    <row r="124" spans="1:5" ht="12" customHeight="1" thickBot="1">
      <c r="A124" s="30" t="s">
        <v>558</v>
      </c>
      <c r="B124" s="121" t="s">
        <v>78</v>
      </c>
      <c r="C124" s="285">
        <f>+C91+C107+C121</f>
        <v>0</v>
      </c>
      <c r="D124" s="285">
        <f>+D91+D107+D121</f>
        <v>0</v>
      </c>
      <c r="E124" s="285">
        <f>+E91+E107+E121</f>
        <v>0</v>
      </c>
    </row>
    <row r="125" spans="1:5" ht="12" customHeight="1" thickBot="1">
      <c r="A125" s="30" t="s">
        <v>559</v>
      </c>
      <c r="B125" s="121" t="s">
        <v>79</v>
      </c>
      <c r="C125" s="285">
        <f>+C126+C127+C128</f>
        <v>0</v>
      </c>
      <c r="D125" s="285">
        <f>+D126+D127+D128</f>
        <v>0</v>
      </c>
      <c r="E125" s="285">
        <f>+E126+E127+E128</f>
        <v>0</v>
      </c>
    </row>
    <row r="126" spans="1:5" s="95" customFormat="1" ht="12" customHeight="1">
      <c r="A126" s="412" t="s">
        <v>633</v>
      </c>
      <c r="B126" s="7" t="s">
        <v>80</v>
      </c>
      <c r="C126" s="258"/>
      <c r="D126" s="258"/>
      <c r="E126" s="258"/>
    </row>
    <row r="127" spans="1:5" ht="12" customHeight="1">
      <c r="A127" s="412" t="s">
        <v>634</v>
      </c>
      <c r="B127" s="7" t="s">
        <v>81</v>
      </c>
      <c r="C127" s="258"/>
      <c r="D127" s="258"/>
      <c r="E127" s="258"/>
    </row>
    <row r="128" spans="1:5" ht="12" customHeight="1" thickBot="1">
      <c r="A128" s="422" t="s">
        <v>635</v>
      </c>
      <c r="B128" s="5" t="s">
        <v>82</v>
      </c>
      <c r="C128" s="258"/>
      <c r="D128" s="258"/>
      <c r="E128" s="258"/>
    </row>
    <row r="129" spans="1:5" ht="12" customHeight="1" thickBot="1">
      <c r="A129" s="30" t="s">
        <v>560</v>
      </c>
      <c r="B129" s="121" t="s">
        <v>132</v>
      </c>
      <c r="C129" s="285">
        <f>+C130+C131+C132+C133</f>
        <v>0</v>
      </c>
      <c r="D129" s="285">
        <f>+D130+D131+D132+D133</f>
        <v>0</v>
      </c>
      <c r="E129" s="285">
        <f>+E130+E131+E132+E133</f>
        <v>0</v>
      </c>
    </row>
    <row r="130" spans="1:5" ht="12" customHeight="1">
      <c r="A130" s="412" t="s">
        <v>636</v>
      </c>
      <c r="B130" s="7" t="s">
        <v>83</v>
      </c>
      <c r="C130" s="258"/>
      <c r="D130" s="258"/>
      <c r="E130" s="258"/>
    </row>
    <row r="131" spans="1:5" ht="12" customHeight="1">
      <c r="A131" s="412" t="s">
        <v>637</v>
      </c>
      <c r="B131" s="7" t="s">
        <v>84</v>
      </c>
      <c r="C131" s="258"/>
      <c r="D131" s="258"/>
      <c r="E131" s="258"/>
    </row>
    <row r="132" spans="1:5" ht="12" customHeight="1">
      <c r="A132" s="412" t="s">
        <v>842</v>
      </c>
      <c r="B132" s="7" t="s">
        <v>85</v>
      </c>
      <c r="C132" s="258"/>
      <c r="D132" s="258"/>
      <c r="E132" s="258"/>
    </row>
    <row r="133" spans="1:5" s="95" customFormat="1" ht="12" customHeight="1" thickBot="1">
      <c r="A133" s="422" t="s">
        <v>843</v>
      </c>
      <c r="B133" s="5" t="s">
        <v>86</v>
      </c>
      <c r="C133" s="258"/>
      <c r="D133" s="258"/>
      <c r="E133" s="258"/>
    </row>
    <row r="134" spans="1:11" ht="12" customHeight="1" thickBot="1">
      <c r="A134" s="30" t="s">
        <v>561</v>
      </c>
      <c r="B134" s="121" t="s">
        <v>87</v>
      </c>
      <c r="C134" s="291">
        <f>+C135+C136+C137+C138</f>
        <v>99661</v>
      </c>
      <c r="D134" s="291">
        <f>+D135+D136+D137+D138</f>
        <v>99661</v>
      </c>
      <c r="E134" s="291">
        <f>+E135+E136+E137+E138</f>
        <v>99661</v>
      </c>
      <c r="K134" s="241"/>
    </row>
    <row r="135" spans="1:5" ht="12.75">
      <c r="A135" s="412" t="s">
        <v>638</v>
      </c>
      <c r="B135" s="7" t="s">
        <v>88</v>
      </c>
      <c r="C135" s="258"/>
      <c r="D135" s="258"/>
      <c r="E135" s="258"/>
    </row>
    <row r="136" spans="1:5" ht="12" customHeight="1">
      <c r="A136" s="412" t="s">
        <v>639</v>
      </c>
      <c r="B136" s="7" t="s">
        <v>98</v>
      </c>
      <c r="C136" s="258"/>
      <c r="D136" s="258"/>
      <c r="E136" s="258"/>
    </row>
    <row r="137" spans="1:5" s="95" customFormat="1" ht="12" customHeight="1">
      <c r="A137" s="412" t="s">
        <v>854</v>
      </c>
      <c r="B137" s="7" t="s">
        <v>408</v>
      </c>
      <c r="C137" s="258">
        <v>99661</v>
      </c>
      <c r="D137" s="258">
        <v>99661</v>
      </c>
      <c r="E137" s="258">
        <v>99661</v>
      </c>
    </row>
    <row r="138" spans="1:5" s="95" customFormat="1" ht="12" customHeight="1" thickBot="1">
      <c r="A138" s="422" t="s">
        <v>855</v>
      </c>
      <c r="B138" s="5" t="s">
        <v>90</v>
      </c>
      <c r="C138" s="258"/>
      <c r="D138" s="258"/>
      <c r="E138" s="258"/>
    </row>
    <row r="139" spans="1:5" s="95" customFormat="1" ht="12" customHeight="1" thickBot="1">
      <c r="A139" s="30" t="s">
        <v>562</v>
      </c>
      <c r="B139" s="121" t="s">
        <v>91</v>
      </c>
      <c r="C139" s="293">
        <f>+C140+C141+C142+C143</f>
        <v>0</v>
      </c>
      <c r="D139" s="293">
        <f>+D140+D141+D142+D143</f>
        <v>0</v>
      </c>
      <c r="E139" s="293">
        <f>+E140+E141+E142+E143</f>
        <v>0</v>
      </c>
    </row>
    <row r="140" spans="1:5" s="95" customFormat="1" ht="12" customHeight="1">
      <c r="A140" s="412" t="s">
        <v>717</v>
      </c>
      <c r="B140" s="7" t="s">
        <v>92</v>
      </c>
      <c r="C140" s="258"/>
      <c r="D140" s="258"/>
      <c r="E140" s="258"/>
    </row>
    <row r="141" spans="1:5" s="95" customFormat="1" ht="12" customHeight="1">
      <c r="A141" s="412" t="s">
        <v>718</v>
      </c>
      <c r="B141" s="7" t="s">
        <v>93</v>
      </c>
      <c r="C141" s="258"/>
      <c r="D141" s="258"/>
      <c r="E141" s="258"/>
    </row>
    <row r="142" spans="1:5" s="95" customFormat="1" ht="12" customHeight="1">
      <c r="A142" s="412" t="s">
        <v>771</v>
      </c>
      <c r="B142" s="7" t="s">
        <v>94</v>
      </c>
      <c r="C142" s="258"/>
      <c r="D142" s="258"/>
      <c r="E142" s="258"/>
    </row>
    <row r="143" spans="1:5" ht="12.75" customHeight="1" thickBot="1">
      <c r="A143" s="412" t="s">
        <v>857</v>
      </c>
      <c r="B143" s="7" t="s">
        <v>95</v>
      </c>
      <c r="C143" s="258"/>
      <c r="D143" s="258"/>
      <c r="E143" s="258"/>
    </row>
    <row r="144" spans="1:5" ht="12" customHeight="1" thickBot="1">
      <c r="A144" s="30" t="s">
        <v>563</v>
      </c>
      <c r="B144" s="121" t="s">
        <v>96</v>
      </c>
      <c r="C144" s="407">
        <f>+C125+C129+C134+C139</f>
        <v>99661</v>
      </c>
      <c r="D144" s="407">
        <f>+D125+D129+D134+D139</f>
        <v>99661</v>
      </c>
      <c r="E144" s="407">
        <f>+E125+E129+E134+E139</f>
        <v>99661</v>
      </c>
    </row>
    <row r="145" spans="1:5" ht="15" customHeight="1" thickBot="1">
      <c r="A145" s="424" t="s">
        <v>564</v>
      </c>
      <c r="B145" s="367" t="s">
        <v>97</v>
      </c>
      <c r="C145" s="407">
        <f>+C124+C144</f>
        <v>99661</v>
      </c>
      <c r="D145" s="407">
        <f>+D124+D144</f>
        <v>99661</v>
      </c>
      <c r="E145" s="407">
        <f>+E124+E144</f>
        <v>99661</v>
      </c>
    </row>
    <row r="146" spans="1:5" ht="13.5" thickBot="1">
      <c r="A146" s="375"/>
      <c r="B146" s="376"/>
      <c r="C146" s="377"/>
      <c r="D146" s="377"/>
      <c r="E146" s="377"/>
    </row>
    <row r="147" spans="1:5" ht="15" customHeight="1" thickBot="1">
      <c r="A147" s="238" t="s">
        <v>742</v>
      </c>
      <c r="B147" s="239"/>
      <c r="C147" s="118"/>
      <c r="D147" s="118"/>
      <c r="E147" s="118"/>
    </row>
    <row r="148" spans="1:5" ht="14.25" customHeight="1" thickBot="1">
      <c r="A148" s="238" t="s">
        <v>743</v>
      </c>
      <c r="B148" s="239"/>
      <c r="C148" s="118"/>
      <c r="D148" s="118"/>
      <c r="E14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7" r:id="rId1"/>
  <rowBreaks count="1" manualBreakCount="1">
    <brk id="8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G60"/>
  <sheetViews>
    <sheetView workbookViewId="0" topLeftCell="A40">
      <selection activeCell="A60" sqref="A60"/>
    </sheetView>
  </sheetViews>
  <sheetFormatPr defaultColWidth="9.00390625" defaultRowHeight="12.75"/>
  <cols>
    <col min="1" max="1" width="13.875" style="236" customWidth="1"/>
    <col min="2" max="2" width="79.125" style="237" customWidth="1"/>
    <col min="3" max="7" width="24.625" style="237" customWidth="1"/>
    <col min="8" max="16384" width="9.375" style="237" customWidth="1"/>
  </cols>
  <sheetData>
    <row r="1" spans="1:7" s="216" customFormat="1" ht="21" customHeight="1" thickBot="1">
      <c r="A1" s="215"/>
      <c r="B1" s="217"/>
      <c r="C1" s="217"/>
      <c r="D1" s="432"/>
      <c r="E1" s="432" t="s">
        <v>901</v>
      </c>
      <c r="F1" s="432"/>
      <c r="G1" s="432"/>
    </row>
    <row r="2" spans="1:7" s="433" customFormat="1" ht="25.5" customHeight="1">
      <c r="A2" s="385" t="s">
        <v>740</v>
      </c>
      <c r="B2" s="345" t="s">
        <v>187</v>
      </c>
      <c r="C2" s="1071"/>
      <c r="D2" s="360"/>
      <c r="E2" s="360"/>
      <c r="F2" s="360"/>
      <c r="G2" s="360" t="s">
        <v>599</v>
      </c>
    </row>
    <row r="3" spans="1:7" s="433" customFormat="1" ht="24.75" thickBot="1">
      <c r="A3" s="425" t="s">
        <v>739</v>
      </c>
      <c r="B3" s="346" t="s">
        <v>138</v>
      </c>
      <c r="C3" s="1072"/>
      <c r="D3" s="1087"/>
      <c r="E3" s="1087"/>
      <c r="F3" s="1087"/>
      <c r="G3" s="1087" t="s">
        <v>589</v>
      </c>
    </row>
    <row r="4" spans="1:7" s="434" customFormat="1" ht="15.75" customHeight="1" thickBot="1">
      <c r="A4" s="219"/>
      <c r="B4" s="219"/>
      <c r="C4" s="219"/>
      <c r="D4" s="220"/>
      <c r="E4" s="220" t="s">
        <v>590</v>
      </c>
      <c r="F4" s="220"/>
      <c r="G4" s="220"/>
    </row>
    <row r="5" spans="1:7" ht="13.5" thickBot="1">
      <c r="A5" s="386" t="s">
        <v>741</v>
      </c>
      <c r="B5" s="221" t="s">
        <v>591</v>
      </c>
      <c r="C5" s="1088" t="s">
        <v>592</v>
      </c>
      <c r="D5" s="1089" t="s">
        <v>886</v>
      </c>
      <c r="E5" s="1089" t="s">
        <v>908</v>
      </c>
      <c r="F5" s="1089" t="s">
        <v>913</v>
      </c>
      <c r="G5" s="1089" t="s">
        <v>8</v>
      </c>
    </row>
    <row r="6" spans="1:7" s="435" customFormat="1" ht="12.75" customHeight="1" thickBot="1">
      <c r="A6" s="188">
        <v>1</v>
      </c>
      <c r="B6" s="189">
        <v>2</v>
      </c>
      <c r="C6" s="1073">
        <v>3</v>
      </c>
      <c r="D6" s="190">
        <v>4</v>
      </c>
      <c r="E6" s="190">
        <v>5</v>
      </c>
      <c r="F6" s="190">
        <v>6</v>
      </c>
      <c r="G6" s="190">
        <v>7</v>
      </c>
    </row>
    <row r="7" spans="1:7" s="435" customFormat="1" ht="15.75" customHeight="1" thickBot="1">
      <c r="A7" s="223"/>
      <c r="B7" s="224" t="s">
        <v>593</v>
      </c>
      <c r="C7" s="224"/>
      <c r="D7" s="225"/>
      <c r="E7" s="225"/>
      <c r="F7" s="225"/>
      <c r="G7" s="225"/>
    </row>
    <row r="8" spans="1:7" s="362" customFormat="1" ht="12" customHeight="1" thickBot="1">
      <c r="A8" s="188" t="s">
        <v>555</v>
      </c>
      <c r="B8" s="226" t="s">
        <v>139</v>
      </c>
      <c r="C8" s="304">
        <f>SUM(C9:C18)</f>
        <v>3000</v>
      </c>
      <c r="D8" s="304">
        <f>SUM(D9:D18)</f>
        <v>3000</v>
      </c>
      <c r="E8" s="304">
        <f>SUM(E9:E18)</f>
        <v>3000</v>
      </c>
      <c r="F8" s="304">
        <f>SUM(F9:F18)</f>
        <v>4223394</v>
      </c>
      <c r="G8" s="304">
        <f>SUM(G9:G18)</f>
        <v>4461104</v>
      </c>
    </row>
    <row r="9" spans="1:7" s="362" customFormat="1" ht="12" customHeight="1">
      <c r="A9" s="426" t="s">
        <v>640</v>
      </c>
      <c r="B9" s="8" t="s">
        <v>831</v>
      </c>
      <c r="C9" s="351"/>
      <c r="D9" s="351"/>
      <c r="E9" s="351"/>
      <c r="F9" s="351"/>
      <c r="G9" s="351"/>
    </row>
    <row r="10" spans="1:7" s="362" customFormat="1" ht="12" customHeight="1">
      <c r="A10" s="427" t="s">
        <v>641</v>
      </c>
      <c r="B10" s="6" t="s">
        <v>832</v>
      </c>
      <c r="C10" s="302">
        <f>'[1]Munka1'!$B$43</f>
        <v>3000</v>
      </c>
      <c r="D10" s="302">
        <f>'[1]Munka1'!$B$43</f>
        <v>3000</v>
      </c>
      <c r="E10" s="302">
        <f>'[1]Munka1'!$B$43</f>
        <v>3000</v>
      </c>
      <c r="F10" s="302">
        <v>3000000</v>
      </c>
      <c r="G10" s="302">
        <v>3233380</v>
      </c>
    </row>
    <row r="11" spans="1:7" s="362" customFormat="1" ht="12" customHeight="1">
      <c r="A11" s="427" t="s">
        <v>642</v>
      </c>
      <c r="B11" s="6" t="s">
        <v>833</v>
      </c>
      <c r="C11" s="302"/>
      <c r="D11" s="302"/>
      <c r="E11" s="302"/>
      <c r="F11" s="302"/>
      <c r="G11" s="302"/>
    </row>
    <row r="12" spans="1:7" s="362" customFormat="1" ht="12" customHeight="1">
      <c r="A12" s="427" t="s">
        <v>643</v>
      </c>
      <c r="B12" s="6" t="s">
        <v>834</v>
      </c>
      <c r="C12" s="302"/>
      <c r="D12" s="302"/>
      <c r="E12" s="302"/>
      <c r="F12" s="302"/>
      <c r="G12" s="302"/>
    </row>
    <row r="13" spans="1:7" s="362" customFormat="1" ht="12" customHeight="1">
      <c r="A13" s="427" t="s">
        <v>686</v>
      </c>
      <c r="B13" s="6" t="s">
        <v>835</v>
      </c>
      <c r="C13" s="302"/>
      <c r="D13" s="302"/>
      <c r="E13" s="302"/>
      <c r="F13" s="302"/>
      <c r="G13" s="302"/>
    </row>
    <row r="14" spans="1:7" s="362" customFormat="1" ht="12" customHeight="1">
      <c r="A14" s="427" t="s">
        <v>644</v>
      </c>
      <c r="B14" s="6" t="s">
        <v>140</v>
      </c>
      <c r="C14" s="302"/>
      <c r="D14" s="302"/>
      <c r="E14" s="302"/>
      <c r="F14" s="302"/>
      <c r="G14" s="302"/>
    </row>
    <row r="15" spans="1:7" s="362" customFormat="1" ht="12" customHeight="1">
      <c r="A15" s="427" t="s">
        <v>645</v>
      </c>
      <c r="B15" s="5" t="s">
        <v>141</v>
      </c>
      <c r="C15" s="302"/>
      <c r="D15" s="302"/>
      <c r="E15" s="302"/>
      <c r="F15" s="302"/>
      <c r="G15" s="302"/>
    </row>
    <row r="16" spans="1:7" s="362" customFormat="1" ht="12" customHeight="1">
      <c r="A16" s="427" t="s">
        <v>655</v>
      </c>
      <c r="B16" s="6" t="s">
        <v>838</v>
      </c>
      <c r="C16" s="352"/>
      <c r="D16" s="352"/>
      <c r="E16" s="352"/>
      <c r="F16" s="352"/>
      <c r="G16" s="352">
        <v>4330</v>
      </c>
    </row>
    <row r="17" spans="1:7" s="436" customFormat="1" ht="12" customHeight="1">
      <c r="A17" s="427" t="s">
        <v>656</v>
      </c>
      <c r="B17" s="6" t="s">
        <v>839</v>
      </c>
      <c r="C17" s="302"/>
      <c r="D17" s="302"/>
      <c r="E17" s="302"/>
      <c r="F17" s="302"/>
      <c r="G17" s="302"/>
    </row>
    <row r="18" spans="1:7" s="436" customFormat="1" ht="12" customHeight="1" thickBot="1">
      <c r="A18" s="427" t="s">
        <v>657</v>
      </c>
      <c r="B18" s="5" t="s">
        <v>840</v>
      </c>
      <c r="C18" s="303"/>
      <c r="D18" s="303"/>
      <c r="E18" s="303"/>
      <c r="F18" s="303">
        <v>1223394</v>
      </c>
      <c r="G18" s="303">
        <v>1223394</v>
      </c>
    </row>
    <row r="19" spans="1:7" s="362" customFormat="1" ht="12" customHeight="1" thickBot="1">
      <c r="A19" s="188" t="s">
        <v>556</v>
      </c>
      <c r="B19" s="226" t="s">
        <v>142</v>
      </c>
      <c r="C19" s="304">
        <f>SUM(C20:C22)</f>
        <v>0</v>
      </c>
      <c r="D19" s="304">
        <f>SUM(D20:D22)</f>
        <v>0</v>
      </c>
      <c r="E19" s="304">
        <f>SUM(E20:E22)</f>
        <v>0</v>
      </c>
      <c r="F19" s="304">
        <f>SUM(F20:F22)</f>
        <v>0</v>
      </c>
      <c r="G19" s="304">
        <f>SUM(G20:G22)</f>
        <v>0</v>
      </c>
    </row>
    <row r="20" spans="1:7" s="436" customFormat="1" ht="12" customHeight="1">
      <c r="A20" s="427" t="s">
        <v>646</v>
      </c>
      <c r="B20" s="7" t="s">
        <v>806</v>
      </c>
      <c r="C20" s="302"/>
      <c r="D20" s="302"/>
      <c r="E20" s="302"/>
      <c r="F20" s="302"/>
      <c r="G20" s="302"/>
    </row>
    <row r="21" spans="1:7" s="436" customFormat="1" ht="12" customHeight="1">
      <c r="A21" s="427" t="s">
        <v>647</v>
      </c>
      <c r="B21" s="6" t="s">
        <v>143</v>
      </c>
      <c r="C21" s="302"/>
      <c r="D21" s="302"/>
      <c r="E21" s="302"/>
      <c r="F21" s="302"/>
      <c r="G21" s="302"/>
    </row>
    <row r="22" spans="1:7" s="436" customFormat="1" ht="12" customHeight="1">
      <c r="A22" s="427" t="s">
        <v>648</v>
      </c>
      <c r="B22" s="6" t="s">
        <v>144</v>
      </c>
      <c r="C22" s="302"/>
      <c r="D22" s="302"/>
      <c r="E22" s="302"/>
      <c r="F22" s="302"/>
      <c r="G22" s="302"/>
    </row>
    <row r="23" spans="1:7" s="436" customFormat="1" ht="12" customHeight="1" thickBot="1">
      <c r="A23" s="427" t="s">
        <v>649</v>
      </c>
      <c r="B23" s="6" t="s">
        <v>538</v>
      </c>
      <c r="C23" s="302"/>
      <c r="D23" s="302"/>
      <c r="E23" s="302"/>
      <c r="F23" s="302"/>
      <c r="G23" s="302"/>
    </row>
    <row r="24" spans="1:7" s="436" customFormat="1" ht="12" customHeight="1" thickBot="1">
      <c r="A24" s="196" t="s">
        <v>557</v>
      </c>
      <c r="B24" s="121" t="s">
        <v>710</v>
      </c>
      <c r="C24" s="331"/>
      <c r="D24" s="331"/>
      <c r="E24" s="331"/>
      <c r="F24" s="331"/>
      <c r="G24" s="331"/>
    </row>
    <row r="25" spans="1:7" s="436" customFormat="1" ht="12" customHeight="1" thickBot="1">
      <c r="A25" s="196" t="s">
        <v>558</v>
      </c>
      <c r="B25" s="121" t="s">
        <v>145</v>
      </c>
      <c r="C25" s="304">
        <f>+C26+C27</f>
        <v>0</v>
      </c>
      <c r="D25" s="304">
        <f>+D26+D27</f>
        <v>0</v>
      </c>
      <c r="E25" s="304">
        <f>+E26+E27</f>
        <v>0</v>
      </c>
      <c r="F25" s="304">
        <f>+F26+F27</f>
        <v>0</v>
      </c>
      <c r="G25" s="304">
        <f>+G26+G27</f>
        <v>0</v>
      </c>
    </row>
    <row r="26" spans="1:7" s="436" customFormat="1" ht="12" customHeight="1">
      <c r="A26" s="428" t="s">
        <v>816</v>
      </c>
      <c r="B26" s="429" t="s">
        <v>143</v>
      </c>
      <c r="C26" s="76"/>
      <c r="D26" s="76"/>
      <c r="E26" s="76"/>
      <c r="F26" s="76"/>
      <c r="G26" s="76"/>
    </row>
    <row r="27" spans="1:7" s="436" customFormat="1" ht="12" customHeight="1">
      <c r="A27" s="428" t="s">
        <v>819</v>
      </c>
      <c r="B27" s="430" t="s">
        <v>146</v>
      </c>
      <c r="C27" s="305"/>
      <c r="D27" s="305"/>
      <c r="E27" s="305"/>
      <c r="F27" s="305"/>
      <c r="G27" s="305"/>
    </row>
    <row r="28" spans="1:7" s="436" customFormat="1" ht="12" customHeight="1" thickBot="1">
      <c r="A28" s="427" t="s">
        <v>820</v>
      </c>
      <c r="B28" s="431" t="s">
        <v>147</v>
      </c>
      <c r="C28" s="83"/>
      <c r="D28" s="83"/>
      <c r="E28" s="83"/>
      <c r="F28" s="83"/>
      <c r="G28" s="83"/>
    </row>
    <row r="29" spans="1:7" s="436" customFormat="1" ht="12" customHeight="1" thickBot="1">
      <c r="A29" s="196" t="s">
        <v>559</v>
      </c>
      <c r="B29" s="121" t="s">
        <v>148</v>
      </c>
      <c r="C29" s="304">
        <f>+C30+C31+C32</f>
        <v>0</v>
      </c>
      <c r="D29" s="304">
        <f>+D30+D31+D32</f>
        <v>0</v>
      </c>
      <c r="E29" s="304">
        <f>+E30+E31+E32</f>
        <v>0</v>
      </c>
      <c r="F29" s="304">
        <f>+F30+F31+F32</f>
        <v>0</v>
      </c>
      <c r="G29" s="304">
        <f>+G30+G31+G32</f>
        <v>0</v>
      </c>
    </row>
    <row r="30" spans="1:7" s="436" customFormat="1" ht="12" customHeight="1">
      <c r="A30" s="428" t="s">
        <v>633</v>
      </c>
      <c r="B30" s="429" t="s">
        <v>845</v>
      </c>
      <c r="C30" s="76"/>
      <c r="D30" s="76"/>
      <c r="E30" s="76"/>
      <c r="F30" s="76"/>
      <c r="G30" s="76"/>
    </row>
    <row r="31" spans="1:7" s="436" customFormat="1" ht="12" customHeight="1">
      <c r="A31" s="428" t="s">
        <v>634</v>
      </c>
      <c r="B31" s="430" t="s">
        <v>846</v>
      </c>
      <c r="C31" s="305"/>
      <c r="D31" s="305"/>
      <c r="E31" s="305"/>
      <c r="F31" s="305"/>
      <c r="G31" s="305"/>
    </row>
    <row r="32" spans="1:7" s="436" customFormat="1" ht="12" customHeight="1" thickBot="1">
      <c r="A32" s="427" t="s">
        <v>635</v>
      </c>
      <c r="B32" s="129" t="s">
        <v>847</v>
      </c>
      <c r="C32" s="83"/>
      <c r="D32" s="83"/>
      <c r="E32" s="83"/>
      <c r="F32" s="83"/>
      <c r="G32" s="83"/>
    </row>
    <row r="33" spans="1:7" s="362" customFormat="1" ht="12" customHeight="1" thickBot="1">
      <c r="A33" s="196" t="s">
        <v>560</v>
      </c>
      <c r="B33" s="121" t="s">
        <v>104</v>
      </c>
      <c r="C33" s="331"/>
      <c r="D33" s="331"/>
      <c r="E33" s="331"/>
      <c r="F33" s="331"/>
      <c r="G33" s="331"/>
    </row>
    <row r="34" spans="1:7" s="362" customFormat="1" ht="12" customHeight="1" thickBot="1">
      <c r="A34" s="196" t="s">
        <v>561</v>
      </c>
      <c r="B34" s="121" t="s">
        <v>149</v>
      </c>
      <c r="C34" s="331"/>
      <c r="D34" s="331"/>
      <c r="E34" s="331"/>
      <c r="F34" s="331"/>
      <c r="G34" s="331"/>
    </row>
    <row r="35" spans="1:7" s="362" customFormat="1" ht="12" customHeight="1" thickBot="1">
      <c r="A35" s="188" t="s">
        <v>562</v>
      </c>
      <c r="B35" s="121" t="s">
        <v>150</v>
      </c>
      <c r="C35" s="304">
        <f>+C8+C19+C24+C25+C29+C33+C34</f>
        <v>3000</v>
      </c>
      <c r="D35" s="304">
        <f>+D8+D19+D24+D25+D29+D33+D34</f>
        <v>3000</v>
      </c>
      <c r="E35" s="304">
        <f>+E8+E19+E24+E25+E29+E33+E34</f>
        <v>3000</v>
      </c>
      <c r="F35" s="304">
        <f>+F8+F19+F24+F25+F29+F33+F34</f>
        <v>4223394</v>
      </c>
      <c r="G35" s="304">
        <f>+G8+G19+G24+G25+G29+G33+G34</f>
        <v>4461104</v>
      </c>
    </row>
    <row r="36" spans="1:7" s="362" customFormat="1" ht="12" customHeight="1" thickBot="1">
      <c r="A36" s="227" t="s">
        <v>563</v>
      </c>
      <c r="B36" s="121" t="s">
        <v>151</v>
      </c>
      <c r="C36" s="304">
        <f>+C37+C38+C39</f>
        <v>99661</v>
      </c>
      <c r="D36" s="304">
        <f>+D37+D38+D39</f>
        <v>99887</v>
      </c>
      <c r="E36" s="304">
        <f>+E37+E38+E39</f>
        <v>100032</v>
      </c>
      <c r="F36" s="304">
        <f>+F37+F38+F39</f>
        <v>100099056</v>
      </c>
      <c r="G36" s="304">
        <f>+G37+G38+G39</f>
        <v>100098345</v>
      </c>
    </row>
    <row r="37" spans="1:7" s="362" customFormat="1" ht="12" customHeight="1">
      <c r="A37" s="428" t="s">
        <v>152</v>
      </c>
      <c r="B37" s="429" t="s">
        <v>779</v>
      </c>
      <c r="C37" s="76"/>
      <c r="D37" s="76">
        <v>2830</v>
      </c>
      <c r="E37" s="76">
        <v>2830</v>
      </c>
      <c r="F37" s="76">
        <v>2830000</v>
      </c>
      <c r="G37" s="76">
        <v>2829289</v>
      </c>
    </row>
    <row r="38" spans="1:7" s="362" customFormat="1" ht="12" customHeight="1">
      <c r="A38" s="428" t="s">
        <v>153</v>
      </c>
      <c r="B38" s="430" t="s">
        <v>539</v>
      </c>
      <c r="C38" s="305"/>
      <c r="D38" s="305"/>
      <c r="E38" s="305"/>
      <c r="F38" s="305"/>
      <c r="G38" s="305"/>
    </row>
    <row r="39" spans="1:7" s="436" customFormat="1" ht="12" customHeight="1" thickBot="1">
      <c r="A39" s="427" t="s">
        <v>154</v>
      </c>
      <c r="B39" s="129" t="s">
        <v>155</v>
      </c>
      <c r="C39" s="1024">
        <f>'[4]Munka1'!$B$43</f>
        <v>99661</v>
      </c>
      <c r="D39" s="1024">
        <v>97057</v>
      </c>
      <c r="E39" s="1024">
        <v>97202</v>
      </c>
      <c r="F39" s="1024">
        <v>97269056</v>
      </c>
      <c r="G39" s="1024">
        <v>97269056</v>
      </c>
    </row>
    <row r="40" spans="1:7" s="436" customFormat="1" ht="15" customHeight="1" thickBot="1">
      <c r="A40" s="227" t="s">
        <v>564</v>
      </c>
      <c r="B40" s="228" t="s">
        <v>156</v>
      </c>
      <c r="C40" s="357">
        <f>+C35+C36</f>
        <v>102661</v>
      </c>
      <c r="D40" s="357">
        <f>+D35+D36</f>
        <v>102887</v>
      </c>
      <c r="E40" s="357">
        <f>+E35+E36</f>
        <v>103032</v>
      </c>
      <c r="F40" s="357">
        <f>+F35+F36</f>
        <v>104322450</v>
      </c>
      <c r="G40" s="357">
        <f>+G35+G36</f>
        <v>104559449</v>
      </c>
    </row>
    <row r="41" spans="1:7" s="436" customFormat="1" ht="15" customHeight="1">
      <c r="A41" s="229"/>
      <c r="B41" s="230"/>
      <c r="C41" s="355"/>
      <c r="D41" s="355"/>
      <c r="E41" s="355"/>
      <c r="F41" s="355"/>
      <c r="G41" s="355"/>
    </row>
    <row r="42" spans="1:7" ht="13.5" thickBot="1">
      <c r="A42" s="231"/>
      <c r="B42" s="232"/>
      <c r="C42" s="356"/>
      <c r="D42" s="356"/>
      <c r="E42" s="356"/>
      <c r="F42" s="356"/>
      <c r="G42" s="356"/>
    </row>
    <row r="43" spans="1:7" s="435" customFormat="1" ht="16.5" customHeight="1" thickBot="1">
      <c r="A43" s="233"/>
      <c r="B43" s="234" t="s">
        <v>595</v>
      </c>
      <c r="C43" s="357"/>
      <c r="D43" s="357"/>
      <c r="E43" s="357"/>
      <c r="F43" s="357"/>
      <c r="G43" s="357"/>
    </row>
    <row r="44" spans="1:7" s="437" customFormat="1" ht="12" customHeight="1" thickBot="1">
      <c r="A44" s="196" t="s">
        <v>555</v>
      </c>
      <c r="B44" s="121" t="s">
        <v>157</v>
      </c>
      <c r="C44" s="304">
        <f>SUM(C45:C49)</f>
        <v>102661</v>
      </c>
      <c r="D44" s="304">
        <f>SUM(D45:D49)</f>
        <v>102887</v>
      </c>
      <c r="E44" s="304">
        <f>SUM(E45:E49)</f>
        <v>103032</v>
      </c>
      <c r="F44" s="304">
        <f>SUM(F45:F49)</f>
        <v>104322450</v>
      </c>
      <c r="G44" s="304">
        <f>SUM(G45:G49)</f>
        <v>104559449</v>
      </c>
    </row>
    <row r="45" spans="1:7" ht="12" customHeight="1">
      <c r="A45" s="427" t="s">
        <v>640</v>
      </c>
      <c r="B45" s="7" t="s">
        <v>585</v>
      </c>
      <c r="C45" s="79">
        <f>'[2]Munka1'!$B$45+'[2]Munka1'!$C$45</f>
        <v>68250</v>
      </c>
      <c r="D45" s="79">
        <v>68428</v>
      </c>
      <c r="E45" s="79">
        <v>68542</v>
      </c>
      <c r="F45" s="79">
        <v>63398895</v>
      </c>
      <c r="G45" s="79">
        <v>63760785</v>
      </c>
    </row>
    <row r="46" spans="1:7" ht="12" customHeight="1">
      <c r="A46" s="427" t="s">
        <v>641</v>
      </c>
      <c r="B46" s="6" t="s">
        <v>719</v>
      </c>
      <c r="C46" s="79">
        <f>'[2]Munka1'!$B$64+'[2]Munka1'!$C$64</f>
        <v>18670</v>
      </c>
      <c r="D46" s="79">
        <v>18718</v>
      </c>
      <c r="E46" s="79">
        <v>18749</v>
      </c>
      <c r="F46" s="79">
        <v>17733204</v>
      </c>
      <c r="G46" s="79">
        <v>17791204</v>
      </c>
    </row>
    <row r="47" spans="1:7" ht="12" customHeight="1">
      <c r="A47" s="427" t="s">
        <v>642</v>
      </c>
      <c r="B47" s="6" t="s">
        <v>678</v>
      </c>
      <c r="C47" s="79">
        <f>'[3]Munka1'!$B$97+'[3]Munka1'!$C$97</f>
        <v>15741</v>
      </c>
      <c r="D47" s="79">
        <f>'[3]Munka1'!$B$97+'[3]Munka1'!$C$97</f>
        <v>15741</v>
      </c>
      <c r="E47" s="79">
        <f>'[3]Munka1'!$B$97+'[3]Munka1'!$C$97</f>
        <v>15741</v>
      </c>
      <c r="F47" s="79">
        <v>23190351</v>
      </c>
      <c r="G47" s="79">
        <v>23007460</v>
      </c>
    </row>
    <row r="48" spans="1:7" ht="12" customHeight="1">
      <c r="A48" s="427" t="s">
        <v>643</v>
      </c>
      <c r="B48" s="6" t="s">
        <v>720</v>
      </c>
      <c r="C48" s="79"/>
      <c r="D48" s="79"/>
      <c r="E48" s="79"/>
      <c r="F48" s="79"/>
      <c r="G48" s="79"/>
    </row>
    <row r="49" spans="1:7" ht="12" customHeight="1" thickBot="1">
      <c r="A49" s="427" t="s">
        <v>686</v>
      </c>
      <c r="B49" s="6" t="s">
        <v>721</v>
      </c>
      <c r="C49" s="79"/>
      <c r="D49" s="79"/>
      <c r="E49" s="79"/>
      <c r="F49" s="79"/>
      <c r="G49" s="79"/>
    </row>
    <row r="50" spans="1:7" ht="12" customHeight="1" thickBot="1">
      <c r="A50" s="196" t="s">
        <v>556</v>
      </c>
      <c r="B50" s="121" t="s">
        <v>158</v>
      </c>
      <c r="C50" s="304">
        <f>SUM(C51:C53)</f>
        <v>0</v>
      </c>
      <c r="D50" s="304">
        <f>SUM(D51:D53)</f>
        <v>0</v>
      </c>
      <c r="E50" s="304">
        <f>SUM(E51:E53)</f>
        <v>0</v>
      </c>
      <c r="F50" s="304">
        <f>SUM(F51:F53)</f>
        <v>0</v>
      </c>
      <c r="G50" s="304">
        <f>SUM(G51:G53)</f>
        <v>0</v>
      </c>
    </row>
    <row r="51" spans="1:7" s="437" customFormat="1" ht="12" customHeight="1">
      <c r="A51" s="427" t="s">
        <v>646</v>
      </c>
      <c r="B51" s="7" t="s">
        <v>769</v>
      </c>
      <c r="C51" s="76"/>
      <c r="D51" s="76"/>
      <c r="E51" s="76"/>
      <c r="F51" s="76"/>
      <c r="G51" s="76"/>
    </row>
    <row r="52" spans="1:7" ht="12" customHeight="1">
      <c r="A52" s="427" t="s">
        <v>647</v>
      </c>
      <c r="B52" s="6" t="s">
        <v>723</v>
      </c>
      <c r="C52" s="79"/>
      <c r="D52" s="79"/>
      <c r="E52" s="79"/>
      <c r="F52" s="79"/>
      <c r="G52" s="79"/>
    </row>
    <row r="53" spans="1:7" ht="12" customHeight="1">
      <c r="A53" s="427" t="s">
        <v>648</v>
      </c>
      <c r="B53" s="6" t="s">
        <v>596</v>
      </c>
      <c r="C53" s="79"/>
      <c r="D53" s="79"/>
      <c r="E53" s="79"/>
      <c r="F53" s="79"/>
      <c r="G53" s="79"/>
    </row>
    <row r="54" spans="1:7" ht="12" customHeight="1" thickBot="1">
      <c r="A54" s="427" t="s">
        <v>649</v>
      </c>
      <c r="B54" s="6" t="s">
        <v>540</v>
      </c>
      <c r="C54" s="79"/>
      <c r="D54" s="79"/>
      <c r="E54" s="79"/>
      <c r="F54" s="79"/>
      <c r="G54" s="79"/>
    </row>
    <row r="55" spans="1:7" ht="15" customHeight="1" thickBot="1">
      <c r="A55" s="196" t="s">
        <v>557</v>
      </c>
      <c r="B55" s="235" t="s">
        <v>164</v>
      </c>
      <c r="C55" s="358">
        <f>+C44+C50</f>
        <v>102661</v>
      </c>
      <c r="D55" s="358">
        <f>+D44+D50</f>
        <v>102887</v>
      </c>
      <c r="E55" s="358">
        <f>+E44+E50</f>
        <v>103032</v>
      </c>
      <c r="F55" s="358">
        <f>+F44+F50</f>
        <v>104322450</v>
      </c>
      <c r="G55" s="358">
        <f>+G44+G50</f>
        <v>104559449</v>
      </c>
    </row>
    <row r="56" spans="3:7" ht="13.5" thickBot="1">
      <c r="C56" s="359"/>
      <c r="D56" s="359"/>
      <c r="E56" s="359"/>
      <c r="F56" s="359"/>
      <c r="G56" s="359"/>
    </row>
    <row r="57" spans="1:7" ht="15" customHeight="1" thickBot="1">
      <c r="A57" s="238" t="s">
        <v>742</v>
      </c>
      <c r="B57" s="239"/>
      <c r="C57" s="118">
        <v>20</v>
      </c>
      <c r="D57" s="118">
        <v>20</v>
      </c>
      <c r="E57" s="118">
        <v>20</v>
      </c>
      <c r="F57" s="118">
        <v>20</v>
      </c>
      <c r="G57" s="118">
        <v>20</v>
      </c>
    </row>
    <row r="58" spans="1:7" ht="14.25" customHeight="1" thickBot="1">
      <c r="A58" s="238" t="s">
        <v>743</v>
      </c>
      <c r="B58" s="239"/>
      <c r="C58" s="118"/>
      <c r="D58" s="118"/>
      <c r="E58" s="118"/>
      <c r="F58" s="118"/>
      <c r="G58" s="118"/>
    </row>
    <row r="60" ht="15.75">
      <c r="A60" s="368" t="s">
        <v>23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G60"/>
  <sheetViews>
    <sheetView workbookViewId="0" topLeftCell="B34">
      <selection activeCell="B60" sqref="B60"/>
    </sheetView>
  </sheetViews>
  <sheetFormatPr defaultColWidth="9.00390625" defaultRowHeight="12.75"/>
  <cols>
    <col min="1" max="1" width="13.875" style="236" customWidth="1"/>
    <col min="2" max="2" width="79.125" style="237" customWidth="1"/>
    <col min="3" max="4" width="25.00390625" style="237" customWidth="1"/>
    <col min="5" max="7" width="24.625" style="237" customWidth="1"/>
    <col min="8" max="16384" width="9.375" style="237" customWidth="1"/>
  </cols>
  <sheetData>
    <row r="1" spans="1:7" s="216" customFormat="1" ht="21" customHeight="1" thickBot="1">
      <c r="A1" s="215"/>
      <c r="B1" s="217"/>
      <c r="C1" s="217"/>
      <c r="D1" s="432"/>
      <c r="E1" s="432"/>
      <c r="F1" s="432" t="s">
        <v>901</v>
      </c>
      <c r="G1" s="432"/>
    </row>
    <row r="2" spans="1:7" s="433" customFormat="1" ht="25.5" customHeight="1">
      <c r="A2" s="385" t="s">
        <v>740</v>
      </c>
      <c r="B2" s="345" t="s">
        <v>187</v>
      </c>
      <c r="C2" s="1071"/>
      <c r="D2" s="360"/>
      <c r="E2" s="360"/>
      <c r="F2" s="360"/>
      <c r="G2" s="360" t="s">
        <v>599</v>
      </c>
    </row>
    <row r="3" spans="1:7" s="433" customFormat="1" ht="24.75" thickBot="1">
      <c r="A3" s="425" t="s">
        <v>739</v>
      </c>
      <c r="B3" s="346" t="s">
        <v>166</v>
      </c>
      <c r="C3" s="1072"/>
      <c r="D3" s="361"/>
      <c r="E3" s="1087"/>
      <c r="F3" s="1087"/>
      <c r="G3" s="1087" t="s">
        <v>589</v>
      </c>
    </row>
    <row r="4" spans="1:7" s="434" customFormat="1" ht="15.75" customHeight="1" thickBot="1">
      <c r="A4" s="219"/>
      <c r="B4" s="219"/>
      <c r="C4" s="219"/>
      <c r="D4" s="220"/>
      <c r="E4" s="220" t="s">
        <v>590</v>
      </c>
      <c r="F4" s="220"/>
      <c r="G4" s="220"/>
    </row>
    <row r="5" spans="1:7" ht="13.5" thickBot="1">
      <c r="A5" s="386" t="s">
        <v>741</v>
      </c>
      <c r="B5" s="221" t="s">
        <v>591</v>
      </c>
      <c r="C5" s="222" t="s">
        <v>592</v>
      </c>
      <c r="D5" s="222" t="s">
        <v>887</v>
      </c>
      <c r="E5" s="1089" t="s">
        <v>908</v>
      </c>
      <c r="F5" s="1089" t="s">
        <v>913</v>
      </c>
      <c r="G5" s="1089" t="s">
        <v>8</v>
      </c>
    </row>
    <row r="6" spans="1:7" s="435" customFormat="1" ht="12.75" customHeight="1" thickBot="1">
      <c r="A6" s="188">
        <v>1</v>
      </c>
      <c r="B6" s="189">
        <v>2</v>
      </c>
      <c r="C6" s="1073">
        <v>3</v>
      </c>
      <c r="D6" s="190">
        <v>4</v>
      </c>
      <c r="E6" s="190">
        <v>5</v>
      </c>
      <c r="F6" s="190">
        <v>6</v>
      </c>
      <c r="G6" s="190">
        <v>7</v>
      </c>
    </row>
    <row r="7" spans="1:7" s="435" customFormat="1" ht="15.75" customHeight="1" thickBot="1">
      <c r="A7" s="223"/>
      <c r="B7" s="224" t="s">
        <v>593</v>
      </c>
      <c r="C7" s="224"/>
      <c r="D7" s="225"/>
      <c r="E7" s="225"/>
      <c r="F7" s="225"/>
      <c r="G7" s="225"/>
    </row>
    <row r="8" spans="1:7" s="362" customFormat="1" ht="12" customHeight="1" thickBot="1">
      <c r="A8" s="188" t="s">
        <v>555</v>
      </c>
      <c r="B8" s="226" t="s">
        <v>139</v>
      </c>
      <c r="C8" s="647"/>
      <c r="D8" s="304">
        <f>SUM(D9:D18)</f>
        <v>3000</v>
      </c>
      <c r="E8" s="304">
        <f>SUM(E9:E18)</f>
        <v>3000</v>
      </c>
      <c r="F8" s="304">
        <f>SUM(F9:F18)</f>
        <v>4223394</v>
      </c>
      <c r="G8" s="304">
        <f>SUM(G9:G18)</f>
        <v>4461104</v>
      </c>
    </row>
    <row r="9" spans="1:7" s="362" customFormat="1" ht="12" customHeight="1">
      <c r="A9" s="426" t="s">
        <v>640</v>
      </c>
      <c r="B9" s="8" t="s">
        <v>831</v>
      </c>
      <c r="C9" s="1074"/>
      <c r="D9" s="351"/>
      <c r="E9" s="351"/>
      <c r="F9" s="351"/>
      <c r="G9" s="351"/>
    </row>
    <row r="10" spans="1:7" s="362" customFormat="1" ht="12" customHeight="1">
      <c r="A10" s="427" t="s">
        <v>641</v>
      </c>
      <c r="B10" s="6" t="s">
        <v>832</v>
      </c>
      <c r="C10" s="1075"/>
      <c r="D10" s="302">
        <f>'[1]Munka1'!$B$43</f>
        <v>3000</v>
      </c>
      <c r="E10" s="302">
        <f>'[1]Munka1'!$B$43</f>
        <v>3000</v>
      </c>
      <c r="F10" s="302">
        <v>3000000</v>
      </c>
      <c r="G10" s="302">
        <v>3233380</v>
      </c>
    </row>
    <row r="11" spans="1:7" s="362" customFormat="1" ht="12" customHeight="1">
      <c r="A11" s="427" t="s">
        <v>642</v>
      </c>
      <c r="B11" s="6" t="s">
        <v>833</v>
      </c>
      <c r="C11" s="1075"/>
      <c r="D11" s="302"/>
      <c r="E11" s="302"/>
      <c r="F11" s="302"/>
      <c r="G11" s="302"/>
    </row>
    <row r="12" spans="1:7" s="362" customFormat="1" ht="12" customHeight="1">
      <c r="A12" s="427" t="s">
        <v>643</v>
      </c>
      <c r="B12" s="6" t="s">
        <v>834</v>
      </c>
      <c r="C12" s="1075"/>
      <c r="D12" s="302"/>
      <c r="E12" s="302"/>
      <c r="F12" s="302"/>
      <c r="G12" s="302"/>
    </row>
    <row r="13" spans="1:7" s="362" customFormat="1" ht="12" customHeight="1">
      <c r="A13" s="427" t="s">
        <v>686</v>
      </c>
      <c r="B13" s="6" t="s">
        <v>835</v>
      </c>
      <c r="C13" s="1075"/>
      <c r="D13" s="302"/>
      <c r="E13" s="302"/>
      <c r="F13" s="302"/>
      <c r="G13" s="302"/>
    </row>
    <row r="14" spans="1:7" s="362" customFormat="1" ht="12" customHeight="1">
      <c r="A14" s="427" t="s">
        <v>644</v>
      </c>
      <c r="B14" s="6" t="s">
        <v>140</v>
      </c>
      <c r="C14" s="1075"/>
      <c r="D14" s="302"/>
      <c r="E14" s="302"/>
      <c r="F14" s="302"/>
      <c r="G14" s="302"/>
    </row>
    <row r="15" spans="1:7" s="362" customFormat="1" ht="12" customHeight="1">
      <c r="A15" s="427" t="s">
        <v>645</v>
      </c>
      <c r="B15" s="5" t="s">
        <v>141</v>
      </c>
      <c r="C15" s="6"/>
      <c r="D15" s="302"/>
      <c r="E15" s="302"/>
      <c r="F15" s="302"/>
      <c r="G15" s="302"/>
    </row>
    <row r="16" spans="1:7" s="362" customFormat="1" ht="12" customHeight="1">
      <c r="A16" s="427" t="s">
        <v>655</v>
      </c>
      <c r="B16" s="6" t="s">
        <v>838</v>
      </c>
      <c r="C16" s="6"/>
      <c r="D16" s="352"/>
      <c r="E16" s="352"/>
      <c r="F16" s="352"/>
      <c r="G16" s="352">
        <v>4330</v>
      </c>
    </row>
    <row r="17" spans="1:7" s="436" customFormat="1" ht="12" customHeight="1">
      <c r="A17" s="427" t="s">
        <v>656</v>
      </c>
      <c r="B17" s="6" t="s">
        <v>839</v>
      </c>
      <c r="C17" s="1075"/>
      <c r="D17" s="302"/>
      <c r="E17" s="302"/>
      <c r="F17" s="302"/>
      <c r="G17" s="302"/>
    </row>
    <row r="18" spans="1:7" s="436" customFormat="1" ht="12" customHeight="1" thickBot="1">
      <c r="A18" s="427" t="s">
        <v>657</v>
      </c>
      <c r="B18" s="5" t="s">
        <v>840</v>
      </c>
      <c r="C18" s="1076"/>
      <c r="D18" s="303"/>
      <c r="E18" s="303"/>
      <c r="F18" s="303">
        <v>1223394</v>
      </c>
      <c r="G18" s="303">
        <v>1223394</v>
      </c>
    </row>
    <row r="19" spans="1:7" s="362" customFormat="1" ht="12" customHeight="1" thickBot="1">
      <c r="A19" s="188" t="s">
        <v>556</v>
      </c>
      <c r="B19" s="226" t="s">
        <v>142</v>
      </c>
      <c r="C19" s="647"/>
      <c r="D19" s="304">
        <f>SUM(D20:D22)</f>
        <v>0</v>
      </c>
      <c r="E19" s="304">
        <f>SUM(E20:E22)</f>
        <v>0</v>
      </c>
      <c r="F19" s="304">
        <f>SUM(F20:F22)</f>
        <v>0</v>
      </c>
      <c r="G19" s="304">
        <f>SUM(G20:G22)</f>
        <v>0</v>
      </c>
    </row>
    <row r="20" spans="1:7" s="436" customFormat="1" ht="12" customHeight="1">
      <c r="A20" s="427" t="s">
        <v>646</v>
      </c>
      <c r="B20" s="7" t="s">
        <v>806</v>
      </c>
      <c r="C20" s="1077"/>
      <c r="D20" s="302"/>
      <c r="E20" s="302"/>
      <c r="F20" s="302"/>
      <c r="G20" s="302"/>
    </row>
    <row r="21" spans="1:7" s="436" customFormat="1" ht="12" customHeight="1">
      <c r="A21" s="427" t="s">
        <v>647</v>
      </c>
      <c r="B21" s="6" t="s">
        <v>143</v>
      </c>
      <c r="C21" s="1075"/>
      <c r="D21" s="302"/>
      <c r="E21" s="302"/>
      <c r="F21" s="302"/>
      <c r="G21" s="302"/>
    </row>
    <row r="22" spans="1:7" s="436" customFormat="1" ht="12" customHeight="1">
      <c r="A22" s="427" t="s">
        <v>648</v>
      </c>
      <c r="B22" s="6" t="s">
        <v>144</v>
      </c>
      <c r="C22" s="1075"/>
      <c r="D22" s="302"/>
      <c r="E22" s="302"/>
      <c r="F22" s="302"/>
      <c r="G22" s="302"/>
    </row>
    <row r="23" spans="1:7" s="436" customFormat="1" ht="12" customHeight="1" thickBot="1">
      <c r="A23" s="427" t="s">
        <v>649</v>
      </c>
      <c r="B23" s="6" t="s">
        <v>538</v>
      </c>
      <c r="C23" s="1075"/>
      <c r="D23" s="302"/>
      <c r="E23" s="302"/>
      <c r="F23" s="302"/>
      <c r="G23" s="302"/>
    </row>
    <row r="24" spans="1:7" s="436" customFormat="1" ht="12" customHeight="1" thickBot="1">
      <c r="A24" s="196" t="s">
        <v>557</v>
      </c>
      <c r="B24" s="121" t="s">
        <v>710</v>
      </c>
      <c r="C24" s="1078"/>
      <c r="D24" s="331"/>
      <c r="E24" s="331"/>
      <c r="F24" s="331"/>
      <c r="G24" s="331"/>
    </row>
    <row r="25" spans="1:7" s="436" customFormat="1" ht="12" customHeight="1" thickBot="1">
      <c r="A25" s="196" t="s">
        <v>558</v>
      </c>
      <c r="B25" s="121" t="s">
        <v>145</v>
      </c>
      <c r="C25" s="1078"/>
      <c r="D25" s="304">
        <f>+D26+D27</f>
        <v>0</v>
      </c>
      <c r="E25" s="304">
        <f>+E26+E27</f>
        <v>0</v>
      </c>
      <c r="F25" s="304">
        <f>+F26+F27</f>
        <v>0</v>
      </c>
      <c r="G25" s="304">
        <f>+G26+G27</f>
        <v>0</v>
      </c>
    </row>
    <row r="26" spans="1:7" s="436" customFormat="1" ht="12" customHeight="1">
      <c r="A26" s="428" t="s">
        <v>816</v>
      </c>
      <c r="B26" s="429" t="s">
        <v>143</v>
      </c>
      <c r="C26" s="1079"/>
      <c r="D26" s="76"/>
      <c r="E26" s="76"/>
      <c r="F26" s="76"/>
      <c r="G26" s="76"/>
    </row>
    <row r="27" spans="1:7" s="436" customFormat="1" ht="12" customHeight="1">
      <c r="A27" s="428" t="s">
        <v>819</v>
      </c>
      <c r="B27" s="430" t="s">
        <v>146</v>
      </c>
      <c r="C27" s="430"/>
      <c r="D27" s="305"/>
      <c r="E27" s="305"/>
      <c r="F27" s="305"/>
      <c r="G27" s="305"/>
    </row>
    <row r="28" spans="1:7" s="436" customFormat="1" ht="12" customHeight="1" thickBot="1">
      <c r="A28" s="427" t="s">
        <v>820</v>
      </c>
      <c r="B28" s="431" t="s">
        <v>147</v>
      </c>
      <c r="C28" s="1135"/>
      <c r="D28" s="83"/>
      <c r="E28" s="83"/>
      <c r="F28" s="83"/>
      <c r="G28" s="83"/>
    </row>
    <row r="29" spans="1:7" s="436" customFormat="1" ht="12" customHeight="1" thickBot="1">
      <c r="A29" s="196" t="s">
        <v>559</v>
      </c>
      <c r="B29" s="121" t="s">
        <v>148</v>
      </c>
      <c r="C29" s="121"/>
      <c r="D29" s="304">
        <f>+D30+D31+D32</f>
        <v>0</v>
      </c>
      <c r="E29" s="304">
        <f>+E30+E31+E32</f>
        <v>0</v>
      </c>
      <c r="F29" s="304">
        <f>+F30+F31+F32</f>
        <v>0</v>
      </c>
      <c r="G29" s="304">
        <f>+G30+G31+G32</f>
        <v>0</v>
      </c>
    </row>
    <row r="30" spans="1:7" s="436" customFormat="1" ht="12" customHeight="1">
      <c r="A30" s="428" t="s">
        <v>633</v>
      </c>
      <c r="B30" s="429" t="s">
        <v>845</v>
      </c>
      <c r="C30" s="1079"/>
      <c r="D30" s="76"/>
      <c r="E30" s="76"/>
      <c r="F30" s="76"/>
      <c r="G30" s="76"/>
    </row>
    <row r="31" spans="1:7" s="436" customFormat="1" ht="12" customHeight="1">
      <c r="A31" s="428" t="s">
        <v>634</v>
      </c>
      <c r="B31" s="430" t="s">
        <v>846</v>
      </c>
      <c r="C31" s="430"/>
      <c r="D31" s="305"/>
      <c r="E31" s="305"/>
      <c r="F31" s="305"/>
      <c r="G31" s="305"/>
    </row>
    <row r="32" spans="1:7" s="436" customFormat="1" ht="12" customHeight="1" thickBot="1">
      <c r="A32" s="427" t="s">
        <v>635</v>
      </c>
      <c r="B32" s="129" t="s">
        <v>847</v>
      </c>
      <c r="C32" s="1090"/>
      <c r="D32" s="83"/>
      <c r="E32" s="83"/>
      <c r="F32" s="83"/>
      <c r="G32" s="83"/>
    </row>
    <row r="33" spans="1:7" s="362" customFormat="1" ht="12" customHeight="1" thickBot="1">
      <c r="A33" s="196" t="s">
        <v>560</v>
      </c>
      <c r="B33" s="121" t="s">
        <v>104</v>
      </c>
      <c r="C33" s="121"/>
      <c r="D33" s="353"/>
      <c r="E33" s="331"/>
      <c r="F33" s="331"/>
      <c r="G33" s="331"/>
    </row>
    <row r="34" spans="1:7" s="362" customFormat="1" ht="12" customHeight="1" thickBot="1">
      <c r="A34" s="196" t="s">
        <v>561</v>
      </c>
      <c r="B34" s="121" t="s">
        <v>149</v>
      </c>
      <c r="C34" s="121"/>
      <c r="D34" s="353"/>
      <c r="E34" s="331"/>
      <c r="F34" s="331"/>
      <c r="G34" s="331"/>
    </row>
    <row r="35" spans="1:7" s="362" customFormat="1" ht="12" customHeight="1" thickBot="1">
      <c r="A35" s="188" t="s">
        <v>562</v>
      </c>
      <c r="B35" s="121" t="s">
        <v>150</v>
      </c>
      <c r="C35" s="121"/>
      <c r="D35" s="354">
        <f>+D8+D19+D24+D25+D29+D33+D34</f>
        <v>3000</v>
      </c>
      <c r="E35" s="304">
        <f>+E8+E19+E24+E25+E29+E33+E34</f>
        <v>3000</v>
      </c>
      <c r="F35" s="304">
        <f>+F8+F19+F24+F25+F29+F33+F34</f>
        <v>4223394</v>
      </c>
      <c r="G35" s="304">
        <f>+G8+G19+G24+G25+G29+G33+G34</f>
        <v>4461104</v>
      </c>
    </row>
    <row r="36" spans="1:7" s="362" customFormat="1" ht="12" customHeight="1" thickBot="1">
      <c r="A36" s="227" t="s">
        <v>563</v>
      </c>
      <c r="B36" s="121" t="s">
        <v>151</v>
      </c>
      <c r="C36" s="121"/>
      <c r="D36" s="354">
        <f>+D37+D38+D39</f>
        <v>99887</v>
      </c>
      <c r="E36" s="304">
        <f>+E37+E38+E39</f>
        <v>100032</v>
      </c>
      <c r="F36" s="304">
        <f>+F37+F38+F39</f>
        <v>100099056</v>
      </c>
      <c r="G36" s="304">
        <f>+G37+G38+G39</f>
        <v>100098345</v>
      </c>
    </row>
    <row r="37" spans="1:7" s="362" customFormat="1" ht="12" customHeight="1">
      <c r="A37" s="428" t="s">
        <v>152</v>
      </c>
      <c r="B37" s="429" t="s">
        <v>779</v>
      </c>
      <c r="C37" s="429"/>
      <c r="D37" s="1048">
        <v>2830</v>
      </c>
      <c r="E37" s="76">
        <v>2830</v>
      </c>
      <c r="F37" s="76">
        <v>2830000</v>
      </c>
      <c r="G37" s="76">
        <v>2829289</v>
      </c>
    </row>
    <row r="38" spans="1:7" s="362" customFormat="1" ht="12" customHeight="1">
      <c r="A38" s="428" t="s">
        <v>153</v>
      </c>
      <c r="B38" s="430" t="s">
        <v>539</v>
      </c>
      <c r="C38" s="430"/>
      <c r="D38" s="1047"/>
      <c r="E38" s="305"/>
      <c r="F38" s="305"/>
      <c r="G38" s="305"/>
    </row>
    <row r="39" spans="1:7" s="436" customFormat="1" ht="12" customHeight="1" thickBot="1">
      <c r="A39" s="427" t="s">
        <v>154</v>
      </c>
      <c r="B39" s="129" t="s">
        <v>251</v>
      </c>
      <c r="C39" s="1090"/>
      <c r="D39" s="1136">
        <v>97057</v>
      </c>
      <c r="E39" s="1024">
        <v>97202</v>
      </c>
      <c r="F39" s="1024">
        <v>97269056</v>
      </c>
      <c r="G39" s="1024">
        <v>97269056</v>
      </c>
    </row>
    <row r="40" spans="1:7" s="436" customFormat="1" ht="15" customHeight="1" thickBot="1">
      <c r="A40" s="227" t="s">
        <v>564</v>
      </c>
      <c r="B40" s="228" t="s">
        <v>156</v>
      </c>
      <c r="C40" s="1137"/>
      <c r="D40" s="357">
        <f>+D35+D36</f>
        <v>102887</v>
      </c>
      <c r="E40" s="357">
        <f>+E35+E36</f>
        <v>103032</v>
      </c>
      <c r="F40" s="357">
        <f>+F35+F36</f>
        <v>104322450</v>
      </c>
      <c r="G40" s="357">
        <f>+G35+G36</f>
        <v>104559449</v>
      </c>
    </row>
    <row r="41" spans="1:7" s="436" customFormat="1" ht="15" customHeight="1">
      <c r="A41" s="229"/>
      <c r="B41" s="230"/>
      <c r="C41" s="230"/>
      <c r="D41" s="355"/>
      <c r="E41" s="355"/>
      <c r="F41" s="355"/>
      <c r="G41" s="355"/>
    </row>
    <row r="42" spans="1:7" ht="13.5" thickBot="1">
      <c r="A42" s="231"/>
      <c r="B42" s="232"/>
      <c r="C42" s="232"/>
      <c r="D42" s="356"/>
      <c r="E42" s="356"/>
      <c r="F42" s="356"/>
      <c r="G42" s="356"/>
    </row>
    <row r="43" spans="1:7" s="435" customFormat="1" ht="16.5" customHeight="1" thickBot="1">
      <c r="A43" s="233"/>
      <c r="B43" s="234" t="s">
        <v>595</v>
      </c>
      <c r="C43" s="234"/>
      <c r="D43" s="357"/>
      <c r="E43" s="357"/>
      <c r="F43" s="357"/>
      <c r="G43" s="357"/>
    </row>
    <row r="44" spans="1:7" s="437" customFormat="1" ht="12" customHeight="1" thickBot="1">
      <c r="A44" s="196" t="s">
        <v>555</v>
      </c>
      <c r="B44" s="121" t="s">
        <v>157</v>
      </c>
      <c r="C44" s="1078"/>
      <c r="D44" s="304">
        <f>SUM(D45:D49)</f>
        <v>102887</v>
      </c>
      <c r="E44" s="304">
        <f>SUM(E45:E49)</f>
        <v>103032</v>
      </c>
      <c r="F44" s="304">
        <f>SUM(F45:F49)</f>
        <v>104322450</v>
      </c>
      <c r="G44" s="304">
        <f>SUM(G45:G49)</f>
        <v>104559449</v>
      </c>
    </row>
    <row r="45" spans="1:7" ht="12" customHeight="1">
      <c r="A45" s="427" t="s">
        <v>640</v>
      </c>
      <c r="B45" s="7" t="s">
        <v>585</v>
      </c>
      <c r="C45" s="1077"/>
      <c r="D45" s="79">
        <v>68428</v>
      </c>
      <c r="E45" s="79">
        <v>68542</v>
      </c>
      <c r="F45" s="79">
        <v>63398895</v>
      </c>
      <c r="G45" s="79">
        <v>63760785</v>
      </c>
    </row>
    <row r="46" spans="1:7" ht="12" customHeight="1">
      <c r="A46" s="427" t="s">
        <v>641</v>
      </c>
      <c r="B46" s="6" t="s">
        <v>719</v>
      </c>
      <c r="C46" s="1075"/>
      <c r="D46" s="79">
        <v>18718</v>
      </c>
      <c r="E46" s="79">
        <v>18749</v>
      </c>
      <c r="F46" s="79">
        <v>17733204</v>
      </c>
      <c r="G46" s="79">
        <v>17791204</v>
      </c>
    </row>
    <row r="47" spans="1:7" ht="12" customHeight="1">
      <c r="A47" s="427" t="s">
        <v>642</v>
      </c>
      <c r="B47" s="6" t="s">
        <v>678</v>
      </c>
      <c r="C47" s="1075"/>
      <c r="D47" s="79">
        <v>15741</v>
      </c>
      <c r="E47" s="79">
        <f>'[3]Munka1'!$B$97+'[3]Munka1'!$C$97</f>
        <v>15741</v>
      </c>
      <c r="F47" s="79">
        <v>23190351</v>
      </c>
      <c r="G47" s="79">
        <v>23007460</v>
      </c>
    </row>
    <row r="48" spans="1:7" ht="12" customHeight="1">
      <c r="A48" s="427" t="s">
        <v>643</v>
      </c>
      <c r="B48" s="6" t="s">
        <v>720</v>
      </c>
      <c r="C48" s="1075"/>
      <c r="D48" s="79"/>
      <c r="E48" s="79"/>
      <c r="F48" s="79"/>
      <c r="G48" s="79"/>
    </row>
    <row r="49" spans="1:7" ht="12" customHeight="1" thickBot="1">
      <c r="A49" s="427" t="s">
        <v>686</v>
      </c>
      <c r="B49" s="6" t="s">
        <v>721</v>
      </c>
      <c r="C49" s="1075"/>
      <c r="D49" s="79"/>
      <c r="E49" s="79"/>
      <c r="F49" s="79"/>
      <c r="G49" s="79"/>
    </row>
    <row r="50" spans="1:7" ht="12" customHeight="1" thickBot="1">
      <c r="A50" s="196" t="s">
        <v>556</v>
      </c>
      <c r="B50" s="121" t="s">
        <v>158</v>
      </c>
      <c r="C50" s="1078"/>
      <c r="D50" s="304">
        <f>SUM(D51:D53)</f>
        <v>0</v>
      </c>
      <c r="E50" s="304">
        <f>SUM(E51:E53)</f>
        <v>0</v>
      </c>
      <c r="F50" s="304">
        <f>SUM(F51:F53)</f>
        <v>0</v>
      </c>
      <c r="G50" s="304">
        <f>SUM(G51:G53)</f>
        <v>0</v>
      </c>
    </row>
    <row r="51" spans="1:7" s="437" customFormat="1" ht="12" customHeight="1">
      <c r="A51" s="427" t="s">
        <v>646</v>
      </c>
      <c r="B51" s="7" t="s">
        <v>769</v>
      </c>
      <c r="C51" s="1077"/>
      <c r="D51" s="76"/>
      <c r="E51" s="76"/>
      <c r="F51" s="76"/>
      <c r="G51" s="76"/>
    </row>
    <row r="52" spans="1:7" ht="12" customHeight="1">
      <c r="A52" s="427" t="s">
        <v>647</v>
      </c>
      <c r="B52" s="6" t="s">
        <v>723</v>
      </c>
      <c r="C52" s="1075"/>
      <c r="D52" s="79"/>
      <c r="E52" s="79"/>
      <c r="F52" s="79"/>
      <c r="G52" s="79"/>
    </row>
    <row r="53" spans="1:7" ht="12" customHeight="1">
      <c r="A53" s="427" t="s">
        <v>648</v>
      </c>
      <c r="B53" s="6" t="s">
        <v>596</v>
      </c>
      <c r="C53" s="1075"/>
      <c r="D53" s="79"/>
      <c r="E53" s="79"/>
      <c r="F53" s="79"/>
      <c r="G53" s="79"/>
    </row>
    <row r="54" spans="1:7" ht="12" customHeight="1" thickBot="1">
      <c r="A54" s="427" t="s">
        <v>649</v>
      </c>
      <c r="B54" s="6" t="s">
        <v>540</v>
      </c>
      <c r="C54" s="1075"/>
      <c r="D54" s="79"/>
      <c r="E54" s="79"/>
      <c r="F54" s="79"/>
      <c r="G54" s="79"/>
    </row>
    <row r="55" spans="1:7" ht="15" customHeight="1" thickBot="1">
      <c r="A55" s="196" t="s">
        <v>557</v>
      </c>
      <c r="B55" s="235" t="s">
        <v>164</v>
      </c>
      <c r="C55" s="1085"/>
      <c r="D55" s="358">
        <f>+D44+D50</f>
        <v>102887</v>
      </c>
      <c r="E55" s="358">
        <f>+E44+E50</f>
        <v>103032</v>
      </c>
      <c r="F55" s="358">
        <f>+F44+F50</f>
        <v>104322450</v>
      </c>
      <c r="G55" s="358">
        <f>+G44+G50</f>
        <v>104559449</v>
      </c>
    </row>
    <row r="56" spans="4:7" ht="13.5" thickBot="1">
      <c r="D56" s="359"/>
      <c r="E56" s="359"/>
      <c r="F56" s="359"/>
      <c r="G56" s="359"/>
    </row>
    <row r="57" spans="1:7" ht="15" customHeight="1" thickBot="1">
      <c r="A57" s="238" t="s">
        <v>742</v>
      </c>
      <c r="B57" s="239"/>
      <c r="C57" s="1086"/>
      <c r="D57" s="118"/>
      <c r="E57" s="118">
        <v>20</v>
      </c>
      <c r="F57" s="118">
        <v>20</v>
      </c>
      <c r="G57" s="118">
        <v>20</v>
      </c>
    </row>
    <row r="58" spans="1:7" ht="14.25" customHeight="1" thickBot="1">
      <c r="A58" s="238" t="s">
        <v>743</v>
      </c>
      <c r="B58" s="239"/>
      <c r="C58" s="1086"/>
      <c r="D58" s="118"/>
      <c r="E58" s="118"/>
      <c r="F58" s="118"/>
      <c r="G58" s="118"/>
    </row>
    <row r="60" ht="15.75">
      <c r="B60" s="368" t="s">
        <v>24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4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D58"/>
  <sheetViews>
    <sheetView view="pageBreakPreview" zoomScale="60" workbookViewId="0" topLeftCell="A1">
      <selection activeCell="D1" sqref="D1"/>
    </sheetView>
  </sheetViews>
  <sheetFormatPr defaultColWidth="9.00390625" defaultRowHeight="12.75"/>
  <cols>
    <col min="1" max="1" width="13.875" style="236" customWidth="1"/>
    <col min="2" max="2" width="79.125" style="237" customWidth="1"/>
    <col min="3" max="3" width="28.375" style="237" customWidth="1"/>
    <col min="4" max="4" width="25.00390625" style="237" customWidth="1"/>
    <col min="5" max="16384" width="9.375" style="237" customWidth="1"/>
  </cols>
  <sheetData>
    <row r="1" spans="1:4" s="216" customFormat="1" ht="21" customHeight="1" thickBot="1">
      <c r="A1" s="215"/>
      <c r="B1" s="217"/>
      <c r="C1" s="217"/>
      <c r="D1" s="432" t="s">
        <v>902</v>
      </c>
    </row>
    <row r="2" spans="1:4" s="433" customFormat="1" ht="25.5" customHeight="1">
      <c r="A2" s="385" t="s">
        <v>740</v>
      </c>
      <c r="B2" s="345" t="s">
        <v>187</v>
      </c>
      <c r="C2" s="1071"/>
      <c r="D2" s="360" t="s">
        <v>599</v>
      </c>
    </row>
    <row r="3" spans="1:4" s="433" customFormat="1" ht="24.75" thickBot="1">
      <c r="A3" s="425" t="s">
        <v>739</v>
      </c>
      <c r="B3" s="346" t="s">
        <v>167</v>
      </c>
      <c r="C3" s="1072"/>
      <c r="D3" s="361" t="s">
        <v>600</v>
      </c>
    </row>
    <row r="4" spans="1:4" s="434" customFormat="1" ht="15.75" customHeight="1" thickBot="1">
      <c r="A4" s="219"/>
      <c r="B4" s="219"/>
      <c r="C4" s="219"/>
      <c r="D4" s="220" t="s">
        <v>590</v>
      </c>
    </row>
    <row r="5" spans="1:4" ht="13.5" thickBot="1">
      <c r="A5" s="386" t="s">
        <v>741</v>
      </c>
      <c r="B5" s="221" t="s">
        <v>591</v>
      </c>
      <c r="C5" s="222" t="s">
        <v>592</v>
      </c>
      <c r="D5" s="222" t="s">
        <v>888</v>
      </c>
    </row>
    <row r="6" spans="1:4" s="435" customFormat="1" ht="12.75" customHeight="1" thickBot="1">
      <c r="A6" s="188">
        <v>1</v>
      </c>
      <c r="B6" s="189">
        <v>2</v>
      </c>
      <c r="C6" s="1073">
        <v>3</v>
      </c>
      <c r="D6" s="190">
        <v>4</v>
      </c>
    </row>
    <row r="7" spans="1:4" s="435" customFormat="1" ht="15.75" customHeight="1" thickBot="1">
      <c r="A7" s="223"/>
      <c r="B7" s="224" t="s">
        <v>593</v>
      </c>
      <c r="C7" s="224"/>
      <c r="D7" s="225"/>
    </row>
    <row r="8" spans="1:4" s="362" customFormat="1" ht="12" customHeight="1" thickBot="1">
      <c r="A8" s="188" t="s">
        <v>555</v>
      </c>
      <c r="B8" s="226" t="s">
        <v>139</v>
      </c>
      <c r="C8" s="647"/>
      <c r="D8" s="304">
        <f>SUM(D9:D18)</f>
        <v>0</v>
      </c>
    </row>
    <row r="9" spans="1:4" s="362" customFormat="1" ht="12" customHeight="1">
      <c r="A9" s="426" t="s">
        <v>640</v>
      </c>
      <c r="B9" s="8" t="s">
        <v>831</v>
      </c>
      <c r="C9" s="1074"/>
      <c r="D9" s="351"/>
    </row>
    <row r="10" spans="1:4" s="362" customFormat="1" ht="12" customHeight="1">
      <c r="A10" s="427" t="s">
        <v>641</v>
      </c>
      <c r="B10" s="6" t="s">
        <v>832</v>
      </c>
      <c r="C10" s="1075"/>
      <c r="D10" s="302"/>
    </row>
    <row r="11" spans="1:4" s="362" customFormat="1" ht="12" customHeight="1">
      <c r="A11" s="427" t="s">
        <v>642</v>
      </c>
      <c r="B11" s="6" t="s">
        <v>833</v>
      </c>
      <c r="C11" s="1075"/>
      <c r="D11" s="302"/>
    </row>
    <row r="12" spans="1:4" s="362" customFormat="1" ht="12" customHeight="1">
      <c r="A12" s="427" t="s">
        <v>643</v>
      </c>
      <c r="B12" s="6" t="s">
        <v>834</v>
      </c>
      <c r="C12" s="1075"/>
      <c r="D12" s="302"/>
    </row>
    <row r="13" spans="1:4" s="362" customFormat="1" ht="12" customHeight="1">
      <c r="A13" s="427" t="s">
        <v>686</v>
      </c>
      <c r="B13" s="6" t="s">
        <v>835</v>
      </c>
      <c r="C13" s="1075"/>
      <c r="D13" s="302"/>
    </row>
    <row r="14" spans="1:4" s="362" customFormat="1" ht="12" customHeight="1">
      <c r="A14" s="427" t="s">
        <v>644</v>
      </c>
      <c r="B14" s="6" t="s">
        <v>140</v>
      </c>
      <c r="C14" s="1075"/>
      <c r="D14" s="302"/>
    </row>
    <row r="15" spans="1:4" s="362" customFormat="1" ht="12" customHeight="1">
      <c r="A15" s="427" t="s">
        <v>645</v>
      </c>
      <c r="B15" s="5" t="s">
        <v>141</v>
      </c>
      <c r="C15" s="6"/>
      <c r="D15" s="302"/>
    </row>
    <row r="16" spans="1:4" s="362" customFormat="1" ht="12" customHeight="1">
      <c r="A16" s="427" t="s">
        <v>655</v>
      </c>
      <c r="B16" s="6" t="s">
        <v>838</v>
      </c>
      <c r="C16" s="6"/>
      <c r="D16" s="352"/>
    </row>
    <row r="17" spans="1:4" s="436" customFormat="1" ht="12" customHeight="1">
      <c r="A17" s="427" t="s">
        <v>656</v>
      </c>
      <c r="B17" s="6" t="s">
        <v>839</v>
      </c>
      <c r="C17" s="1075"/>
      <c r="D17" s="302"/>
    </row>
    <row r="18" spans="1:4" s="436" customFormat="1" ht="12" customHeight="1" thickBot="1">
      <c r="A18" s="427" t="s">
        <v>657</v>
      </c>
      <c r="B18" s="5" t="s">
        <v>840</v>
      </c>
      <c r="C18" s="1076"/>
      <c r="D18" s="303"/>
    </row>
    <row r="19" spans="1:4" s="362" customFormat="1" ht="12" customHeight="1" thickBot="1">
      <c r="A19" s="188" t="s">
        <v>556</v>
      </c>
      <c r="B19" s="226" t="s">
        <v>142</v>
      </c>
      <c r="C19" s="647"/>
      <c r="D19" s="304">
        <f>SUM(D20:D22)</f>
        <v>0</v>
      </c>
    </row>
    <row r="20" spans="1:4" s="436" customFormat="1" ht="12" customHeight="1">
      <c r="A20" s="427" t="s">
        <v>646</v>
      </c>
      <c r="B20" s="7" t="s">
        <v>806</v>
      </c>
      <c r="C20" s="1077"/>
      <c r="D20" s="302"/>
    </row>
    <row r="21" spans="1:4" s="436" customFormat="1" ht="12" customHeight="1">
      <c r="A21" s="427" t="s">
        <v>647</v>
      </c>
      <c r="B21" s="6" t="s">
        <v>143</v>
      </c>
      <c r="C21" s="1075"/>
      <c r="D21" s="302"/>
    </row>
    <row r="22" spans="1:4" s="436" customFormat="1" ht="12" customHeight="1">
      <c r="A22" s="427" t="s">
        <v>648</v>
      </c>
      <c r="B22" s="6" t="s">
        <v>144</v>
      </c>
      <c r="C22" s="1075"/>
      <c r="D22" s="302"/>
    </row>
    <row r="23" spans="1:4" s="436" customFormat="1" ht="12" customHeight="1" thickBot="1">
      <c r="A23" s="427" t="s">
        <v>649</v>
      </c>
      <c r="B23" s="6" t="s">
        <v>538</v>
      </c>
      <c r="C23" s="1075"/>
      <c r="D23" s="302"/>
    </row>
    <row r="24" spans="1:4" s="436" customFormat="1" ht="12" customHeight="1" thickBot="1">
      <c r="A24" s="196" t="s">
        <v>557</v>
      </c>
      <c r="B24" s="121" t="s">
        <v>710</v>
      </c>
      <c r="C24" s="1078"/>
      <c r="D24" s="331"/>
    </row>
    <row r="25" spans="1:4" s="436" customFormat="1" ht="12" customHeight="1" thickBot="1">
      <c r="A25" s="196" t="s">
        <v>558</v>
      </c>
      <c r="B25" s="121" t="s">
        <v>145</v>
      </c>
      <c r="C25" s="1078"/>
      <c r="D25" s="304">
        <f>+D26+D27</f>
        <v>0</v>
      </c>
    </row>
    <row r="26" spans="1:4" s="436" customFormat="1" ht="12" customHeight="1">
      <c r="A26" s="428" t="s">
        <v>816</v>
      </c>
      <c r="B26" s="429" t="s">
        <v>143</v>
      </c>
      <c r="C26" s="1079"/>
      <c r="D26" s="76"/>
    </row>
    <row r="27" spans="1:4" s="436" customFormat="1" ht="12" customHeight="1">
      <c r="A27" s="428" t="s">
        <v>819</v>
      </c>
      <c r="B27" s="430" t="s">
        <v>146</v>
      </c>
      <c r="C27" s="430"/>
      <c r="D27" s="305"/>
    </row>
    <row r="28" spans="1:4" s="436" customFormat="1" ht="12" customHeight="1" thickBot="1">
      <c r="A28" s="427" t="s">
        <v>820</v>
      </c>
      <c r="B28" s="431" t="s">
        <v>147</v>
      </c>
      <c r="C28" s="1104"/>
      <c r="D28" s="83"/>
    </row>
    <row r="29" spans="1:4" s="436" customFormat="1" ht="12" customHeight="1" thickBot="1">
      <c r="A29" s="196" t="s">
        <v>559</v>
      </c>
      <c r="B29" s="121" t="s">
        <v>148</v>
      </c>
      <c r="C29" s="1078"/>
      <c r="D29" s="304">
        <f>+D30+D31+D32</f>
        <v>0</v>
      </c>
    </row>
    <row r="30" spans="1:4" s="436" customFormat="1" ht="12" customHeight="1">
      <c r="A30" s="428" t="s">
        <v>633</v>
      </c>
      <c r="B30" s="429" t="s">
        <v>845</v>
      </c>
      <c r="C30" s="1079"/>
      <c r="D30" s="76"/>
    </row>
    <row r="31" spans="1:4" s="436" customFormat="1" ht="12" customHeight="1">
      <c r="A31" s="428" t="s">
        <v>634</v>
      </c>
      <c r="B31" s="430" t="s">
        <v>846</v>
      </c>
      <c r="C31" s="430"/>
      <c r="D31" s="305"/>
    </row>
    <row r="32" spans="1:4" s="436" customFormat="1" ht="12" customHeight="1" thickBot="1">
      <c r="A32" s="427" t="s">
        <v>635</v>
      </c>
      <c r="B32" s="129" t="s">
        <v>847</v>
      </c>
      <c r="C32" s="1090"/>
      <c r="D32" s="83"/>
    </row>
    <row r="33" spans="1:4" s="362" customFormat="1" ht="12" customHeight="1" thickBot="1">
      <c r="A33" s="196" t="s">
        <v>560</v>
      </c>
      <c r="B33" s="121" t="s">
        <v>104</v>
      </c>
      <c r="C33" s="1078"/>
      <c r="D33" s="331"/>
    </row>
    <row r="34" spans="1:4" s="362" customFormat="1" ht="12" customHeight="1" thickBot="1">
      <c r="A34" s="196" t="s">
        <v>561</v>
      </c>
      <c r="B34" s="121" t="s">
        <v>149</v>
      </c>
      <c r="C34" s="1083"/>
      <c r="D34" s="353"/>
    </row>
    <row r="35" spans="1:4" s="362" customFormat="1" ht="12" customHeight="1" thickBot="1">
      <c r="A35" s="188" t="s">
        <v>562</v>
      </c>
      <c r="B35" s="121" t="s">
        <v>150</v>
      </c>
      <c r="C35" s="1083"/>
      <c r="D35" s="354">
        <f>+D8+D19+D24+D25+D29+D33+D34</f>
        <v>0</v>
      </c>
    </row>
    <row r="36" spans="1:4" s="362" customFormat="1" ht="12" customHeight="1" thickBot="1">
      <c r="A36" s="227" t="s">
        <v>563</v>
      </c>
      <c r="B36" s="121" t="s">
        <v>151</v>
      </c>
      <c r="C36" s="1083"/>
      <c r="D36" s="354">
        <f>+D37+D38+D39</f>
        <v>0</v>
      </c>
    </row>
    <row r="37" spans="1:4" s="362" customFormat="1" ht="12" customHeight="1">
      <c r="A37" s="428" t="s">
        <v>152</v>
      </c>
      <c r="B37" s="429" t="s">
        <v>779</v>
      </c>
      <c r="C37" s="1079"/>
      <c r="D37" s="76"/>
    </row>
    <row r="38" spans="1:4" s="362" customFormat="1" ht="12" customHeight="1">
      <c r="A38" s="428" t="s">
        <v>153</v>
      </c>
      <c r="B38" s="430" t="s">
        <v>539</v>
      </c>
      <c r="C38" s="430"/>
      <c r="D38" s="305"/>
    </row>
    <row r="39" spans="1:4" s="436" customFormat="1" ht="12" customHeight="1" thickBot="1">
      <c r="A39" s="427" t="s">
        <v>154</v>
      </c>
      <c r="B39" s="129" t="s">
        <v>155</v>
      </c>
      <c r="C39" s="1090"/>
      <c r="D39" s="83"/>
    </row>
    <row r="40" spans="1:4" s="436" customFormat="1" ht="15" customHeight="1" thickBot="1">
      <c r="A40" s="227" t="s">
        <v>564</v>
      </c>
      <c r="B40" s="228" t="s">
        <v>156</v>
      </c>
      <c r="C40" s="1084"/>
      <c r="D40" s="357">
        <f>+D35+D36</f>
        <v>0</v>
      </c>
    </row>
    <row r="41" spans="1:4" s="436" customFormat="1" ht="15" customHeight="1">
      <c r="A41" s="229"/>
      <c r="B41" s="230"/>
      <c r="C41" s="230"/>
      <c r="D41" s="355"/>
    </row>
    <row r="42" spans="1:4" ht="13.5" thickBot="1">
      <c r="A42" s="231"/>
      <c r="B42" s="232"/>
      <c r="C42" s="232"/>
      <c r="D42" s="356"/>
    </row>
    <row r="43" spans="1:4" s="435" customFormat="1" ht="16.5" customHeight="1" thickBot="1">
      <c r="A43" s="233"/>
      <c r="B43" s="234" t="s">
        <v>595</v>
      </c>
      <c r="C43" s="234"/>
      <c r="D43" s="357"/>
    </row>
    <row r="44" spans="1:4" s="437" customFormat="1" ht="12" customHeight="1" thickBot="1">
      <c r="A44" s="196" t="s">
        <v>555</v>
      </c>
      <c r="B44" s="121" t="s">
        <v>157</v>
      </c>
      <c r="C44" s="1078"/>
      <c r="D44" s="304">
        <f>SUM(D45:D49)</f>
        <v>0</v>
      </c>
    </row>
    <row r="45" spans="1:4" ht="12" customHeight="1">
      <c r="A45" s="427" t="s">
        <v>640</v>
      </c>
      <c r="B45" s="7" t="s">
        <v>585</v>
      </c>
      <c r="C45" s="1077"/>
      <c r="D45" s="76"/>
    </row>
    <row r="46" spans="1:4" ht="12" customHeight="1">
      <c r="A46" s="427" t="s">
        <v>641</v>
      </c>
      <c r="B46" s="6" t="s">
        <v>719</v>
      </c>
      <c r="C46" s="1075"/>
      <c r="D46" s="79"/>
    </row>
    <row r="47" spans="1:4" ht="12" customHeight="1">
      <c r="A47" s="427" t="s">
        <v>642</v>
      </c>
      <c r="B47" s="6" t="s">
        <v>678</v>
      </c>
      <c r="C47" s="1075"/>
      <c r="D47" s="79"/>
    </row>
    <row r="48" spans="1:4" ht="12" customHeight="1">
      <c r="A48" s="427" t="s">
        <v>643</v>
      </c>
      <c r="B48" s="6" t="s">
        <v>720</v>
      </c>
      <c r="C48" s="1075"/>
      <c r="D48" s="79"/>
    </row>
    <row r="49" spans="1:4" ht="12" customHeight="1" thickBot="1">
      <c r="A49" s="427" t="s">
        <v>686</v>
      </c>
      <c r="B49" s="6" t="s">
        <v>721</v>
      </c>
      <c r="C49" s="1075"/>
      <c r="D49" s="79"/>
    </row>
    <row r="50" spans="1:4" ht="12" customHeight="1" thickBot="1">
      <c r="A50" s="196" t="s">
        <v>556</v>
      </c>
      <c r="B50" s="121" t="s">
        <v>158</v>
      </c>
      <c r="C50" s="1078"/>
      <c r="D50" s="304">
        <f>SUM(D51:D53)</f>
        <v>0</v>
      </c>
    </row>
    <row r="51" spans="1:4" s="437" customFormat="1" ht="12" customHeight="1">
      <c r="A51" s="427" t="s">
        <v>646</v>
      </c>
      <c r="B51" s="7" t="s">
        <v>769</v>
      </c>
      <c r="C51" s="1077"/>
      <c r="D51" s="76"/>
    </row>
    <row r="52" spans="1:4" ht="12" customHeight="1">
      <c r="A52" s="427" t="s">
        <v>647</v>
      </c>
      <c r="B52" s="6" t="s">
        <v>723</v>
      </c>
      <c r="C52" s="1075"/>
      <c r="D52" s="79"/>
    </row>
    <row r="53" spans="1:4" ht="12" customHeight="1">
      <c r="A53" s="427" t="s">
        <v>648</v>
      </c>
      <c r="B53" s="6" t="s">
        <v>596</v>
      </c>
      <c r="C53" s="1075"/>
      <c r="D53" s="79"/>
    </row>
    <row r="54" spans="1:4" ht="12" customHeight="1" thickBot="1">
      <c r="A54" s="427" t="s">
        <v>649</v>
      </c>
      <c r="B54" s="6" t="s">
        <v>540</v>
      </c>
      <c r="C54" s="1075"/>
      <c r="D54" s="79"/>
    </row>
    <row r="55" spans="1:4" ht="15" customHeight="1" thickBot="1">
      <c r="A55" s="196" t="s">
        <v>557</v>
      </c>
      <c r="B55" s="235" t="s">
        <v>164</v>
      </c>
      <c r="C55" s="1085"/>
      <c r="D55" s="358">
        <f>+D44+D50</f>
        <v>0</v>
      </c>
    </row>
    <row r="56" ht="13.5" thickBot="1">
      <c r="D56" s="359"/>
    </row>
    <row r="57" spans="1:4" ht="15" customHeight="1" thickBot="1">
      <c r="A57" s="238" t="s">
        <v>742</v>
      </c>
      <c r="B57" s="239"/>
      <c r="C57" s="1086"/>
      <c r="D57" s="118"/>
    </row>
    <row r="58" spans="1:4" ht="14.25" customHeight="1" thickBot="1">
      <c r="A58" s="238" t="s">
        <v>743</v>
      </c>
      <c r="B58" s="239"/>
      <c r="C58" s="1086"/>
      <c r="D5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2"/>
  <sheetViews>
    <sheetView view="pageBreakPreview" zoomScaleNormal="120" zoomScaleSheetLayoutView="100" workbookViewId="0" topLeftCell="A121">
      <selection activeCell="A152" sqref="A152"/>
    </sheetView>
  </sheetViews>
  <sheetFormatPr defaultColWidth="9.00390625" defaultRowHeight="12.75"/>
  <cols>
    <col min="1" max="1" width="9.50390625" style="368" customWidth="1"/>
    <col min="2" max="2" width="91.625" style="368" customWidth="1"/>
    <col min="3" max="7" width="16.375" style="369" customWidth="1"/>
    <col min="8" max="16384" width="9.375" style="392" customWidth="1"/>
  </cols>
  <sheetData>
    <row r="1" spans="1:7" ht="15.75" customHeight="1">
      <c r="A1" s="1249" t="s">
        <v>552</v>
      </c>
      <c r="B1" s="1249"/>
      <c r="C1" s="1249"/>
      <c r="D1" s="392"/>
      <c r="E1" s="392"/>
      <c r="F1" s="392"/>
      <c r="G1" s="392"/>
    </row>
    <row r="2" spans="1:7" ht="15.75" customHeight="1" thickBot="1">
      <c r="A2" s="1248" t="s">
        <v>689</v>
      </c>
      <c r="B2" s="1248"/>
      <c r="C2" s="294"/>
      <c r="D2" s="294"/>
      <c r="E2" s="294" t="s">
        <v>770</v>
      </c>
      <c r="F2" s="294"/>
      <c r="G2" s="294"/>
    </row>
    <row r="3" spans="1:7" ht="37.5" customHeight="1" thickBot="1">
      <c r="A3" s="21" t="s">
        <v>610</v>
      </c>
      <c r="B3" s="22" t="s">
        <v>554</v>
      </c>
      <c r="C3" s="37" t="s">
        <v>451</v>
      </c>
      <c r="D3" s="37" t="s">
        <v>906</v>
      </c>
      <c r="E3" s="37" t="s">
        <v>906</v>
      </c>
      <c r="F3" s="37" t="s">
        <v>911</v>
      </c>
      <c r="G3" s="1224" t="s">
        <v>7</v>
      </c>
    </row>
    <row r="4" spans="1:7" s="393" customFormat="1" ht="12" customHeight="1" thickBot="1">
      <c r="A4" s="387">
        <v>1</v>
      </c>
      <c r="B4" s="388">
        <v>2</v>
      </c>
      <c r="C4" s="389">
        <v>3</v>
      </c>
      <c r="D4" s="389">
        <v>5</v>
      </c>
      <c r="E4" s="389">
        <v>5</v>
      </c>
      <c r="F4" s="389">
        <v>6</v>
      </c>
      <c r="G4" s="389">
        <v>7</v>
      </c>
    </row>
    <row r="5" spans="1:7" s="394" customFormat="1" ht="12" customHeight="1" thickBot="1">
      <c r="A5" s="18" t="s">
        <v>555</v>
      </c>
      <c r="B5" s="19" t="s">
        <v>798</v>
      </c>
      <c r="C5" s="285">
        <f>+C6+C7+C8+C9+C10+C11</f>
        <v>388467</v>
      </c>
      <c r="D5" s="285">
        <f>+D6+D7+D8+D9+D10+D11</f>
        <v>393550</v>
      </c>
      <c r="E5" s="285">
        <f>+E6+E7+E8+E9+E10+E11</f>
        <v>396686</v>
      </c>
      <c r="F5" s="285">
        <f>+F6+F7+F8+F9+F10+F11</f>
        <v>396287778</v>
      </c>
      <c r="G5" s="285">
        <f>+G6+G7+G8+G9+G10+G11</f>
        <v>398046285</v>
      </c>
    </row>
    <row r="6" spans="1:7" s="394" customFormat="1" ht="12" customHeight="1">
      <c r="A6" s="13" t="s">
        <v>640</v>
      </c>
      <c r="B6" s="395" t="s">
        <v>799</v>
      </c>
      <c r="C6" s="288">
        <f>'9.1. melléklet'!C9</f>
        <v>129128</v>
      </c>
      <c r="D6" s="288">
        <f>'9.1. melléklet'!D9</f>
        <v>129128</v>
      </c>
      <c r="E6" s="288">
        <f>'9.1. melléklet'!E9</f>
        <v>129128</v>
      </c>
      <c r="F6" s="288">
        <v>129128455</v>
      </c>
      <c r="G6" s="288">
        <v>129659455</v>
      </c>
    </row>
    <row r="7" spans="1:7" s="394" customFormat="1" ht="12" customHeight="1">
      <c r="A7" s="12" t="s">
        <v>641</v>
      </c>
      <c r="B7" s="396" t="s">
        <v>800</v>
      </c>
      <c r="C7" s="288">
        <f>'9.1. melléklet'!C10</f>
        <v>114811</v>
      </c>
      <c r="D7" s="288">
        <f>'9.1. melléklet'!D10</f>
        <v>114811</v>
      </c>
      <c r="E7" s="288">
        <f>'9.1. melléklet'!E10</f>
        <v>114811</v>
      </c>
      <c r="F7" s="288">
        <v>114811100</v>
      </c>
      <c r="G7" s="288">
        <v>116255634</v>
      </c>
    </row>
    <row r="8" spans="1:7" s="394" customFormat="1" ht="12" customHeight="1">
      <c r="A8" s="12" t="s">
        <v>642</v>
      </c>
      <c r="B8" s="396" t="s">
        <v>801</v>
      </c>
      <c r="C8" s="288">
        <f>'9.1. melléklet'!C11</f>
        <v>138262</v>
      </c>
      <c r="D8" s="288">
        <f>'9.1. melléklet'!D11</f>
        <v>138262</v>
      </c>
      <c r="E8" s="288">
        <f>'9.1. melléklet'!E11</f>
        <v>138262</v>
      </c>
      <c r="F8" s="288">
        <v>137863413</v>
      </c>
      <c r="G8" s="288">
        <v>139048734</v>
      </c>
    </row>
    <row r="9" spans="1:7" s="394" customFormat="1" ht="12" customHeight="1">
      <c r="A9" s="12" t="s">
        <v>643</v>
      </c>
      <c r="B9" s="396" t="s">
        <v>802</v>
      </c>
      <c r="C9" s="288">
        <f>'9.1. melléklet'!C12</f>
        <v>6266</v>
      </c>
      <c r="D9" s="288">
        <f>'9.1. melléklet'!D12</f>
        <v>6266</v>
      </c>
      <c r="E9" s="288">
        <f>'9.1. melléklet'!E12</f>
        <v>6266</v>
      </c>
      <c r="F9" s="288">
        <v>6265440</v>
      </c>
      <c r="G9" s="288">
        <v>6607308</v>
      </c>
    </row>
    <row r="10" spans="1:7" s="394" customFormat="1" ht="12" customHeight="1">
      <c r="A10" s="12" t="s">
        <v>686</v>
      </c>
      <c r="B10" s="396" t="s">
        <v>803</v>
      </c>
      <c r="C10" s="288">
        <f>'9.1. melléklet'!C13</f>
        <v>0</v>
      </c>
      <c r="D10" s="288">
        <f>'9.1. melléklet'!D13</f>
        <v>5083</v>
      </c>
      <c r="E10" s="288">
        <f>'9.1. melléklet'!E13</f>
        <v>8219</v>
      </c>
      <c r="F10" s="288">
        <v>8219370</v>
      </c>
      <c r="G10" s="288">
        <v>640362</v>
      </c>
    </row>
    <row r="11" spans="1:7" s="394" customFormat="1" ht="12" customHeight="1" thickBot="1">
      <c r="A11" s="14" t="s">
        <v>644</v>
      </c>
      <c r="B11" s="397" t="s">
        <v>804</v>
      </c>
      <c r="C11" s="910">
        <f>'9.1. melléklet'!C14</f>
        <v>0</v>
      </c>
      <c r="D11" s="910">
        <f>'9.1. melléklet'!D14</f>
        <v>0</v>
      </c>
      <c r="E11" s="910">
        <f>'9.1. melléklet'!E14</f>
        <v>0</v>
      </c>
      <c r="F11" s="910">
        <f>'9.1. melléklet'!F14</f>
        <v>0</v>
      </c>
      <c r="G11" s="910">
        <v>5834792</v>
      </c>
    </row>
    <row r="12" spans="1:7" s="394" customFormat="1" ht="12" customHeight="1" thickBot="1">
      <c r="A12" s="18" t="s">
        <v>556</v>
      </c>
      <c r="B12" s="280" t="s">
        <v>805</v>
      </c>
      <c r="C12" s="911">
        <f>'9.1. melléklet'!C15</f>
        <v>9120</v>
      </c>
      <c r="D12" s="911">
        <f>'9.1. melléklet'!D15</f>
        <v>18325</v>
      </c>
      <c r="E12" s="911">
        <f>'9.1. melléklet'!E15</f>
        <v>23053</v>
      </c>
      <c r="F12" s="1196">
        <v>25950209</v>
      </c>
      <c r="G12" s="1196">
        <f>G15+G16+G17</f>
        <v>28922316</v>
      </c>
    </row>
    <row r="13" spans="1:7" s="394" customFormat="1" ht="12" customHeight="1">
      <c r="A13" s="13" t="s">
        <v>646</v>
      </c>
      <c r="B13" s="395" t="s">
        <v>806</v>
      </c>
      <c r="C13" s="288">
        <f>'9.1. melléklet'!C16</f>
        <v>0</v>
      </c>
      <c r="D13" s="288">
        <f>'9.1. melléklet'!D16</f>
        <v>0</v>
      </c>
      <c r="E13" s="288">
        <f>'9.1. melléklet'!E16</f>
        <v>0</v>
      </c>
      <c r="F13" s="288">
        <f>'9.1. melléklet'!F16</f>
        <v>0</v>
      </c>
      <c r="G13" s="288"/>
    </row>
    <row r="14" spans="1:7" s="394" customFormat="1" ht="12" customHeight="1">
      <c r="A14" s="12" t="s">
        <v>647</v>
      </c>
      <c r="B14" s="396" t="s">
        <v>807</v>
      </c>
      <c r="C14" s="288">
        <f>'9.1. melléklet'!C17</f>
        <v>0</v>
      </c>
      <c r="D14" s="288">
        <f>'9.1. melléklet'!D17</f>
        <v>0</v>
      </c>
      <c r="E14" s="288">
        <f>'9.1. melléklet'!E17</f>
        <v>0</v>
      </c>
      <c r="F14" s="288">
        <f>'9.1. melléklet'!F17</f>
        <v>0</v>
      </c>
      <c r="G14" s="288">
        <f>'9.1. melléklet'!G17</f>
        <v>0</v>
      </c>
    </row>
    <row r="15" spans="1:7" s="394" customFormat="1" ht="12" customHeight="1">
      <c r="A15" s="12" t="s">
        <v>648</v>
      </c>
      <c r="B15" s="396" t="s">
        <v>246</v>
      </c>
      <c r="C15" s="288">
        <f>'9.1. melléklet'!C18</f>
        <v>0</v>
      </c>
      <c r="D15" s="288">
        <f>'9.1. melléklet'!D18</f>
        <v>0</v>
      </c>
      <c r="E15" s="288">
        <f>'9.1. melléklet'!E18</f>
        <v>0</v>
      </c>
      <c r="F15" s="288">
        <f>'9.1. melléklet'!F18</f>
        <v>0</v>
      </c>
      <c r="G15" s="288">
        <v>465000</v>
      </c>
    </row>
    <row r="16" spans="1:7" s="394" customFormat="1" ht="12" customHeight="1">
      <c r="A16" s="12" t="s">
        <v>649</v>
      </c>
      <c r="B16" s="396" t="s">
        <v>331</v>
      </c>
      <c r="C16" s="288">
        <f>'9.1. melléklet'!C19</f>
        <v>9120</v>
      </c>
      <c r="D16" s="288">
        <f>'9.1. melléklet'!D19</f>
        <v>9120</v>
      </c>
      <c r="E16" s="288">
        <f>'9.1. melléklet'!E19</f>
        <v>9120</v>
      </c>
      <c r="F16" s="288">
        <v>10140600</v>
      </c>
      <c r="G16" s="288">
        <v>10140600</v>
      </c>
    </row>
    <row r="17" spans="1:7" s="394" customFormat="1" ht="12" customHeight="1">
      <c r="A17" s="12" t="s">
        <v>650</v>
      </c>
      <c r="B17" s="396" t="s">
        <v>332</v>
      </c>
      <c r="C17" s="288">
        <f>'9.1. melléklet'!C20</f>
        <v>0</v>
      </c>
      <c r="D17" s="288">
        <f>'9.1. melléklet'!D20</f>
        <v>9205</v>
      </c>
      <c r="E17" s="288">
        <f>'9.1. melléklet'!E20</f>
        <v>13933</v>
      </c>
      <c r="F17" s="288">
        <v>15809609</v>
      </c>
      <c r="G17" s="288">
        <v>18316716</v>
      </c>
    </row>
    <row r="18" spans="1:7" s="394" customFormat="1" ht="12" customHeight="1" thickBot="1">
      <c r="A18" s="14" t="s">
        <v>659</v>
      </c>
      <c r="B18" s="397" t="s">
        <v>809</v>
      </c>
      <c r="C18" s="910">
        <f>'9.1. melléklet'!C21</f>
        <v>0</v>
      </c>
      <c r="D18" s="910">
        <f>'9.1. melléklet'!D21</f>
        <v>0</v>
      </c>
      <c r="E18" s="910">
        <f>'9.1. melléklet'!E21</f>
        <v>0</v>
      </c>
      <c r="F18" s="910">
        <f>'9.1. melléklet'!F21</f>
        <v>0</v>
      </c>
      <c r="G18" s="910">
        <f>'9.1. melléklet'!G21</f>
        <v>0</v>
      </c>
    </row>
    <row r="19" spans="1:7" s="394" customFormat="1" ht="12" customHeight="1" thickBot="1">
      <c r="A19" s="18" t="s">
        <v>557</v>
      </c>
      <c r="B19" s="19" t="s">
        <v>810</v>
      </c>
      <c r="C19" s="911">
        <f>'9.1. melléklet'!C22</f>
        <v>33407</v>
      </c>
      <c r="D19" s="911">
        <f>'9.1. melléklet'!D22</f>
        <v>33407</v>
      </c>
      <c r="E19" s="911">
        <f>'9.1. melléklet'!E22</f>
        <v>33407</v>
      </c>
      <c r="F19" s="1196">
        <v>214407000</v>
      </c>
      <c r="G19" s="1196">
        <v>191800000</v>
      </c>
    </row>
    <row r="20" spans="1:7" s="394" customFormat="1" ht="12" customHeight="1">
      <c r="A20" s="13" t="s">
        <v>629</v>
      </c>
      <c r="B20" s="395" t="s">
        <v>534</v>
      </c>
      <c r="C20" s="288">
        <f>'9.1. melléklet'!C23</f>
        <v>0</v>
      </c>
      <c r="D20" s="288">
        <f>'9.1. melléklet'!D23</f>
        <v>0</v>
      </c>
      <c r="E20" s="288">
        <f>'9.1. melléklet'!E23</f>
        <v>0</v>
      </c>
      <c r="F20" s="288">
        <v>181000000</v>
      </c>
      <c r="G20" s="288">
        <v>181000000</v>
      </c>
    </row>
    <row r="21" spans="1:7" s="394" customFormat="1" ht="12" customHeight="1">
      <c r="A21" s="12" t="s">
        <v>630</v>
      </c>
      <c r="B21" s="396" t="s">
        <v>812</v>
      </c>
      <c r="C21" s="288">
        <f>'9.1. melléklet'!C24</f>
        <v>0</v>
      </c>
      <c r="D21" s="288">
        <f>'9.1. melléklet'!D24</f>
        <v>0</v>
      </c>
      <c r="E21" s="288">
        <f>'9.1. melléklet'!E24</f>
        <v>0</v>
      </c>
      <c r="F21" s="288">
        <f>'9.1. melléklet'!F24</f>
        <v>0</v>
      </c>
      <c r="G21" s="288">
        <f>'9.1. melléklet'!G24</f>
        <v>0</v>
      </c>
    </row>
    <row r="22" spans="1:7" s="394" customFormat="1" ht="12" customHeight="1">
      <c r="A22" s="12" t="s">
        <v>631</v>
      </c>
      <c r="B22" s="396" t="s">
        <v>174</v>
      </c>
      <c r="C22" s="288">
        <f>'9.1. melléklet'!C25</f>
        <v>0</v>
      </c>
      <c r="D22" s="288">
        <f>'9.1. melléklet'!D25</f>
        <v>0</v>
      </c>
      <c r="E22" s="288">
        <f>'9.1. melléklet'!E25</f>
        <v>0</v>
      </c>
      <c r="F22" s="288">
        <f>'9.1. melléklet'!F25</f>
        <v>0</v>
      </c>
      <c r="G22" s="288">
        <f>'9.1. melléklet'!G25</f>
        <v>0</v>
      </c>
    </row>
    <row r="23" spans="1:7" s="394" customFormat="1" ht="12" customHeight="1">
      <c r="A23" s="12" t="s">
        <v>632</v>
      </c>
      <c r="B23" s="396" t="s">
        <v>813</v>
      </c>
      <c r="C23" s="288">
        <f>'9.1. melléklet'!C26</f>
        <v>0</v>
      </c>
      <c r="D23" s="288">
        <f>'9.1. melléklet'!D26</f>
        <v>0</v>
      </c>
      <c r="E23" s="288">
        <f>'9.1. melléklet'!E26</f>
        <v>0</v>
      </c>
      <c r="F23" s="288">
        <f>'9.1. melléklet'!F26</f>
        <v>0</v>
      </c>
      <c r="G23" s="288">
        <f>'9.1. melléklet'!G26</f>
        <v>0</v>
      </c>
    </row>
    <row r="24" spans="1:7" s="394" customFormat="1" ht="12" customHeight="1">
      <c r="A24" s="12" t="s">
        <v>707</v>
      </c>
      <c r="B24" s="396" t="s">
        <v>395</v>
      </c>
      <c r="C24" s="288">
        <f>'9.1. melléklet'!C27</f>
        <v>33407</v>
      </c>
      <c r="D24" s="288">
        <v>33407</v>
      </c>
      <c r="E24" s="288">
        <v>33407</v>
      </c>
      <c r="F24" s="288">
        <v>33407000</v>
      </c>
      <c r="G24" s="288">
        <v>10800000</v>
      </c>
    </row>
    <row r="25" spans="1:7" s="394" customFormat="1" ht="12" customHeight="1" thickBot="1">
      <c r="A25" s="14" t="s">
        <v>708</v>
      </c>
      <c r="B25" s="397" t="s">
        <v>814</v>
      </c>
      <c r="C25" s="910">
        <f>'9.1. melléklet'!C28</f>
        <v>0</v>
      </c>
      <c r="D25" s="910">
        <f>'9.1. melléklet'!D28</f>
        <v>0</v>
      </c>
      <c r="E25" s="910">
        <f>'9.1. melléklet'!E28</f>
        <v>0</v>
      </c>
      <c r="F25" s="910">
        <f>'9.1. melléklet'!F28</f>
        <v>0</v>
      </c>
      <c r="G25" s="910">
        <f>'9.1. melléklet'!G28</f>
        <v>0</v>
      </c>
    </row>
    <row r="26" spans="1:7" s="394" customFormat="1" ht="12" customHeight="1" thickBot="1">
      <c r="A26" s="18" t="s">
        <v>709</v>
      </c>
      <c r="B26" s="19" t="s">
        <v>815</v>
      </c>
      <c r="C26" s="911">
        <f>'9.1. melléklet'!C29</f>
        <v>114350</v>
      </c>
      <c r="D26" s="911">
        <f>'9.1. melléklet'!D29</f>
        <v>114350</v>
      </c>
      <c r="E26" s="911">
        <f>'9.1. melléklet'!E29</f>
        <v>114350</v>
      </c>
      <c r="F26" s="1196">
        <v>149350000</v>
      </c>
      <c r="G26" s="1196">
        <v>180840000</v>
      </c>
    </row>
    <row r="27" spans="1:7" s="394" customFormat="1" ht="12" customHeight="1">
      <c r="A27" s="13" t="s">
        <v>816</v>
      </c>
      <c r="B27" s="395" t="s">
        <v>822</v>
      </c>
      <c r="C27" s="288">
        <f>'9.1. melléklet'!C30</f>
        <v>95800</v>
      </c>
      <c r="D27" s="288">
        <f>'9.1. melléklet'!D30</f>
        <v>95800</v>
      </c>
      <c r="E27" s="288">
        <f>'9.1. melléklet'!E30</f>
        <v>95800</v>
      </c>
      <c r="F27" s="288">
        <v>127800000</v>
      </c>
      <c r="G27" s="288">
        <v>155200000</v>
      </c>
    </row>
    <row r="28" spans="1:7" s="394" customFormat="1" ht="12" customHeight="1">
      <c r="A28" s="12" t="s">
        <v>817</v>
      </c>
      <c r="B28" s="654" t="s">
        <v>336</v>
      </c>
      <c r="C28" s="288">
        <f>'9.1. melléklet'!C31</f>
        <v>5800</v>
      </c>
      <c r="D28" s="288">
        <f>'9.1. melléklet'!D31</f>
        <v>5800</v>
      </c>
      <c r="E28" s="288">
        <f>'9.1. melléklet'!E31</f>
        <v>5800</v>
      </c>
      <c r="F28" s="288">
        <v>5800000</v>
      </c>
      <c r="G28" s="288">
        <v>6200000</v>
      </c>
    </row>
    <row r="29" spans="1:7" s="394" customFormat="1" ht="12" customHeight="1">
      <c r="A29" s="12" t="s">
        <v>818</v>
      </c>
      <c r="B29" s="654" t="s">
        <v>337</v>
      </c>
      <c r="C29" s="288">
        <f>'9.1. melléklet'!C32</f>
        <v>90000</v>
      </c>
      <c r="D29" s="288">
        <f>'9.1. melléklet'!D32</f>
        <v>90000</v>
      </c>
      <c r="E29" s="288">
        <f>'9.1. melléklet'!E32</f>
        <v>90000</v>
      </c>
      <c r="F29" s="288">
        <v>122000000</v>
      </c>
      <c r="G29" s="288">
        <v>149000000</v>
      </c>
    </row>
    <row r="30" spans="1:7" s="394" customFormat="1" ht="12" customHeight="1">
      <c r="A30" s="12" t="s">
        <v>819</v>
      </c>
      <c r="B30" s="396" t="s">
        <v>825</v>
      </c>
      <c r="C30" s="288">
        <f>'9.1. melléklet'!C33</f>
        <v>16000</v>
      </c>
      <c r="D30" s="288">
        <f>'9.1. melléklet'!D33</f>
        <v>16000</v>
      </c>
      <c r="E30" s="288">
        <f>'9.1. melléklet'!E33</f>
        <v>16000</v>
      </c>
      <c r="F30" s="288">
        <v>18500000</v>
      </c>
      <c r="G30" s="288">
        <v>21000000</v>
      </c>
    </row>
    <row r="31" spans="1:7" s="394" customFormat="1" ht="12" customHeight="1">
      <c r="A31" s="12" t="s">
        <v>820</v>
      </c>
      <c r="B31" s="396" t="s">
        <v>300</v>
      </c>
      <c r="C31" s="288">
        <f>'9.1. melléklet'!C34</f>
        <v>250</v>
      </c>
      <c r="D31" s="288">
        <f>'9.1. melléklet'!D34</f>
        <v>250</v>
      </c>
      <c r="E31" s="288">
        <f>'9.1. melléklet'!E34</f>
        <v>250</v>
      </c>
      <c r="F31" s="288">
        <v>250000</v>
      </c>
      <c r="G31" s="288">
        <v>440000</v>
      </c>
    </row>
    <row r="32" spans="1:7" s="394" customFormat="1" ht="12" customHeight="1">
      <c r="A32" s="14" t="s">
        <v>821</v>
      </c>
      <c r="B32" s="397" t="s">
        <v>303</v>
      </c>
      <c r="C32" s="288">
        <f>'9.1. melléklet'!C35</f>
        <v>1300</v>
      </c>
      <c r="D32" s="288">
        <f>'9.1. melléklet'!D35</f>
        <v>1300</v>
      </c>
      <c r="E32" s="288">
        <f>'9.1. melléklet'!E35</f>
        <v>1300</v>
      </c>
      <c r="F32" s="288">
        <v>1300000</v>
      </c>
      <c r="G32" s="288">
        <v>2200000</v>
      </c>
    </row>
    <row r="33" spans="1:7" s="394" customFormat="1" ht="12" customHeight="1" thickBot="1">
      <c r="A33" s="14" t="s">
        <v>301</v>
      </c>
      <c r="B33" s="397" t="s">
        <v>302</v>
      </c>
      <c r="C33" s="288">
        <f>'9.1. melléklet'!C36</f>
        <v>1000</v>
      </c>
      <c r="D33" s="288">
        <f>'9.1. melléklet'!D36</f>
        <v>1000</v>
      </c>
      <c r="E33" s="288">
        <f>'9.1. melléklet'!E36</f>
        <v>1000</v>
      </c>
      <c r="F33" s="288">
        <v>1500000</v>
      </c>
      <c r="G33" s="288">
        <v>2000000</v>
      </c>
    </row>
    <row r="34" spans="1:7" s="394" customFormat="1" ht="12" customHeight="1" thickBot="1">
      <c r="A34" s="18" t="s">
        <v>559</v>
      </c>
      <c r="B34" s="19" t="s">
        <v>828</v>
      </c>
      <c r="C34" s="285">
        <f>C36+C37+C39+C40+C42+C44</f>
        <v>105322</v>
      </c>
      <c r="D34" s="285">
        <f>D36+D37+D39+D40+D42+D44</f>
        <v>107112</v>
      </c>
      <c r="E34" s="285">
        <f>E36+E37+E39+E40+E42+E44</f>
        <v>107112</v>
      </c>
      <c r="F34" s="285">
        <f>F36+F37+F39+F40+F42+F44+F41</f>
        <v>151851894</v>
      </c>
      <c r="G34" s="285">
        <f>G36+G37+G39+G40+G42+G44+G41</f>
        <v>156118404</v>
      </c>
    </row>
    <row r="35" spans="1:7" s="394" customFormat="1" ht="12" customHeight="1">
      <c r="A35" s="13" t="s">
        <v>633</v>
      </c>
      <c r="B35" s="395" t="s">
        <v>831</v>
      </c>
      <c r="C35" s="288"/>
      <c r="D35" s="288"/>
      <c r="E35" s="288"/>
      <c r="F35" s="288"/>
      <c r="G35" s="288"/>
    </row>
    <row r="36" spans="1:7" s="394" customFormat="1" ht="12" customHeight="1">
      <c r="A36" s="12" t="s">
        <v>634</v>
      </c>
      <c r="B36" s="396" t="s">
        <v>832</v>
      </c>
      <c r="C36" s="287">
        <v>10200</v>
      </c>
      <c r="D36" s="287">
        <v>10200</v>
      </c>
      <c r="E36" s="287">
        <v>10200</v>
      </c>
      <c r="F36" s="287">
        <v>13622000</v>
      </c>
      <c r="G36" s="287">
        <v>21114680</v>
      </c>
    </row>
    <row r="37" spans="1:7" s="394" customFormat="1" ht="12" customHeight="1">
      <c r="A37" s="12" t="s">
        <v>635</v>
      </c>
      <c r="B37" s="396" t="s">
        <v>833</v>
      </c>
      <c r="C37" s="287">
        <v>300</v>
      </c>
      <c r="D37" s="287">
        <v>300</v>
      </c>
      <c r="E37" s="287">
        <v>300</v>
      </c>
      <c r="F37" s="287">
        <v>300000</v>
      </c>
      <c r="G37" s="287"/>
    </row>
    <row r="38" spans="1:7" s="394" customFormat="1" ht="12" customHeight="1">
      <c r="A38" s="12" t="s">
        <v>711</v>
      </c>
      <c r="B38" s="396" t="s">
        <v>834</v>
      </c>
      <c r="C38" s="287"/>
      <c r="D38" s="287"/>
      <c r="E38" s="287"/>
      <c r="F38" s="287"/>
      <c r="G38" s="287"/>
    </row>
    <row r="39" spans="1:7" s="394" customFormat="1" ht="12" customHeight="1">
      <c r="A39" s="12" t="s">
        <v>712</v>
      </c>
      <c r="B39" s="396" t="s">
        <v>835</v>
      </c>
      <c r="C39" s="287">
        <v>83277</v>
      </c>
      <c r="D39" s="287">
        <v>83277</v>
      </c>
      <c r="E39" s="287">
        <v>83277</v>
      </c>
      <c r="F39" s="287">
        <v>83277000</v>
      </c>
      <c r="G39" s="287">
        <v>83695000</v>
      </c>
    </row>
    <row r="40" spans="1:7" s="394" customFormat="1" ht="12" customHeight="1">
      <c r="A40" s="12" t="s">
        <v>713</v>
      </c>
      <c r="B40" s="396" t="s">
        <v>836</v>
      </c>
      <c r="C40" s="287">
        <v>3045</v>
      </c>
      <c r="D40" s="287">
        <v>3045</v>
      </c>
      <c r="E40" s="287">
        <v>3045</v>
      </c>
      <c r="F40" s="287">
        <v>33245000</v>
      </c>
      <c r="G40" s="287">
        <v>33338000</v>
      </c>
    </row>
    <row r="41" spans="1:7" s="394" customFormat="1" ht="12" customHeight="1">
      <c r="A41" s="12" t="s">
        <v>714</v>
      </c>
      <c r="B41" s="396" t="s">
        <v>837</v>
      </c>
      <c r="C41" s="287"/>
      <c r="D41" s="287"/>
      <c r="E41" s="287"/>
      <c r="F41" s="287">
        <v>9241000</v>
      </c>
      <c r="G41" s="287">
        <v>11088000</v>
      </c>
    </row>
    <row r="42" spans="1:7" s="394" customFormat="1" ht="12" customHeight="1">
      <c r="A42" s="12" t="s">
        <v>715</v>
      </c>
      <c r="B42" s="396" t="s">
        <v>838</v>
      </c>
      <c r="C42" s="287">
        <v>1500</v>
      </c>
      <c r="D42" s="287">
        <v>1500</v>
      </c>
      <c r="E42" s="287">
        <v>1500</v>
      </c>
      <c r="F42" s="287">
        <v>1500000</v>
      </c>
      <c r="G42" s="287">
        <v>659330</v>
      </c>
    </row>
    <row r="43" spans="1:7" s="394" customFormat="1" ht="12" customHeight="1">
      <c r="A43" s="12" t="s">
        <v>829</v>
      </c>
      <c r="B43" s="396" t="s">
        <v>839</v>
      </c>
      <c r="C43" s="290"/>
      <c r="D43" s="290"/>
      <c r="E43" s="290"/>
      <c r="F43" s="290"/>
      <c r="G43" s="290"/>
    </row>
    <row r="44" spans="1:7" s="394" customFormat="1" ht="12" customHeight="1" thickBot="1">
      <c r="A44" s="14" t="s">
        <v>830</v>
      </c>
      <c r="B44" s="397" t="s">
        <v>840</v>
      </c>
      <c r="C44" s="384">
        <v>7000</v>
      </c>
      <c r="D44" s="384">
        <v>8790</v>
      </c>
      <c r="E44" s="384">
        <v>8790</v>
      </c>
      <c r="F44" s="384">
        <v>10666894</v>
      </c>
      <c r="G44" s="384">
        <v>6223394</v>
      </c>
    </row>
    <row r="45" spans="1:7" s="394" customFormat="1" ht="12" customHeight="1" thickBot="1">
      <c r="A45" s="18" t="s">
        <v>560</v>
      </c>
      <c r="B45" s="19" t="s">
        <v>841</v>
      </c>
      <c r="C45" s="285">
        <f>SUM(C46:C50)</f>
        <v>0</v>
      </c>
      <c r="D45" s="285">
        <f>SUM(D46:D50)</f>
        <v>50000</v>
      </c>
      <c r="E45" s="285">
        <f>SUM(E46:E50)</f>
        <v>50000</v>
      </c>
      <c r="F45" s="285">
        <f>SUM(F46:F50)</f>
        <v>105000000</v>
      </c>
      <c r="G45" s="285">
        <f>SUM(G46:G50)</f>
        <v>126240000</v>
      </c>
    </row>
    <row r="46" spans="1:7" s="394" customFormat="1" ht="12" customHeight="1">
      <c r="A46" s="13" t="s">
        <v>636</v>
      </c>
      <c r="B46" s="395" t="s">
        <v>845</v>
      </c>
      <c r="C46" s="438"/>
      <c r="D46" s="438"/>
      <c r="E46" s="438"/>
      <c r="F46" s="438"/>
      <c r="G46" s="438"/>
    </row>
    <row r="47" spans="1:7" s="394" customFormat="1" ht="12" customHeight="1">
      <c r="A47" s="12" t="s">
        <v>637</v>
      </c>
      <c r="B47" s="396" t="s">
        <v>846</v>
      </c>
      <c r="C47" s="290"/>
      <c r="D47" s="290">
        <v>50000</v>
      </c>
      <c r="E47" s="290">
        <v>50000</v>
      </c>
      <c r="F47" s="290">
        <v>105000000</v>
      </c>
      <c r="G47" s="290">
        <v>126240000</v>
      </c>
    </row>
    <row r="48" spans="1:7" s="394" customFormat="1" ht="12" customHeight="1">
      <c r="A48" s="12" t="s">
        <v>842</v>
      </c>
      <c r="B48" s="396" t="s">
        <v>847</v>
      </c>
      <c r="C48" s="290"/>
      <c r="D48" s="290"/>
      <c r="E48" s="290"/>
      <c r="F48" s="290"/>
      <c r="G48" s="290"/>
    </row>
    <row r="49" spans="1:7" s="394" customFormat="1" ht="12" customHeight="1">
      <c r="A49" s="12" t="s">
        <v>843</v>
      </c>
      <c r="B49" s="396" t="s">
        <v>848</v>
      </c>
      <c r="C49" s="290"/>
      <c r="D49" s="290"/>
      <c r="E49" s="290"/>
      <c r="F49" s="290"/>
      <c r="G49" s="290"/>
    </row>
    <row r="50" spans="1:7" s="394" customFormat="1" ht="12" customHeight="1">
      <c r="A50" s="12" t="s">
        <v>844</v>
      </c>
      <c r="B50" s="396" t="s">
        <v>849</v>
      </c>
      <c r="C50" s="290"/>
      <c r="D50" s="290"/>
      <c r="E50" s="290"/>
      <c r="F50" s="290"/>
      <c r="G50" s="290"/>
    </row>
    <row r="51" spans="1:7" s="394" customFormat="1" ht="12" customHeight="1" thickBot="1">
      <c r="A51" s="11" t="s">
        <v>535</v>
      </c>
      <c r="B51" s="579" t="s">
        <v>190</v>
      </c>
      <c r="C51" s="580"/>
      <c r="D51" s="580"/>
      <c r="E51" s="580"/>
      <c r="F51" s="580"/>
      <c r="G51" s="580"/>
    </row>
    <row r="52" spans="1:7" s="394" customFormat="1" ht="12" customHeight="1" thickBot="1">
      <c r="A52" s="18" t="s">
        <v>716</v>
      </c>
      <c r="B52" s="19" t="s">
        <v>850</v>
      </c>
      <c r="C52" s="285">
        <f>SUM(C53:C55)</f>
        <v>0</v>
      </c>
      <c r="D52" s="285">
        <f>SUM(D53:D55)</f>
        <v>0</v>
      </c>
      <c r="E52" s="285">
        <f>SUM(E53:E55)</f>
        <v>0</v>
      </c>
      <c r="F52" s="285">
        <f>SUM(F53:F55)</f>
        <v>0</v>
      </c>
      <c r="G52" s="285">
        <v>844000</v>
      </c>
    </row>
    <row r="53" spans="1:7" s="394" customFormat="1" ht="12" customHeight="1">
      <c r="A53" s="13" t="s">
        <v>638</v>
      </c>
      <c r="B53" s="395" t="s">
        <v>851</v>
      </c>
      <c r="C53" s="288"/>
      <c r="D53" s="288"/>
      <c r="E53" s="288"/>
      <c r="F53" s="288"/>
      <c r="G53" s="288"/>
    </row>
    <row r="54" spans="1:7" s="394" customFormat="1" ht="12" customHeight="1">
      <c r="A54" s="12" t="s">
        <v>639</v>
      </c>
      <c r="B54" s="396" t="s">
        <v>323</v>
      </c>
      <c r="C54" s="287"/>
      <c r="D54" s="287"/>
      <c r="E54" s="287"/>
      <c r="F54" s="287"/>
      <c r="G54" s="287"/>
    </row>
    <row r="55" spans="1:7" s="394" customFormat="1" ht="12" customHeight="1">
      <c r="A55" s="12" t="s">
        <v>854</v>
      </c>
      <c r="B55" s="396" t="s">
        <v>325</v>
      </c>
      <c r="C55" s="287"/>
      <c r="D55" s="287"/>
      <c r="E55" s="287"/>
      <c r="F55" s="287"/>
      <c r="G55" s="287"/>
    </row>
    <row r="56" spans="1:7" s="394" customFormat="1" ht="12" customHeight="1" thickBot="1">
      <c r="A56" s="14" t="s">
        <v>855</v>
      </c>
      <c r="B56" s="397" t="s">
        <v>853</v>
      </c>
      <c r="C56" s="289"/>
      <c r="D56" s="289"/>
      <c r="E56" s="289"/>
      <c r="F56" s="289"/>
      <c r="G56" s="289"/>
    </row>
    <row r="57" spans="1:7" s="394" customFormat="1" ht="12" customHeight="1" thickBot="1">
      <c r="A57" s="18" t="s">
        <v>562</v>
      </c>
      <c r="B57" s="280" t="s">
        <v>856</v>
      </c>
      <c r="C57" s="285">
        <f>SUM(C58:C60)</f>
        <v>0</v>
      </c>
      <c r="D57" s="285">
        <f>SUM(D58:D60)</f>
        <v>0</v>
      </c>
      <c r="E57" s="285">
        <f>SUM(E58:E60)</f>
        <v>0</v>
      </c>
      <c r="F57" s="285">
        <f>SUM(F58:F60)</f>
        <v>0</v>
      </c>
      <c r="G57" s="285">
        <v>40080</v>
      </c>
    </row>
    <row r="58" spans="1:7" s="394" customFormat="1" ht="12" customHeight="1">
      <c r="A58" s="13" t="s">
        <v>717</v>
      </c>
      <c r="B58" s="395" t="s">
        <v>858</v>
      </c>
      <c r="C58" s="290"/>
      <c r="D58" s="290"/>
      <c r="E58" s="290"/>
      <c r="F58" s="290"/>
      <c r="G58" s="290"/>
    </row>
    <row r="59" spans="1:7" s="394" customFormat="1" ht="12" customHeight="1">
      <c r="A59" s="12" t="s">
        <v>718</v>
      </c>
      <c r="B59" s="396" t="s">
        <v>177</v>
      </c>
      <c r="C59" s="290"/>
      <c r="D59" s="290"/>
      <c r="E59" s="290"/>
      <c r="F59" s="290"/>
      <c r="G59" s="290"/>
    </row>
    <row r="60" spans="1:7" s="394" customFormat="1" ht="12" customHeight="1">
      <c r="A60" s="12" t="s">
        <v>771</v>
      </c>
      <c r="B60" s="396" t="s">
        <v>340</v>
      </c>
      <c r="C60" s="290"/>
      <c r="D60" s="290"/>
      <c r="E60" s="290"/>
      <c r="F60" s="290"/>
      <c r="G60" s="290"/>
    </row>
    <row r="61" spans="1:7" s="394" customFormat="1" ht="12" customHeight="1" thickBot="1">
      <c r="A61" s="14" t="s">
        <v>857</v>
      </c>
      <c r="B61" s="397" t="s">
        <v>860</v>
      </c>
      <c r="C61" s="290"/>
      <c r="D61" s="290"/>
      <c r="E61" s="290"/>
      <c r="F61" s="290"/>
      <c r="G61" s="290"/>
    </row>
    <row r="62" spans="1:7" s="394" customFormat="1" ht="12" customHeight="1" thickBot="1">
      <c r="A62" s="18" t="s">
        <v>563</v>
      </c>
      <c r="B62" s="19" t="s">
        <v>861</v>
      </c>
      <c r="C62" s="291">
        <f>+C5+C12+C19+C26+C34+C45+C52+C57</f>
        <v>650666</v>
      </c>
      <c r="D62" s="291">
        <f>+D5+D12+D19+D26+D34+D45+D52+D57</f>
        <v>716744</v>
      </c>
      <c r="E62" s="291">
        <f>+E5+E12+E19+E26+E34+E45+E52+E57</f>
        <v>724608</v>
      </c>
      <c r="F62" s="291">
        <f>+F5+F12+F19+F26+F34+F45+F52+F57</f>
        <v>1042846881</v>
      </c>
      <c r="G62" s="291">
        <f>+G5+G12+G19+G26+G34+G45+G52+G57</f>
        <v>1082851085</v>
      </c>
    </row>
    <row r="63" spans="1:7" s="394" customFormat="1" ht="12" customHeight="1" thickBot="1">
      <c r="A63" s="398" t="s">
        <v>862</v>
      </c>
      <c r="B63" s="280" t="s">
        <v>863</v>
      </c>
      <c r="C63" s="285">
        <f>SUM(C64:C66)</f>
        <v>0</v>
      </c>
      <c r="D63" s="285">
        <f>SUM(D64:D66)</f>
        <v>0</v>
      </c>
      <c r="E63" s="285">
        <f>SUM(E64:E66)</f>
        <v>0</v>
      </c>
      <c r="F63" s="285">
        <f>SUM(F64:F66)</f>
        <v>0</v>
      </c>
      <c r="G63" s="285">
        <f>SUM(G64:G66)</f>
        <v>0</v>
      </c>
    </row>
    <row r="64" spans="1:7" s="394" customFormat="1" ht="12" customHeight="1">
      <c r="A64" s="13" t="s">
        <v>41</v>
      </c>
      <c r="B64" s="395" t="s">
        <v>864</v>
      </c>
      <c r="C64" s="290"/>
      <c r="D64" s="290"/>
      <c r="E64" s="290"/>
      <c r="F64" s="290"/>
      <c r="G64" s="290"/>
    </row>
    <row r="65" spans="1:7" s="394" customFormat="1" ht="12" customHeight="1">
      <c r="A65" s="12" t="s">
        <v>50</v>
      </c>
      <c r="B65" s="396" t="s">
        <v>865</v>
      </c>
      <c r="C65" s="290"/>
      <c r="D65" s="290"/>
      <c r="E65" s="290"/>
      <c r="F65" s="290"/>
      <c r="G65" s="290"/>
    </row>
    <row r="66" spans="1:7" s="394" customFormat="1" ht="12" customHeight="1" thickBot="1">
      <c r="A66" s="14" t="s">
        <v>51</v>
      </c>
      <c r="B66" s="399" t="s">
        <v>866</v>
      </c>
      <c r="C66" s="290"/>
      <c r="D66" s="290"/>
      <c r="E66" s="290"/>
      <c r="F66" s="290"/>
      <c r="G66" s="290"/>
    </row>
    <row r="67" spans="1:7" s="394" customFormat="1" ht="12" customHeight="1" thickBot="1">
      <c r="A67" s="398" t="s">
        <v>867</v>
      </c>
      <c r="B67" s="280" t="s">
        <v>868</v>
      </c>
      <c r="C67" s="285">
        <f>SUM(C68:C71)</f>
        <v>0</v>
      </c>
      <c r="D67" s="285">
        <f>SUM(D68:D71)</f>
        <v>0</v>
      </c>
      <c r="E67" s="285">
        <f>SUM(E68:E71)</f>
        <v>0</v>
      </c>
      <c r="F67" s="285">
        <f>SUM(F68:F71)</f>
        <v>0</v>
      </c>
      <c r="G67" s="285">
        <f>SUM(G68:G71)</f>
        <v>0</v>
      </c>
    </row>
    <row r="68" spans="1:7" s="394" customFormat="1" ht="12" customHeight="1">
      <c r="A68" s="13" t="s">
        <v>687</v>
      </c>
      <c r="B68" s="395" t="s">
        <v>869</v>
      </c>
      <c r="C68" s="290"/>
      <c r="D68" s="290"/>
      <c r="E68" s="290"/>
      <c r="F68" s="290"/>
      <c r="G68" s="290"/>
    </row>
    <row r="69" spans="1:7" s="394" customFormat="1" ht="12" customHeight="1">
      <c r="A69" s="12" t="s">
        <v>688</v>
      </c>
      <c r="B69" s="396" t="s">
        <v>870</v>
      </c>
      <c r="C69" s="290"/>
      <c r="D69" s="290"/>
      <c r="E69" s="290"/>
      <c r="F69" s="290"/>
      <c r="G69" s="290"/>
    </row>
    <row r="70" spans="1:7" s="394" customFormat="1" ht="12" customHeight="1">
      <c r="A70" s="12" t="s">
        <v>42</v>
      </c>
      <c r="B70" s="396" t="s">
        <v>871</v>
      </c>
      <c r="C70" s="290"/>
      <c r="D70" s="290"/>
      <c r="E70" s="290"/>
      <c r="F70" s="290"/>
      <c r="G70" s="290"/>
    </row>
    <row r="71" spans="1:7" s="394" customFormat="1" ht="12" customHeight="1" thickBot="1">
      <c r="A71" s="14" t="s">
        <v>43</v>
      </c>
      <c r="B71" s="397" t="s">
        <v>872</v>
      </c>
      <c r="C71" s="290"/>
      <c r="D71" s="290"/>
      <c r="E71" s="290"/>
      <c r="F71" s="290"/>
      <c r="G71" s="290"/>
    </row>
    <row r="72" spans="1:7" s="394" customFormat="1" ht="12" customHeight="1" thickBot="1">
      <c r="A72" s="398" t="s">
        <v>873</v>
      </c>
      <c r="B72" s="280" t="s">
        <v>874</v>
      </c>
      <c r="C72" s="285">
        <f>C73</f>
        <v>100000</v>
      </c>
      <c r="D72" s="285">
        <f>D73</f>
        <v>194012</v>
      </c>
      <c r="E72" s="285">
        <f>E73</f>
        <v>194012</v>
      </c>
      <c r="F72" s="285">
        <f>F73</f>
        <v>194012000</v>
      </c>
      <c r="G72" s="285">
        <f>G73</f>
        <v>194011584</v>
      </c>
    </row>
    <row r="73" spans="1:7" s="394" customFormat="1" ht="12" customHeight="1">
      <c r="A73" s="13" t="s">
        <v>44</v>
      </c>
      <c r="B73" s="395" t="s">
        <v>875</v>
      </c>
      <c r="C73" s="290">
        <v>100000</v>
      </c>
      <c r="D73" s="290">
        <v>194012</v>
      </c>
      <c r="E73" s="290">
        <v>194012</v>
      </c>
      <c r="F73" s="290">
        <v>194012000</v>
      </c>
      <c r="G73" s="290">
        <v>194011584</v>
      </c>
    </row>
    <row r="74" spans="1:7" s="394" customFormat="1" ht="12" customHeight="1" thickBot="1">
      <c r="A74" s="14" t="s">
        <v>45</v>
      </c>
      <c r="B74" s="397" t="s">
        <v>876</v>
      </c>
      <c r="C74" s="290"/>
      <c r="D74" s="290"/>
      <c r="E74" s="290"/>
      <c r="F74" s="290"/>
      <c r="G74" s="290"/>
    </row>
    <row r="75" spans="1:7" s="394" customFormat="1" ht="12" customHeight="1" thickBot="1">
      <c r="A75" s="398" t="s">
        <v>877</v>
      </c>
      <c r="B75" s="280" t="s">
        <v>878</v>
      </c>
      <c r="C75" s="285">
        <f>SUM(C76:C78)</f>
        <v>0</v>
      </c>
      <c r="D75" s="285">
        <f>SUM(D76:D78)</f>
        <v>0</v>
      </c>
      <c r="E75" s="285">
        <f>SUM(E76:E78)</f>
        <v>0</v>
      </c>
      <c r="F75" s="285">
        <f>SUM(F76:F78)</f>
        <v>0</v>
      </c>
      <c r="G75" s="285">
        <v>14042123</v>
      </c>
    </row>
    <row r="76" spans="1:7" s="394" customFormat="1" ht="12" customHeight="1">
      <c r="A76" s="13" t="s">
        <v>46</v>
      </c>
      <c r="B76" s="395" t="s">
        <v>879</v>
      </c>
      <c r="C76" s="290"/>
      <c r="D76" s="290"/>
      <c r="E76" s="290"/>
      <c r="F76" s="290"/>
      <c r="G76" s="290">
        <v>14042123</v>
      </c>
    </row>
    <row r="77" spans="1:7" s="394" customFormat="1" ht="12" customHeight="1">
      <c r="A77" s="12" t="s">
        <v>47</v>
      </c>
      <c r="B77" s="396" t="s">
        <v>880</v>
      </c>
      <c r="C77" s="290"/>
      <c r="D77" s="290"/>
      <c r="E77" s="290"/>
      <c r="F77" s="290"/>
      <c r="G77" s="290"/>
    </row>
    <row r="78" spans="1:7" s="394" customFormat="1" ht="12" customHeight="1" thickBot="1">
      <c r="A78" s="14" t="s">
        <v>48</v>
      </c>
      <c r="B78" s="397" t="s">
        <v>881</v>
      </c>
      <c r="C78" s="290"/>
      <c r="D78" s="290"/>
      <c r="E78" s="290"/>
      <c r="F78" s="290"/>
      <c r="G78" s="290"/>
    </row>
    <row r="79" spans="1:7" s="394" customFormat="1" ht="12" customHeight="1" thickBot="1">
      <c r="A79" s="398" t="s">
        <v>882</v>
      </c>
      <c r="B79" s="280" t="s">
        <v>49</v>
      </c>
      <c r="C79" s="285">
        <f>SUM(C80:C83)</f>
        <v>0</v>
      </c>
      <c r="D79" s="285">
        <f>SUM(D80:D83)</f>
        <v>0</v>
      </c>
      <c r="E79" s="285">
        <f>SUM(E80:E83)</f>
        <v>0</v>
      </c>
      <c r="F79" s="285">
        <f>SUM(F80:F83)</f>
        <v>0</v>
      </c>
      <c r="G79" s="285">
        <f>SUM(G80:G83)</f>
        <v>0</v>
      </c>
    </row>
    <row r="80" spans="1:7" s="394" customFormat="1" ht="12" customHeight="1">
      <c r="A80" s="400" t="s">
        <v>883</v>
      </c>
      <c r="B80" s="395" t="s">
        <v>29</v>
      </c>
      <c r="C80" s="290"/>
      <c r="D80" s="290"/>
      <c r="E80" s="290"/>
      <c r="F80" s="290"/>
      <c r="G80" s="290"/>
    </row>
    <row r="81" spans="1:7" s="394" customFormat="1" ht="12" customHeight="1">
      <c r="A81" s="401" t="s">
        <v>30</v>
      </c>
      <c r="B81" s="396" t="s">
        <v>31</v>
      </c>
      <c r="C81" s="290"/>
      <c r="D81" s="290"/>
      <c r="E81" s="290"/>
      <c r="F81" s="290"/>
      <c r="G81" s="290"/>
    </row>
    <row r="82" spans="1:7" s="394" customFormat="1" ht="12" customHeight="1">
      <c r="A82" s="401" t="s">
        <v>32</v>
      </c>
      <c r="B82" s="396" t="s">
        <v>33</v>
      </c>
      <c r="C82" s="290"/>
      <c r="D82" s="290"/>
      <c r="E82" s="290"/>
      <c r="F82" s="290"/>
      <c r="G82" s="290"/>
    </row>
    <row r="83" spans="1:7" s="394" customFormat="1" ht="13.5" customHeight="1" thickBot="1">
      <c r="A83" s="402" t="s">
        <v>34</v>
      </c>
      <c r="B83" s="397" t="s">
        <v>35</v>
      </c>
      <c r="C83" s="290"/>
      <c r="D83" s="290"/>
      <c r="E83" s="290"/>
      <c r="F83" s="290"/>
      <c r="G83" s="290"/>
    </row>
    <row r="84" spans="1:7" s="394" customFormat="1" ht="15.75" customHeight="1" thickBot="1">
      <c r="A84" s="398" t="s">
        <v>36</v>
      </c>
      <c r="B84" s="280" t="s">
        <v>37</v>
      </c>
      <c r="C84" s="439"/>
      <c r="D84" s="439"/>
      <c r="E84" s="439"/>
      <c r="F84" s="439"/>
      <c r="G84" s="439"/>
    </row>
    <row r="85" spans="1:7" s="394" customFormat="1" ht="16.5" customHeight="1" thickBot="1">
      <c r="A85" s="398" t="s">
        <v>38</v>
      </c>
      <c r="B85" s="403" t="s">
        <v>39</v>
      </c>
      <c r="C85" s="291">
        <f>+C63+C67+C72+C75+C79+C84</f>
        <v>100000</v>
      </c>
      <c r="D85" s="291">
        <f>+D63+D67+D72+D75+D79+D84</f>
        <v>194012</v>
      </c>
      <c r="E85" s="291">
        <f>+E63+E67+E72+E75+E79+E84</f>
        <v>194012</v>
      </c>
      <c r="F85" s="291">
        <f>+F63+F67+F72+F75+F79+F84</f>
        <v>194012000</v>
      </c>
      <c r="G85" s="291">
        <f>+G63+G67+G72+G75+G79+G84</f>
        <v>208053707</v>
      </c>
    </row>
    <row r="86" spans="1:7" ht="16.5" customHeight="1" thickBot="1">
      <c r="A86" s="404" t="s">
        <v>52</v>
      </c>
      <c r="B86" s="405" t="s">
        <v>40</v>
      </c>
      <c r="C86" s="291">
        <f>+C62+C85</f>
        <v>750666</v>
      </c>
      <c r="D86" s="291">
        <f>+D62+D85</f>
        <v>910756</v>
      </c>
      <c r="E86" s="291">
        <f>+E62+E85</f>
        <v>918620</v>
      </c>
      <c r="F86" s="291">
        <f>+F62+F85</f>
        <v>1236858881</v>
      </c>
      <c r="G86" s="291">
        <f>+G62+G85</f>
        <v>1290904792</v>
      </c>
    </row>
    <row r="87" spans="1:7" s="406" customFormat="1" ht="16.5" customHeight="1">
      <c r="A87" s="1249" t="s">
        <v>583</v>
      </c>
      <c r="B87" s="1249"/>
      <c r="C87" s="1249"/>
      <c r="D87" s="392"/>
      <c r="E87" s="392"/>
      <c r="F87" s="392"/>
      <c r="G87" s="392"/>
    </row>
    <row r="88" spans="1:7" ht="37.5" customHeight="1" thickBot="1">
      <c r="A88" s="1250" t="s">
        <v>690</v>
      </c>
      <c r="B88" s="1250"/>
      <c r="C88" s="128"/>
      <c r="D88" s="128"/>
      <c r="E88" s="128" t="s">
        <v>770</v>
      </c>
      <c r="F88" s="128"/>
      <c r="G88" s="128"/>
    </row>
    <row r="89" spans="1:7" s="393" customFormat="1" ht="12" customHeight="1" thickBot="1">
      <c r="A89" s="21" t="s">
        <v>610</v>
      </c>
      <c r="B89" s="22" t="s">
        <v>584</v>
      </c>
      <c r="C89" s="37" t="s">
        <v>451</v>
      </c>
      <c r="D89" s="37" t="s">
        <v>906</v>
      </c>
      <c r="E89" s="37" t="s">
        <v>906</v>
      </c>
      <c r="F89" s="37" t="s">
        <v>911</v>
      </c>
      <c r="G89" s="37" t="s">
        <v>911</v>
      </c>
    </row>
    <row r="90" spans="1:7" ht="12" customHeight="1" thickBot="1">
      <c r="A90" s="30">
        <v>1</v>
      </c>
      <c r="B90" s="31">
        <v>2</v>
      </c>
      <c r="C90" s="32">
        <v>3</v>
      </c>
      <c r="D90" s="32">
        <v>5</v>
      </c>
      <c r="E90" s="32">
        <v>5</v>
      </c>
      <c r="F90" s="32">
        <v>6</v>
      </c>
      <c r="G90" s="32">
        <v>6</v>
      </c>
    </row>
    <row r="91" spans="1:7" ht="12" customHeight="1" thickBot="1">
      <c r="A91" s="20" t="s">
        <v>555</v>
      </c>
      <c r="B91" s="29" t="s">
        <v>55</v>
      </c>
      <c r="C91" s="284">
        <f>SUM(C92:C96)</f>
        <v>589799</v>
      </c>
      <c r="D91" s="284">
        <f>D92+D93+D94+D95+D96</f>
        <v>627038</v>
      </c>
      <c r="E91" s="284">
        <f>E92+E93+E94+E95+E96</f>
        <v>637967</v>
      </c>
      <c r="F91" s="284">
        <f>F92+F93+F94+F95+F96</f>
        <v>668516901</v>
      </c>
      <c r="G91" s="284">
        <f>G92+G93+G94+G95+G96</f>
        <v>674638819</v>
      </c>
    </row>
    <row r="92" spans="1:7" ht="12" customHeight="1">
      <c r="A92" s="15" t="s">
        <v>640</v>
      </c>
      <c r="B92" s="8" t="s">
        <v>585</v>
      </c>
      <c r="C92" s="286">
        <v>181117</v>
      </c>
      <c r="D92" s="286">
        <v>193851</v>
      </c>
      <c r="E92" s="286">
        <v>199675</v>
      </c>
      <c r="F92" s="286">
        <v>198687051</v>
      </c>
      <c r="G92" s="286">
        <v>202900161</v>
      </c>
    </row>
    <row r="93" spans="1:7" ht="12" customHeight="1">
      <c r="A93" s="12" t="s">
        <v>641</v>
      </c>
      <c r="B93" s="6" t="s">
        <v>719</v>
      </c>
      <c r="C93" s="287">
        <v>50297</v>
      </c>
      <c r="D93" s="287">
        <v>53844</v>
      </c>
      <c r="E93" s="287">
        <v>55402</v>
      </c>
      <c r="F93" s="287">
        <v>56646815</v>
      </c>
      <c r="G93" s="287">
        <v>55612651</v>
      </c>
    </row>
    <row r="94" spans="1:7" ht="12" customHeight="1">
      <c r="A94" s="12" t="s">
        <v>642</v>
      </c>
      <c r="B94" s="6" t="s">
        <v>678</v>
      </c>
      <c r="C94" s="289">
        <v>217425</v>
      </c>
      <c r="D94" s="289">
        <v>236729</v>
      </c>
      <c r="E94" s="289">
        <v>236729</v>
      </c>
      <c r="F94" s="289">
        <v>265847537</v>
      </c>
      <c r="G94" s="289">
        <v>264608659</v>
      </c>
    </row>
    <row r="95" spans="1:7" ht="12" customHeight="1">
      <c r="A95" s="12" t="s">
        <v>643</v>
      </c>
      <c r="B95" s="9" t="s">
        <v>720</v>
      </c>
      <c r="C95" s="289">
        <v>9611</v>
      </c>
      <c r="D95" s="289">
        <f>'9.1. melléklet'!D96</f>
        <v>9611</v>
      </c>
      <c r="E95" s="289">
        <f>'9.1. melléklet'!E96</f>
        <v>9611</v>
      </c>
      <c r="F95" s="289">
        <v>9611000</v>
      </c>
      <c r="G95" s="289">
        <v>9591000</v>
      </c>
    </row>
    <row r="96" spans="1:7" ht="12" customHeight="1">
      <c r="A96" s="12" t="s">
        <v>654</v>
      </c>
      <c r="B96" s="17" t="s">
        <v>721</v>
      </c>
      <c r="C96" s="289">
        <f>'9.1. melléklet'!C97</f>
        <v>131349</v>
      </c>
      <c r="D96" s="289">
        <f>D100+D101+D102+D106</f>
        <v>133003</v>
      </c>
      <c r="E96" s="289">
        <f>E100+E101+E102+E106</f>
        <v>136550</v>
      </c>
      <c r="F96" s="289">
        <v>137724498</v>
      </c>
      <c r="G96" s="289">
        <v>141926348</v>
      </c>
    </row>
    <row r="97" spans="1:7" ht="12" customHeight="1">
      <c r="A97" s="12" t="s">
        <v>644</v>
      </c>
      <c r="B97" s="6" t="s">
        <v>56</v>
      </c>
      <c r="C97" s="289">
        <f>'9.1. melléklet'!C98</f>
        <v>0</v>
      </c>
      <c r="D97" s="289">
        <f>'9.1. melléklet'!D98</f>
        <v>0</v>
      </c>
      <c r="E97" s="289">
        <f>'9.1. melléklet'!E98</f>
        <v>0</v>
      </c>
      <c r="F97" s="289">
        <f>'9.1. melléklet'!F98</f>
        <v>0</v>
      </c>
      <c r="G97" s="289">
        <f>'9.1. melléklet'!G98</f>
        <v>0</v>
      </c>
    </row>
    <row r="98" spans="1:7" ht="12" customHeight="1">
      <c r="A98" s="12" t="s">
        <v>645</v>
      </c>
      <c r="B98" s="130" t="s">
        <v>57</v>
      </c>
      <c r="C98" s="289">
        <f>'9.1. melléklet'!C99</f>
        <v>0</v>
      </c>
      <c r="D98" s="289">
        <f>'9.1. melléklet'!D99</f>
        <v>0</v>
      </c>
      <c r="E98" s="289">
        <f>'9.1. melléklet'!E99</f>
        <v>0</v>
      </c>
      <c r="F98" s="289">
        <f>'9.1. melléklet'!F99</f>
        <v>0</v>
      </c>
      <c r="G98" s="289">
        <f>'9.1. melléklet'!G99</f>
        <v>0</v>
      </c>
    </row>
    <row r="99" spans="1:7" ht="12" customHeight="1">
      <c r="A99" s="12" t="s">
        <v>655</v>
      </c>
      <c r="B99" s="1115" t="s">
        <v>892</v>
      </c>
      <c r="C99" s="289">
        <f>'9.1. melléklet'!C100</f>
        <v>0</v>
      </c>
      <c r="D99" s="289"/>
      <c r="E99" s="289"/>
      <c r="F99" s="289"/>
      <c r="G99" s="289"/>
    </row>
    <row r="100" spans="1:7" ht="12" customHeight="1">
      <c r="A100" s="12" t="s">
        <v>656</v>
      </c>
      <c r="B100" s="1115" t="s">
        <v>893</v>
      </c>
      <c r="C100" s="289">
        <f>'9.1. melléklet'!C101</f>
        <v>0</v>
      </c>
      <c r="D100" s="289">
        <f>'9.1. melléklet'!D101</f>
        <v>1194</v>
      </c>
      <c r="E100" s="289">
        <f>'9.1. melléklet'!E101</f>
        <v>1194</v>
      </c>
      <c r="F100" s="289">
        <v>1194000</v>
      </c>
      <c r="G100" s="289">
        <v>1193850</v>
      </c>
    </row>
    <row r="101" spans="1:7" ht="12" customHeight="1">
      <c r="A101" s="12" t="s">
        <v>657</v>
      </c>
      <c r="B101" s="130" t="s">
        <v>247</v>
      </c>
      <c r="C101" s="289">
        <f>'9.1. melléklet'!C102</f>
        <v>126149</v>
      </c>
      <c r="D101" s="289">
        <v>126609</v>
      </c>
      <c r="E101" s="289">
        <v>130156</v>
      </c>
      <c r="F101" s="289">
        <v>131330498</v>
      </c>
      <c r="G101" s="289">
        <v>135172498</v>
      </c>
    </row>
    <row r="102" spans="1:7" ht="12" customHeight="1">
      <c r="A102" s="12" t="s">
        <v>658</v>
      </c>
      <c r="B102" s="130" t="s">
        <v>338</v>
      </c>
      <c r="C102" s="289">
        <f>'9.1. melléklet'!C103</f>
        <v>2000</v>
      </c>
      <c r="D102" s="289">
        <f>'9.1. melléklet'!D103</f>
        <v>2000</v>
      </c>
      <c r="E102" s="289">
        <f>'9.1. melléklet'!E103</f>
        <v>2000</v>
      </c>
      <c r="F102" s="289">
        <v>2000000</v>
      </c>
      <c r="G102" s="289">
        <v>2000000</v>
      </c>
    </row>
    <row r="103" spans="1:7" ht="12" customHeight="1">
      <c r="A103" s="12" t="s">
        <v>660</v>
      </c>
      <c r="B103" s="131" t="s">
        <v>62</v>
      </c>
      <c r="C103" s="289">
        <f>'9.1. melléklet'!C104</f>
        <v>0</v>
      </c>
      <c r="D103" s="289">
        <f>'9.1. melléklet'!D104</f>
        <v>0</v>
      </c>
      <c r="E103" s="289">
        <f>'9.1. melléklet'!E104</f>
        <v>0</v>
      </c>
      <c r="F103" s="289">
        <f>'9.1. melléklet'!F104</f>
        <v>0</v>
      </c>
      <c r="G103" s="289">
        <f>'9.1. melléklet'!G104</f>
        <v>0</v>
      </c>
    </row>
    <row r="104" spans="1:7" ht="12" customHeight="1">
      <c r="A104" s="11" t="s">
        <v>722</v>
      </c>
      <c r="B104" s="132" t="s">
        <v>63</v>
      </c>
      <c r="C104" s="289">
        <f>'9.1. melléklet'!C105</f>
        <v>0</v>
      </c>
      <c r="D104" s="289">
        <f>'9.1. melléklet'!D105</f>
        <v>0</v>
      </c>
      <c r="E104" s="289">
        <f>'9.1. melléklet'!E105</f>
        <v>0</v>
      </c>
      <c r="F104" s="289">
        <f>'9.1. melléklet'!F105</f>
        <v>0</v>
      </c>
      <c r="G104" s="289">
        <f>'9.1. melléklet'!G105</f>
        <v>0</v>
      </c>
    </row>
    <row r="105" spans="1:7" ht="12" customHeight="1">
      <c r="A105" s="12" t="s">
        <v>53</v>
      </c>
      <c r="B105" s="131" t="s">
        <v>328</v>
      </c>
      <c r="C105" s="289">
        <f>'9.1. melléklet'!C106</f>
        <v>0</v>
      </c>
      <c r="D105" s="289">
        <f>'9.1. melléklet'!D106</f>
        <v>0</v>
      </c>
      <c r="E105" s="289">
        <f>'9.1. melléklet'!E106</f>
        <v>0</v>
      </c>
      <c r="F105" s="289">
        <f>'9.1. melléklet'!F106</f>
        <v>0</v>
      </c>
      <c r="G105" s="289">
        <f>'9.1. melléklet'!G106</f>
        <v>0</v>
      </c>
    </row>
    <row r="106" spans="1:7" ht="12" customHeight="1" thickBot="1">
      <c r="A106" s="16" t="s">
        <v>54</v>
      </c>
      <c r="B106" s="691" t="s">
        <v>65</v>
      </c>
      <c r="C106" s="289">
        <f>'9.1. melléklet'!C107</f>
        <v>3200</v>
      </c>
      <c r="D106" s="289">
        <f>'9.1. melléklet'!D107</f>
        <v>3200</v>
      </c>
      <c r="E106" s="289">
        <f>'9.1. melléklet'!E107</f>
        <v>3200</v>
      </c>
      <c r="F106" s="289">
        <v>3200000</v>
      </c>
      <c r="G106" s="289">
        <v>3560000</v>
      </c>
    </row>
    <row r="107" spans="1:7" ht="12" customHeight="1" thickBot="1">
      <c r="A107" s="18" t="s">
        <v>556</v>
      </c>
      <c r="B107" s="28" t="s">
        <v>66</v>
      </c>
      <c r="C107" s="285">
        <f>+C108+C110+C112</f>
        <v>100000</v>
      </c>
      <c r="D107" s="285">
        <f>+D108+D110+D112</f>
        <v>113464</v>
      </c>
      <c r="E107" s="285">
        <f>+E108+E110+E112</f>
        <v>113464</v>
      </c>
      <c r="F107" s="285">
        <f>+F108+F110+F112</f>
        <v>134524000</v>
      </c>
      <c r="G107" s="285">
        <f>+G108+G110+G112</f>
        <v>97995500</v>
      </c>
    </row>
    <row r="108" spans="1:7" ht="12" customHeight="1">
      <c r="A108" s="13" t="s">
        <v>646</v>
      </c>
      <c r="B108" s="6" t="s">
        <v>339</v>
      </c>
      <c r="C108" s="288">
        <v>18354</v>
      </c>
      <c r="D108" s="288">
        <v>18354</v>
      </c>
      <c r="E108" s="288">
        <v>18354</v>
      </c>
      <c r="F108" s="288">
        <v>39412000</v>
      </c>
      <c r="G108" s="288">
        <v>33498500</v>
      </c>
    </row>
    <row r="109" spans="1:7" ht="12" customHeight="1">
      <c r="A109" s="13" t="s">
        <v>647</v>
      </c>
      <c r="B109" s="10" t="s">
        <v>70</v>
      </c>
      <c r="C109" s="288">
        <f>'9.1. melléklet'!C110</f>
        <v>0</v>
      </c>
      <c r="D109" s="288">
        <f>'9.1. melléklet'!D110</f>
        <v>0</v>
      </c>
      <c r="E109" s="288">
        <f>'9.1. melléklet'!E110</f>
        <v>0</v>
      </c>
      <c r="F109" s="288">
        <f>'9.1. melléklet'!F110</f>
        <v>0</v>
      </c>
      <c r="G109" s="288">
        <f>'9.1. melléklet'!G110</f>
        <v>0</v>
      </c>
    </row>
    <row r="110" spans="1:7" ht="12" customHeight="1">
      <c r="A110" s="13" t="s">
        <v>648</v>
      </c>
      <c r="B110" s="10" t="s">
        <v>723</v>
      </c>
      <c r="C110" s="288">
        <v>31681</v>
      </c>
      <c r="D110" s="288">
        <v>45145</v>
      </c>
      <c r="E110" s="288">
        <v>45145</v>
      </c>
      <c r="F110" s="288">
        <v>45147000</v>
      </c>
      <c r="G110" s="288">
        <v>32851000</v>
      </c>
    </row>
    <row r="111" spans="1:7" ht="12" customHeight="1">
      <c r="A111" s="13" t="s">
        <v>649</v>
      </c>
      <c r="B111" s="10" t="s">
        <v>71</v>
      </c>
      <c r="C111" s="288">
        <f>'9.1. melléklet'!C112</f>
        <v>0</v>
      </c>
      <c r="D111" s="288">
        <f>'9.1. melléklet'!D112</f>
        <v>0</v>
      </c>
      <c r="E111" s="288">
        <f>'9.1. melléklet'!E112</f>
        <v>0</v>
      </c>
      <c r="F111" s="288">
        <f>'9.1. melléklet'!F112</f>
        <v>0</v>
      </c>
      <c r="G111" s="288">
        <f>'9.1. melléklet'!G112</f>
        <v>0</v>
      </c>
    </row>
    <row r="112" spans="1:7" ht="12" customHeight="1">
      <c r="A112" s="13" t="s">
        <v>650</v>
      </c>
      <c r="B112" s="282" t="s">
        <v>772</v>
      </c>
      <c r="C112" s="288">
        <f>C115+C116+C120</f>
        <v>49965</v>
      </c>
      <c r="D112" s="288">
        <f>D115+D116+D120</f>
        <v>49965</v>
      </c>
      <c r="E112" s="288">
        <f>E115+E116+E120</f>
        <v>49965</v>
      </c>
      <c r="F112" s="288">
        <v>49965000</v>
      </c>
      <c r="G112" s="288">
        <v>31646000</v>
      </c>
    </row>
    <row r="113" spans="1:7" ht="12" customHeight="1">
      <c r="A113" s="13" t="s">
        <v>659</v>
      </c>
      <c r="B113" s="281" t="s">
        <v>178</v>
      </c>
      <c r="C113" s="288">
        <f>'9.1. melléklet'!C114</f>
        <v>0</v>
      </c>
      <c r="D113" s="288">
        <f>'9.1. melléklet'!D114</f>
        <v>0</v>
      </c>
      <c r="E113" s="288">
        <f>'9.1. melléklet'!E114</f>
        <v>0</v>
      </c>
      <c r="F113" s="288">
        <f>'9.1. melléklet'!F114</f>
        <v>0</v>
      </c>
      <c r="G113" s="288">
        <f>'9.1. melléklet'!G114</f>
        <v>0</v>
      </c>
    </row>
    <row r="114" spans="1:7" ht="15.75">
      <c r="A114" s="13" t="s">
        <v>661</v>
      </c>
      <c r="B114" s="391" t="s">
        <v>76</v>
      </c>
      <c r="C114" s="288">
        <f>'9.1. melléklet'!C115</f>
        <v>0</v>
      </c>
      <c r="D114" s="288">
        <f>'9.1. melléklet'!D115</f>
        <v>0</v>
      </c>
      <c r="E114" s="288">
        <f>'9.1. melléklet'!E115</f>
        <v>0</v>
      </c>
      <c r="F114" s="288">
        <f>'9.1. melléklet'!F115</f>
        <v>0</v>
      </c>
      <c r="G114" s="288">
        <f>'9.1. melléklet'!G115</f>
        <v>0</v>
      </c>
    </row>
    <row r="115" spans="1:7" ht="12" customHeight="1">
      <c r="A115" s="13" t="s">
        <v>724</v>
      </c>
      <c r="B115" s="131" t="s">
        <v>382</v>
      </c>
      <c r="C115" s="288">
        <v>31646</v>
      </c>
      <c r="D115" s="288">
        <v>31646</v>
      </c>
      <c r="E115" s="288">
        <v>31646</v>
      </c>
      <c r="F115" s="288">
        <v>31646000</v>
      </c>
      <c r="G115" s="288">
        <v>31646000</v>
      </c>
    </row>
    <row r="116" spans="1:7" ht="12" customHeight="1">
      <c r="A116" s="13" t="s">
        <v>725</v>
      </c>
      <c r="B116" s="131" t="s">
        <v>384</v>
      </c>
      <c r="C116" s="288">
        <v>17119</v>
      </c>
      <c r="D116" s="288">
        <v>17119</v>
      </c>
      <c r="E116" s="288">
        <v>17119</v>
      </c>
      <c r="F116" s="288">
        <v>17119000</v>
      </c>
      <c r="G116" s="288"/>
    </row>
    <row r="117" spans="1:7" ht="12" customHeight="1">
      <c r="A117" s="13" t="s">
        <v>726</v>
      </c>
      <c r="B117" s="131" t="s">
        <v>74</v>
      </c>
      <c r="C117" s="288">
        <f>'9.1. melléklet'!C118</f>
        <v>0</v>
      </c>
      <c r="D117" s="288">
        <f>'9.1. melléklet'!D118</f>
        <v>0</v>
      </c>
      <c r="E117" s="288">
        <f>'9.1. melléklet'!E118</f>
        <v>0</v>
      </c>
      <c r="F117" s="288">
        <f>'9.1. melléklet'!F118</f>
        <v>0</v>
      </c>
      <c r="G117" s="288">
        <f>'9.1. melléklet'!G118</f>
        <v>0</v>
      </c>
    </row>
    <row r="118" spans="1:7" ht="12" customHeight="1">
      <c r="A118" s="13" t="s">
        <v>67</v>
      </c>
      <c r="B118" s="131" t="s">
        <v>62</v>
      </c>
      <c r="C118" s="288">
        <f>'9.1. melléklet'!C119</f>
        <v>0</v>
      </c>
      <c r="D118" s="288">
        <f>'9.1. melléklet'!D119</f>
        <v>0</v>
      </c>
      <c r="E118" s="288">
        <f>'9.1. melléklet'!E119</f>
        <v>0</v>
      </c>
      <c r="F118" s="288">
        <f>'9.1. melléklet'!F119</f>
        <v>0</v>
      </c>
      <c r="G118" s="288">
        <f>'9.1. melléklet'!G119</f>
        <v>0</v>
      </c>
    </row>
    <row r="119" spans="1:7" ht="15.75">
      <c r="A119" s="13" t="s">
        <v>68</v>
      </c>
      <c r="B119" s="131" t="s">
        <v>73</v>
      </c>
      <c r="C119" s="288">
        <f>'9.1. melléklet'!C120</f>
        <v>0</v>
      </c>
      <c r="D119" s="288">
        <f>'9.1. melléklet'!D120</f>
        <v>0</v>
      </c>
      <c r="E119" s="288">
        <f>'9.1. melléklet'!E120</f>
        <v>0</v>
      </c>
      <c r="F119" s="288">
        <f>'9.1. melléklet'!F120</f>
        <v>0</v>
      </c>
      <c r="G119" s="288">
        <f>'9.1. melléklet'!G120</f>
        <v>0</v>
      </c>
    </row>
    <row r="120" spans="1:7" ht="12" customHeight="1" thickBot="1">
      <c r="A120" s="11" t="s">
        <v>69</v>
      </c>
      <c r="B120" s="131" t="s">
        <v>248</v>
      </c>
      <c r="C120" s="288">
        <f>'9.1. melléklet'!C121</f>
        <v>1200</v>
      </c>
      <c r="D120" s="288">
        <f>'9.1. melléklet'!D121</f>
        <v>1200</v>
      </c>
      <c r="E120" s="288">
        <f>'9.1. melléklet'!E121</f>
        <v>1200</v>
      </c>
      <c r="F120" s="288">
        <v>1200000</v>
      </c>
      <c r="G120" s="288"/>
    </row>
    <row r="121" spans="1:7" ht="12" customHeight="1" thickBot="1">
      <c r="A121" s="18" t="s">
        <v>557</v>
      </c>
      <c r="B121" s="121" t="s">
        <v>77</v>
      </c>
      <c r="C121" s="285">
        <f>+C122+C123</f>
        <v>60867</v>
      </c>
      <c r="D121" s="285">
        <f>+D122+D123</f>
        <v>106243</v>
      </c>
      <c r="E121" s="285">
        <f>+E122+E123</f>
        <v>103178</v>
      </c>
      <c r="F121" s="285">
        <f>+F122+F123</f>
        <v>124805980</v>
      </c>
      <c r="G121" s="285">
        <f>+G122+G123</f>
        <v>208093244</v>
      </c>
    </row>
    <row r="122" spans="1:7" ht="12" customHeight="1">
      <c r="A122" s="13" t="s">
        <v>629</v>
      </c>
      <c r="B122" s="7" t="s">
        <v>597</v>
      </c>
      <c r="C122" s="288">
        <f>'9.1. melléklet'!C123</f>
        <v>27460</v>
      </c>
      <c r="D122" s="288">
        <v>47423</v>
      </c>
      <c r="E122" s="288">
        <v>44358</v>
      </c>
      <c r="F122" s="288">
        <v>65985980</v>
      </c>
      <c r="G122" s="288">
        <v>145297464</v>
      </c>
    </row>
    <row r="123" spans="1:7" ht="12" customHeight="1" thickBot="1">
      <c r="A123" s="14" t="s">
        <v>630</v>
      </c>
      <c r="B123" s="10" t="s">
        <v>598</v>
      </c>
      <c r="C123" s="288">
        <f>'9.1. melléklet'!C124</f>
        <v>33407</v>
      </c>
      <c r="D123" s="288">
        <f>'9.1. melléklet'!D124</f>
        <v>58820</v>
      </c>
      <c r="E123" s="288">
        <f>'9.1. melléklet'!E124</f>
        <v>58820</v>
      </c>
      <c r="F123" s="288">
        <v>58820000</v>
      </c>
      <c r="G123" s="288">
        <v>62795780</v>
      </c>
    </row>
    <row r="124" spans="1:7" ht="12" customHeight="1" thickBot="1">
      <c r="A124" s="18" t="s">
        <v>558</v>
      </c>
      <c r="B124" s="121" t="s">
        <v>78</v>
      </c>
      <c r="C124" s="285">
        <f>+C91+C107+C121</f>
        <v>750666</v>
      </c>
      <c r="D124" s="285">
        <f>+D91+D107+D121</f>
        <v>846745</v>
      </c>
      <c r="E124" s="285">
        <f>+E91+E107+E121</f>
        <v>854609</v>
      </c>
      <c r="F124" s="285">
        <f>+F91+F107+F121</f>
        <v>927846881</v>
      </c>
      <c r="G124" s="285">
        <f>+G91+G107+G121</f>
        <v>980727563</v>
      </c>
    </row>
    <row r="125" spans="1:7" ht="12" customHeight="1" thickBot="1">
      <c r="A125" s="18" t="s">
        <v>559</v>
      </c>
      <c r="B125" s="121" t="s">
        <v>79</v>
      </c>
      <c r="C125" s="285">
        <f>+C126+C127+C128</f>
        <v>0</v>
      </c>
      <c r="D125" s="285">
        <f>+D126+D127+D128</f>
        <v>0</v>
      </c>
      <c r="E125" s="285">
        <f>+E126+E127+E128</f>
        <v>0</v>
      </c>
      <c r="F125" s="285">
        <f>+F126+F127+F128</f>
        <v>0</v>
      </c>
      <c r="G125" s="285">
        <f>+G126+G127+G128</f>
        <v>0</v>
      </c>
    </row>
    <row r="126" spans="1:7" ht="12" customHeight="1">
      <c r="A126" s="13" t="s">
        <v>633</v>
      </c>
      <c r="B126" s="7" t="s">
        <v>80</v>
      </c>
      <c r="C126" s="258"/>
      <c r="D126" s="258"/>
      <c r="E126" s="258"/>
      <c r="F126" s="258"/>
      <c r="G126" s="258"/>
    </row>
    <row r="127" spans="1:7" ht="12" customHeight="1">
      <c r="A127" s="13" t="s">
        <v>634</v>
      </c>
      <c r="B127" s="7" t="s">
        <v>81</v>
      </c>
      <c r="C127" s="258"/>
      <c r="D127" s="258"/>
      <c r="E127" s="258"/>
      <c r="F127" s="258"/>
      <c r="G127" s="258"/>
    </row>
    <row r="128" spans="1:7" ht="12" customHeight="1" thickBot="1">
      <c r="A128" s="11" t="s">
        <v>635</v>
      </c>
      <c r="B128" s="5" t="s">
        <v>82</v>
      </c>
      <c r="C128" s="258"/>
      <c r="D128" s="258"/>
      <c r="E128" s="258"/>
      <c r="F128" s="258"/>
      <c r="G128" s="258"/>
    </row>
    <row r="129" spans="1:7" ht="12" customHeight="1" thickBot="1">
      <c r="A129" s="18" t="s">
        <v>560</v>
      </c>
      <c r="B129" s="121" t="s">
        <v>132</v>
      </c>
      <c r="C129" s="285">
        <f>+C130+C131+C132+C133</f>
        <v>0</v>
      </c>
      <c r="D129" s="285">
        <f>+D130+D131+D132+D133</f>
        <v>50000</v>
      </c>
      <c r="E129" s="285">
        <f>+E130+E131+E132+E133</f>
        <v>50000</v>
      </c>
      <c r="F129" s="285">
        <f>+F130+F131+F132+F133</f>
        <v>295000000</v>
      </c>
      <c r="G129" s="285">
        <f>+G130+G131+G132+G133</f>
        <v>296165800</v>
      </c>
    </row>
    <row r="130" spans="1:7" ht="12" customHeight="1">
      <c r="A130" s="13" t="s">
        <v>636</v>
      </c>
      <c r="B130" s="7" t="s">
        <v>83</v>
      </c>
      <c r="C130" s="258"/>
      <c r="D130" s="258">
        <v>50000</v>
      </c>
      <c r="E130" s="258">
        <v>50000</v>
      </c>
      <c r="F130" s="258">
        <v>295000000</v>
      </c>
      <c r="G130" s="258">
        <v>296165800</v>
      </c>
    </row>
    <row r="131" spans="1:7" ht="12" customHeight="1">
      <c r="A131" s="13" t="s">
        <v>637</v>
      </c>
      <c r="B131" s="7" t="s">
        <v>84</v>
      </c>
      <c r="C131" s="258"/>
      <c r="D131" s="258"/>
      <c r="E131" s="258"/>
      <c r="F131" s="258"/>
      <c r="G131" s="258"/>
    </row>
    <row r="132" spans="1:7" ht="12" customHeight="1">
      <c r="A132" s="13" t="s">
        <v>842</v>
      </c>
      <c r="B132" s="7" t="s">
        <v>85</v>
      </c>
      <c r="C132" s="258"/>
      <c r="D132" s="258"/>
      <c r="E132" s="258"/>
      <c r="F132" s="258"/>
      <c r="G132" s="258"/>
    </row>
    <row r="133" spans="1:7" ht="12" customHeight="1" thickBot="1">
      <c r="A133" s="11" t="s">
        <v>843</v>
      </c>
      <c r="B133" s="5" t="s">
        <v>86</v>
      </c>
      <c r="C133" s="258"/>
      <c r="D133" s="258"/>
      <c r="E133" s="258"/>
      <c r="F133" s="258"/>
      <c r="G133" s="258"/>
    </row>
    <row r="134" spans="1:7" ht="12" customHeight="1" thickBot="1">
      <c r="A134" s="18" t="s">
        <v>561</v>
      </c>
      <c r="B134" s="121" t="s">
        <v>87</v>
      </c>
      <c r="C134" s="291">
        <f>+C135+C136+C137+C138</f>
        <v>0</v>
      </c>
      <c r="D134" s="291">
        <f>+D135+D136+D137+D138</f>
        <v>14011</v>
      </c>
      <c r="E134" s="291">
        <f>+E135+E136+E137+E138</f>
        <v>14011</v>
      </c>
      <c r="F134" s="291">
        <f>+F135+F136+F137+F138</f>
        <v>14012000</v>
      </c>
      <c r="G134" s="291">
        <f>+G135+G136+G137+G138</f>
        <v>14011429</v>
      </c>
    </row>
    <row r="135" spans="1:7" ht="12" customHeight="1">
      <c r="A135" s="13" t="s">
        <v>638</v>
      </c>
      <c r="B135" s="7" t="s">
        <v>88</v>
      </c>
      <c r="C135" s="258"/>
      <c r="D135" s="258"/>
      <c r="E135" s="258"/>
      <c r="F135" s="258"/>
      <c r="G135" s="258"/>
    </row>
    <row r="136" spans="1:7" ht="12" customHeight="1">
      <c r="A136" s="13" t="s">
        <v>639</v>
      </c>
      <c r="B136" s="7" t="s">
        <v>98</v>
      </c>
      <c r="C136" s="258"/>
      <c r="D136" s="258">
        <v>14011</v>
      </c>
      <c r="E136" s="258">
        <v>14011</v>
      </c>
      <c r="F136" s="258">
        <v>14012000</v>
      </c>
      <c r="G136" s="258">
        <v>14011429</v>
      </c>
    </row>
    <row r="137" spans="1:7" ht="12" customHeight="1">
      <c r="A137" s="13" t="s">
        <v>854</v>
      </c>
      <c r="B137" s="7" t="s">
        <v>895</v>
      </c>
      <c r="C137" s="258"/>
      <c r="D137" s="258"/>
      <c r="E137" s="258"/>
      <c r="F137" s="258"/>
      <c r="G137" s="258"/>
    </row>
    <row r="138" spans="1:7" ht="12" customHeight="1" thickBot="1">
      <c r="A138" s="11" t="s">
        <v>855</v>
      </c>
      <c r="B138" s="5" t="s">
        <v>90</v>
      </c>
      <c r="C138" s="258"/>
      <c r="D138" s="258"/>
      <c r="E138" s="258"/>
      <c r="F138" s="258"/>
      <c r="G138" s="258"/>
    </row>
    <row r="139" spans="1:7" ht="12" customHeight="1" thickBot="1">
      <c r="A139" s="18" t="s">
        <v>562</v>
      </c>
      <c r="B139" s="121" t="s">
        <v>91</v>
      </c>
      <c r="C139" s="912">
        <f>+C140+C141+C142+C143</f>
        <v>0</v>
      </c>
      <c r="D139" s="912">
        <f>+D140+D141+D142+D143</f>
        <v>0</v>
      </c>
      <c r="E139" s="912">
        <f>+E140+E141+E142+E143</f>
        <v>0</v>
      </c>
      <c r="F139" s="912">
        <f>+F140+F141+F142+F143</f>
        <v>0</v>
      </c>
      <c r="G139" s="912">
        <f>+G140+G141+G142+G143</f>
        <v>0</v>
      </c>
    </row>
    <row r="140" spans="1:7" ht="12" customHeight="1">
      <c r="A140" s="13" t="s">
        <v>717</v>
      </c>
      <c r="B140" s="7" t="s">
        <v>92</v>
      </c>
      <c r="C140" s="258"/>
      <c r="D140" s="258"/>
      <c r="E140" s="258"/>
      <c r="F140" s="258"/>
      <c r="G140" s="258"/>
    </row>
    <row r="141" spans="1:7" ht="12" customHeight="1">
      <c r="A141" s="13" t="s">
        <v>718</v>
      </c>
      <c r="B141" s="7" t="s">
        <v>93</v>
      </c>
      <c r="C141" s="258"/>
      <c r="D141" s="258"/>
      <c r="E141" s="258"/>
      <c r="F141" s="258"/>
      <c r="G141" s="258"/>
    </row>
    <row r="142" spans="1:7" ht="12" customHeight="1">
      <c r="A142" s="13" t="s">
        <v>771</v>
      </c>
      <c r="B142" s="7" t="s">
        <v>94</v>
      </c>
      <c r="C142" s="258"/>
      <c r="D142" s="258"/>
      <c r="E142" s="258"/>
      <c r="F142" s="258"/>
      <c r="G142" s="258"/>
    </row>
    <row r="143" spans="1:9" ht="15" customHeight="1" thickBot="1">
      <c r="A143" s="13" t="s">
        <v>857</v>
      </c>
      <c r="B143" s="7" t="s">
        <v>95</v>
      </c>
      <c r="C143" s="258"/>
      <c r="D143" s="258"/>
      <c r="E143" s="258"/>
      <c r="F143" s="258"/>
      <c r="G143" s="258"/>
      <c r="H143" s="408"/>
      <c r="I143" s="408"/>
    </row>
    <row r="144" spans="1:7" s="394" customFormat="1" ht="12.75" customHeight="1" thickBot="1">
      <c r="A144" s="18" t="s">
        <v>563</v>
      </c>
      <c r="B144" s="121" t="s">
        <v>96</v>
      </c>
      <c r="C144" s="407">
        <f>+C125+C129+C134+C139</f>
        <v>0</v>
      </c>
      <c r="D144" s="407">
        <f>+D125+D129+D134+D139</f>
        <v>64011</v>
      </c>
      <c r="E144" s="407">
        <f>+E125+E129+E134+E139</f>
        <v>64011</v>
      </c>
      <c r="F144" s="407">
        <f>+F125+F129+F134+F139</f>
        <v>309012000</v>
      </c>
      <c r="G144" s="407">
        <f>+G125+G129+G134+G139</f>
        <v>310177229</v>
      </c>
    </row>
    <row r="145" spans="1:7" ht="16.5" thickBot="1">
      <c r="A145" s="283" t="s">
        <v>564</v>
      </c>
      <c r="B145" s="367" t="s">
        <v>97</v>
      </c>
      <c r="C145" s="407">
        <f>+C124+C144</f>
        <v>750666</v>
      </c>
      <c r="D145" s="407">
        <f>+D124+D144</f>
        <v>910756</v>
      </c>
      <c r="E145" s="407">
        <f>+E124+E144</f>
        <v>918620</v>
      </c>
      <c r="F145" s="407">
        <f>+F124+F144</f>
        <v>1236858881</v>
      </c>
      <c r="G145" s="407">
        <f>+G124+G144</f>
        <v>1290904792</v>
      </c>
    </row>
    <row r="147" spans="1:7" ht="15" customHeight="1">
      <c r="A147" s="1251" t="s">
        <v>99</v>
      </c>
      <c r="B147" s="1251"/>
      <c r="C147" s="1251"/>
      <c r="D147" s="392"/>
      <c r="E147" s="392"/>
      <c r="F147" s="392"/>
      <c r="G147" s="392"/>
    </row>
    <row r="148" spans="1:7" ht="13.5" customHeight="1" thickBot="1">
      <c r="A148" s="1248" t="s">
        <v>691</v>
      </c>
      <c r="B148" s="1248"/>
      <c r="C148" s="294"/>
      <c r="D148" s="294" t="s">
        <v>770</v>
      </c>
      <c r="E148" s="294" t="s">
        <v>770</v>
      </c>
      <c r="F148" s="294" t="s">
        <v>770</v>
      </c>
      <c r="G148" s="294"/>
    </row>
    <row r="149" spans="1:7" ht="27.75" customHeight="1" thickBot="1">
      <c r="A149" s="18">
        <v>1</v>
      </c>
      <c r="B149" s="28" t="s">
        <v>100</v>
      </c>
      <c r="C149" s="285">
        <f>+C62-C124</f>
        <v>-100000</v>
      </c>
      <c r="D149" s="285">
        <f>+D62-D124</f>
        <v>-130001</v>
      </c>
      <c r="E149" s="285">
        <f>+E62-E124</f>
        <v>-130001</v>
      </c>
      <c r="F149" s="285">
        <f>+F62-F124</f>
        <v>115000000</v>
      </c>
      <c r="G149" s="285">
        <f>+G62-G124</f>
        <v>102123522</v>
      </c>
    </row>
    <row r="150" spans="1:7" ht="21.75" thickBot="1">
      <c r="A150" s="18" t="s">
        <v>556</v>
      </c>
      <c r="B150" s="28" t="s">
        <v>101</v>
      </c>
      <c r="C150" s="285">
        <f>+C85-C144</f>
        <v>100000</v>
      </c>
      <c r="D150" s="285">
        <f>+D85-D144</f>
        <v>130001</v>
      </c>
      <c r="E150" s="285">
        <f>+E85-E144</f>
        <v>130001</v>
      </c>
      <c r="F150" s="285">
        <f>+F85-F144</f>
        <v>-115000000</v>
      </c>
      <c r="G150" s="285">
        <f>+G85-G144</f>
        <v>-102123522</v>
      </c>
    </row>
    <row r="152" ht="15.75">
      <c r="A152" s="368" t="s">
        <v>18</v>
      </c>
    </row>
  </sheetData>
  <sheetProtection/>
  <mergeCells count="6">
    <mergeCell ref="A148:B148"/>
    <mergeCell ref="A1:C1"/>
    <mergeCell ref="A2:B2"/>
    <mergeCell ref="A87:C87"/>
    <mergeCell ref="A88:B88"/>
    <mergeCell ref="A147:C147"/>
  </mergeCells>
  <printOptions horizontalCentered="1"/>
  <pageMargins left="0.7839583333333333" right="0.7874015748031497" top="1.4566929133858268" bottom="0.8661417322834646" header="0.7874015748031497" footer="0.5905511811023623"/>
  <pageSetup fitToHeight="2" horizontalDpi="600" verticalDpi="600" orientation="portrait" paperSize="9" scale="57" r:id="rId1"/>
  <headerFooter alignWithMargins="0">
    <oddHeader>&amp;C&amp;"Times New Roman CE,Félkövér"&amp;12
Tát Város Önkormányzat
2016. ÉVI KÖLTSÉGVETÉS
KÖTELEZŐ FELADATAINAK MÉRLEGE &amp;R&amp;"Times New Roman CE,Félkövér dőlt"&amp;11 1.2. melléklet az 1/2016. (I.26.) önkormányzati rendelethez*</oddHeader>
  </headerFooter>
  <rowBreaks count="1" manualBreakCount="1">
    <brk id="86" max="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BreakPreview" zoomScale="60" workbookViewId="0" topLeftCell="A1">
      <selection activeCell="C70" sqref="C70"/>
    </sheetView>
  </sheetViews>
  <sheetFormatPr defaultColWidth="9.00390625" defaultRowHeight="12.75"/>
  <cols>
    <col min="1" max="1" width="13.875" style="236" customWidth="1"/>
    <col min="2" max="2" width="79.125" style="237" customWidth="1"/>
    <col min="3" max="5" width="25.00390625" style="237" customWidth="1"/>
    <col min="6" max="16384" width="9.375" style="237" customWidth="1"/>
  </cols>
  <sheetData>
    <row r="1" spans="1:5" s="216" customFormat="1" ht="21" customHeight="1" thickBot="1">
      <c r="A1" s="215"/>
      <c r="B1" s="217"/>
      <c r="C1" s="217"/>
      <c r="D1" s="432" t="s">
        <v>903</v>
      </c>
      <c r="E1" s="432" t="s">
        <v>903</v>
      </c>
    </row>
    <row r="2" spans="1:5" s="433" customFormat="1" ht="25.5" customHeight="1">
      <c r="A2" s="385" t="s">
        <v>740</v>
      </c>
      <c r="B2" s="345" t="s">
        <v>207</v>
      </c>
      <c r="C2" s="1071"/>
      <c r="D2" s="360"/>
      <c r="E2" s="360" t="s">
        <v>599</v>
      </c>
    </row>
    <row r="3" spans="1:5" s="433" customFormat="1" ht="24.75" thickBot="1">
      <c r="A3" s="425" t="s">
        <v>739</v>
      </c>
      <c r="B3" s="346" t="s">
        <v>245</v>
      </c>
      <c r="C3" s="1072"/>
      <c r="D3" s="361"/>
      <c r="E3" s="361" t="s">
        <v>182</v>
      </c>
    </row>
    <row r="4" spans="1:5" s="434" customFormat="1" ht="15.75" customHeight="1" thickBot="1">
      <c r="A4" s="219"/>
      <c r="B4" s="219"/>
      <c r="C4" s="219"/>
      <c r="D4" s="220"/>
      <c r="E4" s="220" t="s">
        <v>590</v>
      </c>
    </row>
    <row r="5" spans="1:5" ht="13.5" thickBot="1">
      <c r="A5" s="386" t="s">
        <v>741</v>
      </c>
      <c r="B5" s="221" t="s">
        <v>591</v>
      </c>
      <c r="C5" s="222" t="s">
        <v>592</v>
      </c>
      <c r="D5" s="222" t="s">
        <v>886</v>
      </c>
      <c r="E5" s="222" t="s">
        <v>908</v>
      </c>
    </row>
    <row r="6" spans="1:5" s="435" customFormat="1" ht="12.75" customHeight="1" thickBot="1">
      <c r="A6" s="188">
        <v>1</v>
      </c>
      <c r="B6" s="189">
        <v>2</v>
      </c>
      <c r="C6" s="1073">
        <v>3</v>
      </c>
      <c r="D6" s="190">
        <v>4</v>
      </c>
      <c r="E6" s="190">
        <v>5</v>
      </c>
    </row>
    <row r="7" spans="1:5" s="435" customFormat="1" ht="15.75" customHeight="1" thickBot="1">
      <c r="A7" s="223"/>
      <c r="B7" s="224" t="s">
        <v>593</v>
      </c>
      <c r="C7" s="224"/>
      <c r="D7" s="225"/>
      <c r="E7" s="225"/>
    </row>
    <row r="8" spans="1:5" s="362" customFormat="1" ht="12" customHeight="1" thickBot="1">
      <c r="A8" s="188" t="s">
        <v>555</v>
      </c>
      <c r="B8" s="226" t="s">
        <v>139</v>
      </c>
      <c r="C8" s="647"/>
      <c r="D8" s="304">
        <f>SUM(D9:D18)</f>
        <v>0</v>
      </c>
      <c r="E8" s="304">
        <f>SUM(E9:E18)</f>
        <v>0</v>
      </c>
    </row>
    <row r="9" spans="1:5" s="362" customFormat="1" ht="12" customHeight="1">
      <c r="A9" s="426" t="s">
        <v>640</v>
      </c>
      <c r="B9" s="8" t="s">
        <v>831</v>
      </c>
      <c r="C9" s="1074"/>
      <c r="D9" s="351"/>
      <c r="E9" s="351"/>
    </row>
    <row r="10" spans="1:5" s="362" customFormat="1" ht="12" customHeight="1">
      <c r="A10" s="427" t="s">
        <v>641</v>
      </c>
      <c r="B10" s="6" t="s">
        <v>832</v>
      </c>
      <c r="C10" s="1075"/>
      <c r="D10" s="302"/>
      <c r="E10" s="302"/>
    </row>
    <row r="11" spans="1:5" s="362" customFormat="1" ht="12" customHeight="1">
      <c r="A11" s="427" t="s">
        <v>642</v>
      </c>
      <c r="B11" s="6" t="s">
        <v>833</v>
      </c>
      <c r="C11" s="1075"/>
      <c r="D11" s="302"/>
      <c r="E11" s="302"/>
    </row>
    <row r="12" spans="1:5" s="362" customFormat="1" ht="12" customHeight="1">
      <c r="A12" s="427" t="s">
        <v>643</v>
      </c>
      <c r="B12" s="6" t="s">
        <v>834</v>
      </c>
      <c r="C12" s="1075"/>
      <c r="D12" s="302"/>
      <c r="E12" s="302"/>
    </row>
    <row r="13" spans="1:5" s="362" customFormat="1" ht="12" customHeight="1">
      <c r="A13" s="427" t="s">
        <v>686</v>
      </c>
      <c r="B13" s="6" t="s">
        <v>835</v>
      </c>
      <c r="C13" s="1075"/>
      <c r="D13" s="302"/>
      <c r="E13" s="302"/>
    </row>
    <row r="14" spans="1:5" s="362" customFormat="1" ht="12" customHeight="1">
      <c r="A14" s="427" t="s">
        <v>644</v>
      </c>
      <c r="B14" s="6" t="s">
        <v>140</v>
      </c>
      <c r="C14" s="1075"/>
      <c r="D14" s="302"/>
      <c r="E14" s="302"/>
    </row>
    <row r="15" spans="1:5" s="362" customFormat="1" ht="12" customHeight="1">
      <c r="A15" s="427" t="s">
        <v>645</v>
      </c>
      <c r="B15" s="5" t="s">
        <v>141</v>
      </c>
      <c r="C15" s="6"/>
      <c r="D15" s="302"/>
      <c r="E15" s="302"/>
    </row>
    <row r="16" spans="1:5" s="362" customFormat="1" ht="12" customHeight="1">
      <c r="A16" s="427" t="s">
        <v>655</v>
      </c>
      <c r="B16" s="6" t="s">
        <v>838</v>
      </c>
      <c r="C16" s="6"/>
      <c r="D16" s="352"/>
      <c r="E16" s="352"/>
    </row>
    <row r="17" spans="1:5" s="436" customFormat="1" ht="12" customHeight="1">
      <c r="A17" s="427" t="s">
        <v>656</v>
      </c>
      <c r="B17" s="6" t="s">
        <v>839</v>
      </c>
      <c r="C17" s="1075"/>
      <c r="D17" s="302"/>
      <c r="E17" s="302"/>
    </row>
    <row r="18" spans="1:5" s="436" customFormat="1" ht="12" customHeight="1" thickBot="1">
      <c r="A18" s="427" t="s">
        <v>657</v>
      </c>
      <c r="B18" s="5" t="s">
        <v>840</v>
      </c>
      <c r="C18" s="1076"/>
      <c r="D18" s="303"/>
      <c r="E18" s="303"/>
    </row>
    <row r="19" spans="1:5" s="362" customFormat="1" ht="12" customHeight="1" thickBot="1">
      <c r="A19" s="188" t="s">
        <v>556</v>
      </c>
      <c r="B19" s="226" t="s">
        <v>142</v>
      </c>
      <c r="C19" s="647"/>
      <c r="D19" s="304">
        <f>SUM(D20:D22)</f>
        <v>0</v>
      </c>
      <c r="E19" s="304">
        <f>SUM(E20:E22)</f>
        <v>0</v>
      </c>
    </row>
    <row r="20" spans="1:5" s="436" customFormat="1" ht="12" customHeight="1">
      <c r="A20" s="427" t="s">
        <v>646</v>
      </c>
      <c r="B20" s="7" t="s">
        <v>806</v>
      </c>
      <c r="C20" s="1077"/>
      <c r="D20" s="302"/>
      <c r="E20" s="302"/>
    </row>
    <row r="21" spans="1:5" s="436" customFormat="1" ht="12" customHeight="1">
      <c r="A21" s="427" t="s">
        <v>647</v>
      </c>
      <c r="B21" s="6" t="s">
        <v>143</v>
      </c>
      <c r="C21" s="1075"/>
      <c r="D21" s="302"/>
      <c r="E21" s="302"/>
    </row>
    <row r="22" spans="1:5" s="436" customFormat="1" ht="12" customHeight="1">
      <c r="A22" s="427" t="s">
        <v>648</v>
      </c>
      <c r="B22" s="6" t="s">
        <v>144</v>
      </c>
      <c r="C22" s="1075"/>
      <c r="D22" s="302"/>
      <c r="E22" s="302"/>
    </row>
    <row r="23" spans="1:5" s="436" customFormat="1" ht="12" customHeight="1" thickBot="1">
      <c r="A23" s="427" t="s">
        <v>649</v>
      </c>
      <c r="B23" s="6" t="s">
        <v>538</v>
      </c>
      <c r="C23" s="1075"/>
      <c r="D23" s="302"/>
      <c r="E23" s="302"/>
    </row>
    <row r="24" spans="1:5" s="436" customFormat="1" ht="12" customHeight="1" thickBot="1">
      <c r="A24" s="196" t="s">
        <v>557</v>
      </c>
      <c r="B24" s="121" t="s">
        <v>710</v>
      </c>
      <c r="C24" s="1078"/>
      <c r="D24" s="331"/>
      <c r="E24" s="331"/>
    </row>
    <row r="25" spans="1:5" s="436" customFormat="1" ht="12" customHeight="1" thickBot="1">
      <c r="A25" s="196" t="s">
        <v>558</v>
      </c>
      <c r="B25" s="121" t="s">
        <v>145</v>
      </c>
      <c r="C25" s="1078"/>
      <c r="D25" s="304">
        <f>+D26+D27</f>
        <v>0</v>
      </c>
      <c r="E25" s="304">
        <f>+E26+E27</f>
        <v>0</v>
      </c>
    </row>
    <row r="26" spans="1:5" s="436" customFormat="1" ht="12" customHeight="1">
      <c r="A26" s="428" t="s">
        <v>816</v>
      </c>
      <c r="B26" s="429" t="s">
        <v>143</v>
      </c>
      <c r="C26" s="1079"/>
      <c r="D26" s="76"/>
      <c r="E26" s="76"/>
    </row>
    <row r="27" spans="1:5" s="436" customFormat="1" ht="12" customHeight="1">
      <c r="A27" s="428" t="s">
        <v>819</v>
      </c>
      <c r="B27" s="430" t="s">
        <v>146</v>
      </c>
      <c r="C27" s="430"/>
      <c r="D27" s="305"/>
      <c r="E27" s="305"/>
    </row>
    <row r="28" spans="1:5" s="436" customFormat="1" ht="12" customHeight="1" thickBot="1">
      <c r="A28" s="427" t="s">
        <v>820</v>
      </c>
      <c r="B28" s="431" t="s">
        <v>147</v>
      </c>
      <c r="C28" s="1104"/>
      <c r="D28" s="83"/>
      <c r="E28" s="83"/>
    </row>
    <row r="29" spans="1:5" s="436" customFormat="1" ht="12" customHeight="1" thickBot="1">
      <c r="A29" s="196" t="s">
        <v>559</v>
      </c>
      <c r="B29" s="121" t="s">
        <v>148</v>
      </c>
      <c r="C29" s="1078"/>
      <c r="D29" s="304">
        <f>+D30+D31+D32</f>
        <v>0</v>
      </c>
      <c r="E29" s="304">
        <f>+E30+E31+E32</f>
        <v>0</v>
      </c>
    </row>
    <row r="30" spans="1:5" s="436" customFormat="1" ht="12" customHeight="1">
      <c r="A30" s="428" t="s">
        <v>633</v>
      </c>
      <c r="B30" s="429" t="s">
        <v>845</v>
      </c>
      <c r="C30" s="1079"/>
      <c r="D30" s="76"/>
      <c r="E30" s="76"/>
    </row>
    <row r="31" spans="1:5" s="436" customFormat="1" ht="12" customHeight="1">
      <c r="A31" s="428" t="s">
        <v>634</v>
      </c>
      <c r="B31" s="430" t="s">
        <v>846</v>
      </c>
      <c r="C31" s="430"/>
      <c r="D31" s="305"/>
      <c r="E31" s="305"/>
    </row>
    <row r="32" spans="1:5" s="436" customFormat="1" ht="12" customHeight="1" thickBot="1">
      <c r="A32" s="427" t="s">
        <v>635</v>
      </c>
      <c r="B32" s="129" t="s">
        <v>847</v>
      </c>
      <c r="C32" s="1090"/>
      <c r="D32" s="83"/>
      <c r="E32" s="83"/>
    </row>
    <row r="33" spans="1:5" s="362" customFormat="1" ht="12" customHeight="1" thickBot="1">
      <c r="A33" s="196" t="s">
        <v>560</v>
      </c>
      <c r="B33" s="121" t="s">
        <v>104</v>
      </c>
      <c r="C33" s="1078"/>
      <c r="D33" s="331"/>
      <c r="E33" s="331"/>
    </row>
    <row r="34" spans="1:5" s="362" customFormat="1" ht="12" customHeight="1" thickBot="1">
      <c r="A34" s="196" t="s">
        <v>561</v>
      </c>
      <c r="B34" s="121" t="s">
        <v>149</v>
      </c>
      <c r="C34" s="1083"/>
      <c r="D34" s="353"/>
      <c r="E34" s="353"/>
    </row>
    <row r="35" spans="1:5" s="362" customFormat="1" ht="12" customHeight="1" thickBot="1">
      <c r="A35" s="188" t="s">
        <v>562</v>
      </c>
      <c r="B35" s="121" t="s">
        <v>150</v>
      </c>
      <c r="C35" s="1083"/>
      <c r="D35" s="354">
        <f>+D8+D19+D24+D25+D29+D33+D34</f>
        <v>0</v>
      </c>
      <c r="E35" s="354">
        <f>+E8+E19+E24+E25+E29+E33+E34</f>
        <v>0</v>
      </c>
    </row>
    <row r="36" spans="1:5" s="362" customFormat="1" ht="12" customHeight="1" thickBot="1">
      <c r="A36" s="227" t="s">
        <v>563</v>
      </c>
      <c r="B36" s="121" t="s">
        <v>151</v>
      </c>
      <c r="C36" s="1083"/>
      <c r="D36" s="354">
        <f>+D37+D38+D39</f>
        <v>99661</v>
      </c>
      <c r="E36" s="354">
        <f>+E37+E38+E39</f>
        <v>99661</v>
      </c>
    </row>
    <row r="37" spans="1:5" s="362" customFormat="1" ht="12" customHeight="1">
      <c r="A37" s="428" t="s">
        <v>152</v>
      </c>
      <c r="B37" s="429" t="s">
        <v>779</v>
      </c>
      <c r="C37" s="1079"/>
      <c r="D37" s="76"/>
      <c r="E37" s="76"/>
    </row>
    <row r="38" spans="1:5" s="362" customFormat="1" ht="12" customHeight="1">
      <c r="A38" s="428" t="s">
        <v>153</v>
      </c>
      <c r="B38" s="430" t="s">
        <v>539</v>
      </c>
      <c r="C38" s="430"/>
      <c r="D38" s="305"/>
      <c r="E38" s="305"/>
    </row>
    <row r="39" spans="1:5" s="436" customFormat="1" ht="12" customHeight="1" thickBot="1">
      <c r="A39" s="427" t="s">
        <v>154</v>
      </c>
      <c r="B39" s="129" t="s">
        <v>155</v>
      </c>
      <c r="C39" s="1090"/>
      <c r="D39" s="83">
        <f>'[4]Munka1'!$B$43</f>
        <v>99661</v>
      </c>
      <c r="E39" s="83">
        <f>'[4]Munka1'!$B$43</f>
        <v>99661</v>
      </c>
    </row>
    <row r="40" spans="1:5" s="436" customFormat="1" ht="15" customHeight="1" thickBot="1">
      <c r="A40" s="227" t="s">
        <v>564</v>
      </c>
      <c r="B40" s="228" t="s">
        <v>156</v>
      </c>
      <c r="C40" s="1084"/>
      <c r="D40" s="357">
        <f>+D35+D36</f>
        <v>99661</v>
      </c>
      <c r="E40" s="357">
        <f>+E35+E36</f>
        <v>99661</v>
      </c>
    </row>
    <row r="41" spans="1:5" s="436" customFormat="1" ht="15" customHeight="1">
      <c r="A41" s="229"/>
      <c r="B41" s="230"/>
      <c r="C41" s="230"/>
      <c r="D41" s="355"/>
      <c r="E41" s="355"/>
    </row>
    <row r="42" spans="1:5" ht="13.5" thickBot="1">
      <c r="A42" s="231"/>
      <c r="B42" s="232"/>
      <c r="C42" s="232"/>
      <c r="D42" s="356"/>
      <c r="E42" s="356"/>
    </row>
    <row r="43" spans="1:5" s="435" customFormat="1" ht="16.5" customHeight="1" thickBot="1">
      <c r="A43" s="233"/>
      <c r="B43" s="234" t="s">
        <v>595</v>
      </c>
      <c r="C43" s="234"/>
      <c r="D43" s="357"/>
      <c r="E43" s="357"/>
    </row>
    <row r="44" spans="1:5" s="437" customFormat="1" ht="12" customHeight="1" thickBot="1">
      <c r="A44" s="196" t="s">
        <v>555</v>
      </c>
      <c r="B44" s="121" t="s">
        <v>157</v>
      </c>
      <c r="C44" s="1078"/>
      <c r="D44" s="304">
        <f>SUM(D45:D49)</f>
        <v>99661</v>
      </c>
      <c r="E44" s="304">
        <f>SUM(E45:E49)</f>
        <v>99661</v>
      </c>
    </row>
    <row r="45" spans="1:5" ht="12" customHeight="1">
      <c r="A45" s="427" t="s">
        <v>640</v>
      </c>
      <c r="B45" s="7" t="s">
        <v>585</v>
      </c>
      <c r="C45" s="1077"/>
      <c r="D45" s="76">
        <f>'[2]Munka1'!$B$45</f>
        <v>66232</v>
      </c>
      <c r="E45" s="76">
        <f>'[2]Munka1'!$B$45</f>
        <v>66232</v>
      </c>
    </row>
    <row r="46" spans="1:5" ht="12" customHeight="1">
      <c r="A46" s="427" t="s">
        <v>641</v>
      </c>
      <c r="B46" s="6" t="s">
        <v>719</v>
      </c>
      <c r="C46" s="1075"/>
      <c r="D46" s="79">
        <f>'[2]Munka1'!$B$64</f>
        <v>18125</v>
      </c>
      <c r="E46" s="79">
        <f>'[2]Munka1'!$B$64</f>
        <v>18125</v>
      </c>
    </row>
    <row r="47" spans="1:5" ht="12" customHeight="1">
      <c r="A47" s="427" t="s">
        <v>642</v>
      </c>
      <c r="B47" s="6" t="s">
        <v>678</v>
      </c>
      <c r="C47" s="1075"/>
      <c r="D47" s="79">
        <f>'[3]Munka1'!$B$97</f>
        <v>15304</v>
      </c>
      <c r="E47" s="79">
        <f>'[3]Munka1'!$B$97</f>
        <v>15304</v>
      </c>
    </row>
    <row r="48" spans="1:5" ht="12" customHeight="1">
      <c r="A48" s="427" t="s">
        <v>643</v>
      </c>
      <c r="B48" s="6" t="s">
        <v>720</v>
      </c>
      <c r="C48" s="1075"/>
      <c r="D48" s="79"/>
      <c r="E48" s="79"/>
    </row>
    <row r="49" spans="1:5" ht="12" customHeight="1" thickBot="1">
      <c r="A49" s="427" t="s">
        <v>686</v>
      </c>
      <c r="B49" s="6" t="s">
        <v>721</v>
      </c>
      <c r="C49" s="1075"/>
      <c r="D49" s="79"/>
      <c r="E49" s="79"/>
    </row>
    <row r="50" spans="1:5" ht="12" customHeight="1" thickBot="1">
      <c r="A50" s="196" t="s">
        <v>556</v>
      </c>
      <c r="B50" s="121" t="s">
        <v>158</v>
      </c>
      <c r="C50" s="1078"/>
      <c r="D50" s="304">
        <f>SUM(D51:D53)</f>
        <v>0</v>
      </c>
      <c r="E50" s="304">
        <f>SUM(E51:E53)</f>
        <v>0</v>
      </c>
    </row>
    <row r="51" spans="1:5" s="437" customFormat="1" ht="12" customHeight="1">
      <c r="A51" s="427" t="s">
        <v>646</v>
      </c>
      <c r="B51" s="7" t="s">
        <v>769</v>
      </c>
      <c r="C51" s="1077"/>
      <c r="D51" s="76"/>
      <c r="E51" s="76"/>
    </row>
    <row r="52" spans="1:5" ht="12" customHeight="1">
      <c r="A52" s="427" t="s">
        <v>647</v>
      </c>
      <c r="B52" s="6" t="s">
        <v>723</v>
      </c>
      <c r="C52" s="1075"/>
      <c r="D52" s="79"/>
      <c r="E52" s="79"/>
    </row>
    <row r="53" spans="1:5" ht="12" customHeight="1">
      <c r="A53" s="427" t="s">
        <v>648</v>
      </c>
      <c r="B53" s="6" t="s">
        <v>596</v>
      </c>
      <c r="C53" s="1075"/>
      <c r="D53" s="79"/>
      <c r="E53" s="79"/>
    </row>
    <row r="54" spans="1:5" ht="12" customHeight="1" thickBot="1">
      <c r="A54" s="427" t="s">
        <v>649</v>
      </c>
      <c r="B54" s="6" t="s">
        <v>540</v>
      </c>
      <c r="C54" s="1075"/>
      <c r="D54" s="79"/>
      <c r="E54" s="79"/>
    </row>
    <row r="55" spans="1:5" ht="15" customHeight="1" thickBot="1">
      <c r="A55" s="196" t="s">
        <v>557</v>
      </c>
      <c r="B55" s="235" t="s">
        <v>164</v>
      </c>
      <c r="C55" s="1085"/>
      <c r="D55" s="358">
        <f>+D44+D50</f>
        <v>99661</v>
      </c>
      <c r="E55" s="358">
        <f>+E44+E50</f>
        <v>99661</v>
      </c>
    </row>
    <row r="56" spans="4:5" ht="13.5" thickBot="1">
      <c r="D56" s="359"/>
      <c r="E56" s="359"/>
    </row>
    <row r="57" spans="1:5" ht="15" customHeight="1" thickBot="1">
      <c r="A57" s="238" t="s">
        <v>742</v>
      </c>
      <c r="B57" s="239"/>
      <c r="C57" s="1086"/>
      <c r="D57" s="118">
        <v>0</v>
      </c>
      <c r="E57" s="118">
        <v>0</v>
      </c>
    </row>
    <row r="58" spans="1:5" ht="14.25" customHeight="1" thickBot="1">
      <c r="A58" s="238" t="s">
        <v>743</v>
      </c>
      <c r="B58" s="239"/>
      <c r="C58" s="1086"/>
      <c r="D58" s="118">
        <v>0</v>
      </c>
      <c r="E58" s="118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G60"/>
  <sheetViews>
    <sheetView workbookViewId="0" topLeftCell="A31">
      <selection activeCell="B60" sqref="B60"/>
    </sheetView>
  </sheetViews>
  <sheetFormatPr defaultColWidth="9.00390625" defaultRowHeight="12.75"/>
  <cols>
    <col min="1" max="1" width="13.875" style="236" customWidth="1"/>
    <col min="2" max="2" width="79.125" style="237" customWidth="1"/>
    <col min="3" max="7" width="25.00390625" style="237" customWidth="1"/>
    <col min="8" max="16384" width="9.375" style="237" customWidth="1"/>
  </cols>
  <sheetData>
    <row r="1" spans="1:7" s="216" customFormat="1" ht="21" customHeight="1" thickBot="1">
      <c r="A1" s="215"/>
      <c r="B1" s="217"/>
      <c r="C1" s="217"/>
      <c r="D1" s="432"/>
      <c r="E1" s="432"/>
      <c r="F1" s="432"/>
      <c r="G1" s="432" t="s">
        <v>904</v>
      </c>
    </row>
    <row r="2" spans="1:7" s="433" customFormat="1" ht="25.5" customHeight="1">
      <c r="A2" s="385" t="s">
        <v>740</v>
      </c>
      <c r="B2" s="1071" t="s">
        <v>188</v>
      </c>
      <c r="C2" s="1178"/>
      <c r="D2" s="1096"/>
      <c r="E2" s="360"/>
      <c r="F2" s="360"/>
      <c r="G2" s="360" t="s">
        <v>600</v>
      </c>
    </row>
    <row r="3" spans="1:7" s="433" customFormat="1" ht="24.75" thickBot="1">
      <c r="A3" s="425" t="s">
        <v>739</v>
      </c>
      <c r="B3" s="1095" t="s">
        <v>138</v>
      </c>
      <c r="C3" s="1179"/>
      <c r="D3" s="361"/>
      <c r="E3" s="361"/>
      <c r="F3" s="361"/>
      <c r="G3" s="361" t="s">
        <v>589</v>
      </c>
    </row>
    <row r="4" spans="1:7" s="434" customFormat="1" ht="15.75" customHeight="1" thickBot="1">
      <c r="A4" s="649"/>
      <c r="B4" s="650"/>
      <c r="C4" s="1180"/>
      <c r="D4" s="651"/>
      <c r="E4" s="651" t="s">
        <v>590</v>
      </c>
      <c r="F4" s="651"/>
      <c r="G4" s="651"/>
    </row>
    <row r="5" spans="1:7" ht="13.5" thickBot="1">
      <c r="A5" s="386" t="s">
        <v>741</v>
      </c>
      <c r="B5" s="1091" t="s">
        <v>591</v>
      </c>
      <c r="C5" s="1181" t="s">
        <v>592</v>
      </c>
      <c r="D5" s="1097" t="s">
        <v>886</v>
      </c>
      <c r="E5" s="222" t="s">
        <v>908</v>
      </c>
      <c r="F5" s="222" t="s">
        <v>913</v>
      </c>
      <c r="G5" s="222" t="s">
        <v>8</v>
      </c>
    </row>
    <row r="6" spans="1:7" s="435" customFormat="1" ht="12.75" customHeight="1" thickBot="1">
      <c r="A6" s="188">
        <v>1</v>
      </c>
      <c r="B6" s="1073">
        <v>2</v>
      </c>
      <c r="C6" s="1182">
        <v>3</v>
      </c>
      <c r="D6" s="1098">
        <v>4</v>
      </c>
      <c r="E6" s="190">
        <v>5</v>
      </c>
      <c r="F6" s="190">
        <v>6</v>
      </c>
      <c r="G6" s="190">
        <v>7</v>
      </c>
    </row>
    <row r="7" spans="1:7" s="435" customFormat="1" ht="15.75" customHeight="1" thickBot="1">
      <c r="A7" s="223"/>
      <c r="B7" s="224" t="s">
        <v>593</v>
      </c>
      <c r="C7" s="1183"/>
      <c r="D7" s="225"/>
      <c r="E7" s="225"/>
      <c r="F7" s="225"/>
      <c r="G7" s="225"/>
    </row>
    <row r="8" spans="1:7" s="362" customFormat="1" ht="12" customHeight="1" thickBot="1">
      <c r="A8" s="188" t="s">
        <v>555</v>
      </c>
      <c r="B8" s="647" t="s">
        <v>139</v>
      </c>
      <c r="C8" s="648">
        <f>SUM(C9:C18)</f>
        <v>3030</v>
      </c>
      <c r="D8" s="354">
        <f>D10+D13+D18</f>
        <v>4820</v>
      </c>
      <c r="E8" s="304">
        <f>E10+E13+E18</f>
        <v>4820</v>
      </c>
      <c r="F8" s="304">
        <f>F10+F13+F18</f>
        <v>5773500</v>
      </c>
      <c r="G8" s="304">
        <v>4311300</v>
      </c>
    </row>
    <row r="9" spans="1:7" s="362" customFormat="1" ht="12" customHeight="1">
      <c r="A9" s="426" t="s">
        <v>640</v>
      </c>
      <c r="B9" s="1074" t="s">
        <v>831</v>
      </c>
      <c r="C9" s="1118"/>
      <c r="D9" s="1143">
        <f>'9.3.1.melléklet'!D9+'9.3.2.melléklet'!C9+'9.3.3. melléklet'!D9</f>
        <v>0</v>
      </c>
      <c r="E9" s="301">
        <f>'9.3.1.melléklet'!E9+'9.3.2.melléklet'!D9+'9.3.3. melléklet'!E9</f>
        <v>0</v>
      </c>
      <c r="F9" s="301">
        <f>'9.3.1.melléklet'!F9+'9.3.2.melléklet'!E9+'9.3.3. melléklet'!F9</f>
        <v>0</v>
      </c>
      <c r="G9" s="301">
        <f>'9.3.1.melléklet'!G9+'9.3.2.melléklet'!F9+'9.3.3. melléklet'!G9</f>
        <v>0</v>
      </c>
    </row>
    <row r="10" spans="1:7" s="362" customFormat="1" ht="12" customHeight="1">
      <c r="A10" s="427" t="s">
        <v>641</v>
      </c>
      <c r="B10" s="1075" t="s">
        <v>832</v>
      </c>
      <c r="C10" s="1118">
        <f>'[7]Munka1'!$K$3</f>
        <v>1000</v>
      </c>
      <c r="D10" s="1143">
        <f>'[7]Munka1'!$K$3</f>
        <v>1000</v>
      </c>
      <c r="E10" s="301">
        <f>'[7]Munka1'!$K$3</f>
        <v>1000</v>
      </c>
      <c r="F10" s="301">
        <v>1300000</v>
      </c>
      <c r="G10" s="301">
        <v>4306300</v>
      </c>
    </row>
    <row r="11" spans="1:7" s="362" customFormat="1" ht="12" customHeight="1">
      <c r="A11" s="427" t="s">
        <v>642</v>
      </c>
      <c r="B11" s="1075" t="s">
        <v>833</v>
      </c>
      <c r="C11" s="1118"/>
      <c r="D11" s="1143"/>
      <c r="E11" s="301"/>
      <c r="F11" s="301"/>
      <c r="G11" s="301"/>
    </row>
    <row r="12" spans="1:7" s="362" customFormat="1" ht="12" customHeight="1">
      <c r="A12" s="427" t="s">
        <v>643</v>
      </c>
      <c r="B12" s="1075" t="s">
        <v>834</v>
      </c>
      <c r="C12" s="1118"/>
      <c r="D12" s="1143">
        <f>'9.3.1.melléklet'!D12+'9.3.2.melléklet'!C12+'9.3.3. melléklet'!D12</f>
        <v>0</v>
      </c>
      <c r="E12" s="301">
        <f>'9.3.1.melléklet'!E12+'9.3.2.melléklet'!D12+'9.3.3. melléklet'!E12</f>
        <v>0</v>
      </c>
      <c r="F12" s="301">
        <f>'9.3.1.melléklet'!F12+'9.3.2.melléklet'!E12+'9.3.3. melléklet'!F12</f>
        <v>0</v>
      </c>
      <c r="G12" s="301">
        <f>'9.3.1.melléklet'!G12+'9.3.2.melléklet'!F12+'9.3.3. melléklet'!G12</f>
        <v>0</v>
      </c>
    </row>
    <row r="13" spans="1:7" s="362" customFormat="1" ht="12" customHeight="1">
      <c r="A13" s="427" t="s">
        <v>686</v>
      </c>
      <c r="B13" s="1075" t="s">
        <v>835</v>
      </c>
      <c r="C13" s="1118">
        <f>'[7]Munka1'!$K$7</f>
        <v>30</v>
      </c>
      <c r="D13" s="1143">
        <f>'[7]Munka1'!$K$7</f>
        <v>30</v>
      </c>
      <c r="E13" s="301">
        <f>'[7]Munka1'!$K$7</f>
        <v>30</v>
      </c>
      <c r="F13" s="301">
        <v>30000</v>
      </c>
      <c r="G13" s="301"/>
    </row>
    <row r="14" spans="1:7" s="362" customFormat="1" ht="12" customHeight="1">
      <c r="A14" s="427" t="s">
        <v>644</v>
      </c>
      <c r="B14" s="1075" t="s">
        <v>140</v>
      </c>
      <c r="C14" s="1118"/>
      <c r="D14" s="1143">
        <f>'9.3.1.melléklet'!D14+'9.3.2.melléklet'!C14+'9.3.3. melléklet'!D14</f>
        <v>0</v>
      </c>
      <c r="E14" s="301">
        <f>'9.3.1.melléklet'!E14+'9.3.2.melléklet'!D14+'9.3.3. melléklet'!E14</f>
        <v>0</v>
      </c>
      <c r="F14" s="301">
        <f>'9.3.1.melléklet'!F14+'9.3.2.melléklet'!E14+'9.3.3. melléklet'!F14</f>
        <v>0</v>
      </c>
      <c r="G14" s="301">
        <f>'9.3.1.melléklet'!G14+'9.3.2.melléklet'!F14+'9.3.3. melléklet'!G14</f>
        <v>0</v>
      </c>
    </row>
    <row r="15" spans="1:7" s="362" customFormat="1" ht="12" customHeight="1">
      <c r="A15" s="427" t="s">
        <v>645</v>
      </c>
      <c r="B15" s="1076" t="s">
        <v>141</v>
      </c>
      <c r="C15" s="1119"/>
      <c r="D15" s="1043">
        <f>'9.3.1.melléklet'!D15+'9.3.2.melléklet'!C15+'9.3.3. melléklet'!D15</f>
        <v>0</v>
      </c>
      <c r="E15" s="302">
        <f>'9.3.1.melléklet'!E15+'9.3.2.melléklet'!D15+'9.3.3. melléklet'!E15</f>
        <v>0</v>
      </c>
      <c r="F15" s="302">
        <f>'9.3.1.melléklet'!F15+'9.3.2.melléklet'!E15+'9.3.3. melléklet'!F15</f>
        <v>0</v>
      </c>
      <c r="G15" s="302">
        <v>5000</v>
      </c>
    </row>
    <row r="16" spans="1:7" s="362" customFormat="1" ht="12" customHeight="1">
      <c r="A16" s="427" t="s">
        <v>655</v>
      </c>
      <c r="B16" s="1075" t="s">
        <v>838</v>
      </c>
      <c r="C16" s="1118"/>
      <c r="D16" s="1143"/>
      <c r="E16" s="301"/>
      <c r="F16" s="301"/>
      <c r="G16" s="301"/>
    </row>
    <row r="17" spans="1:7" s="436" customFormat="1" ht="12" customHeight="1">
      <c r="A17" s="427" t="s">
        <v>656</v>
      </c>
      <c r="B17" s="1075" t="s">
        <v>839</v>
      </c>
      <c r="C17" s="1118"/>
      <c r="D17" s="1143">
        <f>'9.3.1.melléklet'!D17+'9.3.2.melléklet'!C17+'9.3.3. melléklet'!D17</f>
        <v>0</v>
      </c>
      <c r="E17" s="301">
        <f>'9.3.1.melléklet'!E17+'9.3.2.melléklet'!D17+'9.3.3. melléklet'!E17</f>
        <v>0</v>
      </c>
      <c r="F17" s="301">
        <f>'9.3.1.melléklet'!F17+'9.3.2.melléklet'!E17+'9.3.3. melléklet'!F17</f>
        <v>0</v>
      </c>
      <c r="G17" s="301">
        <f>'9.3.1.melléklet'!G17+'9.3.2.melléklet'!F17+'9.3.3. melléklet'!G17</f>
        <v>0</v>
      </c>
    </row>
    <row r="18" spans="1:7" s="436" customFormat="1" ht="12" customHeight="1" thickBot="1">
      <c r="A18" s="427" t="s">
        <v>657</v>
      </c>
      <c r="B18" s="1076" t="s">
        <v>840</v>
      </c>
      <c r="C18" s="1118">
        <f>'[7]Munka1'!$K$9</f>
        <v>2000</v>
      </c>
      <c r="D18" s="1143">
        <v>3790</v>
      </c>
      <c r="E18" s="301">
        <v>3790</v>
      </c>
      <c r="F18" s="301">
        <v>4443500</v>
      </c>
      <c r="G18" s="301">
        <v>4443500</v>
      </c>
    </row>
    <row r="19" spans="1:7" s="362" customFormat="1" ht="12" customHeight="1" thickBot="1">
      <c r="A19" s="188" t="s">
        <v>556</v>
      </c>
      <c r="B19" s="647" t="s">
        <v>142</v>
      </c>
      <c r="C19" s="648"/>
      <c r="D19" s="354">
        <f>SUM(D20:D22)</f>
        <v>0</v>
      </c>
      <c r="E19" s="304">
        <f>SUM(E20:E22)</f>
        <v>0</v>
      </c>
      <c r="F19" s="304">
        <f>SUM(F20:F22)</f>
        <v>0</v>
      </c>
      <c r="G19" s="304">
        <f>SUM(G20:G22)</f>
        <v>465000</v>
      </c>
    </row>
    <row r="20" spans="1:7" s="436" customFormat="1" ht="12" customHeight="1">
      <c r="A20" s="427" t="s">
        <v>646</v>
      </c>
      <c r="B20" s="1077" t="s">
        <v>806</v>
      </c>
      <c r="C20" s="1118"/>
      <c r="D20" s="1143">
        <f>'9.3.1.melléklet'!D20+'9.3.2.melléklet'!C20+'9.3.3. melléklet'!D20</f>
        <v>0</v>
      </c>
      <c r="E20" s="301">
        <f>'9.3.1.melléklet'!E20+'9.3.2.melléklet'!D20+'9.3.3. melléklet'!E20</f>
        <v>0</v>
      </c>
      <c r="F20" s="301">
        <f>'9.3.1.melléklet'!F20+'9.3.2.melléklet'!E20+'9.3.3. melléklet'!F20</f>
        <v>0</v>
      </c>
      <c r="G20" s="301">
        <f>'9.3.1.melléklet'!G20+'9.3.2.melléklet'!F20+'9.3.3. melléklet'!G20</f>
        <v>0</v>
      </c>
    </row>
    <row r="21" spans="1:7" s="436" customFormat="1" ht="12" customHeight="1">
      <c r="A21" s="427" t="s">
        <v>647</v>
      </c>
      <c r="B21" s="1075" t="s">
        <v>143</v>
      </c>
      <c r="C21" s="1118"/>
      <c r="D21" s="1143">
        <f>'9.3.1.melléklet'!D21+'9.3.2.melléklet'!C21+'9.3.3. melléklet'!D21</f>
        <v>0</v>
      </c>
      <c r="E21" s="301">
        <f>'9.3.1.melléklet'!E21+'9.3.2.melléklet'!D21+'9.3.3. melléklet'!E21</f>
        <v>0</v>
      </c>
      <c r="F21" s="301">
        <f>'9.3.1.melléklet'!F21+'9.3.2.melléklet'!E21+'9.3.3. melléklet'!F21</f>
        <v>0</v>
      </c>
      <c r="G21" s="301">
        <f>'9.3.1.melléklet'!G21+'9.3.2.melléklet'!F21+'9.3.3. melléklet'!G21</f>
        <v>0</v>
      </c>
    </row>
    <row r="22" spans="1:7" s="436" customFormat="1" ht="12" customHeight="1">
      <c r="A22" s="427" t="s">
        <v>648</v>
      </c>
      <c r="B22" s="1075" t="s">
        <v>144</v>
      </c>
      <c r="C22" s="1118"/>
      <c r="D22" s="1143">
        <f>'9.3.1.melléklet'!D22+'9.3.2.melléklet'!C22+'9.3.3. melléklet'!D22</f>
        <v>0</v>
      </c>
      <c r="E22" s="301">
        <f>'9.3.1.melléklet'!E22+'9.3.2.melléklet'!D22+'9.3.3. melléklet'!E22</f>
        <v>0</v>
      </c>
      <c r="F22" s="301">
        <f>'9.3.1.melléklet'!F22+'9.3.2.melléklet'!E22+'9.3.3. melléklet'!F22</f>
        <v>0</v>
      </c>
      <c r="G22" s="301">
        <v>465000</v>
      </c>
    </row>
    <row r="23" spans="1:7" s="436" customFormat="1" ht="12" customHeight="1" thickBot="1">
      <c r="A23" s="427" t="s">
        <v>649</v>
      </c>
      <c r="B23" s="1075" t="s">
        <v>538</v>
      </c>
      <c r="C23" s="1118"/>
      <c r="D23" s="1143">
        <f>'9.3.1.melléklet'!D23+'9.3.2.melléklet'!C23+'9.3.3. melléklet'!D23</f>
        <v>0</v>
      </c>
      <c r="E23" s="301">
        <f>'9.3.1.melléklet'!E23+'9.3.2.melléklet'!D23+'9.3.3. melléklet'!E23</f>
        <v>0</v>
      </c>
      <c r="F23" s="301">
        <f>'9.3.1.melléklet'!F23+'9.3.2.melléklet'!E23+'9.3.3. melléklet'!F23</f>
        <v>0</v>
      </c>
      <c r="G23" s="301">
        <f>'9.3.1.melléklet'!G23+'9.3.2.melléklet'!F23+'9.3.3. melléklet'!G23</f>
        <v>0</v>
      </c>
    </row>
    <row r="24" spans="1:7" s="436" customFormat="1" ht="12" customHeight="1" thickBot="1">
      <c r="A24" s="196" t="s">
        <v>557</v>
      </c>
      <c r="B24" s="1078" t="s">
        <v>710</v>
      </c>
      <c r="C24" s="648"/>
      <c r="D24" s="354">
        <f aca="true" t="shared" si="0" ref="D24:F25">SUM(D25:D27)</f>
        <v>0</v>
      </c>
      <c r="E24" s="304">
        <f t="shared" si="0"/>
        <v>0</v>
      </c>
      <c r="F24" s="304">
        <f t="shared" si="0"/>
        <v>0</v>
      </c>
      <c r="G24" s="304">
        <f>SUM(G25:G27)</f>
        <v>0</v>
      </c>
    </row>
    <row r="25" spans="1:7" s="436" customFormat="1" ht="12" customHeight="1" thickBot="1">
      <c r="A25" s="196" t="s">
        <v>558</v>
      </c>
      <c r="B25" s="1078" t="s">
        <v>145</v>
      </c>
      <c r="C25" s="648"/>
      <c r="D25" s="354">
        <f t="shared" si="0"/>
        <v>0</v>
      </c>
      <c r="E25" s="304">
        <f t="shared" si="0"/>
        <v>0</v>
      </c>
      <c r="F25" s="304">
        <f t="shared" si="0"/>
        <v>0</v>
      </c>
      <c r="G25" s="304">
        <f>SUM(G26:G28)</f>
        <v>0</v>
      </c>
    </row>
    <row r="26" spans="1:7" s="436" customFormat="1" ht="12" customHeight="1">
      <c r="A26" s="428" t="s">
        <v>816</v>
      </c>
      <c r="B26" s="1079" t="s">
        <v>143</v>
      </c>
      <c r="C26" s="1118"/>
      <c r="D26" s="1143">
        <f>'9.3.1.melléklet'!D26+'9.3.2.melléklet'!C26+'9.3.3. melléklet'!D26</f>
        <v>0</v>
      </c>
      <c r="E26" s="301">
        <f>'9.3.1.melléklet'!E26+'9.3.2.melléklet'!D26+'9.3.3. melléklet'!E26</f>
        <v>0</v>
      </c>
      <c r="F26" s="301">
        <f>'9.3.1.melléklet'!F26+'9.3.2.melléklet'!E26+'9.3.3. melléklet'!F26</f>
        <v>0</v>
      </c>
      <c r="G26" s="301">
        <f>'9.3.1.melléklet'!G26+'9.3.2.melléklet'!F26+'9.3.3. melléklet'!G26</f>
        <v>0</v>
      </c>
    </row>
    <row r="27" spans="1:7" s="436" customFormat="1" ht="12" customHeight="1">
      <c r="A27" s="428" t="s">
        <v>819</v>
      </c>
      <c r="B27" s="1093" t="s">
        <v>146</v>
      </c>
      <c r="C27" s="1118"/>
      <c r="D27" s="1143">
        <f>'9.3.1.melléklet'!D27+'9.3.2.melléklet'!C27+'9.3.3. melléklet'!D27</f>
        <v>0</v>
      </c>
      <c r="E27" s="301">
        <f>'9.3.1.melléklet'!E27+'9.3.2.melléklet'!D27+'9.3.3. melléklet'!E27</f>
        <v>0</v>
      </c>
      <c r="F27" s="301">
        <f>'9.3.1.melléklet'!F27+'9.3.2.melléklet'!E27+'9.3.3. melléklet'!F27</f>
        <v>0</v>
      </c>
      <c r="G27" s="301">
        <f>'9.3.1.melléklet'!G27+'9.3.2.melléklet'!F27+'9.3.3. melléklet'!G27</f>
        <v>0</v>
      </c>
    </row>
    <row r="28" spans="1:7" s="436" customFormat="1" ht="12" customHeight="1" thickBot="1">
      <c r="A28" s="427" t="s">
        <v>820</v>
      </c>
      <c r="B28" s="1081" t="s">
        <v>147</v>
      </c>
      <c r="C28" s="1118"/>
      <c r="D28" s="1143">
        <f>'9.3.1.melléklet'!D28+'9.3.2.melléklet'!C28+'9.3.3. melléklet'!D28</f>
        <v>0</v>
      </c>
      <c r="E28" s="301">
        <f>'9.3.1.melléklet'!E28+'9.3.2.melléklet'!D28+'9.3.3. melléklet'!E28</f>
        <v>0</v>
      </c>
      <c r="F28" s="301">
        <f>'9.3.1.melléklet'!F28+'9.3.2.melléklet'!E28+'9.3.3. melléklet'!F28</f>
        <v>0</v>
      </c>
      <c r="G28" s="301">
        <f>'9.3.1.melléklet'!G28+'9.3.2.melléklet'!F28+'9.3.3. melléklet'!G28</f>
        <v>0</v>
      </c>
    </row>
    <row r="29" spans="1:7" s="436" customFormat="1" ht="12" customHeight="1" thickBot="1">
      <c r="A29" s="196" t="s">
        <v>559</v>
      </c>
      <c r="B29" s="1078" t="s">
        <v>148</v>
      </c>
      <c r="C29" s="648"/>
      <c r="D29" s="354">
        <f>SUM(D30:D32)</f>
        <v>0</v>
      </c>
      <c r="E29" s="304">
        <f>SUM(E30:E32)</f>
        <v>0</v>
      </c>
      <c r="F29" s="304">
        <f>SUM(F30:F32)</f>
        <v>0</v>
      </c>
      <c r="G29" s="304">
        <f>SUM(G30:G32)</f>
        <v>0</v>
      </c>
    </row>
    <row r="30" spans="1:7" s="436" customFormat="1" ht="12" customHeight="1">
      <c r="A30" s="428" t="s">
        <v>633</v>
      </c>
      <c r="B30" s="1079" t="s">
        <v>845</v>
      </c>
      <c r="C30" s="1184"/>
      <c r="D30" s="1176"/>
      <c r="E30" s="1094"/>
      <c r="F30" s="1094"/>
      <c r="G30" s="1094"/>
    </row>
    <row r="31" spans="1:7" s="436" customFormat="1" ht="12" customHeight="1">
      <c r="A31" s="428" t="s">
        <v>634</v>
      </c>
      <c r="B31" s="1093" t="s">
        <v>846</v>
      </c>
      <c r="C31" s="1185"/>
      <c r="D31" s="1177"/>
      <c r="E31" s="652"/>
      <c r="F31" s="652"/>
      <c r="G31" s="652"/>
    </row>
    <row r="32" spans="1:7" s="436" customFormat="1" ht="12" customHeight="1" thickBot="1">
      <c r="A32" s="427" t="s">
        <v>635</v>
      </c>
      <c r="B32" s="1082" t="s">
        <v>847</v>
      </c>
      <c r="C32" s="1184"/>
      <c r="D32" s="1176"/>
      <c r="E32" s="1094"/>
      <c r="F32" s="1094"/>
      <c r="G32" s="1094"/>
    </row>
    <row r="33" spans="1:7" s="362" customFormat="1" ht="12" customHeight="1" thickBot="1">
      <c r="A33" s="196" t="s">
        <v>560</v>
      </c>
      <c r="B33" s="1078" t="s">
        <v>104</v>
      </c>
      <c r="C33" s="1186"/>
      <c r="D33" s="353"/>
      <c r="E33" s="331"/>
      <c r="F33" s="331"/>
      <c r="G33" s="331">
        <v>465000</v>
      </c>
    </row>
    <row r="34" spans="1:7" s="362" customFormat="1" ht="12" customHeight="1" thickBot="1">
      <c r="A34" s="196" t="s">
        <v>561</v>
      </c>
      <c r="B34" s="1078" t="s">
        <v>149</v>
      </c>
      <c r="C34" s="1186"/>
      <c r="D34" s="353"/>
      <c r="E34" s="331"/>
      <c r="F34" s="331"/>
      <c r="G34" s="331"/>
    </row>
    <row r="35" spans="1:7" s="362" customFormat="1" ht="12" customHeight="1" thickBot="1">
      <c r="A35" s="188" t="s">
        <v>562</v>
      </c>
      <c r="B35" s="1078" t="s">
        <v>150</v>
      </c>
      <c r="C35" s="648">
        <v>3030</v>
      </c>
      <c r="D35" s="354">
        <f>D8</f>
        <v>4820</v>
      </c>
      <c r="E35" s="304">
        <f>E8</f>
        <v>4820</v>
      </c>
      <c r="F35" s="304">
        <f>F8</f>
        <v>5773500</v>
      </c>
      <c r="G35" s="304">
        <v>5232300</v>
      </c>
    </row>
    <row r="36" spans="1:7" s="362" customFormat="1" ht="12" customHeight="1" thickBot="1">
      <c r="A36" s="227" t="s">
        <v>563</v>
      </c>
      <c r="B36" s="1078" t="s">
        <v>151</v>
      </c>
      <c r="C36" s="648">
        <f>C39</f>
        <v>17904</v>
      </c>
      <c r="D36" s="354">
        <f>D39+D37</f>
        <v>22570</v>
      </c>
      <c r="E36" s="304">
        <f>E39+E37</f>
        <v>23326</v>
      </c>
      <c r="F36" s="304">
        <f>F39+F37</f>
        <v>24585872</v>
      </c>
      <c r="G36" s="304">
        <f>G39+G37</f>
        <v>24925584</v>
      </c>
    </row>
    <row r="37" spans="1:7" s="362" customFormat="1" ht="12" customHeight="1">
      <c r="A37" s="428" t="s">
        <v>152</v>
      </c>
      <c r="B37" s="1079" t="s">
        <v>779</v>
      </c>
      <c r="C37" s="1118"/>
      <c r="D37" s="1143">
        <v>525</v>
      </c>
      <c r="E37" s="301">
        <v>525</v>
      </c>
      <c r="F37" s="301">
        <v>525000</v>
      </c>
      <c r="G37" s="301">
        <v>524712</v>
      </c>
    </row>
    <row r="38" spans="1:7" s="362" customFormat="1" ht="12" customHeight="1">
      <c r="A38" s="428" t="s">
        <v>153</v>
      </c>
      <c r="B38" s="1093" t="s">
        <v>539</v>
      </c>
      <c r="C38" s="1118"/>
      <c r="D38" s="1143"/>
      <c r="E38" s="301"/>
      <c r="F38" s="301"/>
      <c r="G38" s="301"/>
    </row>
    <row r="39" spans="1:7" s="436" customFormat="1" ht="12" customHeight="1" thickBot="1">
      <c r="A39" s="427" t="s">
        <v>154</v>
      </c>
      <c r="B39" s="1082" t="s">
        <v>155</v>
      </c>
      <c r="C39" s="1118">
        <f>'[8]Munka1'!$B$43</f>
        <v>17904</v>
      </c>
      <c r="D39" s="1143">
        <v>22045</v>
      </c>
      <c r="E39" s="301">
        <f>22045+131+500+125</f>
        <v>22801</v>
      </c>
      <c r="F39" s="301">
        <v>24060872</v>
      </c>
      <c r="G39" s="301">
        <v>24400872</v>
      </c>
    </row>
    <row r="40" spans="1:7" s="436" customFormat="1" ht="15" customHeight="1" thickBot="1">
      <c r="A40" s="227" t="s">
        <v>564</v>
      </c>
      <c r="B40" s="1084" t="s">
        <v>156</v>
      </c>
      <c r="C40" s="1187">
        <f>C36+C35</f>
        <v>20934</v>
      </c>
      <c r="D40" s="357">
        <f>D36+D35</f>
        <v>27390</v>
      </c>
      <c r="E40" s="358">
        <f>E36+E35</f>
        <v>28146</v>
      </c>
      <c r="F40" s="358">
        <f>F36+F35</f>
        <v>30359372</v>
      </c>
      <c r="G40" s="358">
        <f>G36+G35</f>
        <v>30157884</v>
      </c>
    </row>
    <row r="41" spans="1:7" s="436" customFormat="1" ht="15" customHeight="1">
      <c r="A41" s="229"/>
      <c r="B41" s="230"/>
      <c r="C41" s="1188"/>
      <c r="D41" s="355"/>
      <c r="E41" s="355"/>
      <c r="F41" s="355"/>
      <c r="G41" s="355"/>
    </row>
    <row r="42" spans="1:7" ht="13.5" thickBot="1">
      <c r="A42" s="231"/>
      <c r="B42" s="232"/>
      <c r="C42" s="1189"/>
      <c r="D42" s="356"/>
      <c r="E42" s="356"/>
      <c r="F42" s="356"/>
      <c r="G42" s="356"/>
    </row>
    <row r="43" spans="1:7" s="435" customFormat="1" ht="16.5" customHeight="1" thickBot="1">
      <c r="A43" s="233"/>
      <c r="B43" s="234" t="s">
        <v>595</v>
      </c>
      <c r="C43" s="1187"/>
      <c r="D43" s="357"/>
      <c r="E43" s="357"/>
      <c r="F43" s="357"/>
      <c r="G43" s="357"/>
    </row>
    <row r="44" spans="1:7" s="437" customFormat="1" ht="12" customHeight="1" thickBot="1">
      <c r="A44" s="196" t="s">
        <v>555</v>
      </c>
      <c r="B44" s="1078" t="s">
        <v>157</v>
      </c>
      <c r="C44" s="648">
        <f>C45+C46+C47</f>
        <v>20934</v>
      </c>
      <c r="D44" s="354">
        <f>D45+D46+D47</f>
        <v>27390</v>
      </c>
      <c r="E44" s="304">
        <f>E45+E46+E47</f>
        <v>28146</v>
      </c>
      <c r="F44" s="304">
        <f>F45+F46+F47</f>
        <v>30359372</v>
      </c>
      <c r="G44" s="304">
        <f>G45+G46+G47</f>
        <v>29967384</v>
      </c>
    </row>
    <row r="45" spans="1:7" ht="12" customHeight="1">
      <c r="A45" s="427" t="s">
        <v>640</v>
      </c>
      <c r="B45" s="1077" t="s">
        <v>585</v>
      </c>
      <c r="C45" s="1118">
        <f>'[6]Munka1'!$K$45</f>
        <v>9873</v>
      </c>
      <c r="D45" s="1143">
        <v>10754</v>
      </c>
      <c r="E45" s="301">
        <v>10857</v>
      </c>
      <c r="F45" s="301">
        <v>11028800</v>
      </c>
      <c r="G45" s="301">
        <v>11028800</v>
      </c>
    </row>
    <row r="46" spans="1:7" ht="12" customHeight="1">
      <c r="A46" s="427" t="s">
        <v>641</v>
      </c>
      <c r="B46" s="1075" t="s">
        <v>719</v>
      </c>
      <c r="C46" s="1118">
        <f>'[6]Munka1'!$K$64</f>
        <v>2595</v>
      </c>
      <c r="D46" s="1143">
        <v>2866</v>
      </c>
      <c r="E46" s="301">
        <v>2894</v>
      </c>
      <c r="F46" s="301">
        <v>2940386</v>
      </c>
      <c r="G46" s="301">
        <v>2940386</v>
      </c>
    </row>
    <row r="47" spans="1:7" ht="12" customHeight="1">
      <c r="A47" s="427" t="s">
        <v>642</v>
      </c>
      <c r="B47" s="1075" t="s">
        <v>678</v>
      </c>
      <c r="C47" s="1118">
        <f>'[5]Munka1'!$K$97</f>
        <v>8466</v>
      </c>
      <c r="D47" s="1143">
        <v>13770</v>
      </c>
      <c r="E47" s="301">
        <f>13770+500+125</f>
        <v>14395</v>
      </c>
      <c r="F47" s="301">
        <v>16390186</v>
      </c>
      <c r="G47" s="301">
        <v>15998198</v>
      </c>
    </row>
    <row r="48" spans="1:7" ht="12" customHeight="1">
      <c r="A48" s="427" t="s">
        <v>643</v>
      </c>
      <c r="B48" s="1075" t="s">
        <v>720</v>
      </c>
      <c r="C48" s="1118"/>
      <c r="D48" s="1143">
        <f>'9.3.1.melléklet'!D48+'9.3.2.melléklet'!C48+'9.3.3. melléklet'!D48</f>
        <v>0</v>
      </c>
      <c r="E48" s="301">
        <f>'9.3.1.melléklet'!E48+'9.3.2.melléklet'!D48+'9.3.3. melléklet'!E48</f>
        <v>0</v>
      </c>
      <c r="F48" s="301">
        <f>'9.3.1.melléklet'!F48+'9.3.2.melléklet'!E48+'9.3.3. melléklet'!F48</f>
        <v>0</v>
      </c>
      <c r="G48" s="301">
        <f>'9.3.1.melléklet'!G48+'9.3.2.melléklet'!F48+'9.3.3. melléklet'!G48</f>
        <v>0</v>
      </c>
    </row>
    <row r="49" spans="1:7" ht="12" customHeight="1" thickBot="1">
      <c r="A49" s="427" t="s">
        <v>686</v>
      </c>
      <c r="B49" s="1075" t="s">
        <v>721</v>
      </c>
      <c r="C49" s="1122"/>
      <c r="D49" s="1046"/>
      <c r="E49" s="79"/>
      <c r="F49" s="79"/>
      <c r="G49" s="79"/>
    </row>
    <row r="50" spans="1:7" ht="12" customHeight="1" thickBot="1">
      <c r="A50" s="196" t="s">
        <v>556</v>
      </c>
      <c r="B50" s="1078" t="s">
        <v>158</v>
      </c>
      <c r="C50" s="648">
        <f>SUM(C51:C53)</f>
        <v>0</v>
      </c>
      <c r="D50" s="354">
        <f>SUM(D51:D53)</f>
        <v>0</v>
      </c>
      <c r="E50" s="304">
        <f>SUM(E51:E53)</f>
        <v>0</v>
      </c>
      <c r="F50" s="304">
        <f>SUM(F51:F53)</f>
        <v>0</v>
      </c>
      <c r="G50" s="304">
        <f>SUM(G51:G53)</f>
        <v>0</v>
      </c>
    </row>
    <row r="51" spans="1:7" s="437" customFormat="1" ht="12" customHeight="1">
      <c r="A51" s="427" t="s">
        <v>646</v>
      </c>
      <c r="B51" s="1077" t="s">
        <v>769</v>
      </c>
      <c r="C51" s="1118"/>
      <c r="D51" s="1143"/>
      <c r="E51" s="301"/>
      <c r="F51" s="301"/>
      <c r="G51" s="301"/>
    </row>
    <row r="52" spans="1:7" ht="12" customHeight="1">
      <c r="A52" s="427" t="s">
        <v>647</v>
      </c>
      <c r="B52" s="1075" t="s">
        <v>723</v>
      </c>
      <c r="C52" s="1122"/>
      <c r="D52" s="1046"/>
      <c r="E52" s="79"/>
      <c r="F52" s="79"/>
      <c r="G52" s="79"/>
    </row>
    <row r="53" spans="1:7" ht="12" customHeight="1">
      <c r="A53" s="427" t="s">
        <v>648</v>
      </c>
      <c r="B53" s="1075" t="s">
        <v>596</v>
      </c>
      <c r="C53" s="1122"/>
      <c r="D53" s="1046"/>
      <c r="E53" s="79"/>
      <c r="F53" s="79"/>
      <c r="G53" s="79"/>
    </row>
    <row r="54" spans="1:7" ht="12" customHeight="1" thickBot="1">
      <c r="A54" s="427" t="s">
        <v>649</v>
      </c>
      <c r="B54" s="1075" t="s">
        <v>540</v>
      </c>
      <c r="C54" s="1122"/>
      <c r="D54" s="1046"/>
      <c r="E54" s="79"/>
      <c r="F54" s="79"/>
      <c r="G54" s="79"/>
    </row>
    <row r="55" spans="1:7" ht="15" customHeight="1" thickBot="1">
      <c r="A55" s="196" t="s">
        <v>557</v>
      </c>
      <c r="B55" s="1085" t="s">
        <v>164</v>
      </c>
      <c r="C55" s="1187">
        <f>+C44+C50</f>
        <v>20934</v>
      </c>
      <c r="D55" s="357">
        <f>+D44+D50</f>
        <v>27390</v>
      </c>
      <c r="E55" s="358">
        <f>+E44+E50</f>
        <v>28146</v>
      </c>
      <c r="F55" s="358">
        <f>+F44+F50</f>
        <v>30359372</v>
      </c>
      <c r="G55" s="358">
        <v>30157884</v>
      </c>
    </row>
    <row r="56" spans="3:7" ht="13.5" thickBot="1">
      <c r="C56" s="359"/>
      <c r="D56" s="359"/>
      <c r="E56" s="359"/>
      <c r="F56" s="359"/>
      <c r="G56" s="359"/>
    </row>
    <row r="57" spans="1:7" ht="15" customHeight="1" thickBot="1">
      <c r="A57" s="238" t="s">
        <v>742</v>
      </c>
      <c r="B57" s="239"/>
      <c r="C57" s="118">
        <v>4</v>
      </c>
      <c r="D57" s="118">
        <v>4</v>
      </c>
      <c r="E57" s="118">
        <v>4</v>
      </c>
      <c r="F57" s="118">
        <v>4</v>
      </c>
      <c r="G57" s="118">
        <v>4</v>
      </c>
    </row>
    <row r="58" spans="1:7" ht="14.25" customHeight="1" thickBot="1">
      <c r="A58" s="238" t="s">
        <v>743</v>
      </c>
      <c r="B58" s="239"/>
      <c r="C58" s="118">
        <v>0</v>
      </c>
      <c r="D58" s="118">
        <v>0</v>
      </c>
      <c r="E58" s="118">
        <v>0</v>
      </c>
      <c r="F58" s="118">
        <v>0</v>
      </c>
      <c r="G58" s="118">
        <v>0</v>
      </c>
    </row>
    <row r="60" ht="15.75">
      <c r="B60" s="368" t="s">
        <v>25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G60"/>
  <sheetViews>
    <sheetView workbookViewId="0" topLeftCell="A37">
      <selection activeCell="B60" sqref="B60"/>
    </sheetView>
  </sheetViews>
  <sheetFormatPr defaultColWidth="9.00390625" defaultRowHeight="12.75"/>
  <cols>
    <col min="1" max="1" width="13.875" style="236" customWidth="1"/>
    <col min="2" max="2" width="79.125" style="237" customWidth="1"/>
    <col min="3" max="7" width="25.00390625" style="237" customWidth="1"/>
    <col min="8" max="16384" width="9.375" style="237" customWidth="1"/>
  </cols>
  <sheetData>
    <row r="1" spans="1:7" s="216" customFormat="1" ht="21" customHeight="1" thickBot="1">
      <c r="A1" s="215"/>
      <c r="B1" s="217"/>
      <c r="C1" s="217"/>
      <c r="D1" s="432"/>
      <c r="E1" s="432"/>
      <c r="F1" s="432"/>
      <c r="G1" s="432" t="s">
        <v>904</v>
      </c>
    </row>
    <row r="2" spans="1:7" s="433" customFormat="1" ht="25.5" customHeight="1">
      <c r="A2" s="385" t="s">
        <v>740</v>
      </c>
      <c r="B2" s="1071" t="s">
        <v>188</v>
      </c>
      <c r="C2" s="345"/>
      <c r="D2" s="1096"/>
      <c r="E2" s="360"/>
      <c r="F2" s="360" t="s">
        <v>600</v>
      </c>
      <c r="G2" s="360" t="s">
        <v>600</v>
      </c>
    </row>
    <row r="3" spans="1:7" s="433" customFormat="1" ht="24.75" thickBot="1">
      <c r="A3" s="425" t="s">
        <v>739</v>
      </c>
      <c r="B3" s="1095" t="s">
        <v>166</v>
      </c>
      <c r="C3" s="1099"/>
      <c r="D3" s="361"/>
      <c r="E3" s="361"/>
      <c r="F3" s="361" t="s">
        <v>589</v>
      </c>
      <c r="G3" s="361" t="s">
        <v>589</v>
      </c>
    </row>
    <row r="4" spans="1:7" s="434" customFormat="1" ht="15.75" customHeight="1" thickBot="1">
      <c r="A4" s="219"/>
      <c r="B4" s="219"/>
      <c r="C4" s="1100"/>
      <c r="D4" s="651"/>
      <c r="E4" s="651" t="s">
        <v>590</v>
      </c>
      <c r="F4" s="651"/>
      <c r="G4" s="651"/>
    </row>
    <row r="5" spans="1:7" ht="13.5" thickBot="1">
      <c r="A5" s="386" t="s">
        <v>741</v>
      </c>
      <c r="B5" s="1091" t="s">
        <v>591</v>
      </c>
      <c r="C5" s="221" t="s">
        <v>592</v>
      </c>
      <c r="D5" s="1097" t="s">
        <v>888</v>
      </c>
      <c r="E5" s="222" t="s">
        <v>908</v>
      </c>
      <c r="F5" s="222" t="s">
        <v>913</v>
      </c>
      <c r="G5" s="222" t="s">
        <v>8</v>
      </c>
    </row>
    <row r="6" spans="1:7" s="435" customFormat="1" ht="12.75" customHeight="1" thickBot="1">
      <c r="A6" s="188">
        <v>1</v>
      </c>
      <c r="B6" s="1073">
        <v>2</v>
      </c>
      <c r="C6" s="189">
        <v>3</v>
      </c>
      <c r="D6" s="1098">
        <v>4</v>
      </c>
      <c r="E6" s="190">
        <v>5</v>
      </c>
      <c r="F6" s="190">
        <v>6</v>
      </c>
      <c r="G6" s="190">
        <v>7</v>
      </c>
    </row>
    <row r="7" spans="1:7" s="435" customFormat="1" ht="15.75" customHeight="1" thickBot="1">
      <c r="A7" s="223"/>
      <c r="B7" s="224" t="s">
        <v>593</v>
      </c>
      <c r="C7" s="1101"/>
      <c r="D7" s="225"/>
      <c r="E7" s="225"/>
      <c r="F7" s="225"/>
      <c r="G7" s="225"/>
    </row>
    <row r="8" spans="1:7" s="362" customFormat="1" ht="12" customHeight="1" thickBot="1">
      <c r="A8" s="188" t="s">
        <v>555</v>
      </c>
      <c r="B8" s="647" t="s">
        <v>139</v>
      </c>
      <c r="C8" s="226"/>
      <c r="D8" s="304">
        <f>D10+D13+D18</f>
        <v>4820</v>
      </c>
      <c r="E8" s="304">
        <f>E10+E13+E18</f>
        <v>4820</v>
      </c>
      <c r="F8" s="304">
        <f>F10+F13+F18</f>
        <v>5773500</v>
      </c>
      <c r="G8" s="304">
        <v>4311300</v>
      </c>
    </row>
    <row r="9" spans="1:7" s="362" customFormat="1" ht="12" customHeight="1">
      <c r="A9" s="426" t="s">
        <v>640</v>
      </c>
      <c r="B9" s="1074" t="s">
        <v>831</v>
      </c>
      <c r="C9" s="7"/>
      <c r="D9" s="301">
        <f>'9.3.1.melléklet'!D9+'9.3.2.melléklet'!C9+'9.3.3. melléklet'!D9</f>
        <v>0</v>
      </c>
      <c r="E9" s="301">
        <f>'9.3.1.melléklet'!E9+'9.3.2.melléklet'!D9+'9.3.3. melléklet'!E9</f>
        <v>0</v>
      </c>
      <c r="F9" s="301">
        <f>'9.3.1.melléklet'!F9+'9.3.2.melléklet'!E9+'9.3.3. melléklet'!F9</f>
        <v>0</v>
      </c>
      <c r="G9" s="301">
        <f>'9.3.1.melléklet'!G9+'9.3.2.melléklet'!F9+'9.3.3. melléklet'!G9</f>
        <v>0</v>
      </c>
    </row>
    <row r="10" spans="1:7" s="362" customFormat="1" ht="12" customHeight="1">
      <c r="A10" s="427" t="s">
        <v>641</v>
      </c>
      <c r="B10" s="1075" t="s">
        <v>832</v>
      </c>
      <c r="C10" s="7"/>
      <c r="D10" s="301">
        <f>'[7]Munka1'!$K$3</f>
        <v>1000</v>
      </c>
      <c r="E10" s="301">
        <f>'[7]Munka1'!$K$3</f>
        <v>1000</v>
      </c>
      <c r="F10" s="301">
        <v>1300000</v>
      </c>
      <c r="G10" s="301">
        <v>4306300</v>
      </c>
    </row>
    <row r="11" spans="1:7" s="362" customFormat="1" ht="12" customHeight="1">
      <c r="A11" s="427" t="s">
        <v>642</v>
      </c>
      <c r="B11" s="1075" t="s">
        <v>833</v>
      </c>
      <c r="C11" s="7"/>
      <c r="D11" s="301"/>
      <c r="E11" s="301"/>
      <c r="F11" s="301"/>
      <c r="G11" s="301"/>
    </row>
    <row r="12" spans="1:7" s="362" customFormat="1" ht="12" customHeight="1">
      <c r="A12" s="427" t="s">
        <v>643</v>
      </c>
      <c r="B12" s="1075" t="s">
        <v>834</v>
      </c>
      <c r="C12" s="7"/>
      <c r="D12" s="301">
        <f>'9.3.1.melléklet'!D12+'9.3.2.melléklet'!C12+'9.3.3. melléklet'!D12</f>
        <v>0</v>
      </c>
      <c r="E12" s="301">
        <f>'9.3.1.melléklet'!E12+'9.3.2.melléklet'!D12+'9.3.3. melléklet'!E12</f>
        <v>0</v>
      </c>
      <c r="F12" s="301">
        <f>'9.3.1.melléklet'!F12+'9.3.2.melléklet'!E12+'9.3.3. melléklet'!F12</f>
        <v>0</v>
      </c>
      <c r="G12" s="301">
        <f>'9.3.1.melléklet'!G12+'9.3.2.melléklet'!F12+'9.3.3. melléklet'!G12</f>
        <v>0</v>
      </c>
    </row>
    <row r="13" spans="1:7" s="362" customFormat="1" ht="12" customHeight="1">
      <c r="A13" s="427" t="s">
        <v>686</v>
      </c>
      <c r="B13" s="1075" t="s">
        <v>835</v>
      </c>
      <c r="C13" s="7"/>
      <c r="D13" s="301">
        <f>'[7]Munka1'!$K$7</f>
        <v>30</v>
      </c>
      <c r="E13" s="301">
        <f>'[7]Munka1'!$K$7</f>
        <v>30</v>
      </c>
      <c r="F13" s="301">
        <v>30000</v>
      </c>
      <c r="G13" s="301"/>
    </row>
    <row r="14" spans="1:7" s="362" customFormat="1" ht="12" customHeight="1">
      <c r="A14" s="427" t="s">
        <v>644</v>
      </c>
      <c r="B14" s="1075" t="s">
        <v>140</v>
      </c>
      <c r="C14" s="6"/>
      <c r="D14" s="301">
        <f>'9.3.1.melléklet'!D14+'9.3.2.melléklet'!C14+'9.3.3. melléklet'!D14</f>
        <v>0</v>
      </c>
      <c r="E14" s="301">
        <f>'9.3.1.melléklet'!E14+'9.3.2.melléklet'!D14+'9.3.3. melléklet'!E14</f>
        <v>0</v>
      </c>
      <c r="F14" s="301">
        <f>'9.3.1.melléklet'!F14+'9.3.2.melléklet'!E14+'9.3.3. melléklet'!F14</f>
        <v>0</v>
      </c>
      <c r="G14" s="301">
        <f>'9.3.1.melléklet'!G14+'9.3.2.melléklet'!F14+'9.3.3. melléklet'!G14</f>
        <v>0</v>
      </c>
    </row>
    <row r="15" spans="1:7" s="362" customFormat="1" ht="12" customHeight="1">
      <c r="A15" s="427" t="s">
        <v>645</v>
      </c>
      <c r="B15" s="1076" t="s">
        <v>141</v>
      </c>
      <c r="C15" s="6"/>
      <c r="D15" s="302">
        <f>'9.3.1.melléklet'!D15+'9.3.2.melléklet'!C15+'9.3.3. melléklet'!D15</f>
        <v>0</v>
      </c>
      <c r="E15" s="302">
        <f>'9.3.1.melléklet'!E15+'9.3.2.melléklet'!D15+'9.3.3. melléklet'!E15</f>
        <v>0</v>
      </c>
      <c r="F15" s="302">
        <f>'9.3.1.melléklet'!F15+'9.3.2.melléklet'!E15+'9.3.3. melléklet'!F15</f>
        <v>0</v>
      </c>
      <c r="G15" s="302">
        <v>5000</v>
      </c>
    </row>
    <row r="16" spans="1:7" s="362" customFormat="1" ht="12" customHeight="1">
      <c r="A16" s="427" t="s">
        <v>655</v>
      </c>
      <c r="B16" s="1075" t="s">
        <v>838</v>
      </c>
      <c r="C16" s="6"/>
      <c r="D16" s="301"/>
      <c r="E16" s="301"/>
      <c r="F16" s="301"/>
      <c r="G16" s="301"/>
    </row>
    <row r="17" spans="1:7" s="436" customFormat="1" ht="12" customHeight="1">
      <c r="A17" s="427" t="s">
        <v>656</v>
      </c>
      <c r="B17" s="1075" t="s">
        <v>839</v>
      </c>
      <c r="C17" s="7"/>
      <c r="D17" s="301">
        <f>'9.3.1.melléklet'!D17+'9.3.2.melléklet'!C17+'9.3.3. melléklet'!D17</f>
        <v>0</v>
      </c>
      <c r="E17" s="301">
        <f>'9.3.1.melléklet'!E17+'9.3.2.melléklet'!D17+'9.3.3. melléklet'!E17</f>
        <v>0</v>
      </c>
      <c r="F17" s="301">
        <f>'9.3.1.melléklet'!F17+'9.3.2.melléklet'!E17+'9.3.3. melléklet'!F17</f>
        <v>0</v>
      </c>
      <c r="G17" s="301">
        <f>'9.3.1.melléklet'!G17+'9.3.2.melléklet'!F17+'9.3.3. melléklet'!G17</f>
        <v>0</v>
      </c>
    </row>
    <row r="18" spans="1:7" s="436" customFormat="1" ht="12" customHeight="1" thickBot="1">
      <c r="A18" s="427" t="s">
        <v>657</v>
      </c>
      <c r="B18" s="1076" t="s">
        <v>840</v>
      </c>
      <c r="C18" s="5"/>
      <c r="D18" s="301">
        <v>3790</v>
      </c>
      <c r="E18" s="301">
        <v>3790</v>
      </c>
      <c r="F18" s="301">
        <v>4443500</v>
      </c>
      <c r="G18" s="301">
        <v>4443500</v>
      </c>
    </row>
    <row r="19" spans="1:7" s="362" customFormat="1" ht="12" customHeight="1" thickBot="1">
      <c r="A19" s="188" t="s">
        <v>556</v>
      </c>
      <c r="B19" s="647" t="s">
        <v>142</v>
      </c>
      <c r="C19" s="226"/>
      <c r="D19" s="304">
        <f>SUM(D20:D22)</f>
        <v>0</v>
      </c>
      <c r="E19" s="304">
        <f>SUM(E20:E22)</f>
        <v>0</v>
      </c>
      <c r="F19" s="304">
        <f>SUM(F20:F22)</f>
        <v>0</v>
      </c>
      <c r="G19" s="304">
        <f>SUM(G20:G22)</f>
        <v>465000</v>
      </c>
    </row>
    <row r="20" spans="1:7" s="436" customFormat="1" ht="12" customHeight="1">
      <c r="A20" s="427" t="s">
        <v>646</v>
      </c>
      <c r="B20" s="1077" t="s">
        <v>806</v>
      </c>
      <c r="C20" s="7"/>
      <c r="D20" s="301">
        <f>'9.3.1.melléklet'!D20+'9.3.2.melléklet'!C20+'9.3.3. melléklet'!D20</f>
        <v>0</v>
      </c>
      <c r="E20" s="301">
        <f>'9.3.1.melléklet'!E20+'9.3.2.melléklet'!D20+'9.3.3. melléklet'!E20</f>
        <v>0</v>
      </c>
      <c r="F20" s="301">
        <f>'9.3.1.melléklet'!F20+'9.3.2.melléklet'!E20+'9.3.3. melléklet'!F20</f>
        <v>0</v>
      </c>
      <c r="G20" s="301">
        <f>'9.3.1.melléklet'!G20+'9.3.2.melléklet'!F20+'9.3.3. melléklet'!G20</f>
        <v>0</v>
      </c>
    </row>
    <row r="21" spans="1:7" s="436" customFormat="1" ht="12" customHeight="1">
      <c r="A21" s="427" t="s">
        <v>647</v>
      </c>
      <c r="B21" s="1075" t="s">
        <v>143</v>
      </c>
      <c r="C21" s="7"/>
      <c r="D21" s="301">
        <f>'9.3.1.melléklet'!D21+'9.3.2.melléklet'!C21+'9.3.3. melléklet'!D21</f>
        <v>0</v>
      </c>
      <c r="E21" s="301">
        <f>'9.3.1.melléklet'!E21+'9.3.2.melléklet'!D21+'9.3.3. melléklet'!E21</f>
        <v>0</v>
      </c>
      <c r="F21" s="301">
        <f>'9.3.1.melléklet'!F21+'9.3.2.melléklet'!E21+'9.3.3. melléklet'!F21</f>
        <v>0</v>
      </c>
      <c r="G21" s="301">
        <f>'9.3.1.melléklet'!G21+'9.3.2.melléklet'!F21+'9.3.3. melléklet'!G21</f>
        <v>0</v>
      </c>
    </row>
    <row r="22" spans="1:7" s="436" customFormat="1" ht="12" customHeight="1">
      <c r="A22" s="427" t="s">
        <v>648</v>
      </c>
      <c r="B22" s="1075" t="s">
        <v>144</v>
      </c>
      <c r="C22" s="7"/>
      <c r="D22" s="301">
        <f>'9.3.1.melléklet'!D22+'9.3.2.melléklet'!C22+'9.3.3. melléklet'!D22</f>
        <v>0</v>
      </c>
      <c r="E22" s="301">
        <f>'9.3.1.melléklet'!E22+'9.3.2.melléklet'!D22+'9.3.3. melléklet'!E22</f>
        <v>0</v>
      </c>
      <c r="F22" s="301">
        <f>'9.3.1.melléklet'!F22+'9.3.2.melléklet'!E22+'9.3.3. melléklet'!F22</f>
        <v>0</v>
      </c>
      <c r="G22" s="301">
        <v>465000</v>
      </c>
    </row>
    <row r="23" spans="1:7" s="436" customFormat="1" ht="12" customHeight="1" thickBot="1">
      <c r="A23" s="427" t="s">
        <v>649</v>
      </c>
      <c r="B23" s="1075" t="s">
        <v>538</v>
      </c>
      <c r="C23" s="7"/>
      <c r="D23" s="301">
        <f>'9.3.1.melléklet'!D23+'9.3.2.melléklet'!C23+'9.3.3. melléklet'!D23</f>
        <v>0</v>
      </c>
      <c r="E23" s="301">
        <f>'9.3.1.melléklet'!E23+'9.3.2.melléklet'!D23+'9.3.3. melléklet'!E23</f>
        <v>0</v>
      </c>
      <c r="F23" s="301">
        <f>'9.3.1.melléklet'!F23+'9.3.2.melléklet'!E23+'9.3.3. melléklet'!F23</f>
        <v>0</v>
      </c>
      <c r="G23" s="301">
        <f>'9.3.1.melléklet'!G23+'9.3.2.melléklet'!F23+'9.3.3. melléklet'!G23</f>
        <v>0</v>
      </c>
    </row>
    <row r="24" spans="1:7" s="436" customFormat="1" ht="12" customHeight="1" thickBot="1">
      <c r="A24" s="196" t="s">
        <v>557</v>
      </c>
      <c r="B24" s="1078" t="s">
        <v>710</v>
      </c>
      <c r="C24" s="121"/>
      <c r="D24" s="304">
        <f aca="true" t="shared" si="0" ref="D24:G25">SUM(D25:D27)</f>
        <v>0</v>
      </c>
      <c r="E24" s="304">
        <f t="shared" si="0"/>
        <v>0</v>
      </c>
      <c r="F24" s="304">
        <f t="shared" si="0"/>
        <v>0</v>
      </c>
      <c r="G24" s="304">
        <f t="shared" si="0"/>
        <v>0</v>
      </c>
    </row>
    <row r="25" spans="1:7" s="436" customFormat="1" ht="12" customHeight="1" thickBot="1">
      <c r="A25" s="196" t="s">
        <v>558</v>
      </c>
      <c r="B25" s="1078" t="s">
        <v>145</v>
      </c>
      <c r="C25" s="121"/>
      <c r="D25" s="304">
        <f t="shared" si="0"/>
        <v>0</v>
      </c>
      <c r="E25" s="304">
        <f t="shared" si="0"/>
        <v>0</v>
      </c>
      <c r="F25" s="304">
        <f t="shared" si="0"/>
        <v>0</v>
      </c>
      <c r="G25" s="304">
        <f t="shared" si="0"/>
        <v>0</v>
      </c>
    </row>
    <row r="26" spans="1:7" s="436" customFormat="1" ht="12" customHeight="1">
      <c r="A26" s="428" t="s">
        <v>816</v>
      </c>
      <c r="B26" s="1079" t="s">
        <v>143</v>
      </c>
      <c r="C26" s="429"/>
      <c r="D26" s="301">
        <f>'9.3.1.melléklet'!D26+'9.3.2.melléklet'!C26+'9.3.3. melléklet'!D26</f>
        <v>0</v>
      </c>
      <c r="E26" s="301">
        <f>'9.3.1.melléklet'!E26+'9.3.2.melléklet'!D26+'9.3.3. melléklet'!E26</f>
        <v>0</v>
      </c>
      <c r="F26" s="301">
        <f>'9.3.1.melléklet'!F26+'9.3.2.melléklet'!E26+'9.3.3. melléklet'!F26</f>
        <v>0</v>
      </c>
      <c r="G26" s="301">
        <f>'9.3.1.melléklet'!G26+'9.3.2.melléklet'!F26+'9.3.3. melléklet'!G26</f>
        <v>0</v>
      </c>
    </row>
    <row r="27" spans="1:7" s="436" customFormat="1" ht="12" customHeight="1">
      <c r="A27" s="428" t="s">
        <v>819</v>
      </c>
      <c r="B27" s="1093" t="s">
        <v>146</v>
      </c>
      <c r="C27" s="429"/>
      <c r="D27" s="301">
        <f>'9.3.1.melléklet'!D27+'9.3.2.melléklet'!C27+'9.3.3. melléklet'!D27</f>
        <v>0</v>
      </c>
      <c r="E27" s="301">
        <f>'9.3.1.melléklet'!E27+'9.3.2.melléklet'!D27+'9.3.3. melléklet'!E27</f>
        <v>0</v>
      </c>
      <c r="F27" s="301">
        <f>'9.3.1.melléklet'!F27+'9.3.2.melléklet'!E27+'9.3.3. melléklet'!F27</f>
        <v>0</v>
      </c>
      <c r="G27" s="301">
        <f>'9.3.1.melléklet'!G27+'9.3.2.melléklet'!F27+'9.3.3. melléklet'!G27</f>
        <v>0</v>
      </c>
    </row>
    <row r="28" spans="1:7" s="436" customFormat="1" ht="12" customHeight="1" thickBot="1">
      <c r="A28" s="427" t="s">
        <v>820</v>
      </c>
      <c r="B28" s="1081" t="s">
        <v>147</v>
      </c>
      <c r="C28" s="1102"/>
      <c r="D28" s="301">
        <f>'9.3.1.melléklet'!D28+'9.3.2.melléklet'!C28+'9.3.3. melléklet'!D28</f>
        <v>0</v>
      </c>
      <c r="E28" s="301">
        <f>'9.3.1.melléklet'!E28+'9.3.2.melléklet'!D28+'9.3.3. melléklet'!E28</f>
        <v>0</v>
      </c>
      <c r="F28" s="301">
        <f>'9.3.1.melléklet'!F28+'9.3.2.melléklet'!E28+'9.3.3. melléklet'!F28</f>
        <v>0</v>
      </c>
      <c r="G28" s="301">
        <f>'9.3.1.melléklet'!G28+'9.3.2.melléklet'!F28+'9.3.3. melléklet'!G28</f>
        <v>0</v>
      </c>
    </row>
    <row r="29" spans="1:7" s="436" customFormat="1" ht="12" customHeight="1" thickBot="1">
      <c r="A29" s="196" t="s">
        <v>559</v>
      </c>
      <c r="B29" s="1078" t="s">
        <v>148</v>
      </c>
      <c r="C29" s="121"/>
      <c r="D29" s="304">
        <f>SUM(D30:D32)</f>
        <v>0</v>
      </c>
      <c r="E29" s="304">
        <f>SUM(E30:E32)</f>
        <v>0</v>
      </c>
      <c r="F29" s="304">
        <f>SUM(F30:F32)</f>
        <v>0</v>
      </c>
      <c r="G29" s="304">
        <f>SUM(G30:G32)</f>
        <v>0</v>
      </c>
    </row>
    <row r="30" spans="1:7" s="436" customFormat="1" ht="12" customHeight="1">
      <c r="A30" s="428" t="s">
        <v>633</v>
      </c>
      <c r="B30" s="1079" t="s">
        <v>845</v>
      </c>
      <c r="C30" s="1103"/>
      <c r="D30" s="1094"/>
      <c r="E30" s="1094"/>
      <c r="F30" s="1094"/>
      <c r="G30" s="1094"/>
    </row>
    <row r="31" spans="1:7" s="436" customFormat="1" ht="12" customHeight="1">
      <c r="A31" s="428" t="s">
        <v>634</v>
      </c>
      <c r="B31" s="1093" t="s">
        <v>846</v>
      </c>
      <c r="C31" s="430"/>
      <c r="D31" s="652"/>
      <c r="E31" s="652"/>
      <c r="F31" s="652"/>
      <c r="G31" s="652"/>
    </row>
    <row r="32" spans="1:7" s="436" customFormat="1" ht="12" customHeight="1" thickBot="1">
      <c r="A32" s="427" t="s">
        <v>635</v>
      </c>
      <c r="B32" s="1082" t="s">
        <v>847</v>
      </c>
      <c r="C32" s="1103"/>
      <c r="D32" s="1094"/>
      <c r="E32" s="1094"/>
      <c r="F32" s="1094"/>
      <c r="G32" s="1094"/>
    </row>
    <row r="33" spans="1:7" s="362" customFormat="1" ht="12" customHeight="1" thickBot="1">
      <c r="A33" s="196" t="s">
        <v>560</v>
      </c>
      <c r="B33" s="1078" t="s">
        <v>104</v>
      </c>
      <c r="C33" s="121"/>
      <c r="D33" s="331"/>
      <c r="E33" s="331"/>
      <c r="F33" s="331"/>
      <c r="G33" s="331">
        <v>465000</v>
      </c>
    </row>
    <row r="34" spans="1:7" s="362" customFormat="1" ht="12" customHeight="1" thickBot="1">
      <c r="A34" s="196" t="s">
        <v>561</v>
      </c>
      <c r="B34" s="1078" t="s">
        <v>149</v>
      </c>
      <c r="C34" s="121"/>
      <c r="D34" s="331"/>
      <c r="E34" s="331"/>
      <c r="F34" s="331"/>
      <c r="G34" s="331"/>
    </row>
    <row r="35" spans="1:7" s="362" customFormat="1" ht="12" customHeight="1" thickBot="1">
      <c r="A35" s="188" t="s">
        <v>562</v>
      </c>
      <c r="B35" s="1078" t="s">
        <v>150</v>
      </c>
      <c r="C35" s="121"/>
      <c r="D35" s="304">
        <f>D8</f>
        <v>4820</v>
      </c>
      <c r="E35" s="304">
        <f>E8</f>
        <v>4820</v>
      </c>
      <c r="F35" s="304">
        <f>F8</f>
        <v>5773500</v>
      </c>
      <c r="G35" s="304">
        <v>5232300</v>
      </c>
    </row>
    <row r="36" spans="1:7" s="362" customFormat="1" ht="12" customHeight="1" thickBot="1">
      <c r="A36" s="227" t="s">
        <v>563</v>
      </c>
      <c r="B36" s="1078" t="s">
        <v>151</v>
      </c>
      <c r="C36" s="121"/>
      <c r="D36" s="304">
        <f>D39+D37</f>
        <v>22570</v>
      </c>
      <c r="E36" s="304">
        <f>E39+E37</f>
        <v>23326</v>
      </c>
      <c r="F36" s="304">
        <f>F39+F37</f>
        <v>24585872</v>
      </c>
      <c r="G36" s="304">
        <f>G39+G37</f>
        <v>24925584</v>
      </c>
    </row>
    <row r="37" spans="1:7" s="362" customFormat="1" ht="12" customHeight="1">
      <c r="A37" s="428" t="s">
        <v>152</v>
      </c>
      <c r="B37" s="1079" t="s">
        <v>779</v>
      </c>
      <c r="C37" s="429"/>
      <c r="D37" s="301">
        <v>525</v>
      </c>
      <c r="E37" s="301">
        <v>525</v>
      </c>
      <c r="F37" s="301">
        <v>525000</v>
      </c>
      <c r="G37" s="301">
        <v>524712</v>
      </c>
    </row>
    <row r="38" spans="1:7" s="362" customFormat="1" ht="12" customHeight="1">
      <c r="A38" s="428" t="s">
        <v>153</v>
      </c>
      <c r="B38" s="1093" t="s">
        <v>539</v>
      </c>
      <c r="C38" s="429"/>
      <c r="D38" s="301"/>
      <c r="E38" s="301"/>
      <c r="F38" s="301"/>
      <c r="G38" s="301"/>
    </row>
    <row r="39" spans="1:7" s="436" customFormat="1" ht="12" customHeight="1" thickBot="1">
      <c r="A39" s="427" t="s">
        <v>154</v>
      </c>
      <c r="B39" s="1082" t="s">
        <v>155</v>
      </c>
      <c r="C39" s="129"/>
      <c r="D39" s="301">
        <v>22045</v>
      </c>
      <c r="E39" s="301">
        <f>22045+131+500+125</f>
        <v>22801</v>
      </c>
      <c r="F39" s="301">
        <v>24060872</v>
      </c>
      <c r="G39" s="301">
        <v>24400872</v>
      </c>
    </row>
    <row r="40" spans="1:7" s="436" customFormat="1" ht="15" customHeight="1" thickBot="1">
      <c r="A40" s="227" t="s">
        <v>564</v>
      </c>
      <c r="B40" s="228" t="s">
        <v>156</v>
      </c>
      <c r="C40" s="1084"/>
      <c r="D40" s="358">
        <f>D36+D35</f>
        <v>27390</v>
      </c>
      <c r="E40" s="358">
        <f>E36+E35</f>
        <v>28146</v>
      </c>
      <c r="F40" s="358">
        <f>F36+F35</f>
        <v>30359372</v>
      </c>
      <c r="G40" s="358">
        <f>G36+G35</f>
        <v>30157884</v>
      </c>
    </row>
    <row r="41" spans="1:7" s="436" customFormat="1" ht="15" customHeight="1">
      <c r="A41" s="229"/>
      <c r="B41" s="230"/>
      <c r="C41" s="230"/>
      <c r="D41" s="355"/>
      <c r="E41" s="355"/>
      <c r="F41" s="355"/>
      <c r="G41" s="355"/>
    </row>
    <row r="42" spans="1:7" ht="13.5" thickBot="1">
      <c r="A42" s="231"/>
      <c r="B42" s="232"/>
      <c r="C42" s="232"/>
      <c r="D42" s="356"/>
      <c r="E42" s="356"/>
      <c r="F42" s="356"/>
      <c r="G42" s="356"/>
    </row>
    <row r="43" spans="1:7" s="435" customFormat="1" ht="16.5" customHeight="1" thickBot="1">
      <c r="A43" s="233"/>
      <c r="B43" s="234" t="s">
        <v>595</v>
      </c>
      <c r="C43" s="234"/>
      <c r="D43" s="357"/>
      <c r="E43" s="357"/>
      <c r="F43" s="357"/>
      <c r="G43" s="357"/>
    </row>
    <row r="44" spans="1:7" s="437" customFormat="1" ht="12" customHeight="1" thickBot="1">
      <c r="A44" s="196" t="s">
        <v>555</v>
      </c>
      <c r="B44" s="121" t="s">
        <v>157</v>
      </c>
      <c r="C44" s="1078"/>
      <c r="D44" s="304">
        <f>D45+D46+D47</f>
        <v>27390</v>
      </c>
      <c r="E44" s="304">
        <f>E45+E46+E47</f>
        <v>28146</v>
      </c>
      <c r="F44" s="304">
        <f>F45+F46+F47</f>
        <v>30359372</v>
      </c>
      <c r="G44" s="304">
        <f>G45+G46+G47</f>
        <v>29967384</v>
      </c>
    </row>
    <row r="45" spans="1:7" ht="12" customHeight="1">
      <c r="A45" s="427" t="s">
        <v>640</v>
      </c>
      <c r="B45" s="7" t="s">
        <v>585</v>
      </c>
      <c r="C45" s="1077"/>
      <c r="D45" s="301">
        <v>10754</v>
      </c>
      <c r="E45" s="301">
        <v>10857</v>
      </c>
      <c r="F45" s="301">
        <v>11028800</v>
      </c>
      <c r="G45" s="301">
        <v>11028800</v>
      </c>
    </row>
    <row r="46" spans="1:7" ht="12" customHeight="1">
      <c r="A46" s="427" t="s">
        <v>641</v>
      </c>
      <c r="B46" s="6" t="s">
        <v>719</v>
      </c>
      <c r="C46" s="1077"/>
      <c r="D46" s="301">
        <v>2866</v>
      </c>
      <c r="E46" s="301">
        <v>2894</v>
      </c>
      <c r="F46" s="301">
        <v>2940386</v>
      </c>
      <c r="G46" s="301">
        <v>2940386</v>
      </c>
    </row>
    <row r="47" spans="1:7" ht="12" customHeight="1">
      <c r="A47" s="427" t="s">
        <v>642</v>
      </c>
      <c r="B47" s="6" t="s">
        <v>678</v>
      </c>
      <c r="C47" s="1077"/>
      <c r="D47" s="301">
        <v>13770</v>
      </c>
      <c r="E47" s="301">
        <f>13770+500+125</f>
        <v>14395</v>
      </c>
      <c r="F47" s="301">
        <v>16390186</v>
      </c>
      <c r="G47" s="301">
        <v>15998198</v>
      </c>
    </row>
    <row r="48" spans="1:7" ht="12" customHeight="1">
      <c r="A48" s="427" t="s">
        <v>643</v>
      </c>
      <c r="B48" s="6" t="s">
        <v>720</v>
      </c>
      <c r="C48" s="1077"/>
      <c r="D48" s="301">
        <f>'9.3.1.melléklet'!D48+'9.3.2.melléklet'!C48+'9.3.3. melléklet'!D48</f>
        <v>0</v>
      </c>
      <c r="E48" s="301">
        <f>'9.3.1.melléklet'!E48+'9.3.2.melléklet'!D48+'9.3.3. melléklet'!E48</f>
        <v>0</v>
      </c>
      <c r="F48" s="301">
        <f>'9.3.1.melléklet'!F48+'9.3.2.melléklet'!E48+'9.3.3. melléklet'!F48</f>
        <v>0</v>
      </c>
      <c r="G48" s="301">
        <f>'9.3.1.melléklet'!G48+'9.3.2.melléklet'!F48+'9.3.3. melléklet'!G48</f>
        <v>0</v>
      </c>
    </row>
    <row r="49" spans="1:7" ht="12" customHeight="1" thickBot="1">
      <c r="A49" s="427" t="s">
        <v>686</v>
      </c>
      <c r="B49" s="6" t="s">
        <v>721</v>
      </c>
      <c r="C49" s="1075"/>
      <c r="D49" s="79"/>
      <c r="E49" s="79"/>
      <c r="F49" s="79"/>
      <c r="G49" s="79"/>
    </row>
    <row r="50" spans="1:7" ht="12" customHeight="1" thickBot="1">
      <c r="A50" s="196" t="s">
        <v>556</v>
      </c>
      <c r="B50" s="121" t="s">
        <v>158</v>
      </c>
      <c r="C50" s="1078"/>
      <c r="D50" s="304">
        <f>SUM(D51:D53)</f>
        <v>0</v>
      </c>
      <c r="E50" s="304">
        <f>SUM(E51:E53)</f>
        <v>0</v>
      </c>
      <c r="F50" s="304">
        <f>SUM(F51:F53)</f>
        <v>0</v>
      </c>
      <c r="G50" s="304">
        <f>SUM(G51:G53)</f>
        <v>0</v>
      </c>
    </row>
    <row r="51" spans="1:7" s="437" customFormat="1" ht="12" customHeight="1">
      <c r="A51" s="427" t="s">
        <v>646</v>
      </c>
      <c r="B51" s="7" t="s">
        <v>769</v>
      </c>
      <c r="C51" s="1077"/>
      <c r="D51" s="301"/>
      <c r="E51" s="301"/>
      <c r="F51" s="301"/>
      <c r="G51" s="301"/>
    </row>
    <row r="52" spans="1:7" ht="12" customHeight="1">
      <c r="A52" s="427" t="s">
        <v>647</v>
      </c>
      <c r="B52" s="6" t="s">
        <v>723</v>
      </c>
      <c r="C52" s="1075"/>
      <c r="D52" s="79"/>
      <c r="E52" s="79"/>
      <c r="F52" s="79"/>
      <c r="G52" s="79"/>
    </row>
    <row r="53" spans="1:7" ht="12" customHeight="1">
      <c r="A53" s="427" t="s">
        <v>648</v>
      </c>
      <c r="B53" s="6" t="s">
        <v>596</v>
      </c>
      <c r="C53" s="1075"/>
      <c r="D53" s="79"/>
      <c r="E53" s="79"/>
      <c r="F53" s="79"/>
      <c r="G53" s="79"/>
    </row>
    <row r="54" spans="1:7" ht="12" customHeight="1" thickBot="1">
      <c r="A54" s="427" t="s">
        <v>649</v>
      </c>
      <c r="B54" s="6" t="s">
        <v>540</v>
      </c>
      <c r="C54" s="1075"/>
      <c r="D54" s="79"/>
      <c r="E54" s="79"/>
      <c r="F54" s="79"/>
      <c r="G54" s="79"/>
    </row>
    <row r="55" spans="1:7" ht="15" customHeight="1" thickBot="1">
      <c r="A55" s="196" t="s">
        <v>557</v>
      </c>
      <c r="B55" s="235" t="s">
        <v>164</v>
      </c>
      <c r="C55" s="1085"/>
      <c r="D55" s="358">
        <f>+D44+D50</f>
        <v>27390</v>
      </c>
      <c r="E55" s="358">
        <f>+E44+E50</f>
        <v>28146</v>
      </c>
      <c r="F55" s="358">
        <f>+F44+F50</f>
        <v>30359372</v>
      </c>
      <c r="G55" s="358">
        <v>30157884</v>
      </c>
    </row>
    <row r="56" spans="4:7" ht="13.5" thickBot="1">
      <c r="D56" s="359"/>
      <c r="E56" s="359"/>
      <c r="F56" s="359"/>
      <c r="G56" s="359"/>
    </row>
    <row r="57" spans="1:7" ht="15" customHeight="1" thickBot="1">
      <c r="A57" s="238" t="s">
        <v>742</v>
      </c>
      <c r="B57" s="239"/>
      <c r="C57" s="1086"/>
      <c r="D57" s="118">
        <v>4</v>
      </c>
      <c r="E57" s="118">
        <v>4</v>
      </c>
      <c r="F57" s="118">
        <v>4</v>
      </c>
      <c r="G57" s="118">
        <v>4</v>
      </c>
    </row>
    <row r="58" spans="1:7" ht="14.25" customHeight="1" thickBot="1">
      <c r="A58" s="238" t="s">
        <v>743</v>
      </c>
      <c r="B58" s="239"/>
      <c r="C58" s="1086"/>
      <c r="D58" s="118">
        <v>0</v>
      </c>
      <c r="E58" s="118">
        <v>0</v>
      </c>
      <c r="F58" s="118">
        <v>0</v>
      </c>
      <c r="G58" s="118">
        <v>0</v>
      </c>
    </row>
    <row r="60" ht="15.75">
      <c r="B60" s="368" t="s">
        <v>26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D58"/>
  <sheetViews>
    <sheetView view="pageBreakPreview" zoomScale="60" workbookViewId="0" topLeftCell="A1">
      <selection activeCell="C1" sqref="C1"/>
    </sheetView>
  </sheetViews>
  <sheetFormatPr defaultColWidth="9.00390625" defaultRowHeight="12.75"/>
  <cols>
    <col min="1" max="1" width="13.875" style="236" customWidth="1"/>
    <col min="2" max="2" width="79.125" style="237" customWidth="1"/>
    <col min="3" max="4" width="25.00390625" style="237" customWidth="1"/>
    <col min="5" max="16384" width="9.375" style="237" customWidth="1"/>
  </cols>
  <sheetData>
    <row r="1" spans="1:4" s="216" customFormat="1" ht="21" customHeight="1" thickBot="1">
      <c r="A1" s="215"/>
      <c r="B1" s="217"/>
      <c r="C1" s="432" t="s">
        <v>161</v>
      </c>
      <c r="D1" s="432"/>
    </row>
    <row r="2" spans="1:4" s="433" customFormat="1" ht="25.5" customHeight="1">
      <c r="A2" s="385" t="s">
        <v>740</v>
      </c>
      <c r="B2" s="345" t="s">
        <v>188</v>
      </c>
      <c r="C2" s="360"/>
      <c r="D2" s="360" t="s">
        <v>600</v>
      </c>
    </row>
    <row r="3" spans="1:4" s="433" customFormat="1" ht="24.75" thickBot="1">
      <c r="A3" s="425" t="s">
        <v>739</v>
      </c>
      <c r="B3" s="346" t="s">
        <v>167</v>
      </c>
      <c r="C3" s="361"/>
      <c r="D3" s="361" t="s">
        <v>600</v>
      </c>
    </row>
    <row r="4" spans="1:4" s="434" customFormat="1" ht="15.75" customHeight="1" thickBot="1">
      <c r="A4" s="219"/>
      <c r="B4" s="219"/>
      <c r="C4" s="220"/>
      <c r="D4" s="220" t="s">
        <v>590</v>
      </c>
    </row>
    <row r="5" spans="1:4" ht="13.5" thickBot="1">
      <c r="A5" s="386" t="s">
        <v>741</v>
      </c>
      <c r="B5" s="221" t="s">
        <v>591</v>
      </c>
      <c r="C5" s="222" t="s">
        <v>592</v>
      </c>
      <c r="D5" s="222" t="s">
        <v>886</v>
      </c>
    </row>
    <row r="6" spans="1:4" s="435" customFormat="1" ht="12.75" customHeight="1" thickBot="1">
      <c r="A6" s="188">
        <v>1</v>
      </c>
      <c r="B6" s="189">
        <v>2</v>
      </c>
      <c r="C6" s="190">
        <v>3</v>
      </c>
      <c r="D6" s="190">
        <v>4</v>
      </c>
    </row>
    <row r="7" spans="1:4" s="435" customFormat="1" ht="15.75" customHeight="1" thickBot="1">
      <c r="A7" s="223"/>
      <c r="B7" s="224" t="s">
        <v>593</v>
      </c>
      <c r="C7" s="225"/>
      <c r="D7" s="225"/>
    </row>
    <row r="8" spans="1:4" s="362" customFormat="1" ht="12" customHeight="1" thickBot="1">
      <c r="A8" s="188" t="s">
        <v>555</v>
      </c>
      <c r="B8" s="226" t="s">
        <v>139</v>
      </c>
      <c r="C8" s="304">
        <f>SUM(C9:C18)</f>
        <v>0</v>
      </c>
      <c r="D8" s="304">
        <f>SUM(D9:D18)</f>
        <v>0</v>
      </c>
    </row>
    <row r="9" spans="1:4" s="362" customFormat="1" ht="12" customHeight="1">
      <c r="A9" s="426" t="s">
        <v>640</v>
      </c>
      <c r="B9" s="8" t="s">
        <v>831</v>
      </c>
      <c r="C9" s="351"/>
      <c r="D9" s="351"/>
    </row>
    <row r="10" spans="1:4" s="362" customFormat="1" ht="12" customHeight="1">
      <c r="A10" s="427" t="s">
        <v>641</v>
      </c>
      <c r="B10" s="6" t="s">
        <v>832</v>
      </c>
      <c r="C10" s="302"/>
      <c r="D10" s="302"/>
    </row>
    <row r="11" spans="1:4" s="362" customFormat="1" ht="12" customHeight="1">
      <c r="A11" s="427" t="s">
        <v>642</v>
      </c>
      <c r="B11" s="6" t="s">
        <v>833</v>
      </c>
      <c r="C11" s="302"/>
      <c r="D11" s="302"/>
    </row>
    <row r="12" spans="1:4" s="362" customFormat="1" ht="12" customHeight="1">
      <c r="A12" s="427" t="s">
        <v>643</v>
      </c>
      <c r="B12" s="6" t="s">
        <v>834</v>
      </c>
      <c r="C12" s="302"/>
      <c r="D12" s="302"/>
    </row>
    <row r="13" spans="1:4" s="362" customFormat="1" ht="12" customHeight="1">
      <c r="A13" s="427" t="s">
        <v>686</v>
      </c>
      <c r="B13" s="6" t="s">
        <v>835</v>
      </c>
      <c r="C13" s="302"/>
      <c r="D13" s="302"/>
    </row>
    <row r="14" spans="1:4" s="362" customFormat="1" ht="12" customHeight="1">
      <c r="A14" s="427" t="s">
        <v>644</v>
      </c>
      <c r="B14" s="6" t="s">
        <v>140</v>
      </c>
      <c r="C14" s="302"/>
      <c r="D14" s="302"/>
    </row>
    <row r="15" spans="1:4" s="362" customFormat="1" ht="12" customHeight="1">
      <c r="A15" s="427" t="s">
        <v>645</v>
      </c>
      <c r="B15" s="5" t="s">
        <v>141</v>
      </c>
      <c r="C15" s="302"/>
      <c r="D15" s="302"/>
    </row>
    <row r="16" spans="1:4" s="362" customFormat="1" ht="12" customHeight="1">
      <c r="A16" s="427" t="s">
        <v>655</v>
      </c>
      <c r="B16" s="6" t="s">
        <v>838</v>
      </c>
      <c r="C16" s="352"/>
      <c r="D16" s="352"/>
    </row>
    <row r="17" spans="1:4" s="436" customFormat="1" ht="12" customHeight="1">
      <c r="A17" s="427" t="s">
        <v>656</v>
      </c>
      <c r="B17" s="6" t="s">
        <v>839</v>
      </c>
      <c r="C17" s="302"/>
      <c r="D17" s="302"/>
    </row>
    <row r="18" spans="1:4" s="436" customFormat="1" ht="12" customHeight="1" thickBot="1">
      <c r="A18" s="427" t="s">
        <v>657</v>
      </c>
      <c r="B18" s="5" t="s">
        <v>840</v>
      </c>
      <c r="C18" s="303"/>
      <c r="D18" s="303"/>
    </row>
    <row r="19" spans="1:4" s="362" customFormat="1" ht="12" customHeight="1" thickBot="1">
      <c r="A19" s="188" t="s">
        <v>556</v>
      </c>
      <c r="B19" s="226" t="s">
        <v>142</v>
      </c>
      <c r="C19" s="304">
        <f>SUM(C20:C22)</f>
        <v>0</v>
      </c>
      <c r="D19" s="304">
        <f>SUM(D20:D22)</f>
        <v>0</v>
      </c>
    </row>
    <row r="20" spans="1:4" s="436" customFormat="1" ht="12" customHeight="1">
      <c r="A20" s="427" t="s">
        <v>646</v>
      </c>
      <c r="B20" s="7" t="s">
        <v>806</v>
      </c>
      <c r="C20" s="302"/>
      <c r="D20" s="302"/>
    </row>
    <row r="21" spans="1:4" s="436" customFormat="1" ht="12" customHeight="1">
      <c r="A21" s="427" t="s">
        <v>647</v>
      </c>
      <c r="B21" s="6" t="s">
        <v>143</v>
      </c>
      <c r="C21" s="302"/>
      <c r="D21" s="302"/>
    </row>
    <row r="22" spans="1:4" s="436" customFormat="1" ht="12" customHeight="1">
      <c r="A22" s="427" t="s">
        <v>648</v>
      </c>
      <c r="B22" s="6" t="s">
        <v>144</v>
      </c>
      <c r="C22" s="302"/>
      <c r="D22" s="302"/>
    </row>
    <row r="23" spans="1:4" s="436" customFormat="1" ht="12" customHeight="1" thickBot="1">
      <c r="A23" s="427" t="s">
        <v>649</v>
      </c>
      <c r="B23" s="6" t="s">
        <v>538</v>
      </c>
      <c r="C23" s="302"/>
      <c r="D23" s="302"/>
    </row>
    <row r="24" spans="1:4" s="436" customFormat="1" ht="12" customHeight="1" thickBot="1">
      <c r="A24" s="196" t="s">
        <v>557</v>
      </c>
      <c r="B24" s="121" t="s">
        <v>710</v>
      </c>
      <c r="C24" s="331"/>
      <c r="D24" s="331"/>
    </row>
    <row r="25" spans="1:4" s="436" customFormat="1" ht="12" customHeight="1" thickBot="1">
      <c r="A25" s="196" t="s">
        <v>558</v>
      </c>
      <c r="B25" s="121" t="s">
        <v>145</v>
      </c>
      <c r="C25" s="304">
        <f>+C26+C27</f>
        <v>0</v>
      </c>
      <c r="D25" s="304">
        <f>+D26+D27</f>
        <v>0</v>
      </c>
    </row>
    <row r="26" spans="1:4" s="436" customFormat="1" ht="12" customHeight="1">
      <c r="A26" s="428" t="s">
        <v>816</v>
      </c>
      <c r="B26" s="429" t="s">
        <v>143</v>
      </c>
      <c r="C26" s="76"/>
      <c r="D26" s="76"/>
    </row>
    <row r="27" spans="1:4" s="436" customFormat="1" ht="12" customHeight="1">
      <c r="A27" s="428" t="s">
        <v>819</v>
      </c>
      <c r="B27" s="430" t="s">
        <v>146</v>
      </c>
      <c r="C27" s="305"/>
      <c r="D27" s="305"/>
    </row>
    <row r="28" spans="1:4" s="436" customFormat="1" ht="12" customHeight="1" thickBot="1">
      <c r="A28" s="427" t="s">
        <v>820</v>
      </c>
      <c r="B28" s="431" t="s">
        <v>147</v>
      </c>
      <c r="C28" s="83"/>
      <c r="D28" s="83"/>
    </row>
    <row r="29" spans="1:4" s="436" customFormat="1" ht="12" customHeight="1" thickBot="1">
      <c r="A29" s="196" t="s">
        <v>559</v>
      </c>
      <c r="B29" s="121" t="s">
        <v>148</v>
      </c>
      <c r="C29" s="304">
        <f>+C30+C31+C32</f>
        <v>0</v>
      </c>
      <c r="D29" s="304">
        <f>+D30+D31+D32</f>
        <v>0</v>
      </c>
    </row>
    <row r="30" spans="1:4" s="436" customFormat="1" ht="12" customHeight="1">
      <c r="A30" s="428" t="s">
        <v>633</v>
      </c>
      <c r="B30" s="429" t="s">
        <v>845</v>
      </c>
      <c r="C30" s="76"/>
      <c r="D30" s="76"/>
    </row>
    <row r="31" spans="1:4" s="436" customFormat="1" ht="12" customHeight="1">
      <c r="A31" s="428" t="s">
        <v>634</v>
      </c>
      <c r="B31" s="430" t="s">
        <v>846</v>
      </c>
      <c r="C31" s="305"/>
      <c r="D31" s="305"/>
    </row>
    <row r="32" spans="1:4" s="436" customFormat="1" ht="12" customHeight="1" thickBot="1">
      <c r="A32" s="427" t="s">
        <v>635</v>
      </c>
      <c r="B32" s="129" t="s">
        <v>847</v>
      </c>
      <c r="C32" s="83"/>
      <c r="D32" s="83"/>
    </row>
    <row r="33" spans="1:4" s="362" customFormat="1" ht="12" customHeight="1" thickBot="1">
      <c r="A33" s="196" t="s">
        <v>560</v>
      </c>
      <c r="B33" s="121" t="s">
        <v>104</v>
      </c>
      <c r="C33" s="331"/>
      <c r="D33" s="331"/>
    </row>
    <row r="34" spans="1:4" s="362" customFormat="1" ht="12" customHeight="1" thickBot="1">
      <c r="A34" s="196" t="s">
        <v>561</v>
      </c>
      <c r="B34" s="121" t="s">
        <v>149</v>
      </c>
      <c r="C34" s="353"/>
      <c r="D34" s="353"/>
    </row>
    <row r="35" spans="1:4" s="362" customFormat="1" ht="12" customHeight="1" thickBot="1">
      <c r="A35" s="188" t="s">
        <v>562</v>
      </c>
      <c r="B35" s="121" t="s">
        <v>150</v>
      </c>
      <c r="C35" s="354">
        <f>+C8+C19+C24+C25+C29+C33+C34</f>
        <v>0</v>
      </c>
      <c r="D35" s="354">
        <f>+D8+D19+D24+D25+D29+D33+D34</f>
        <v>0</v>
      </c>
    </row>
    <row r="36" spans="1:4" s="362" customFormat="1" ht="12" customHeight="1" thickBot="1">
      <c r="A36" s="227" t="s">
        <v>563</v>
      </c>
      <c r="B36" s="121" t="s">
        <v>151</v>
      </c>
      <c r="C36" s="354">
        <f>+C37+C38+C39</f>
        <v>0</v>
      </c>
      <c r="D36" s="354">
        <f>+D37+D38+D39</f>
        <v>0</v>
      </c>
    </row>
    <row r="37" spans="1:4" s="362" customFormat="1" ht="12" customHeight="1">
      <c r="A37" s="428" t="s">
        <v>152</v>
      </c>
      <c r="B37" s="429" t="s">
        <v>779</v>
      </c>
      <c r="C37" s="76"/>
      <c r="D37" s="76"/>
    </row>
    <row r="38" spans="1:4" s="362" customFormat="1" ht="12" customHeight="1">
      <c r="A38" s="428" t="s">
        <v>153</v>
      </c>
      <c r="B38" s="430" t="s">
        <v>539</v>
      </c>
      <c r="C38" s="305"/>
      <c r="D38" s="305"/>
    </row>
    <row r="39" spans="1:4" s="436" customFormat="1" ht="12" customHeight="1" thickBot="1">
      <c r="A39" s="427" t="s">
        <v>154</v>
      </c>
      <c r="B39" s="129" t="s">
        <v>155</v>
      </c>
      <c r="C39" s="83"/>
      <c r="D39" s="83"/>
    </row>
    <row r="40" spans="1:4" s="436" customFormat="1" ht="15" customHeight="1" thickBot="1">
      <c r="A40" s="227" t="s">
        <v>564</v>
      </c>
      <c r="B40" s="228" t="s">
        <v>156</v>
      </c>
      <c r="C40" s="357">
        <f>+C35+C36</f>
        <v>0</v>
      </c>
      <c r="D40" s="357">
        <f>+D35+D36</f>
        <v>0</v>
      </c>
    </row>
    <row r="41" spans="1:4" s="436" customFormat="1" ht="15" customHeight="1">
      <c r="A41" s="229"/>
      <c r="B41" s="230"/>
      <c r="C41" s="355"/>
      <c r="D41" s="355"/>
    </row>
    <row r="42" spans="1:4" ht="13.5" thickBot="1">
      <c r="A42" s="231"/>
      <c r="B42" s="232"/>
      <c r="C42" s="356"/>
      <c r="D42" s="356"/>
    </row>
    <row r="43" spans="1:4" s="435" customFormat="1" ht="16.5" customHeight="1" thickBot="1">
      <c r="A43" s="233"/>
      <c r="B43" s="234" t="s">
        <v>595</v>
      </c>
      <c r="C43" s="357"/>
      <c r="D43" s="357"/>
    </row>
    <row r="44" spans="1:4" s="437" customFormat="1" ht="12" customHeight="1" thickBot="1">
      <c r="A44" s="196" t="s">
        <v>555</v>
      </c>
      <c r="B44" s="121" t="s">
        <v>157</v>
      </c>
      <c r="C44" s="304">
        <f>SUM(C45:C49)</f>
        <v>0</v>
      </c>
      <c r="D44" s="304">
        <f>SUM(D45:D49)</f>
        <v>0</v>
      </c>
    </row>
    <row r="45" spans="1:4" ht="12" customHeight="1">
      <c r="A45" s="427" t="s">
        <v>640</v>
      </c>
      <c r="B45" s="7" t="s">
        <v>585</v>
      </c>
      <c r="C45" s="76"/>
      <c r="D45" s="76"/>
    </row>
    <row r="46" spans="1:4" ht="12" customHeight="1">
      <c r="A46" s="427" t="s">
        <v>641</v>
      </c>
      <c r="B46" s="6" t="s">
        <v>719</v>
      </c>
      <c r="C46" s="79"/>
      <c r="D46" s="79"/>
    </row>
    <row r="47" spans="1:4" ht="12" customHeight="1">
      <c r="A47" s="427" t="s">
        <v>642</v>
      </c>
      <c r="B47" s="6" t="s">
        <v>678</v>
      </c>
      <c r="C47" s="79"/>
      <c r="D47" s="79"/>
    </row>
    <row r="48" spans="1:4" ht="12" customHeight="1">
      <c r="A48" s="427" t="s">
        <v>643</v>
      </c>
      <c r="B48" s="6" t="s">
        <v>720</v>
      </c>
      <c r="C48" s="79"/>
      <c r="D48" s="79"/>
    </row>
    <row r="49" spans="1:4" ht="12" customHeight="1" thickBot="1">
      <c r="A49" s="427" t="s">
        <v>686</v>
      </c>
      <c r="B49" s="6" t="s">
        <v>721</v>
      </c>
      <c r="C49" s="79"/>
      <c r="D49" s="79"/>
    </row>
    <row r="50" spans="1:4" ht="12" customHeight="1" thickBot="1">
      <c r="A50" s="196" t="s">
        <v>556</v>
      </c>
      <c r="B50" s="121" t="s">
        <v>158</v>
      </c>
      <c r="C50" s="304">
        <f>SUM(C51:C53)</f>
        <v>0</v>
      </c>
      <c r="D50" s="304">
        <f>SUM(D51:D53)</f>
        <v>0</v>
      </c>
    </row>
    <row r="51" spans="1:4" s="437" customFormat="1" ht="12" customHeight="1">
      <c r="A51" s="427" t="s">
        <v>646</v>
      </c>
      <c r="B51" s="7" t="s">
        <v>769</v>
      </c>
      <c r="C51" s="76"/>
      <c r="D51" s="76"/>
    </row>
    <row r="52" spans="1:4" ht="12" customHeight="1">
      <c r="A52" s="427" t="s">
        <v>647</v>
      </c>
      <c r="B52" s="6" t="s">
        <v>723</v>
      </c>
      <c r="C52" s="79"/>
      <c r="D52" s="79"/>
    </row>
    <row r="53" spans="1:4" ht="12" customHeight="1">
      <c r="A53" s="427" t="s">
        <v>648</v>
      </c>
      <c r="B53" s="6" t="s">
        <v>596</v>
      </c>
      <c r="C53" s="79"/>
      <c r="D53" s="79"/>
    </row>
    <row r="54" spans="1:4" ht="12" customHeight="1" thickBot="1">
      <c r="A54" s="427" t="s">
        <v>649</v>
      </c>
      <c r="B54" s="6" t="s">
        <v>540</v>
      </c>
      <c r="C54" s="79"/>
      <c r="D54" s="79"/>
    </row>
    <row r="55" spans="1:4" ht="15" customHeight="1" thickBot="1">
      <c r="A55" s="196" t="s">
        <v>557</v>
      </c>
      <c r="B55" s="235" t="s">
        <v>164</v>
      </c>
      <c r="C55" s="358">
        <f>+C44+C50</f>
        <v>0</v>
      </c>
      <c r="D55" s="358">
        <f>+D44+D50</f>
        <v>0</v>
      </c>
    </row>
    <row r="56" spans="3:4" ht="13.5" thickBot="1">
      <c r="C56" s="359"/>
      <c r="D56" s="359"/>
    </row>
    <row r="57" spans="1:4" ht="15" customHeight="1" thickBot="1">
      <c r="A57" s="238" t="s">
        <v>742</v>
      </c>
      <c r="B57" s="239"/>
      <c r="C57" s="118"/>
      <c r="D57" s="118"/>
    </row>
    <row r="58" spans="1:4" ht="14.25" customHeight="1" thickBot="1">
      <c r="A58" s="238" t="s">
        <v>743</v>
      </c>
      <c r="B58" s="239"/>
      <c r="C58" s="118"/>
      <c r="D5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D58"/>
  <sheetViews>
    <sheetView view="pageBreakPreview" zoomScale="60" workbookViewId="0" topLeftCell="A1">
      <selection activeCell="D1" sqref="D1"/>
    </sheetView>
  </sheetViews>
  <sheetFormatPr defaultColWidth="9.00390625" defaultRowHeight="12.75"/>
  <cols>
    <col min="1" max="1" width="13.875" style="236" customWidth="1"/>
    <col min="2" max="2" width="79.125" style="237" customWidth="1"/>
    <col min="3" max="4" width="25.875" style="237" customWidth="1"/>
    <col min="5" max="16384" width="9.375" style="237" customWidth="1"/>
  </cols>
  <sheetData>
    <row r="1" spans="1:4" s="216" customFormat="1" ht="21" customHeight="1" thickBot="1">
      <c r="A1" s="215"/>
      <c r="B1" s="217"/>
      <c r="C1" s="217"/>
      <c r="D1" s="432" t="s">
        <v>162</v>
      </c>
    </row>
    <row r="2" spans="1:4" s="433" customFormat="1" ht="25.5" customHeight="1">
      <c r="A2" s="385" t="s">
        <v>740</v>
      </c>
      <c r="B2" s="345" t="s">
        <v>188</v>
      </c>
      <c r="C2" s="1071"/>
      <c r="D2" s="360" t="s">
        <v>600</v>
      </c>
    </row>
    <row r="3" spans="1:4" s="433" customFormat="1" ht="24.75" thickBot="1">
      <c r="A3" s="425" t="s">
        <v>739</v>
      </c>
      <c r="B3" s="346" t="s">
        <v>168</v>
      </c>
      <c r="C3" s="1072"/>
      <c r="D3" s="1105" t="s">
        <v>182</v>
      </c>
    </row>
    <row r="4" spans="1:4" s="434" customFormat="1" ht="15.75" customHeight="1" thickBot="1">
      <c r="A4" s="219"/>
      <c r="B4" s="219"/>
      <c r="C4" s="219"/>
      <c r="D4" s="220" t="s">
        <v>590</v>
      </c>
    </row>
    <row r="5" spans="1:4" ht="13.5" thickBot="1">
      <c r="A5" s="386" t="s">
        <v>741</v>
      </c>
      <c r="B5" s="221" t="s">
        <v>591</v>
      </c>
      <c r="C5" s="222" t="s">
        <v>592</v>
      </c>
      <c r="D5" s="222" t="s">
        <v>886</v>
      </c>
    </row>
    <row r="6" spans="1:4" s="435" customFormat="1" ht="12.75" customHeight="1" thickBot="1">
      <c r="A6" s="188">
        <v>1</v>
      </c>
      <c r="B6" s="189">
        <v>2</v>
      </c>
      <c r="C6" s="190">
        <v>3</v>
      </c>
      <c r="D6" s="190">
        <v>4</v>
      </c>
    </row>
    <row r="7" spans="1:4" s="435" customFormat="1" ht="15.75" customHeight="1" thickBot="1">
      <c r="A7" s="223"/>
      <c r="B7" s="224" t="s">
        <v>593</v>
      </c>
      <c r="C7" s="224"/>
      <c r="D7" s="225"/>
    </row>
    <row r="8" spans="1:4" s="362" customFormat="1" ht="12" customHeight="1" thickBot="1">
      <c r="A8" s="188" t="s">
        <v>555</v>
      </c>
      <c r="B8" s="226" t="s">
        <v>139</v>
      </c>
      <c r="C8" s="647"/>
      <c r="D8" s="304">
        <f>SUM(D9:D18)</f>
        <v>0</v>
      </c>
    </row>
    <row r="9" spans="1:4" s="362" customFormat="1" ht="12" customHeight="1">
      <c r="A9" s="426" t="s">
        <v>640</v>
      </c>
      <c r="B9" s="8" t="s">
        <v>831</v>
      </c>
      <c r="C9" s="1074"/>
      <c r="D9" s="351"/>
    </row>
    <row r="10" spans="1:4" s="362" customFormat="1" ht="12" customHeight="1">
      <c r="A10" s="427" t="s">
        <v>641</v>
      </c>
      <c r="B10" s="6" t="s">
        <v>832</v>
      </c>
      <c r="C10" s="1075"/>
      <c r="D10" s="302"/>
    </row>
    <row r="11" spans="1:4" s="362" customFormat="1" ht="12" customHeight="1">
      <c r="A11" s="427" t="s">
        <v>642</v>
      </c>
      <c r="B11" s="6" t="s">
        <v>833</v>
      </c>
      <c r="C11" s="1075"/>
      <c r="D11" s="302"/>
    </row>
    <row r="12" spans="1:4" s="362" customFormat="1" ht="12" customHeight="1">
      <c r="A12" s="427" t="s">
        <v>643</v>
      </c>
      <c r="B12" s="6" t="s">
        <v>834</v>
      </c>
      <c r="C12" s="1075"/>
      <c r="D12" s="302"/>
    </row>
    <row r="13" spans="1:4" s="362" customFormat="1" ht="12" customHeight="1">
      <c r="A13" s="427" t="s">
        <v>686</v>
      </c>
      <c r="B13" s="6" t="s">
        <v>835</v>
      </c>
      <c r="C13" s="1075"/>
      <c r="D13" s="302"/>
    </row>
    <row r="14" spans="1:4" s="362" customFormat="1" ht="12" customHeight="1">
      <c r="A14" s="427" t="s">
        <v>644</v>
      </c>
      <c r="B14" s="6" t="s">
        <v>140</v>
      </c>
      <c r="C14" s="1075"/>
      <c r="D14" s="302"/>
    </row>
    <row r="15" spans="1:4" s="362" customFormat="1" ht="12" customHeight="1">
      <c r="A15" s="427" t="s">
        <v>645</v>
      </c>
      <c r="B15" s="5" t="s">
        <v>141</v>
      </c>
      <c r="C15" s="1076"/>
      <c r="D15" s="302"/>
    </row>
    <row r="16" spans="1:4" s="362" customFormat="1" ht="12" customHeight="1">
      <c r="A16" s="427" t="s">
        <v>655</v>
      </c>
      <c r="B16" s="6" t="s">
        <v>838</v>
      </c>
      <c r="C16" s="6"/>
      <c r="D16" s="352"/>
    </row>
    <row r="17" spans="1:4" s="436" customFormat="1" ht="12" customHeight="1">
      <c r="A17" s="427" t="s">
        <v>656</v>
      </c>
      <c r="B17" s="6" t="s">
        <v>839</v>
      </c>
      <c r="C17" s="1075"/>
      <c r="D17" s="302"/>
    </row>
    <row r="18" spans="1:4" s="436" customFormat="1" ht="12" customHeight="1" thickBot="1">
      <c r="A18" s="427" t="s">
        <v>657</v>
      </c>
      <c r="B18" s="5" t="s">
        <v>840</v>
      </c>
      <c r="C18" s="1076"/>
      <c r="D18" s="303"/>
    </row>
    <row r="19" spans="1:4" s="362" customFormat="1" ht="12" customHeight="1" thickBot="1">
      <c r="A19" s="188" t="s">
        <v>556</v>
      </c>
      <c r="B19" s="226" t="s">
        <v>142</v>
      </c>
      <c r="C19" s="647"/>
      <c r="D19" s="304">
        <f>SUM(D20:D22)</f>
        <v>0</v>
      </c>
    </row>
    <row r="20" spans="1:4" s="436" customFormat="1" ht="12" customHeight="1">
      <c r="A20" s="427" t="s">
        <v>646</v>
      </c>
      <c r="B20" s="7" t="s">
        <v>806</v>
      </c>
      <c r="C20" s="1077"/>
      <c r="D20" s="302"/>
    </row>
    <row r="21" spans="1:4" s="436" customFormat="1" ht="12" customHeight="1">
      <c r="A21" s="427" t="s">
        <v>647</v>
      </c>
      <c r="B21" s="6" t="s">
        <v>143</v>
      </c>
      <c r="C21" s="1075"/>
      <c r="D21" s="302"/>
    </row>
    <row r="22" spans="1:4" s="436" customFormat="1" ht="12" customHeight="1">
      <c r="A22" s="427" t="s">
        <v>648</v>
      </c>
      <c r="B22" s="6" t="s">
        <v>144</v>
      </c>
      <c r="C22" s="1075"/>
      <c r="D22" s="302"/>
    </row>
    <row r="23" spans="1:4" s="436" customFormat="1" ht="12" customHeight="1" thickBot="1">
      <c r="A23" s="427" t="s">
        <v>649</v>
      </c>
      <c r="B23" s="6" t="s">
        <v>538</v>
      </c>
      <c r="C23" s="1075"/>
      <c r="D23" s="302"/>
    </row>
    <row r="24" spans="1:4" s="436" customFormat="1" ht="12" customHeight="1" thickBot="1">
      <c r="A24" s="196" t="s">
        <v>557</v>
      </c>
      <c r="B24" s="121" t="s">
        <v>710</v>
      </c>
      <c r="C24" s="1078"/>
      <c r="D24" s="331"/>
    </row>
    <row r="25" spans="1:4" s="436" customFormat="1" ht="12" customHeight="1" thickBot="1">
      <c r="A25" s="196" t="s">
        <v>558</v>
      </c>
      <c r="B25" s="121" t="s">
        <v>145</v>
      </c>
      <c r="C25" s="1078"/>
      <c r="D25" s="304">
        <f>+D26+D27</f>
        <v>0</v>
      </c>
    </row>
    <row r="26" spans="1:4" s="436" customFormat="1" ht="12" customHeight="1">
      <c r="A26" s="428" t="s">
        <v>816</v>
      </c>
      <c r="B26" s="429" t="s">
        <v>143</v>
      </c>
      <c r="C26" s="1079"/>
      <c r="D26" s="76"/>
    </row>
    <row r="27" spans="1:4" s="436" customFormat="1" ht="12" customHeight="1">
      <c r="A27" s="428" t="s">
        <v>819</v>
      </c>
      <c r="B27" s="430" t="s">
        <v>146</v>
      </c>
      <c r="C27" s="1080"/>
      <c r="D27" s="305"/>
    </row>
    <row r="28" spans="1:4" s="436" customFormat="1" ht="12" customHeight="1" thickBot="1">
      <c r="A28" s="427" t="s">
        <v>820</v>
      </c>
      <c r="B28" s="431" t="s">
        <v>147</v>
      </c>
      <c r="C28" s="1104"/>
      <c r="D28" s="83"/>
    </row>
    <row r="29" spans="1:4" s="436" customFormat="1" ht="12" customHeight="1" thickBot="1">
      <c r="A29" s="196" t="s">
        <v>559</v>
      </c>
      <c r="B29" s="121" t="s">
        <v>148</v>
      </c>
      <c r="C29" s="1078"/>
      <c r="D29" s="304">
        <f>+D30+D31+D32</f>
        <v>0</v>
      </c>
    </row>
    <row r="30" spans="1:4" s="436" customFormat="1" ht="12" customHeight="1">
      <c r="A30" s="428" t="s">
        <v>633</v>
      </c>
      <c r="B30" s="429" t="s">
        <v>845</v>
      </c>
      <c r="C30" s="1079"/>
      <c r="D30" s="76"/>
    </row>
    <row r="31" spans="1:4" s="436" customFormat="1" ht="12" customHeight="1">
      <c r="A31" s="428" t="s">
        <v>634</v>
      </c>
      <c r="B31" s="430" t="s">
        <v>846</v>
      </c>
      <c r="C31" s="1080"/>
      <c r="D31" s="305"/>
    </row>
    <row r="32" spans="1:4" s="436" customFormat="1" ht="12" customHeight="1" thickBot="1">
      <c r="A32" s="427" t="s">
        <v>635</v>
      </c>
      <c r="B32" s="129" t="s">
        <v>847</v>
      </c>
      <c r="C32" s="1090"/>
      <c r="D32" s="83"/>
    </row>
    <row r="33" spans="1:4" s="362" customFormat="1" ht="12" customHeight="1" thickBot="1">
      <c r="A33" s="196" t="s">
        <v>560</v>
      </c>
      <c r="B33" s="121" t="s">
        <v>104</v>
      </c>
      <c r="C33" s="1078"/>
      <c r="D33" s="331"/>
    </row>
    <row r="34" spans="1:4" s="362" customFormat="1" ht="12" customHeight="1" thickBot="1">
      <c r="A34" s="196" t="s">
        <v>561</v>
      </c>
      <c r="B34" s="121" t="s">
        <v>149</v>
      </c>
      <c r="C34" s="1083"/>
      <c r="D34" s="331"/>
    </row>
    <row r="35" spans="1:4" s="362" customFormat="1" ht="12" customHeight="1" thickBot="1">
      <c r="A35" s="188" t="s">
        <v>562</v>
      </c>
      <c r="B35" s="121" t="s">
        <v>150</v>
      </c>
      <c r="C35" s="1083"/>
      <c r="D35" s="304">
        <f>+D8+D19+D24+D25+D29+D33+D34</f>
        <v>0</v>
      </c>
    </row>
    <row r="36" spans="1:4" s="362" customFormat="1" ht="12" customHeight="1" thickBot="1">
      <c r="A36" s="227" t="s">
        <v>563</v>
      </c>
      <c r="B36" s="121" t="s">
        <v>151</v>
      </c>
      <c r="C36" s="1083"/>
      <c r="D36" s="304">
        <f>+D37+D38+D39</f>
        <v>0</v>
      </c>
    </row>
    <row r="37" spans="1:4" s="362" customFormat="1" ht="12" customHeight="1">
      <c r="A37" s="428" t="s">
        <v>152</v>
      </c>
      <c r="B37" s="429" t="s">
        <v>779</v>
      </c>
      <c r="C37" s="1079"/>
      <c r="D37" s="76"/>
    </row>
    <row r="38" spans="1:4" s="362" customFormat="1" ht="12" customHeight="1">
      <c r="A38" s="428" t="s">
        <v>153</v>
      </c>
      <c r="B38" s="430" t="s">
        <v>539</v>
      </c>
      <c r="C38" s="1080"/>
      <c r="D38" s="305"/>
    </row>
    <row r="39" spans="1:4" s="436" customFormat="1" ht="12" customHeight="1" thickBot="1">
      <c r="A39" s="427" t="s">
        <v>154</v>
      </c>
      <c r="B39" s="129" t="s">
        <v>155</v>
      </c>
      <c r="C39" s="1090"/>
      <c r="D39" s="83"/>
    </row>
    <row r="40" spans="1:4" s="436" customFormat="1" ht="15" customHeight="1" thickBot="1">
      <c r="A40" s="227" t="s">
        <v>564</v>
      </c>
      <c r="B40" s="228" t="s">
        <v>156</v>
      </c>
      <c r="C40" s="1084"/>
      <c r="D40" s="357">
        <f>+D35+D36</f>
        <v>0</v>
      </c>
    </row>
    <row r="41" spans="1:4" s="436" customFormat="1" ht="15" customHeight="1">
      <c r="A41" s="229"/>
      <c r="B41" s="230"/>
      <c r="C41" s="230"/>
      <c r="D41" s="355"/>
    </row>
    <row r="42" spans="1:4" ht="13.5" thickBot="1">
      <c r="A42" s="231"/>
      <c r="B42" s="232"/>
      <c r="C42" s="232"/>
      <c r="D42" s="356"/>
    </row>
    <row r="43" spans="1:4" s="435" customFormat="1" ht="16.5" customHeight="1" thickBot="1">
      <c r="A43" s="233"/>
      <c r="B43" s="234" t="s">
        <v>595</v>
      </c>
      <c r="C43" s="234"/>
      <c r="D43" s="357"/>
    </row>
    <row r="44" spans="1:4" s="437" customFormat="1" ht="12" customHeight="1" thickBot="1">
      <c r="A44" s="196" t="s">
        <v>555</v>
      </c>
      <c r="B44" s="121" t="s">
        <v>157</v>
      </c>
      <c r="C44" s="1078"/>
      <c r="D44" s="304">
        <f>SUM(D45:D49)</f>
        <v>0</v>
      </c>
    </row>
    <row r="45" spans="1:4" ht="12" customHeight="1">
      <c r="A45" s="427" t="s">
        <v>640</v>
      </c>
      <c r="B45" s="7" t="s">
        <v>585</v>
      </c>
      <c r="C45" s="1077"/>
      <c r="D45" s="76"/>
    </row>
    <row r="46" spans="1:4" ht="12" customHeight="1">
      <c r="A46" s="427" t="s">
        <v>641</v>
      </c>
      <c r="B46" s="6" t="s">
        <v>719</v>
      </c>
      <c r="C46" s="1075"/>
      <c r="D46" s="79"/>
    </row>
    <row r="47" spans="1:4" ht="12" customHeight="1">
      <c r="A47" s="427" t="s">
        <v>642</v>
      </c>
      <c r="B47" s="6" t="s">
        <v>678</v>
      </c>
      <c r="C47" s="1075"/>
      <c r="D47" s="79"/>
    </row>
    <row r="48" spans="1:4" ht="12" customHeight="1">
      <c r="A48" s="427" t="s">
        <v>643</v>
      </c>
      <c r="B48" s="6" t="s">
        <v>720</v>
      </c>
      <c r="C48" s="1075"/>
      <c r="D48" s="79"/>
    </row>
    <row r="49" spans="1:4" ht="12" customHeight="1" thickBot="1">
      <c r="A49" s="427" t="s">
        <v>686</v>
      </c>
      <c r="B49" s="6" t="s">
        <v>721</v>
      </c>
      <c r="C49" s="1075"/>
      <c r="D49" s="79"/>
    </row>
    <row r="50" spans="1:4" ht="12" customHeight="1" thickBot="1">
      <c r="A50" s="196" t="s">
        <v>556</v>
      </c>
      <c r="B50" s="121" t="s">
        <v>158</v>
      </c>
      <c r="C50" s="1078"/>
      <c r="D50" s="304">
        <f>SUM(D51:D53)</f>
        <v>0</v>
      </c>
    </row>
    <row r="51" spans="1:4" s="437" customFormat="1" ht="12" customHeight="1">
      <c r="A51" s="427" t="s">
        <v>646</v>
      </c>
      <c r="B51" s="7" t="s">
        <v>769</v>
      </c>
      <c r="C51" s="1077"/>
      <c r="D51" s="76"/>
    </row>
    <row r="52" spans="1:4" ht="12" customHeight="1">
      <c r="A52" s="427" t="s">
        <v>647</v>
      </c>
      <c r="B52" s="6" t="s">
        <v>723</v>
      </c>
      <c r="C52" s="1075"/>
      <c r="D52" s="79"/>
    </row>
    <row r="53" spans="1:4" ht="12" customHeight="1">
      <c r="A53" s="427" t="s">
        <v>648</v>
      </c>
      <c r="B53" s="6" t="s">
        <v>596</v>
      </c>
      <c r="C53" s="1075"/>
      <c r="D53" s="79"/>
    </row>
    <row r="54" spans="1:4" ht="12" customHeight="1" thickBot="1">
      <c r="A54" s="427" t="s">
        <v>649</v>
      </c>
      <c r="B54" s="6" t="s">
        <v>540</v>
      </c>
      <c r="C54" s="1075"/>
      <c r="D54" s="79"/>
    </row>
    <row r="55" spans="1:4" ht="15" customHeight="1" thickBot="1">
      <c r="A55" s="196" t="s">
        <v>557</v>
      </c>
      <c r="B55" s="235" t="s">
        <v>164</v>
      </c>
      <c r="C55" s="1085"/>
      <c r="D55" s="358">
        <f>+D44+D50</f>
        <v>0</v>
      </c>
    </row>
    <row r="56" ht="13.5" thickBot="1">
      <c r="D56" s="359"/>
    </row>
    <row r="57" spans="1:4" ht="15" customHeight="1" thickBot="1">
      <c r="A57" s="238" t="s">
        <v>742</v>
      </c>
      <c r="B57" s="239"/>
      <c r="C57" s="1086"/>
      <c r="D57" s="118"/>
    </row>
    <row r="58" spans="1:4" ht="14.25" customHeight="1" thickBot="1">
      <c r="A58" s="238" t="s">
        <v>743</v>
      </c>
      <c r="B58" s="239"/>
      <c r="C58" s="1086"/>
      <c r="D5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G59"/>
  <sheetViews>
    <sheetView zoomScalePageLayoutView="0" workbookViewId="0" topLeftCell="B34">
      <selection activeCell="B59" sqref="B59"/>
    </sheetView>
  </sheetViews>
  <sheetFormatPr defaultColWidth="9.00390625" defaultRowHeight="12.75"/>
  <cols>
    <col min="1" max="1" width="17.875" style="0" customWidth="1"/>
    <col min="2" max="2" width="64.625" style="0" customWidth="1"/>
    <col min="3" max="3" width="20.875" style="0" customWidth="1"/>
    <col min="4" max="4" width="21.00390625" style="0" customWidth="1"/>
    <col min="5" max="7" width="20.625" style="0" customWidth="1"/>
  </cols>
  <sheetData>
    <row r="1" spans="1:7" ht="16.5" thickBot="1">
      <c r="A1" s="215"/>
      <c r="B1" s="217"/>
      <c r="C1" s="217"/>
      <c r="D1" s="432"/>
      <c r="E1" s="432"/>
      <c r="F1" s="432"/>
      <c r="G1" s="432" t="s">
        <v>905</v>
      </c>
    </row>
    <row r="2" spans="1:7" ht="26.25" customHeight="1">
      <c r="A2" s="385" t="s">
        <v>740</v>
      </c>
      <c r="B2" s="345" t="s">
        <v>189</v>
      </c>
      <c r="C2" s="1071"/>
      <c r="D2" s="360"/>
      <c r="E2" s="360"/>
      <c r="F2" s="360"/>
      <c r="G2" s="360" t="s">
        <v>182</v>
      </c>
    </row>
    <row r="3" spans="1:7" ht="29.25" customHeight="1" thickBot="1">
      <c r="A3" s="425" t="s">
        <v>739</v>
      </c>
      <c r="B3" s="346" t="s">
        <v>138</v>
      </c>
      <c r="C3" s="1072"/>
      <c r="D3" s="361"/>
      <c r="E3" s="361"/>
      <c r="F3" s="361"/>
      <c r="G3" s="361" t="s">
        <v>589</v>
      </c>
    </row>
    <row r="4" spans="1:7" ht="14.25" thickBot="1">
      <c r="A4" s="219"/>
      <c r="B4" s="219"/>
      <c r="C4" s="219"/>
      <c r="D4" s="220"/>
      <c r="E4" s="220" t="s">
        <v>590</v>
      </c>
      <c r="F4" s="220"/>
      <c r="G4" s="220"/>
    </row>
    <row r="5" spans="1:7" ht="43.5" customHeight="1" thickBot="1">
      <c r="A5" s="386" t="s">
        <v>741</v>
      </c>
      <c r="B5" s="221" t="s">
        <v>591</v>
      </c>
      <c r="C5" s="222" t="s">
        <v>592</v>
      </c>
      <c r="D5" s="222" t="s">
        <v>886</v>
      </c>
      <c r="E5" s="222" t="s">
        <v>908</v>
      </c>
      <c r="F5" s="222" t="s">
        <v>913</v>
      </c>
      <c r="G5" s="222" t="s">
        <v>8</v>
      </c>
    </row>
    <row r="6" spans="1:7" ht="13.5" thickBot="1">
      <c r="A6" s="188">
        <v>1</v>
      </c>
      <c r="B6" s="189">
        <v>2</v>
      </c>
      <c r="C6" s="1073">
        <v>3</v>
      </c>
      <c r="D6" s="190">
        <v>4</v>
      </c>
      <c r="E6" s="190">
        <v>5</v>
      </c>
      <c r="F6" s="190">
        <v>6</v>
      </c>
      <c r="G6" s="190">
        <v>7</v>
      </c>
    </row>
    <row r="7" spans="1:7" ht="13.5" thickBot="1">
      <c r="A7" s="223"/>
      <c r="B7" s="224" t="s">
        <v>593</v>
      </c>
      <c r="C7" s="224"/>
      <c r="D7" s="225"/>
      <c r="E7" s="225"/>
      <c r="F7" s="225"/>
      <c r="G7" s="225"/>
    </row>
    <row r="8" spans="1:7" ht="18" customHeight="1" thickBot="1">
      <c r="A8" s="188" t="s">
        <v>555</v>
      </c>
      <c r="B8" s="647" t="s">
        <v>139</v>
      </c>
      <c r="C8" s="648">
        <f>SUM(C9:C18)</f>
        <v>76745</v>
      </c>
      <c r="D8" s="648">
        <f>D13+D18</f>
        <v>76745</v>
      </c>
      <c r="E8" s="648">
        <f>E13+E18</f>
        <v>76745</v>
      </c>
      <c r="F8" s="648">
        <f>F13+F18</f>
        <v>76745000</v>
      </c>
      <c r="G8" s="648">
        <f>G13+G18</f>
        <v>76745000</v>
      </c>
    </row>
    <row r="9" spans="1:7" ht="17.25" customHeight="1">
      <c r="A9" s="426" t="s">
        <v>640</v>
      </c>
      <c r="B9" s="8" t="s">
        <v>831</v>
      </c>
      <c r="C9" s="295">
        <f>'9.4.1.melléklet'!C9+'9.4.2.melléklet'!C9+'9.4.3.melléklet'!C9</f>
        <v>0</v>
      </c>
      <c r="D9" s="295">
        <f>'9.4.1.melléklet'!D9+'9.4.2.melléklet'!D9+'9.4.3.melléklet'!D9</f>
        <v>0</v>
      </c>
      <c r="E9" s="295">
        <f>'9.4.1.melléklet'!E9+'9.4.2.melléklet'!E9+'9.4.3.melléklet'!E9</f>
        <v>0</v>
      </c>
      <c r="F9" s="295">
        <f>'9.4.1.melléklet'!F9+'9.4.2.melléklet'!F9+'9.4.3.melléklet'!F9</f>
        <v>0</v>
      </c>
      <c r="G9" s="295">
        <f>'9.4.1.melléklet'!G9+'9.4.2.melléklet'!G9+'9.4.3.melléklet'!G9</f>
        <v>0</v>
      </c>
    </row>
    <row r="10" spans="1:7" ht="13.5" customHeight="1">
      <c r="A10" s="427" t="s">
        <v>641</v>
      </c>
      <c r="B10" s="6" t="s">
        <v>832</v>
      </c>
      <c r="C10" s="296">
        <f>'9.4.1.melléklet'!C10+'9.4.2.melléklet'!C10+'9.4.3.melléklet'!C10</f>
        <v>0</v>
      </c>
      <c r="D10" s="296">
        <f>'9.4.1.melléklet'!D10+'9.4.2.melléklet'!D10+'9.4.3.melléklet'!D10</f>
        <v>0</v>
      </c>
      <c r="E10" s="296">
        <f>'9.4.1.melléklet'!E10+'9.4.2.melléklet'!E10+'9.4.3.melléklet'!E10</f>
        <v>0</v>
      </c>
      <c r="F10" s="296">
        <f>'9.4.1.melléklet'!F10+'9.4.2.melléklet'!F10+'9.4.3.melléklet'!F10</f>
        <v>0</v>
      </c>
      <c r="G10" s="296">
        <f>'9.4.1.melléklet'!G10+'9.4.2.melléklet'!G10+'9.4.3.melléklet'!G10</f>
        <v>0</v>
      </c>
    </row>
    <row r="11" spans="1:7" ht="11.25" customHeight="1">
      <c r="A11" s="427" t="s">
        <v>642</v>
      </c>
      <c r="B11" s="6" t="s">
        <v>833</v>
      </c>
      <c r="C11" s="296">
        <f>'9.4.1.melléklet'!C11+'9.4.2.melléklet'!C11+'9.4.3.melléklet'!C11</f>
        <v>0</v>
      </c>
      <c r="D11" s="296">
        <f>'9.4.1.melléklet'!D11+'9.4.2.melléklet'!D11+'9.4.3.melléklet'!D11</f>
        <v>0</v>
      </c>
      <c r="E11" s="296">
        <f>'9.4.1.melléklet'!E11+'9.4.2.melléklet'!E11+'9.4.3.melléklet'!E11</f>
        <v>0</v>
      </c>
      <c r="F11" s="296">
        <f>'9.4.1.melléklet'!F11+'9.4.2.melléklet'!F11+'9.4.3.melléklet'!F11</f>
        <v>0</v>
      </c>
      <c r="G11" s="296">
        <f>'9.4.1.melléklet'!G11+'9.4.2.melléklet'!G11+'9.4.3.melléklet'!G11</f>
        <v>0</v>
      </c>
    </row>
    <row r="12" spans="1:7" ht="10.5" customHeight="1">
      <c r="A12" s="427" t="s">
        <v>643</v>
      </c>
      <c r="B12" s="6" t="s">
        <v>834</v>
      </c>
      <c r="C12" s="296">
        <f>'9.4.1.melléklet'!C12+'9.4.2.melléklet'!C12+'9.4.3.melléklet'!C12</f>
        <v>0</v>
      </c>
      <c r="D12" s="296">
        <f>'9.4.1.melléklet'!D12+'9.4.2.melléklet'!D12+'9.4.3.melléklet'!D12</f>
        <v>0</v>
      </c>
      <c r="E12" s="296">
        <f>'9.4.1.melléklet'!E12+'9.4.2.melléklet'!E12+'9.4.3.melléklet'!E12</f>
        <v>0</v>
      </c>
      <c r="F12" s="296">
        <f>'9.4.1.melléklet'!F12+'9.4.2.melléklet'!F12+'9.4.3.melléklet'!F12</f>
        <v>0</v>
      </c>
      <c r="G12" s="296">
        <f>'9.4.1.melléklet'!G12+'9.4.2.melléklet'!G12+'9.4.3.melléklet'!G12</f>
        <v>0</v>
      </c>
    </row>
    <row r="13" spans="1:7" ht="15" customHeight="1">
      <c r="A13" s="427" t="s">
        <v>686</v>
      </c>
      <c r="B13" s="6" t="s">
        <v>835</v>
      </c>
      <c r="C13" s="296">
        <f>'[9]Munka1'!$B$7</f>
        <v>71745</v>
      </c>
      <c r="D13" s="296">
        <f>'[9]Munka1'!$B$7</f>
        <v>71745</v>
      </c>
      <c r="E13" s="296">
        <f>'[9]Munka1'!$B$7</f>
        <v>71745</v>
      </c>
      <c r="F13" s="296">
        <v>71745000</v>
      </c>
      <c r="G13" s="296">
        <v>71745000</v>
      </c>
    </row>
    <row r="14" spans="1:7" ht="14.25" customHeight="1">
      <c r="A14" s="427" t="s">
        <v>644</v>
      </c>
      <c r="B14" s="6" t="s">
        <v>140</v>
      </c>
      <c r="C14" s="296">
        <f>'9.4.1.melléklet'!C14+'9.4.2.melléklet'!C14+'9.4.3.melléklet'!C14</f>
        <v>0</v>
      </c>
      <c r="D14" s="296">
        <f>'9.4.1.melléklet'!D14+'9.4.2.melléklet'!D14+'9.4.3.melléklet'!D14</f>
        <v>0</v>
      </c>
      <c r="E14" s="296">
        <f>'9.4.1.melléklet'!E14+'9.4.2.melléklet'!E14+'9.4.3.melléklet'!E14</f>
        <v>0</v>
      </c>
      <c r="F14" s="296">
        <f>'9.4.1.melléklet'!F14+'9.4.2.melléklet'!F14+'9.4.3.melléklet'!F14</f>
        <v>0</v>
      </c>
      <c r="G14" s="296">
        <f>'9.4.1.melléklet'!G14+'9.4.2.melléklet'!G14+'9.4.3.melléklet'!G14</f>
        <v>0</v>
      </c>
    </row>
    <row r="15" spans="1:7" ht="14.25" customHeight="1">
      <c r="A15" s="427" t="s">
        <v>645</v>
      </c>
      <c r="B15" s="5" t="s">
        <v>141</v>
      </c>
      <c r="C15" s="296">
        <f>'9.4.1.melléklet'!C15+'9.4.2.melléklet'!C15+'9.4.3.melléklet'!C15</f>
        <v>0</v>
      </c>
      <c r="D15" s="296">
        <f>'9.4.1.melléklet'!D15+'9.4.2.melléklet'!D15+'9.4.3.melléklet'!D15</f>
        <v>0</v>
      </c>
      <c r="E15" s="296">
        <f>'9.4.1.melléklet'!E15+'9.4.2.melléklet'!E15+'9.4.3.melléklet'!E15</f>
        <v>0</v>
      </c>
      <c r="F15" s="296">
        <f>'9.4.1.melléklet'!F15+'9.4.2.melléklet'!F15+'9.4.3.melléklet'!F15</f>
        <v>0</v>
      </c>
      <c r="G15" s="296">
        <f>'9.4.1.melléklet'!G15+'9.4.2.melléklet'!G15+'9.4.3.melléklet'!G15</f>
        <v>0</v>
      </c>
    </row>
    <row r="16" spans="1:7" ht="15.75" customHeight="1">
      <c r="A16" s="427" t="s">
        <v>655</v>
      </c>
      <c r="B16" s="6" t="s">
        <v>838</v>
      </c>
      <c r="C16" s="296">
        <f>'9.4.1.melléklet'!C16+'9.4.2.melléklet'!C16+'9.4.3.melléklet'!C16</f>
        <v>0</v>
      </c>
      <c r="D16" s="296">
        <f>'9.4.1.melléklet'!D16+'9.4.2.melléklet'!D16+'9.4.3.melléklet'!D16</f>
        <v>0</v>
      </c>
      <c r="E16" s="296">
        <f>'9.4.1.melléklet'!E16+'9.4.2.melléklet'!E16+'9.4.3.melléklet'!E16</f>
        <v>0</v>
      </c>
      <c r="F16" s="296">
        <f>'9.4.1.melléklet'!F16+'9.4.2.melléklet'!F16+'9.4.3.melléklet'!F16</f>
        <v>0</v>
      </c>
      <c r="G16" s="296">
        <f>'9.4.1.melléklet'!G16+'9.4.2.melléklet'!G16+'9.4.3.melléklet'!G16</f>
        <v>0</v>
      </c>
    </row>
    <row r="17" spans="1:7" ht="12.75" customHeight="1">
      <c r="A17" s="427" t="s">
        <v>656</v>
      </c>
      <c r="B17" s="6" t="s">
        <v>839</v>
      </c>
      <c r="C17" s="296">
        <f>'9.4.1.melléklet'!C17+'9.4.2.melléklet'!C17+'9.4.3.melléklet'!C17</f>
        <v>0</v>
      </c>
      <c r="D17" s="296">
        <f>'9.4.1.melléklet'!D17+'9.4.2.melléklet'!D17+'9.4.3.melléklet'!D17</f>
        <v>0</v>
      </c>
      <c r="E17" s="296">
        <f>'9.4.1.melléklet'!E17+'9.4.2.melléklet'!E17+'9.4.3.melléklet'!E17</f>
        <v>0</v>
      </c>
      <c r="F17" s="296">
        <f>'9.4.1.melléklet'!F17+'9.4.2.melléklet'!F17+'9.4.3.melléklet'!F17</f>
        <v>0</v>
      </c>
      <c r="G17" s="296">
        <f>'9.4.1.melléklet'!G17+'9.4.2.melléklet'!G17+'9.4.3.melléklet'!G17</f>
        <v>0</v>
      </c>
    </row>
    <row r="18" spans="1:7" ht="14.25" customHeight="1" thickBot="1">
      <c r="A18" s="427" t="s">
        <v>657</v>
      </c>
      <c r="B18" s="5" t="s">
        <v>840</v>
      </c>
      <c r="C18" s="298">
        <f>'[9]Munka1'!$B$9</f>
        <v>5000</v>
      </c>
      <c r="D18" s="298">
        <f>'[9]Munka1'!$B$9</f>
        <v>5000</v>
      </c>
      <c r="E18" s="298">
        <f>'[9]Munka1'!$B$9</f>
        <v>5000</v>
      </c>
      <c r="F18" s="298">
        <v>5000000</v>
      </c>
      <c r="G18" s="298">
        <v>5000000</v>
      </c>
    </row>
    <row r="19" spans="1:7" ht="12" customHeight="1" thickBot="1">
      <c r="A19" s="188" t="s">
        <v>556</v>
      </c>
      <c r="B19" s="647" t="s">
        <v>142</v>
      </c>
      <c r="C19" s="648">
        <f>SUM(C20:C22)</f>
        <v>0</v>
      </c>
      <c r="D19" s="648">
        <f>SUM(D20:D22)</f>
        <v>0</v>
      </c>
      <c r="E19" s="648">
        <f>SUM(E20:E22)</f>
        <v>0</v>
      </c>
      <c r="F19" s="648">
        <f>SUM(F20:F22)</f>
        <v>0</v>
      </c>
      <c r="G19" s="648">
        <f>SUM(G20:G22)</f>
        <v>0</v>
      </c>
    </row>
    <row r="20" spans="1:7" ht="13.5" customHeight="1">
      <c r="A20" s="427" t="s">
        <v>646</v>
      </c>
      <c r="B20" s="7" t="s">
        <v>806</v>
      </c>
      <c r="C20" s="296">
        <f>'9.4.1.melléklet'!C20+'9.4.2.melléklet'!C20+'9.4.3.melléklet'!C20</f>
        <v>0</v>
      </c>
      <c r="D20" s="296">
        <f>'9.4.1.melléklet'!D20+'9.4.2.melléklet'!D20+'9.4.3.melléklet'!D20</f>
        <v>0</v>
      </c>
      <c r="E20" s="296">
        <f>'9.4.1.melléklet'!E20+'9.4.2.melléklet'!E20+'9.4.3.melléklet'!E20</f>
        <v>0</v>
      </c>
      <c r="F20" s="296">
        <f>'9.4.1.melléklet'!F20+'9.4.2.melléklet'!F20+'9.4.3.melléklet'!F20</f>
        <v>0</v>
      </c>
      <c r="G20" s="296">
        <f>'9.4.1.melléklet'!G20+'9.4.2.melléklet'!G20+'9.4.3.melléklet'!G20</f>
        <v>0</v>
      </c>
    </row>
    <row r="21" spans="1:7" ht="12.75" customHeight="1">
      <c r="A21" s="427" t="s">
        <v>647</v>
      </c>
      <c r="B21" s="6" t="s">
        <v>143</v>
      </c>
      <c r="C21" s="302"/>
      <c r="D21" s="302"/>
      <c r="E21" s="302"/>
      <c r="F21" s="302"/>
      <c r="G21" s="302"/>
    </row>
    <row r="22" spans="1:7" ht="13.5" customHeight="1">
      <c r="A22" s="427" t="s">
        <v>648</v>
      </c>
      <c r="B22" s="6" t="s">
        <v>144</v>
      </c>
      <c r="C22" s="302"/>
      <c r="D22" s="302"/>
      <c r="E22" s="302"/>
      <c r="F22" s="302"/>
      <c r="G22" s="302"/>
    </row>
    <row r="23" spans="1:7" ht="14.25" customHeight="1" thickBot="1">
      <c r="A23" s="427" t="s">
        <v>649</v>
      </c>
      <c r="B23" s="6" t="s">
        <v>538</v>
      </c>
      <c r="C23" s="302"/>
      <c r="D23" s="302"/>
      <c r="E23" s="302"/>
      <c r="F23" s="302"/>
      <c r="G23" s="302"/>
    </row>
    <row r="24" spans="1:7" ht="13.5" customHeight="1" thickBot="1">
      <c r="A24" s="196" t="s">
        <v>557</v>
      </c>
      <c r="B24" s="121" t="s">
        <v>710</v>
      </c>
      <c r="C24" s="331"/>
      <c r="D24" s="331"/>
      <c r="E24" s="331"/>
      <c r="F24" s="331"/>
      <c r="G24" s="331"/>
    </row>
    <row r="25" spans="1:7" ht="12" customHeight="1" thickBot="1">
      <c r="A25" s="196" t="s">
        <v>558</v>
      </c>
      <c r="B25" s="121" t="s">
        <v>145</v>
      </c>
      <c r="C25" s="304">
        <f>+C26+C27</f>
        <v>0</v>
      </c>
      <c r="D25" s="304">
        <f>+D26+D27</f>
        <v>0</v>
      </c>
      <c r="E25" s="304">
        <f>+E26+E27</f>
        <v>0</v>
      </c>
      <c r="F25" s="304">
        <f>+F26+F27</f>
        <v>0</v>
      </c>
      <c r="G25" s="304">
        <f>+G26+G27</f>
        <v>0</v>
      </c>
    </row>
    <row r="26" spans="1:7" ht="12" customHeight="1">
      <c r="A26" s="428" t="s">
        <v>816</v>
      </c>
      <c r="B26" s="429" t="s">
        <v>143</v>
      </c>
      <c r="C26" s="76"/>
      <c r="D26" s="76"/>
      <c r="E26" s="76"/>
      <c r="F26" s="76"/>
      <c r="G26" s="76"/>
    </row>
    <row r="27" spans="1:7" ht="10.5" customHeight="1">
      <c r="A27" s="428" t="s">
        <v>819</v>
      </c>
      <c r="B27" s="430" t="s">
        <v>146</v>
      </c>
      <c r="C27" s="76"/>
      <c r="D27" s="76"/>
      <c r="E27" s="76"/>
      <c r="F27" s="76"/>
      <c r="G27" s="76"/>
    </row>
    <row r="28" spans="1:7" ht="12.75" customHeight="1" thickBot="1">
      <c r="A28" s="427" t="s">
        <v>820</v>
      </c>
      <c r="B28" s="431" t="s">
        <v>147</v>
      </c>
      <c r="C28" s="76"/>
      <c r="D28" s="76"/>
      <c r="E28" s="76"/>
      <c r="F28" s="76"/>
      <c r="G28" s="76"/>
    </row>
    <row r="29" spans="1:7" ht="13.5" customHeight="1" thickBot="1">
      <c r="A29" s="196" t="s">
        <v>559</v>
      </c>
      <c r="B29" s="121" t="s">
        <v>148</v>
      </c>
      <c r="C29" s="304">
        <f>+C30+C31+C32</f>
        <v>0</v>
      </c>
      <c r="D29" s="304">
        <f>+D30+D31+D32</f>
        <v>0</v>
      </c>
      <c r="E29" s="304">
        <f>+E30+E31+E32</f>
        <v>0</v>
      </c>
      <c r="F29" s="304">
        <f>+F30+F31+F32</f>
        <v>0</v>
      </c>
      <c r="G29" s="304">
        <f>+G30+G31+G32</f>
        <v>0</v>
      </c>
    </row>
    <row r="30" spans="1:7" ht="11.25" customHeight="1">
      <c r="A30" s="428" t="s">
        <v>633</v>
      </c>
      <c r="B30" s="429" t="s">
        <v>845</v>
      </c>
      <c r="C30" s="76"/>
      <c r="D30" s="76"/>
      <c r="E30" s="76"/>
      <c r="F30" s="76"/>
      <c r="G30" s="76"/>
    </row>
    <row r="31" spans="1:7" ht="13.5" customHeight="1">
      <c r="A31" s="428" t="s">
        <v>634</v>
      </c>
      <c r="B31" s="430" t="s">
        <v>846</v>
      </c>
      <c r="C31" s="76"/>
      <c r="D31" s="76"/>
      <c r="E31" s="76"/>
      <c r="F31" s="76"/>
      <c r="G31" s="76"/>
    </row>
    <row r="32" spans="1:7" ht="12.75" customHeight="1" thickBot="1">
      <c r="A32" s="427" t="s">
        <v>635</v>
      </c>
      <c r="B32" s="129" t="s">
        <v>847</v>
      </c>
      <c r="C32" s="76"/>
      <c r="D32" s="76"/>
      <c r="E32" s="76"/>
      <c r="F32" s="76"/>
      <c r="G32" s="76"/>
    </row>
    <row r="33" spans="1:7" ht="14.25" customHeight="1" thickBot="1">
      <c r="A33" s="196" t="s">
        <v>560</v>
      </c>
      <c r="B33" s="121" t="s">
        <v>104</v>
      </c>
      <c r="C33" s="331"/>
      <c r="D33" s="331"/>
      <c r="E33" s="331"/>
      <c r="F33" s="331"/>
      <c r="G33" s="331"/>
    </row>
    <row r="34" spans="1:7" ht="12" customHeight="1" thickBot="1">
      <c r="A34" s="196" t="s">
        <v>561</v>
      </c>
      <c r="B34" s="121" t="s">
        <v>149</v>
      </c>
      <c r="C34" s="353"/>
      <c r="D34" s="353"/>
      <c r="E34" s="353"/>
      <c r="F34" s="353"/>
      <c r="G34" s="353"/>
    </row>
    <row r="35" spans="1:7" ht="12" customHeight="1" thickBot="1">
      <c r="A35" s="188" t="s">
        <v>562</v>
      </c>
      <c r="B35" s="121" t="s">
        <v>150</v>
      </c>
      <c r="C35" s="354">
        <f>+C8+C19+C24+C25+C29+C33+C34</f>
        <v>76745</v>
      </c>
      <c r="D35" s="354">
        <f>+D8+D19+D24+D25+D29+D33+D34</f>
        <v>76745</v>
      </c>
      <c r="E35" s="354">
        <f>+E8+E19+E24+E25+E29+E33+E34</f>
        <v>76745</v>
      </c>
      <c r="F35" s="354">
        <v>76745000</v>
      </c>
      <c r="G35" s="354">
        <v>76745000</v>
      </c>
    </row>
    <row r="36" spans="1:7" ht="12" customHeight="1" thickBot="1">
      <c r="A36" s="227" t="s">
        <v>563</v>
      </c>
      <c r="B36" s="121" t="s">
        <v>151</v>
      </c>
      <c r="C36" s="354">
        <f>+C37+C38+C39</f>
        <v>63749</v>
      </c>
      <c r="D36" s="354">
        <f>D37+D39</f>
        <v>66581</v>
      </c>
      <c r="E36" s="354">
        <f>E37+E39</f>
        <v>68295</v>
      </c>
      <c r="F36" s="354">
        <f>F37+F39</f>
        <v>70474059</v>
      </c>
      <c r="G36" s="354">
        <f>G37+G39</f>
        <v>70514760</v>
      </c>
    </row>
    <row r="37" spans="1:7" ht="12" customHeight="1">
      <c r="A37" s="428" t="s">
        <v>152</v>
      </c>
      <c r="B37" s="429" t="s">
        <v>779</v>
      </c>
      <c r="C37" s="295">
        <f>'9.4.1.melléklet'!C37+'9.4.2.melléklet'!C37+'9.4.3.melléklet'!C37</f>
        <v>0</v>
      </c>
      <c r="D37" s="295">
        <v>3602</v>
      </c>
      <c r="E37" s="295">
        <v>3602</v>
      </c>
      <c r="F37" s="295">
        <v>3602000</v>
      </c>
      <c r="G37" s="295">
        <v>3602701</v>
      </c>
    </row>
    <row r="38" spans="1:7" ht="12" customHeight="1">
      <c r="A38" s="428" t="s">
        <v>153</v>
      </c>
      <c r="B38" s="430" t="s">
        <v>539</v>
      </c>
      <c r="C38" s="295">
        <f>'9.4.1.melléklet'!C38+'9.4.2.melléklet'!C38+'9.4.3.melléklet'!C38</f>
        <v>0</v>
      </c>
      <c r="D38" s="295">
        <f>'9.4.1.melléklet'!D38+'9.4.2.melléklet'!D38+'9.4.3.melléklet'!D38</f>
        <v>0</v>
      </c>
      <c r="E38" s="295">
        <f>'9.4.1.melléklet'!E38+'9.4.2.melléklet'!E38+'9.4.3.melléklet'!E38</f>
        <v>0</v>
      </c>
      <c r="F38" s="295">
        <f>'9.4.1.melléklet'!F38+'9.4.2.melléklet'!F38+'9.4.3.melléklet'!F38</f>
        <v>0</v>
      </c>
      <c r="G38" s="295">
        <f>'9.4.1.melléklet'!G38+'9.4.2.melléklet'!G38+'9.4.3.melléklet'!G38</f>
        <v>0</v>
      </c>
    </row>
    <row r="39" spans="1:7" ht="13.5" customHeight="1" thickBot="1">
      <c r="A39" s="427" t="s">
        <v>154</v>
      </c>
      <c r="B39" s="129" t="s">
        <v>155</v>
      </c>
      <c r="C39" s="295">
        <f>'[10]Munka1'!$B$9</f>
        <v>63749</v>
      </c>
      <c r="D39" s="295">
        <v>62979</v>
      </c>
      <c r="E39" s="295">
        <v>64693</v>
      </c>
      <c r="F39" s="295">
        <v>66872059</v>
      </c>
      <c r="G39" s="295">
        <v>66912059</v>
      </c>
    </row>
    <row r="40" spans="1:7" ht="12.75" customHeight="1" thickBot="1">
      <c r="A40" s="227" t="s">
        <v>564</v>
      </c>
      <c r="B40" s="228" t="s">
        <v>156</v>
      </c>
      <c r="C40" s="357">
        <f>+C35+C36</f>
        <v>140494</v>
      </c>
      <c r="D40" s="357">
        <v>143326</v>
      </c>
      <c r="E40" s="357">
        <v>145040</v>
      </c>
      <c r="F40" s="357">
        <f>F36+F35</f>
        <v>147219059</v>
      </c>
      <c r="G40" s="357">
        <f>G36+G35</f>
        <v>147259760</v>
      </c>
    </row>
    <row r="41" spans="1:7" ht="13.5" thickBot="1">
      <c r="A41" s="229"/>
      <c r="B41" s="230"/>
      <c r="C41" s="355"/>
      <c r="D41" s="355"/>
      <c r="E41" s="355"/>
      <c r="F41" s="355"/>
      <c r="G41" s="355"/>
    </row>
    <row r="42" spans="1:7" ht="13.5" thickBot="1">
      <c r="A42" s="233"/>
      <c r="B42" s="234" t="s">
        <v>595</v>
      </c>
      <c r="C42" s="357"/>
      <c r="D42" s="357"/>
      <c r="E42" s="357"/>
      <c r="F42" s="357"/>
      <c r="G42" s="357"/>
    </row>
    <row r="43" spans="1:7" ht="14.25" customHeight="1" thickBot="1">
      <c r="A43" s="196" t="s">
        <v>555</v>
      </c>
      <c r="B43" s="121" t="s">
        <v>157</v>
      </c>
      <c r="C43" s="304">
        <f>SUM(C44:C48)</f>
        <v>140494</v>
      </c>
      <c r="D43" s="304">
        <f>D44+D45+D46</f>
        <v>143326</v>
      </c>
      <c r="E43" s="304">
        <f>E44+E45+E46</f>
        <v>145040</v>
      </c>
      <c r="F43" s="304">
        <f>F44+F45+F46</f>
        <v>146746059</v>
      </c>
      <c r="G43" s="304">
        <f>G44+G45+G46</f>
        <v>144755760</v>
      </c>
    </row>
    <row r="44" spans="1:7" ht="12.75" customHeight="1">
      <c r="A44" s="427" t="s">
        <v>640</v>
      </c>
      <c r="B44" s="7" t="s">
        <v>585</v>
      </c>
      <c r="C44" s="295">
        <f>'[11]Munka1'!$K$45</f>
        <v>64979</v>
      </c>
      <c r="D44" s="295">
        <v>67222</v>
      </c>
      <c r="E44" s="295">
        <v>68582</v>
      </c>
      <c r="F44" s="295">
        <v>70248493</v>
      </c>
      <c r="G44" s="295">
        <v>70170693</v>
      </c>
    </row>
    <row r="45" spans="1:7" ht="11.25" customHeight="1">
      <c r="A45" s="427" t="s">
        <v>641</v>
      </c>
      <c r="B45" s="6" t="s">
        <v>719</v>
      </c>
      <c r="C45" s="295">
        <f>'[11]Munka1'!$K$64</f>
        <v>18546</v>
      </c>
      <c r="D45" s="295">
        <v>19135</v>
      </c>
      <c r="E45" s="295">
        <v>19489</v>
      </c>
      <c r="F45" s="295">
        <v>20001566</v>
      </c>
      <c r="G45" s="295">
        <v>20777766</v>
      </c>
    </row>
    <row r="46" spans="1:7" ht="13.5" customHeight="1">
      <c r="A46" s="427" t="s">
        <v>642</v>
      </c>
      <c r="B46" s="6" t="s">
        <v>678</v>
      </c>
      <c r="C46" s="295">
        <f>'[12]Munka1'!$K$97</f>
        <v>56969</v>
      </c>
      <c r="D46" s="295">
        <v>56969</v>
      </c>
      <c r="E46" s="295">
        <v>56969</v>
      </c>
      <c r="F46" s="295">
        <v>56496000</v>
      </c>
      <c r="G46" s="295">
        <v>53807301</v>
      </c>
    </row>
    <row r="47" spans="1:7" ht="12.75" customHeight="1">
      <c r="A47" s="427" t="s">
        <v>643</v>
      </c>
      <c r="B47" s="6" t="s">
        <v>720</v>
      </c>
      <c r="C47" s="295">
        <f>'9.4.1.melléklet'!C47+'9.4.2.melléklet'!C47+'9.4.3.melléklet'!C47</f>
        <v>0</v>
      </c>
      <c r="D47" s="295">
        <f>'9.4.1.melléklet'!D47+'9.4.2.melléklet'!D47+'9.4.3.melléklet'!D47</f>
        <v>0</v>
      </c>
      <c r="E47" s="295">
        <f>'9.4.1.melléklet'!E47+'9.4.2.melléklet'!E47+'9.4.3.melléklet'!E47</f>
        <v>0</v>
      </c>
      <c r="F47" s="295">
        <f>'9.4.1.melléklet'!F47+'9.4.2.melléklet'!F47+'9.4.3.melléklet'!F47</f>
        <v>0</v>
      </c>
      <c r="G47" s="295">
        <f>'9.4.1.melléklet'!G47+'9.4.2.melléklet'!G47+'9.4.3.melléklet'!G47</f>
        <v>0</v>
      </c>
    </row>
    <row r="48" spans="1:7" ht="12.75" customHeight="1" thickBot="1">
      <c r="A48" s="427" t="s">
        <v>686</v>
      </c>
      <c r="B48" s="6" t="s">
        <v>721</v>
      </c>
      <c r="C48" s="295">
        <f>'9.4.1.melléklet'!C48+'9.4.2.melléklet'!C48+'9.4.3.melléklet'!C48</f>
        <v>0</v>
      </c>
      <c r="D48" s="295">
        <f>'9.4.1.melléklet'!D48+'9.4.2.melléklet'!D48+'9.4.3.melléklet'!D48</f>
        <v>0</v>
      </c>
      <c r="E48" s="295">
        <f>'9.4.1.melléklet'!E48+'9.4.2.melléklet'!E48+'9.4.3.melléklet'!E48</f>
        <v>0</v>
      </c>
      <c r="F48" s="295">
        <f>'9.4.1.melléklet'!F48+'9.4.2.melléklet'!F48+'9.4.3.melléklet'!F48</f>
        <v>0</v>
      </c>
      <c r="G48" s="295">
        <f>'9.4.1.melléklet'!G48+'9.4.2.melléklet'!G48+'9.4.3.melléklet'!G48</f>
        <v>0</v>
      </c>
    </row>
    <row r="49" spans="1:7" ht="12.75" customHeight="1" thickBot="1">
      <c r="A49" s="196" t="s">
        <v>556</v>
      </c>
      <c r="B49" s="121" t="s">
        <v>158</v>
      </c>
      <c r="C49" s="304">
        <f>SUM(C50:C52)</f>
        <v>0</v>
      </c>
      <c r="D49" s="304">
        <f>SUM(D50:D52)</f>
        <v>0</v>
      </c>
      <c r="E49" s="304">
        <f>SUM(E50:E52)</f>
        <v>0</v>
      </c>
      <c r="F49" s="304">
        <f>SUM(F50:F52)</f>
        <v>473000</v>
      </c>
      <c r="G49" s="304">
        <f>SUM(G50:G52)</f>
        <v>2504000</v>
      </c>
    </row>
    <row r="50" spans="1:7" ht="14.25" customHeight="1">
      <c r="A50" s="427" t="s">
        <v>646</v>
      </c>
      <c r="B50" s="7" t="s">
        <v>769</v>
      </c>
      <c r="C50" s="76"/>
      <c r="D50" s="76"/>
      <c r="E50" s="76"/>
      <c r="F50" s="76">
        <v>473000</v>
      </c>
      <c r="G50" s="76">
        <v>2504000</v>
      </c>
    </row>
    <row r="51" spans="1:7" ht="15" customHeight="1">
      <c r="A51" s="427" t="s">
        <v>647</v>
      </c>
      <c r="B51" s="6" t="s">
        <v>723</v>
      </c>
      <c r="C51" s="79"/>
      <c r="D51" s="79"/>
      <c r="E51" s="79"/>
      <c r="F51" s="79"/>
      <c r="G51" s="79"/>
    </row>
    <row r="52" spans="1:7" ht="13.5" customHeight="1">
      <c r="A52" s="427" t="s">
        <v>648</v>
      </c>
      <c r="B52" s="6" t="s">
        <v>596</v>
      </c>
      <c r="C52" s="79"/>
      <c r="D52" s="79"/>
      <c r="E52" s="79"/>
      <c r="F52" s="79"/>
      <c r="G52" s="79"/>
    </row>
    <row r="53" spans="1:7" ht="12.75" customHeight="1" thickBot="1">
      <c r="A53" s="427" t="s">
        <v>649</v>
      </c>
      <c r="B53" s="6" t="s">
        <v>540</v>
      </c>
      <c r="C53" s="79"/>
      <c r="D53" s="79"/>
      <c r="E53" s="79"/>
      <c r="F53" s="79"/>
      <c r="G53" s="79"/>
    </row>
    <row r="54" spans="1:7" ht="13.5" customHeight="1" thickBot="1">
      <c r="A54" s="196" t="s">
        <v>557</v>
      </c>
      <c r="B54" s="235" t="s">
        <v>164</v>
      </c>
      <c r="C54" s="358">
        <f>+C43+C49</f>
        <v>140494</v>
      </c>
      <c r="D54" s="358">
        <f>+D43+D49</f>
        <v>143326</v>
      </c>
      <c r="E54" s="358">
        <f>+E43+E49</f>
        <v>145040</v>
      </c>
      <c r="F54" s="358">
        <f>+F43+F49</f>
        <v>147219059</v>
      </c>
      <c r="G54" s="358">
        <f>+G43+G49</f>
        <v>147259760</v>
      </c>
    </row>
    <row r="55" spans="1:7" ht="13.5" thickBot="1">
      <c r="A55" s="236"/>
      <c r="B55" s="237"/>
      <c r="C55" s="359"/>
      <c r="D55" s="359"/>
      <c r="E55" s="359"/>
      <c r="F55" s="359"/>
      <c r="G55" s="359"/>
    </row>
    <row r="56" spans="1:7" ht="13.5" thickBot="1">
      <c r="A56" s="238" t="s">
        <v>742</v>
      </c>
      <c r="B56" s="239"/>
      <c r="C56" s="118">
        <v>31</v>
      </c>
      <c r="D56" s="118">
        <v>31</v>
      </c>
      <c r="E56" s="118">
        <v>31</v>
      </c>
      <c r="F56" s="118">
        <v>31</v>
      </c>
      <c r="G56" s="118">
        <v>31</v>
      </c>
    </row>
    <row r="57" spans="1:7" ht="13.5" thickBot="1">
      <c r="A57" s="238" t="s">
        <v>743</v>
      </c>
      <c r="B57" s="239"/>
      <c r="C57" s="118">
        <v>0</v>
      </c>
      <c r="D57" s="118">
        <v>0</v>
      </c>
      <c r="E57" s="118">
        <v>0</v>
      </c>
      <c r="F57" s="118">
        <v>0</v>
      </c>
      <c r="G57" s="118">
        <v>0</v>
      </c>
    </row>
    <row r="58" spans="1:7" ht="12.75">
      <c r="A58" s="236"/>
      <c r="B58" s="237"/>
      <c r="C58" s="237"/>
      <c r="D58" s="237"/>
      <c r="E58" s="237"/>
      <c r="F58" s="237"/>
      <c r="G58" s="237"/>
    </row>
    <row r="59" ht="15.75">
      <c r="B59" s="368" t="s">
        <v>27</v>
      </c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G59"/>
  <sheetViews>
    <sheetView zoomScalePageLayoutView="0" workbookViewId="0" topLeftCell="A25">
      <selection activeCell="A59" sqref="A59"/>
    </sheetView>
  </sheetViews>
  <sheetFormatPr defaultColWidth="9.00390625" defaultRowHeight="12.75"/>
  <cols>
    <col min="1" max="1" width="18.875" style="0" customWidth="1"/>
    <col min="2" max="2" width="64.125" style="0" customWidth="1"/>
    <col min="3" max="3" width="19.875" style="0" customWidth="1"/>
    <col min="4" max="4" width="20.875" style="0" customWidth="1"/>
    <col min="5" max="7" width="20.625" style="0" customWidth="1"/>
  </cols>
  <sheetData>
    <row r="1" spans="1:7" ht="16.5" thickBot="1">
      <c r="A1" s="215"/>
      <c r="B1" s="217"/>
      <c r="C1" s="217"/>
      <c r="D1" s="432" t="s">
        <v>905</v>
      </c>
      <c r="E1" s="432" t="s">
        <v>905</v>
      </c>
      <c r="F1" s="432" t="s">
        <v>905</v>
      </c>
      <c r="G1" s="432" t="s">
        <v>905</v>
      </c>
    </row>
    <row r="2" spans="1:7" ht="24">
      <c r="A2" s="385" t="s">
        <v>740</v>
      </c>
      <c r="B2" s="345" t="s">
        <v>189</v>
      </c>
      <c r="C2" s="1071"/>
      <c r="D2" s="360"/>
      <c r="E2" s="360"/>
      <c r="F2" s="360"/>
      <c r="G2" s="360" t="s">
        <v>182</v>
      </c>
    </row>
    <row r="3" spans="1:7" ht="24.75" thickBot="1">
      <c r="A3" s="425" t="s">
        <v>739</v>
      </c>
      <c r="B3" s="346" t="s">
        <v>166</v>
      </c>
      <c r="C3" s="1072"/>
      <c r="D3" s="361"/>
      <c r="E3" s="361"/>
      <c r="F3" s="361"/>
      <c r="G3" s="361" t="s">
        <v>589</v>
      </c>
    </row>
    <row r="4" spans="1:7" ht="14.25" thickBot="1">
      <c r="A4" s="219"/>
      <c r="B4" s="219"/>
      <c r="C4" s="219"/>
      <c r="D4" s="220"/>
      <c r="E4" s="220" t="s">
        <v>590</v>
      </c>
      <c r="F4" s="220"/>
      <c r="G4" s="220"/>
    </row>
    <row r="5" spans="1:7" ht="13.5" thickBot="1">
      <c r="A5" s="386" t="s">
        <v>741</v>
      </c>
      <c r="B5" s="221" t="s">
        <v>591</v>
      </c>
      <c r="C5" s="222" t="s">
        <v>592</v>
      </c>
      <c r="D5" s="222" t="s">
        <v>886</v>
      </c>
      <c r="E5" s="222" t="s">
        <v>908</v>
      </c>
      <c r="F5" s="222" t="s">
        <v>913</v>
      </c>
      <c r="G5" s="222" t="s">
        <v>8</v>
      </c>
    </row>
    <row r="6" spans="1:7" ht="13.5" thickBot="1">
      <c r="A6" s="188">
        <v>1</v>
      </c>
      <c r="B6" s="189">
        <v>2</v>
      </c>
      <c r="C6" s="1073">
        <v>3</v>
      </c>
      <c r="D6" s="190">
        <v>4</v>
      </c>
      <c r="E6" s="190">
        <v>5</v>
      </c>
      <c r="F6" s="190">
        <v>6</v>
      </c>
      <c r="G6" s="190">
        <v>7</v>
      </c>
    </row>
    <row r="7" spans="1:7" ht="13.5" thickBot="1">
      <c r="A7" s="223"/>
      <c r="B7" s="224" t="s">
        <v>593</v>
      </c>
      <c r="C7" s="224"/>
      <c r="D7" s="225"/>
      <c r="E7" s="225"/>
      <c r="F7" s="225"/>
      <c r="G7" s="225"/>
    </row>
    <row r="8" spans="1:7" ht="13.5" thickBot="1">
      <c r="A8" s="188" t="s">
        <v>555</v>
      </c>
      <c r="B8" s="226" t="s">
        <v>139</v>
      </c>
      <c r="C8" s="1106"/>
      <c r="D8" s="648">
        <f>D13+D18</f>
        <v>76745</v>
      </c>
      <c r="E8" s="648">
        <f>E13+E18</f>
        <v>76745</v>
      </c>
      <c r="F8" s="648">
        <f>F13+F18</f>
        <v>76745000</v>
      </c>
      <c r="G8" s="648">
        <f>G13+G18</f>
        <v>76745000</v>
      </c>
    </row>
    <row r="9" spans="1:7" ht="12.75">
      <c r="A9" s="426" t="s">
        <v>640</v>
      </c>
      <c r="B9" s="8" t="s">
        <v>831</v>
      </c>
      <c r="C9" s="7"/>
      <c r="D9" s="295">
        <f>'9.4.1.melléklet'!D9+'9.4.2.melléklet'!D9+'9.4.3.melléklet'!D9</f>
        <v>0</v>
      </c>
      <c r="E9" s="295">
        <f>'9.4.1.melléklet'!E9+'9.4.2.melléklet'!E9+'9.4.3.melléklet'!E9</f>
        <v>0</v>
      </c>
      <c r="F9" s="295">
        <f>'9.4.1.melléklet'!F9+'9.4.2.melléklet'!F9+'9.4.3.melléklet'!F9</f>
        <v>0</v>
      </c>
      <c r="G9" s="295">
        <f>'9.4.1.melléklet'!G9+'9.4.2.melléklet'!G9+'9.4.3.melléklet'!G9</f>
        <v>0</v>
      </c>
    </row>
    <row r="10" spans="1:7" ht="12.75">
      <c r="A10" s="427" t="s">
        <v>641</v>
      </c>
      <c r="B10" s="6" t="s">
        <v>832</v>
      </c>
      <c r="C10" s="6"/>
      <c r="D10" s="296">
        <f>'9.4.1.melléklet'!D10+'9.4.2.melléklet'!D10+'9.4.3.melléklet'!D10</f>
        <v>0</v>
      </c>
      <c r="E10" s="296">
        <f>'9.4.1.melléklet'!E10+'9.4.2.melléklet'!E10+'9.4.3.melléklet'!E10</f>
        <v>0</v>
      </c>
      <c r="F10" s="296">
        <f>'9.4.1.melléklet'!F10+'9.4.2.melléklet'!F10+'9.4.3.melléklet'!F10</f>
        <v>0</v>
      </c>
      <c r="G10" s="296">
        <f>'9.4.1.melléklet'!G10+'9.4.2.melléklet'!G10+'9.4.3.melléklet'!G10</f>
        <v>0</v>
      </c>
    </row>
    <row r="11" spans="1:7" ht="12.75">
      <c r="A11" s="427" t="s">
        <v>642</v>
      </c>
      <c r="B11" s="6" t="s">
        <v>833</v>
      </c>
      <c r="C11" s="6"/>
      <c r="D11" s="296">
        <f>'9.4.1.melléklet'!D11+'9.4.2.melléklet'!D11+'9.4.3.melléklet'!D11</f>
        <v>0</v>
      </c>
      <c r="E11" s="296">
        <f>'9.4.1.melléklet'!E11+'9.4.2.melléklet'!E11+'9.4.3.melléklet'!E11</f>
        <v>0</v>
      </c>
      <c r="F11" s="296">
        <f>'9.4.1.melléklet'!F11+'9.4.2.melléklet'!F11+'9.4.3.melléklet'!F11</f>
        <v>0</v>
      </c>
      <c r="G11" s="296">
        <f>'9.4.1.melléklet'!G11+'9.4.2.melléklet'!G11+'9.4.3.melléklet'!G11</f>
        <v>0</v>
      </c>
    </row>
    <row r="12" spans="1:7" ht="12.75">
      <c r="A12" s="427" t="s">
        <v>643</v>
      </c>
      <c r="B12" s="6" t="s">
        <v>834</v>
      </c>
      <c r="C12" s="6"/>
      <c r="D12" s="296">
        <f>'9.4.1.melléklet'!D12+'9.4.2.melléklet'!D12+'9.4.3.melléklet'!D12</f>
        <v>0</v>
      </c>
      <c r="E12" s="296">
        <f>'9.4.1.melléklet'!E12+'9.4.2.melléklet'!E12+'9.4.3.melléklet'!E12</f>
        <v>0</v>
      </c>
      <c r="F12" s="296">
        <f>'9.4.1.melléklet'!F12+'9.4.2.melléklet'!F12+'9.4.3.melléklet'!F12</f>
        <v>0</v>
      </c>
      <c r="G12" s="296">
        <f>'9.4.1.melléklet'!G12+'9.4.2.melléklet'!G12+'9.4.3.melléklet'!G12</f>
        <v>0</v>
      </c>
    </row>
    <row r="13" spans="1:7" ht="12.75">
      <c r="A13" s="427" t="s">
        <v>686</v>
      </c>
      <c r="B13" s="6" t="s">
        <v>835</v>
      </c>
      <c r="C13" s="6"/>
      <c r="D13" s="296">
        <f>'[9]Munka1'!$B$7</f>
        <v>71745</v>
      </c>
      <c r="E13" s="296">
        <f>'[9]Munka1'!$B$7</f>
        <v>71745</v>
      </c>
      <c r="F13" s="296">
        <v>71745000</v>
      </c>
      <c r="G13" s="296">
        <v>71745000</v>
      </c>
    </row>
    <row r="14" spans="1:7" ht="12.75">
      <c r="A14" s="427" t="s">
        <v>644</v>
      </c>
      <c r="B14" s="6" t="s">
        <v>140</v>
      </c>
      <c r="C14" s="6"/>
      <c r="D14" s="296">
        <f>'9.4.1.melléklet'!D14+'9.4.2.melléklet'!D14+'9.4.3.melléklet'!D14</f>
        <v>0</v>
      </c>
      <c r="E14" s="296">
        <f>'9.4.1.melléklet'!E14+'9.4.2.melléklet'!E14+'9.4.3.melléklet'!E14</f>
        <v>0</v>
      </c>
      <c r="F14" s="296">
        <f>'9.4.1.melléklet'!F14+'9.4.2.melléklet'!F14+'9.4.3.melléklet'!F14</f>
        <v>0</v>
      </c>
      <c r="G14" s="296">
        <f>'9.4.1.melléklet'!G14+'9.4.2.melléklet'!G14+'9.4.3.melléklet'!G14</f>
        <v>0</v>
      </c>
    </row>
    <row r="15" spans="1:7" ht="12.75">
      <c r="A15" s="427" t="s">
        <v>645</v>
      </c>
      <c r="B15" s="5" t="s">
        <v>141</v>
      </c>
      <c r="C15" s="5"/>
      <c r="D15" s="296">
        <f>'9.4.1.melléklet'!D15+'9.4.2.melléklet'!D15+'9.4.3.melléklet'!D15</f>
        <v>0</v>
      </c>
      <c r="E15" s="296">
        <f>'9.4.1.melléklet'!E15+'9.4.2.melléklet'!E15+'9.4.3.melléklet'!E15</f>
        <v>0</v>
      </c>
      <c r="F15" s="296">
        <f>'9.4.1.melléklet'!F15+'9.4.2.melléklet'!F15+'9.4.3.melléklet'!F15</f>
        <v>0</v>
      </c>
      <c r="G15" s="296">
        <f>'9.4.1.melléklet'!G15+'9.4.2.melléklet'!G15+'9.4.3.melléklet'!G15</f>
        <v>0</v>
      </c>
    </row>
    <row r="16" spans="1:7" ht="12.75">
      <c r="A16" s="427" t="s">
        <v>655</v>
      </c>
      <c r="B16" s="6" t="s">
        <v>838</v>
      </c>
      <c r="C16" s="6"/>
      <c r="D16" s="296">
        <f>'9.4.1.melléklet'!D16+'9.4.2.melléklet'!D16+'9.4.3.melléklet'!D16</f>
        <v>0</v>
      </c>
      <c r="E16" s="296">
        <f>'9.4.1.melléklet'!E16+'9.4.2.melléklet'!E16+'9.4.3.melléklet'!E16</f>
        <v>0</v>
      </c>
      <c r="F16" s="296">
        <f>'9.4.1.melléklet'!F16+'9.4.2.melléklet'!F16+'9.4.3.melléklet'!F16</f>
        <v>0</v>
      </c>
      <c r="G16" s="296">
        <f>'9.4.1.melléklet'!G16+'9.4.2.melléklet'!G16+'9.4.3.melléklet'!G16</f>
        <v>0</v>
      </c>
    </row>
    <row r="17" spans="1:7" ht="12.75">
      <c r="A17" s="427" t="s">
        <v>656</v>
      </c>
      <c r="B17" s="6" t="s">
        <v>839</v>
      </c>
      <c r="C17" s="6"/>
      <c r="D17" s="296">
        <f>'9.4.1.melléklet'!D17+'9.4.2.melléklet'!D17+'9.4.3.melléklet'!D17</f>
        <v>0</v>
      </c>
      <c r="E17" s="296">
        <f>'9.4.1.melléklet'!E17+'9.4.2.melléklet'!E17+'9.4.3.melléklet'!E17</f>
        <v>0</v>
      </c>
      <c r="F17" s="296">
        <f>'9.4.1.melléklet'!F17+'9.4.2.melléklet'!F17+'9.4.3.melléklet'!F17</f>
        <v>0</v>
      </c>
      <c r="G17" s="296">
        <f>'9.4.1.melléklet'!G17+'9.4.2.melléklet'!G17+'9.4.3.melléklet'!G17</f>
        <v>0</v>
      </c>
    </row>
    <row r="18" spans="1:7" ht="13.5" thickBot="1">
      <c r="A18" s="427" t="s">
        <v>657</v>
      </c>
      <c r="B18" s="5" t="s">
        <v>840</v>
      </c>
      <c r="C18" s="5"/>
      <c r="D18" s="298">
        <f>'[9]Munka1'!$B$9</f>
        <v>5000</v>
      </c>
      <c r="E18" s="298">
        <f>'[9]Munka1'!$B$9</f>
        <v>5000</v>
      </c>
      <c r="F18" s="298">
        <v>5000000</v>
      </c>
      <c r="G18" s="298">
        <v>5000000</v>
      </c>
    </row>
    <row r="19" spans="1:7" ht="21.75" thickBot="1">
      <c r="A19" s="188" t="s">
        <v>556</v>
      </c>
      <c r="B19" s="226" t="s">
        <v>142</v>
      </c>
      <c r="C19" s="1106"/>
      <c r="D19" s="648">
        <f>SUM(D20:D22)</f>
        <v>0</v>
      </c>
      <c r="E19" s="648">
        <f>SUM(E20:E22)</f>
        <v>0</v>
      </c>
      <c r="F19" s="648">
        <f>SUM(F20:F22)</f>
        <v>0</v>
      </c>
      <c r="G19" s="648">
        <f>SUM(G20:G22)</f>
        <v>0</v>
      </c>
    </row>
    <row r="20" spans="1:7" ht="12.75">
      <c r="A20" s="427" t="s">
        <v>646</v>
      </c>
      <c r="B20" s="7" t="s">
        <v>806</v>
      </c>
      <c r="C20" s="7"/>
      <c r="D20" s="296">
        <f>'9.4.1.melléklet'!D20+'9.4.2.melléklet'!D20+'9.4.3.melléklet'!D20</f>
        <v>0</v>
      </c>
      <c r="E20" s="296">
        <f>'9.4.1.melléklet'!E20+'9.4.2.melléklet'!E20+'9.4.3.melléklet'!E20</f>
        <v>0</v>
      </c>
      <c r="F20" s="296">
        <f>'9.4.1.melléklet'!F20+'9.4.2.melléklet'!F20+'9.4.3.melléklet'!F20</f>
        <v>0</v>
      </c>
      <c r="G20" s="296">
        <f>'9.4.1.melléklet'!G20+'9.4.2.melléklet'!G20+'9.4.3.melléklet'!G20</f>
        <v>0</v>
      </c>
    </row>
    <row r="21" spans="1:7" ht="12.75">
      <c r="A21" s="427" t="s">
        <v>647</v>
      </c>
      <c r="B21" s="6" t="s">
        <v>143</v>
      </c>
      <c r="C21" s="1075"/>
      <c r="D21" s="302"/>
      <c r="E21" s="302"/>
      <c r="F21" s="302"/>
      <c r="G21" s="302"/>
    </row>
    <row r="22" spans="1:7" ht="12.75">
      <c r="A22" s="427" t="s">
        <v>648</v>
      </c>
      <c r="B22" s="6" t="s">
        <v>144</v>
      </c>
      <c r="C22" s="1075"/>
      <c r="D22" s="302"/>
      <c r="E22" s="302"/>
      <c r="F22" s="302"/>
      <c r="G22" s="302"/>
    </row>
    <row r="23" spans="1:7" ht="13.5" thickBot="1">
      <c r="A23" s="427" t="s">
        <v>649</v>
      </c>
      <c r="B23" s="6" t="s">
        <v>538</v>
      </c>
      <c r="C23" s="1075"/>
      <c r="D23" s="302"/>
      <c r="E23" s="302"/>
      <c r="F23" s="302"/>
      <c r="G23" s="302"/>
    </row>
    <row r="24" spans="1:7" ht="13.5" thickBot="1">
      <c r="A24" s="196" t="s">
        <v>557</v>
      </c>
      <c r="B24" s="121" t="s">
        <v>710</v>
      </c>
      <c r="C24" s="1078"/>
      <c r="D24" s="331"/>
      <c r="E24" s="331"/>
      <c r="F24" s="331"/>
      <c r="G24" s="331"/>
    </row>
    <row r="25" spans="1:7" ht="21.75" thickBot="1">
      <c r="A25" s="196" t="s">
        <v>558</v>
      </c>
      <c r="B25" s="121" t="s">
        <v>145</v>
      </c>
      <c r="C25" s="1078"/>
      <c r="D25" s="304">
        <f>+D26+D27</f>
        <v>0</v>
      </c>
      <c r="E25" s="304">
        <f>+E26+E27</f>
        <v>0</v>
      </c>
      <c r="F25" s="304">
        <f>+F26+F27</f>
        <v>0</v>
      </c>
      <c r="G25" s="304">
        <f>+G26+G27</f>
        <v>0</v>
      </c>
    </row>
    <row r="26" spans="1:7" ht="12.75">
      <c r="A26" s="428" t="s">
        <v>816</v>
      </c>
      <c r="B26" s="429" t="s">
        <v>143</v>
      </c>
      <c r="C26" s="1079"/>
      <c r="D26" s="76"/>
      <c r="E26" s="76"/>
      <c r="F26" s="76"/>
      <c r="G26" s="76"/>
    </row>
    <row r="27" spans="1:7" ht="12.75">
      <c r="A27" s="428" t="s">
        <v>819</v>
      </c>
      <c r="B27" s="430" t="s">
        <v>146</v>
      </c>
      <c r="C27" s="1079"/>
      <c r="D27" s="76"/>
      <c r="E27" s="76"/>
      <c r="F27" s="76"/>
      <c r="G27" s="76"/>
    </row>
    <row r="28" spans="1:7" ht="13.5" thickBot="1">
      <c r="A28" s="427" t="s">
        <v>820</v>
      </c>
      <c r="B28" s="431" t="s">
        <v>147</v>
      </c>
      <c r="C28" s="1092"/>
      <c r="D28" s="76"/>
      <c r="E28" s="76"/>
      <c r="F28" s="76"/>
      <c r="G28" s="76"/>
    </row>
    <row r="29" spans="1:7" ht="13.5" thickBot="1">
      <c r="A29" s="196" t="s">
        <v>559</v>
      </c>
      <c r="B29" s="121" t="s">
        <v>148</v>
      </c>
      <c r="C29" s="1078"/>
      <c r="D29" s="304">
        <f>+D30+D31+D32</f>
        <v>0</v>
      </c>
      <c r="E29" s="304">
        <f>+E30+E31+E32</f>
        <v>0</v>
      </c>
      <c r="F29" s="304">
        <f>+F30+F31+F32</f>
        <v>0</v>
      </c>
      <c r="G29" s="304">
        <f>+G30+G31+G32</f>
        <v>0</v>
      </c>
    </row>
    <row r="30" spans="1:7" ht="12.75">
      <c r="A30" s="428" t="s">
        <v>633</v>
      </c>
      <c r="B30" s="429" t="s">
        <v>845</v>
      </c>
      <c r="C30" s="1079"/>
      <c r="D30" s="76"/>
      <c r="E30" s="76"/>
      <c r="F30" s="76"/>
      <c r="G30" s="76"/>
    </row>
    <row r="31" spans="1:7" ht="12.75">
      <c r="A31" s="428" t="s">
        <v>634</v>
      </c>
      <c r="B31" s="430" t="s">
        <v>846</v>
      </c>
      <c r="C31" s="1079"/>
      <c r="D31" s="76"/>
      <c r="E31" s="76"/>
      <c r="F31" s="76"/>
      <c r="G31" s="76"/>
    </row>
    <row r="32" spans="1:7" ht="13.5" thickBot="1">
      <c r="A32" s="427" t="s">
        <v>635</v>
      </c>
      <c r="B32" s="129" t="s">
        <v>847</v>
      </c>
      <c r="C32" s="1080"/>
      <c r="D32" s="76"/>
      <c r="E32" s="76"/>
      <c r="F32" s="76"/>
      <c r="G32" s="76"/>
    </row>
    <row r="33" spans="1:7" ht="13.5" thickBot="1">
      <c r="A33" s="196" t="s">
        <v>560</v>
      </c>
      <c r="B33" s="121" t="s">
        <v>104</v>
      </c>
      <c r="C33" s="1078"/>
      <c r="D33" s="331"/>
      <c r="E33" s="331"/>
      <c r="F33" s="331"/>
      <c r="G33" s="331"/>
    </row>
    <row r="34" spans="1:7" ht="13.5" thickBot="1">
      <c r="A34" s="196" t="s">
        <v>561</v>
      </c>
      <c r="B34" s="121" t="s">
        <v>149</v>
      </c>
      <c r="C34" s="1083"/>
      <c r="D34" s="331"/>
      <c r="E34" s="353"/>
      <c r="F34" s="353"/>
      <c r="G34" s="353"/>
    </row>
    <row r="35" spans="1:7" ht="13.5" thickBot="1">
      <c r="A35" s="188" t="s">
        <v>562</v>
      </c>
      <c r="B35" s="121" t="s">
        <v>150</v>
      </c>
      <c r="C35" s="1083"/>
      <c r="D35" s="304">
        <f>+D8+D19+D24+D25+D29+D33+D34</f>
        <v>76745</v>
      </c>
      <c r="E35" s="354">
        <f>+E8+E19+E24+E25+E29+E33+E34</f>
        <v>76745</v>
      </c>
      <c r="F35" s="354">
        <v>76745000</v>
      </c>
      <c r="G35" s="354">
        <v>76745000</v>
      </c>
    </row>
    <row r="36" spans="1:7" ht="13.5" thickBot="1">
      <c r="A36" s="227" t="s">
        <v>563</v>
      </c>
      <c r="B36" s="121" t="s">
        <v>151</v>
      </c>
      <c r="C36" s="1083"/>
      <c r="D36" s="304">
        <f>D37+D39</f>
        <v>66581</v>
      </c>
      <c r="E36" s="354">
        <f>E37+E39</f>
        <v>68295</v>
      </c>
      <c r="F36" s="354">
        <f>F37+F39</f>
        <v>70474059</v>
      </c>
      <c r="G36" s="354">
        <f>G37+G39</f>
        <v>70514760</v>
      </c>
    </row>
    <row r="37" spans="1:7" ht="12.75">
      <c r="A37" s="428" t="s">
        <v>152</v>
      </c>
      <c r="B37" s="429" t="s">
        <v>779</v>
      </c>
      <c r="C37" s="429"/>
      <c r="D37" s="295">
        <v>3602</v>
      </c>
      <c r="E37" s="295">
        <v>3602</v>
      </c>
      <c r="F37" s="295">
        <v>3602000</v>
      </c>
      <c r="G37" s="295">
        <v>3602701</v>
      </c>
    </row>
    <row r="38" spans="1:7" ht="12.75">
      <c r="A38" s="428" t="s">
        <v>153</v>
      </c>
      <c r="B38" s="430" t="s">
        <v>539</v>
      </c>
      <c r="C38" s="429"/>
      <c r="D38" s="295">
        <f>'9.4.1.melléklet'!D38+'9.4.2.melléklet'!D38+'9.4.3.melléklet'!D38</f>
        <v>0</v>
      </c>
      <c r="E38" s="295">
        <f>'9.4.1.melléklet'!E38+'9.4.2.melléklet'!E38+'9.4.3.melléklet'!E38</f>
        <v>0</v>
      </c>
      <c r="F38" s="295">
        <f>'9.4.1.melléklet'!F38+'9.4.2.melléklet'!F38+'9.4.3.melléklet'!F38</f>
        <v>0</v>
      </c>
      <c r="G38" s="295">
        <f>'9.4.1.melléklet'!G38+'9.4.2.melléklet'!G38+'9.4.3.melléklet'!G38</f>
        <v>0</v>
      </c>
    </row>
    <row r="39" spans="1:7" ht="13.5" thickBot="1">
      <c r="A39" s="427" t="s">
        <v>154</v>
      </c>
      <c r="B39" s="129" t="s">
        <v>155</v>
      </c>
      <c r="C39" s="1103"/>
      <c r="D39" s="295">
        <v>62979</v>
      </c>
      <c r="E39" s="295">
        <v>64693</v>
      </c>
      <c r="F39" s="295">
        <v>66872059</v>
      </c>
      <c r="G39" s="295">
        <v>66912059</v>
      </c>
    </row>
    <row r="40" spans="1:7" ht="13.5" thickBot="1">
      <c r="A40" s="227" t="s">
        <v>564</v>
      </c>
      <c r="B40" s="228" t="s">
        <v>156</v>
      </c>
      <c r="C40" s="1084"/>
      <c r="D40" s="357">
        <v>143326</v>
      </c>
      <c r="E40" s="357">
        <v>145040</v>
      </c>
      <c r="F40" s="357">
        <f>F35+F36</f>
        <v>147219059</v>
      </c>
      <c r="G40" s="357">
        <f>G36+G35</f>
        <v>147259760</v>
      </c>
    </row>
    <row r="41" spans="1:7" ht="13.5" thickBot="1">
      <c r="A41" s="229"/>
      <c r="B41" s="230"/>
      <c r="C41" s="230"/>
      <c r="D41" s="355"/>
      <c r="E41" s="355"/>
      <c r="F41" s="355"/>
      <c r="G41" s="355"/>
    </row>
    <row r="42" spans="1:7" ht="13.5" thickBot="1">
      <c r="A42" s="233"/>
      <c r="B42" s="234" t="s">
        <v>595</v>
      </c>
      <c r="C42" s="234"/>
      <c r="D42" s="357"/>
      <c r="E42" s="357"/>
      <c r="F42" s="357"/>
      <c r="G42" s="357"/>
    </row>
    <row r="43" spans="1:7" ht="13.5" thickBot="1">
      <c r="A43" s="196" t="s">
        <v>555</v>
      </c>
      <c r="B43" s="121" t="s">
        <v>157</v>
      </c>
      <c r="C43" s="1078"/>
      <c r="D43" s="304">
        <f>D44+D45+D46</f>
        <v>143326</v>
      </c>
      <c r="E43" s="304">
        <f>E44+E45+E46</f>
        <v>145040</v>
      </c>
      <c r="F43" s="304">
        <f>F44+F45+F46</f>
        <v>146746059</v>
      </c>
      <c r="G43" s="304">
        <f>G44+G45+G46</f>
        <v>144755760</v>
      </c>
    </row>
    <row r="44" spans="1:7" ht="12.75">
      <c r="A44" s="427" t="s">
        <v>640</v>
      </c>
      <c r="B44" s="7" t="s">
        <v>585</v>
      </c>
      <c r="C44" s="7"/>
      <c r="D44" s="295">
        <v>67222</v>
      </c>
      <c r="E44" s="295">
        <v>68582</v>
      </c>
      <c r="F44" s="295">
        <v>70248493</v>
      </c>
      <c r="G44" s="295">
        <v>70170693</v>
      </c>
    </row>
    <row r="45" spans="1:7" ht="12.75">
      <c r="A45" s="427" t="s">
        <v>641</v>
      </c>
      <c r="B45" s="6" t="s">
        <v>719</v>
      </c>
      <c r="C45" s="7"/>
      <c r="D45" s="295">
        <v>19135</v>
      </c>
      <c r="E45" s="295">
        <v>19489</v>
      </c>
      <c r="F45" s="295">
        <v>20001566</v>
      </c>
      <c r="G45" s="295">
        <v>20777766</v>
      </c>
    </row>
    <row r="46" spans="1:7" ht="12.75">
      <c r="A46" s="427" t="s">
        <v>642</v>
      </c>
      <c r="B46" s="6" t="s">
        <v>678</v>
      </c>
      <c r="C46" s="7"/>
      <c r="D46" s="295">
        <v>56969</v>
      </c>
      <c r="E46" s="295">
        <v>56969</v>
      </c>
      <c r="F46" s="295">
        <v>56496000</v>
      </c>
      <c r="G46" s="295">
        <v>53807301</v>
      </c>
    </row>
    <row r="47" spans="1:7" ht="12.75">
      <c r="A47" s="427" t="s">
        <v>643</v>
      </c>
      <c r="B47" s="6" t="s">
        <v>720</v>
      </c>
      <c r="C47" s="7"/>
      <c r="D47" s="295">
        <f>'9.4.1.melléklet'!D47+'9.4.2.melléklet'!D47+'9.4.3.melléklet'!D47</f>
        <v>0</v>
      </c>
      <c r="E47" s="295">
        <f>'9.4.1.melléklet'!E47+'9.4.2.melléklet'!E47+'9.4.3.melléklet'!E47</f>
        <v>0</v>
      </c>
      <c r="F47" s="295">
        <f>'9.4.1.melléklet'!F47+'9.4.2.melléklet'!F47+'9.4.3.melléklet'!F47</f>
        <v>0</v>
      </c>
      <c r="G47" s="295">
        <f>'9.4.1.melléklet'!G47+'9.4.2.melléklet'!G47+'9.4.3.melléklet'!G47</f>
        <v>0</v>
      </c>
    </row>
    <row r="48" spans="1:7" ht="13.5" thickBot="1">
      <c r="A48" s="427" t="s">
        <v>686</v>
      </c>
      <c r="B48" s="6" t="s">
        <v>721</v>
      </c>
      <c r="C48" s="7"/>
      <c r="D48" s="295">
        <f>'9.4.1.melléklet'!D48+'9.4.2.melléklet'!D48+'9.4.3.melléklet'!D48</f>
        <v>0</v>
      </c>
      <c r="E48" s="295">
        <f>'9.4.1.melléklet'!E48+'9.4.2.melléklet'!E48+'9.4.3.melléklet'!E48</f>
        <v>0</v>
      </c>
      <c r="F48" s="295">
        <f>'9.4.1.melléklet'!F48+'9.4.2.melléklet'!F48+'9.4.3.melléklet'!F48</f>
        <v>0</v>
      </c>
      <c r="G48" s="295">
        <f>'9.4.1.melléklet'!G48+'9.4.2.melléklet'!G48+'9.4.3.melléklet'!G48</f>
        <v>0</v>
      </c>
    </row>
    <row r="49" spans="1:7" ht="13.5" thickBot="1">
      <c r="A49" s="196" t="s">
        <v>556</v>
      </c>
      <c r="B49" s="121" t="s">
        <v>158</v>
      </c>
      <c r="C49" s="1078"/>
      <c r="D49" s="304">
        <f>SUM(D50:D52)</f>
        <v>0</v>
      </c>
      <c r="E49" s="304">
        <f>SUM(E50:E52)</f>
        <v>0</v>
      </c>
      <c r="F49" s="304">
        <f>SUM(F50:F52)</f>
        <v>473000</v>
      </c>
      <c r="G49" s="304">
        <f>SUM(G50:G52)</f>
        <v>2504000</v>
      </c>
    </row>
    <row r="50" spans="1:7" ht="12.75">
      <c r="A50" s="427" t="s">
        <v>646</v>
      </c>
      <c r="B50" s="7" t="s">
        <v>769</v>
      </c>
      <c r="C50" s="1077"/>
      <c r="D50" s="76"/>
      <c r="E50" s="76"/>
      <c r="F50" s="76">
        <v>473000</v>
      </c>
      <c r="G50" s="76">
        <v>2504000</v>
      </c>
    </row>
    <row r="51" spans="1:7" ht="12.75">
      <c r="A51" s="427" t="s">
        <v>647</v>
      </c>
      <c r="B51" s="6" t="s">
        <v>723</v>
      </c>
      <c r="C51" s="1075"/>
      <c r="D51" s="79"/>
      <c r="E51" s="79"/>
      <c r="F51" s="79"/>
      <c r="G51" s="79"/>
    </row>
    <row r="52" spans="1:7" ht="12.75">
      <c r="A52" s="427" t="s">
        <v>648</v>
      </c>
      <c r="B52" s="6" t="s">
        <v>596</v>
      </c>
      <c r="C52" s="1075"/>
      <c r="D52" s="79"/>
      <c r="E52" s="79"/>
      <c r="F52" s="79"/>
      <c r="G52" s="79"/>
    </row>
    <row r="53" spans="1:7" ht="13.5" thickBot="1">
      <c r="A53" s="427" t="s">
        <v>649</v>
      </c>
      <c r="B53" s="6" t="s">
        <v>540</v>
      </c>
      <c r="C53" s="1075"/>
      <c r="D53" s="79"/>
      <c r="E53" s="79"/>
      <c r="F53" s="79"/>
      <c r="G53" s="79"/>
    </row>
    <row r="54" spans="1:7" ht="13.5" thickBot="1">
      <c r="A54" s="196" t="s">
        <v>557</v>
      </c>
      <c r="B54" s="235" t="s">
        <v>164</v>
      </c>
      <c r="C54" s="1085"/>
      <c r="D54" s="358">
        <f>+D43+D49</f>
        <v>143326</v>
      </c>
      <c r="E54" s="358">
        <f>+E43+E49</f>
        <v>145040</v>
      </c>
      <c r="F54" s="358">
        <f>+F43+F49</f>
        <v>147219059</v>
      </c>
      <c r="G54" s="358">
        <f>+G43+G49</f>
        <v>147259760</v>
      </c>
    </row>
    <row r="55" spans="1:7" ht="13.5" thickBot="1">
      <c r="A55" s="236"/>
      <c r="B55" s="237"/>
      <c r="C55" s="237"/>
      <c r="D55" s="359"/>
      <c r="E55" s="359"/>
      <c r="F55" s="359"/>
      <c r="G55" s="359"/>
    </row>
    <row r="56" spans="1:7" ht="13.5" thickBot="1">
      <c r="A56" s="238" t="s">
        <v>742</v>
      </c>
      <c r="B56" s="239"/>
      <c r="C56" s="1086"/>
      <c r="D56" s="118">
        <v>31</v>
      </c>
      <c r="E56" s="118">
        <v>31</v>
      </c>
      <c r="F56" s="118">
        <v>31</v>
      </c>
      <c r="G56" s="118">
        <v>31</v>
      </c>
    </row>
    <row r="57" spans="1:7" ht="13.5" thickBot="1">
      <c r="A57" s="238" t="s">
        <v>743</v>
      </c>
      <c r="B57" s="239"/>
      <c r="C57" s="1086"/>
      <c r="D57" s="118">
        <v>0</v>
      </c>
      <c r="E57" s="118">
        <v>0</v>
      </c>
      <c r="F57" s="118">
        <v>0</v>
      </c>
      <c r="G57" s="118">
        <v>0</v>
      </c>
    </row>
    <row r="58" spans="1:7" ht="12.75">
      <c r="A58" s="236"/>
      <c r="B58" s="237"/>
      <c r="C58" s="237"/>
      <c r="D58" s="237"/>
      <c r="E58" s="237"/>
      <c r="F58" s="237"/>
      <c r="G58" s="237"/>
    </row>
    <row r="59" ht="15.75">
      <c r="A59" s="368" t="s">
        <v>28</v>
      </c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5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D59"/>
  <sheetViews>
    <sheetView view="pageBreakPreview" zoomScale="60" zoomScalePageLayoutView="0" workbookViewId="0" topLeftCell="A1">
      <selection activeCell="D1" sqref="D1"/>
    </sheetView>
  </sheetViews>
  <sheetFormatPr defaultColWidth="9.00390625" defaultRowHeight="12.75"/>
  <cols>
    <col min="1" max="1" width="20.125" style="0" customWidth="1"/>
    <col min="2" max="2" width="66.125" style="0" customWidth="1"/>
    <col min="3" max="4" width="20.875" style="0" customWidth="1"/>
  </cols>
  <sheetData>
    <row r="1" spans="1:4" ht="16.5" thickBot="1">
      <c r="A1" s="215"/>
      <c r="B1" s="217"/>
      <c r="C1" s="217"/>
      <c r="D1" s="432" t="s">
        <v>898</v>
      </c>
    </row>
    <row r="2" spans="1:4" ht="24">
      <c r="A2" s="385" t="s">
        <v>740</v>
      </c>
      <c r="B2" s="345" t="s">
        <v>189</v>
      </c>
      <c r="C2" s="1071"/>
      <c r="D2" s="360" t="s">
        <v>182</v>
      </c>
    </row>
    <row r="3" spans="1:4" ht="13.5" thickBot="1">
      <c r="A3" s="425" t="s">
        <v>739</v>
      </c>
      <c r="B3" s="346" t="s">
        <v>167</v>
      </c>
      <c r="C3" s="1072"/>
      <c r="D3" s="361" t="s">
        <v>600</v>
      </c>
    </row>
    <row r="4" spans="1:4" ht="14.25" thickBot="1">
      <c r="A4" s="219"/>
      <c r="B4" s="219"/>
      <c r="C4" s="219"/>
      <c r="D4" s="220" t="s">
        <v>590</v>
      </c>
    </row>
    <row r="5" spans="1:4" ht="13.5" thickBot="1">
      <c r="A5" s="386" t="s">
        <v>741</v>
      </c>
      <c r="B5" s="221" t="s">
        <v>591</v>
      </c>
      <c r="C5" s="222" t="s">
        <v>592</v>
      </c>
      <c r="D5" s="222" t="s">
        <v>886</v>
      </c>
    </row>
    <row r="6" spans="1:4" ht="13.5" thickBot="1">
      <c r="A6" s="188">
        <v>1</v>
      </c>
      <c r="B6" s="189">
        <v>2</v>
      </c>
      <c r="C6" s="1073">
        <v>3</v>
      </c>
      <c r="D6" s="190">
        <v>4</v>
      </c>
    </row>
    <row r="7" spans="1:4" ht="13.5" thickBot="1">
      <c r="A7" s="223"/>
      <c r="B7" s="224" t="s">
        <v>593</v>
      </c>
      <c r="C7" s="224"/>
      <c r="D7" s="225"/>
    </row>
    <row r="8" spans="1:4" ht="13.5" thickBot="1">
      <c r="A8" s="188" t="s">
        <v>555</v>
      </c>
      <c r="B8" s="226" t="s">
        <v>139</v>
      </c>
      <c r="C8" s="647"/>
      <c r="D8" s="304">
        <f>SUM(D9:D18)</f>
        <v>0</v>
      </c>
    </row>
    <row r="9" spans="1:4" ht="12.75">
      <c r="A9" s="426" t="s">
        <v>640</v>
      </c>
      <c r="B9" s="8" t="s">
        <v>831</v>
      </c>
      <c r="C9" s="1074"/>
      <c r="D9" s="351"/>
    </row>
    <row r="10" spans="1:4" ht="12.75">
      <c r="A10" s="427" t="s">
        <v>641</v>
      </c>
      <c r="B10" s="6" t="s">
        <v>832</v>
      </c>
      <c r="C10" s="1075"/>
      <c r="D10" s="302"/>
    </row>
    <row r="11" spans="1:4" ht="12.75">
      <c r="A11" s="427" t="s">
        <v>642</v>
      </c>
      <c r="B11" s="6" t="s">
        <v>833</v>
      </c>
      <c r="C11" s="1075"/>
      <c r="D11" s="302"/>
    </row>
    <row r="12" spans="1:4" ht="12.75">
      <c r="A12" s="427" t="s">
        <v>643</v>
      </c>
      <c r="B12" s="6" t="s">
        <v>834</v>
      </c>
      <c r="C12" s="1075"/>
      <c r="D12" s="302"/>
    </row>
    <row r="13" spans="1:4" ht="12.75">
      <c r="A13" s="427" t="s">
        <v>686</v>
      </c>
      <c r="B13" s="6" t="s">
        <v>835</v>
      </c>
      <c r="C13" s="1075"/>
      <c r="D13" s="302"/>
    </row>
    <row r="14" spans="1:4" ht="12.75">
      <c r="A14" s="427" t="s">
        <v>644</v>
      </c>
      <c r="B14" s="6" t="s">
        <v>140</v>
      </c>
      <c r="C14" s="1075"/>
      <c r="D14" s="302"/>
    </row>
    <row r="15" spans="1:4" ht="12.75">
      <c r="A15" s="427" t="s">
        <v>645</v>
      </c>
      <c r="B15" s="5" t="s">
        <v>141</v>
      </c>
      <c r="C15" s="6"/>
      <c r="D15" s="302"/>
    </row>
    <row r="16" spans="1:4" ht="12.75">
      <c r="A16" s="427" t="s">
        <v>655</v>
      </c>
      <c r="B16" s="6" t="s">
        <v>838</v>
      </c>
      <c r="C16" s="6"/>
      <c r="D16" s="352"/>
    </row>
    <row r="17" spans="1:4" ht="12.75">
      <c r="A17" s="427" t="s">
        <v>656</v>
      </c>
      <c r="B17" s="6" t="s">
        <v>839</v>
      </c>
      <c r="C17" s="1075"/>
      <c r="D17" s="302"/>
    </row>
    <row r="18" spans="1:4" ht="13.5" thickBot="1">
      <c r="A18" s="427" t="s">
        <v>657</v>
      </c>
      <c r="B18" s="5" t="s">
        <v>840</v>
      </c>
      <c r="C18" s="1076"/>
      <c r="D18" s="303"/>
    </row>
    <row r="19" spans="1:4" ht="13.5" thickBot="1">
      <c r="A19" s="188" t="s">
        <v>556</v>
      </c>
      <c r="B19" s="226" t="s">
        <v>142</v>
      </c>
      <c r="C19" s="647"/>
      <c r="D19" s="304">
        <f>SUM(D20:D22)</f>
        <v>0</v>
      </c>
    </row>
    <row r="20" spans="1:4" ht="12.75">
      <c r="A20" s="427" t="s">
        <v>646</v>
      </c>
      <c r="B20" s="7" t="s">
        <v>806</v>
      </c>
      <c r="C20" s="1077"/>
      <c r="D20" s="302"/>
    </row>
    <row r="21" spans="1:4" ht="12.75">
      <c r="A21" s="427" t="s">
        <v>647</v>
      </c>
      <c r="B21" s="6" t="s">
        <v>143</v>
      </c>
      <c r="C21" s="1075"/>
      <c r="D21" s="302"/>
    </row>
    <row r="22" spans="1:4" ht="12.75">
      <c r="A22" s="427" t="s">
        <v>648</v>
      </c>
      <c r="B22" s="6" t="s">
        <v>144</v>
      </c>
      <c r="C22" s="1075"/>
      <c r="D22" s="302"/>
    </row>
    <row r="23" spans="1:4" ht="13.5" thickBot="1">
      <c r="A23" s="427" t="s">
        <v>649</v>
      </c>
      <c r="B23" s="6" t="s">
        <v>538</v>
      </c>
      <c r="C23" s="1075"/>
      <c r="D23" s="302"/>
    </row>
    <row r="24" spans="1:4" ht="13.5" thickBot="1">
      <c r="A24" s="196" t="s">
        <v>557</v>
      </c>
      <c r="B24" s="121" t="s">
        <v>710</v>
      </c>
      <c r="C24" s="1078"/>
      <c r="D24" s="331"/>
    </row>
    <row r="25" spans="1:4" ht="13.5" thickBot="1">
      <c r="A25" s="196" t="s">
        <v>558</v>
      </c>
      <c r="B25" s="121" t="s">
        <v>145</v>
      </c>
      <c r="C25" s="1078"/>
      <c r="D25" s="304">
        <f>+D26+D27</f>
        <v>0</v>
      </c>
    </row>
    <row r="26" spans="1:4" ht="12.75">
      <c r="A26" s="428" t="s">
        <v>816</v>
      </c>
      <c r="B26" s="429" t="s">
        <v>143</v>
      </c>
      <c r="C26" s="1079"/>
      <c r="D26" s="76"/>
    </row>
    <row r="27" spans="1:4" ht="12.75">
      <c r="A27" s="428" t="s">
        <v>819</v>
      </c>
      <c r="B27" s="430" t="s">
        <v>146</v>
      </c>
      <c r="C27" s="430"/>
      <c r="D27" s="305"/>
    </row>
    <row r="28" spans="1:4" ht="13.5" thickBot="1">
      <c r="A28" s="427" t="s">
        <v>820</v>
      </c>
      <c r="B28" s="431" t="s">
        <v>147</v>
      </c>
      <c r="C28" s="1081"/>
      <c r="D28" s="83"/>
    </row>
    <row r="29" spans="1:4" ht="13.5" thickBot="1">
      <c r="A29" s="196" t="s">
        <v>559</v>
      </c>
      <c r="B29" s="121" t="s">
        <v>148</v>
      </c>
      <c r="C29" s="1078"/>
      <c r="D29" s="304">
        <f>+D30+D31+D32</f>
        <v>0</v>
      </c>
    </row>
    <row r="30" spans="1:4" ht="12.75">
      <c r="A30" s="428" t="s">
        <v>633</v>
      </c>
      <c r="B30" s="429" t="s">
        <v>845</v>
      </c>
      <c r="C30" s="1079"/>
      <c r="D30" s="76"/>
    </row>
    <row r="31" spans="1:4" ht="12.75">
      <c r="A31" s="428" t="s">
        <v>634</v>
      </c>
      <c r="B31" s="430" t="s">
        <v>846</v>
      </c>
      <c r="C31" s="430"/>
      <c r="D31" s="305"/>
    </row>
    <row r="32" spans="1:4" ht="13.5" thickBot="1">
      <c r="A32" s="427" t="s">
        <v>635</v>
      </c>
      <c r="B32" s="129" t="s">
        <v>847</v>
      </c>
      <c r="C32" s="1082"/>
      <c r="D32" s="83"/>
    </row>
    <row r="33" spans="1:4" ht="13.5" thickBot="1">
      <c r="A33" s="196" t="s">
        <v>560</v>
      </c>
      <c r="B33" s="121" t="s">
        <v>104</v>
      </c>
      <c r="C33" s="1078"/>
      <c r="D33" s="331"/>
    </row>
    <row r="34" spans="1:4" ht="13.5" thickBot="1">
      <c r="A34" s="196" t="s">
        <v>561</v>
      </c>
      <c r="B34" s="121" t="s">
        <v>149</v>
      </c>
      <c r="C34" s="1083"/>
      <c r="D34" s="331"/>
    </row>
    <row r="35" spans="1:4" ht="13.5" thickBot="1">
      <c r="A35" s="188" t="s">
        <v>562</v>
      </c>
      <c r="B35" s="121" t="s">
        <v>150</v>
      </c>
      <c r="C35" s="1083"/>
      <c r="D35" s="304">
        <f>+D8+D19+D24+D25+D29+D33+D34</f>
        <v>0</v>
      </c>
    </row>
    <row r="36" spans="1:4" ht="13.5" thickBot="1">
      <c r="A36" s="227" t="s">
        <v>563</v>
      </c>
      <c r="B36" s="121" t="s">
        <v>151</v>
      </c>
      <c r="C36" s="1083"/>
      <c r="D36" s="304">
        <f>+D37+D38+D39</f>
        <v>0</v>
      </c>
    </row>
    <row r="37" spans="1:4" ht="12.75">
      <c r="A37" s="428" t="s">
        <v>152</v>
      </c>
      <c r="B37" s="429" t="s">
        <v>779</v>
      </c>
      <c r="C37" s="1079"/>
      <c r="D37" s="76"/>
    </row>
    <row r="38" spans="1:4" ht="12.75">
      <c r="A38" s="428" t="s">
        <v>153</v>
      </c>
      <c r="B38" s="430" t="s">
        <v>539</v>
      </c>
      <c r="C38" s="1093"/>
      <c r="D38" s="305"/>
    </row>
    <row r="39" spans="1:4" ht="13.5" thickBot="1">
      <c r="A39" s="427" t="s">
        <v>154</v>
      </c>
      <c r="B39" s="129" t="s">
        <v>155</v>
      </c>
      <c r="C39" s="1082"/>
      <c r="D39" s="83"/>
    </row>
    <row r="40" spans="1:4" ht="13.5" thickBot="1">
      <c r="A40" s="227" t="s">
        <v>564</v>
      </c>
      <c r="B40" s="228" t="s">
        <v>156</v>
      </c>
      <c r="C40" s="1084"/>
      <c r="D40" s="358">
        <f>+D35+D36</f>
        <v>0</v>
      </c>
    </row>
    <row r="41" spans="1:4" ht="13.5" thickBot="1">
      <c r="A41" s="229"/>
      <c r="B41" s="230"/>
      <c r="C41" s="230"/>
      <c r="D41" s="355"/>
    </row>
    <row r="42" spans="1:4" ht="13.5" thickBot="1">
      <c r="A42" s="233"/>
      <c r="B42" s="234" t="s">
        <v>595</v>
      </c>
      <c r="C42" s="234"/>
      <c r="D42" s="357"/>
    </row>
    <row r="43" spans="1:4" ht="13.5" thickBot="1">
      <c r="A43" s="196" t="s">
        <v>555</v>
      </c>
      <c r="B43" s="121" t="s">
        <v>157</v>
      </c>
      <c r="C43" s="1078"/>
      <c r="D43" s="304">
        <f>SUM(D44:D48)</f>
        <v>0</v>
      </c>
    </row>
    <row r="44" spans="1:4" ht="12.75">
      <c r="A44" s="427" t="s">
        <v>640</v>
      </c>
      <c r="B44" s="7" t="s">
        <v>585</v>
      </c>
      <c r="C44" s="1077"/>
      <c r="D44" s="76"/>
    </row>
    <row r="45" spans="1:4" ht="12.75">
      <c r="A45" s="427" t="s">
        <v>641</v>
      </c>
      <c r="B45" s="6" t="s">
        <v>719</v>
      </c>
      <c r="C45" s="1075"/>
      <c r="D45" s="79"/>
    </row>
    <row r="46" spans="1:4" ht="12.75">
      <c r="A46" s="427" t="s">
        <v>642</v>
      </c>
      <c r="B46" s="6" t="s">
        <v>678</v>
      </c>
      <c r="C46" s="1075"/>
      <c r="D46" s="79"/>
    </row>
    <row r="47" spans="1:4" ht="12.75">
      <c r="A47" s="427" t="s">
        <v>643</v>
      </c>
      <c r="B47" s="6" t="s">
        <v>720</v>
      </c>
      <c r="C47" s="1075"/>
      <c r="D47" s="79"/>
    </row>
    <row r="48" spans="1:4" ht="13.5" thickBot="1">
      <c r="A48" s="427" t="s">
        <v>686</v>
      </c>
      <c r="B48" s="6" t="s">
        <v>721</v>
      </c>
      <c r="C48" s="1075"/>
      <c r="D48" s="79"/>
    </row>
    <row r="49" spans="1:4" ht="13.5" thickBot="1">
      <c r="A49" s="196" t="s">
        <v>556</v>
      </c>
      <c r="B49" s="121" t="s">
        <v>158</v>
      </c>
      <c r="C49" s="1078"/>
      <c r="D49" s="304">
        <f>SUM(D50:D52)</f>
        <v>0</v>
      </c>
    </row>
    <row r="50" spans="1:4" ht="12.75">
      <c r="A50" s="427" t="s">
        <v>646</v>
      </c>
      <c r="B50" s="7" t="s">
        <v>769</v>
      </c>
      <c r="C50" s="1077"/>
      <c r="D50" s="76"/>
    </row>
    <row r="51" spans="1:4" ht="12.75">
      <c r="A51" s="427" t="s">
        <v>647</v>
      </c>
      <c r="B51" s="6" t="s">
        <v>723</v>
      </c>
      <c r="C51" s="1075"/>
      <c r="D51" s="79"/>
    </row>
    <row r="52" spans="1:4" ht="12.75">
      <c r="A52" s="427" t="s">
        <v>648</v>
      </c>
      <c r="B52" s="6" t="s">
        <v>596</v>
      </c>
      <c r="C52" s="1075"/>
      <c r="D52" s="79"/>
    </row>
    <row r="53" spans="1:4" ht="13.5" thickBot="1">
      <c r="A53" s="427" t="s">
        <v>649</v>
      </c>
      <c r="B53" s="6" t="s">
        <v>540</v>
      </c>
      <c r="C53" s="1075"/>
      <c r="D53" s="79"/>
    </row>
    <row r="54" spans="1:4" ht="13.5" thickBot="1">
      <c r="A54" s="196" t="s">
        <v>557</v>
      </c>
      <c r="B54" s="235" t="s">
        <v>164</v>
      </c>
      <c r="C54" s="1085"/>
      <c r="D54" s="358">
        <f>+D43+D49</f>
        <v>0</v>
      </c>
    </row>
    <row r="55" spans="1:4" ht="13.5" thickBot="1">
      <c r="A55" s="236"/>
      <c r="B55" s="237"/>
      <c r="C55" s="237"/>
      <c r="D55" s="359"/>
    </row>
    <row r="56" spans="1:4" ht="13.5" thickBot="1">
      <c r="A56" s="238" t="s">
        <v>742</v>
      </c>
      <c r="B56" s="239"/>
      <c r="C56" s="1086"/>
      <c r="D56" s="118"/>
    </row>
    <row r="57" spans="1:4" ht="13.5" thickBot="1">
      <c r="A57" s="238" t="s">
        <v>743</v>
      </c>
      <c r="B57" s="239"/>
      <c r="C57" s="1086"/>
      <c r="D57" s="118"/>
    </row>
    <row r="58" spans="1:4" ht="12.75">
      <c r="A58" s="236"/>
      <c r="B58" s="237"/>
      <c r="C58" s="237"/>
      <c r="D58" s="237"/>
    </row>
    <row r="59" spans="1:4" ht="12.75">
      <c r="A59" s="236"/>
      <c r="B59" s="237"/>
      <c r="C59" s="237"/>
      <c r="D59" s="237"/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D59"/>
  <sheetViews>
    <sheetView view="pageBreakPreview" zoomScale="60" zoomScalePageLayoutView="0" workbookViewId="0" topLeftCell="A1">
      <selection activeCell="L50" sqref="L50"/>
    </sheetView>
  </sheetViews>
  <sheetFormatPr defaultColWidth="9.00390625" defaultRowHeight="12.75"/>
  <cols>
    <col min="1" max="1" width="18.875" style="0" customWidth="1"/>
    <col min="2" max="2" width="66.125" style="0" customWidth="1"/>
    <col min="3" max="4" width="21.00390625" style="0" customWidth="1"/>
  </cols>
  <sheetData>
    <row r="1" spans="1:4" ht="16.5" thickBot="1">
      <c r="A1" s="215"/>
      <c r="B1" s="217"/>
      <c r="C1" s="217"/>
      <c r="D1" s="432" t="s">
        <v>163</v>
      </c>
    </row>
    <row r="2" spans="1:4" ht="24">
      <c r="A2" s="385" t="s">
        <v>740</v>
      </c>
      <c r="B2" s="345" t="s">
        <v>189</v>
      </c>
      <c r="C2" s="1071"/>
      <c r="D2" s="360" t="s">
        <v>182</v>
      </c>
    </row>
    <row r="3" spans="1:4" ht="24.75" thickBot="1">
      <c r="A3" s="425" t="s">
        <v>739</v>
      </c>
      <c r="B3" s="346" t="s">
        <v>168</v>
      </c>
      <c r="C3" s="1072"/>
      <c r="D3" s="361" t="s">
        <v>182</v>
      </c>
    </row>
    <row r="4" spans="1:4" ht="14.25" thickBot="1">
      <c r="A4" s="219"/>
      <c r="B4" s="219"/>
      <c r="C4" s="219"/>
      <c r="D4" s="220" t="s">
        <v>590</v>
      </c>
    </row>
    <row r="5" spans="1:4" ht="13.5" thickBot="1">
      <c r="A5" s="386" t="s">
        <v>741</v>
      </c>
      <c r="B5" s="221" t="s">
        <v>591</v>
      </c>
      <c r="C5" s="222" t="s">
        <v>592</v>
      </c>
      <c r="D5" s="222" t="s">
        <v>886</v>
      </c>
    </row>
    <row r="6" spans="1:4" ht="13.5" thickBot="1">
      <c r="A6" s="188">
        <v>1</v>
      </c>
      <c r="B6" s="189">
        <v>2</v>
      </c>
      <c r="C6" s="1073">
        <v>3</v>
      </c>
      <c r="D6" s="190">
        <v>4</v>
      </c>
    </row>
    <row r="7" spans="1:4" ht="13.5" thickBot="1">
      <c r="A7" s="223"/>
      <c r="B7" s="224" t="s">
        <v>593</v>
      </c>
      <c r="C7" s="224"/>
      <c r="D7" s="225"/>
    </row>
    <row r="8" spans="1:4" ht="13.5" thickBot="1">
      <c r="A8" s="188" t="s">
        <v>555</v>
      </c>
      <c r="B8" s="226" t="s">
        <v>139</v>
      </c>
      <c r="C8" s="647"/>
      <c r="D8" s="304">
        <f>SUM(D9:D18)</f>
        <v>0</v>
      </c>
    </row>
    <row r="9" spans="1:4" ht="12.75">
      <c r="A9" s="426" t="s">
        <v>640</v>
      </c>
      <c r="B9" s="8" t="s">
        <v>831</v>
      </c>
      <c r="C9" s="1074"/>
      <c r="D9" s="351"/>
    </row>
    <row r="10" spans="1:4" ht="12.75">
      <c r="A10" s="427" t="s">
        <v>641</v>
      </c>
      <c r="B10" s="6" t="s">
        <v>832</v>
      </c>
      <c r="C10" s="1075"/>
      <c r="D10" s="302"/>
    </row>
    <row r="11" spans="1:4" ht="12.75">
      <c r="A11" s="427" t="s">
        <v>642</v>
      </c>
      <c r="B11" s="6" t="s">
        <v>833</v>
      </c>
      <c r="C11" s="1075"/>
      <c r="D11" s="302"/>
    </row>
    <row r="12" spans="1:4" ht="12.75">
      <c r="A12" s="427" t="s">
        <v>643</v>
      </c>
      <c r="B12" s="6" t="s">
        <v>834</v>
      </c>
      <c r="C12" s="1075"/>
      <c r="D12" s="302"/>
    </row>
    <row r="13" spans="1:4" ht="12.75">
      <c r="A13" s="427" t="s">
        <v>686</v>
      </c>
      <c r="B13" s="6" t="s">
        <v>835</v>
      </c>
      <c r="C13" s="1075"/>
      <c r="D13" s="302"/>
    </row>
    <row r="14" spans="1:4" ht="12.75">
      <c r="A14" s="427" t="s">
        <v>644</v>
      </c>
      <c r="B14" s="6" t="s">
        <v>140</v>
      </c>
      <c r="C14" s="1075"/>
      <c r="D14" s="302"/>
    </row>
    <row r="15" spans="1:4" ht="12.75">
      <c r="A15" s="427" t="s">
        <v>645</v>
      </c>
      <c r="B15" s="5" t="s">
        <v>141</v>
      </c>
      <c r="C15" s="6"/>
      <c r="D15" s="302"/>
    </row>
    <row r="16" spans="1:4" ht="12.75">
      <c r="A16" s="427" t="s">
        <v>655</v>
      </c>
      <c r="B16" s="6" t="s">
        <v>838</v>
      </c>
      <c r="C16" s="6"/>
      <c r="D16" s="352"/>
    </row>
    <row r="17" spans="1:4" ht="12.75">
      <c r="A17" s="427" t="s">
        <v>656</v>
      </c>
      <c r="B17" s="6" t="s">
        <v>839</v>
      </c>
      <c r="C17" s="1075"/>
      <c r="D17" s="302"/>
    </row>
    <row r="18" spans="1:4" ht="13.5" thickBot="1">
      <c r="A18" s="427" t="s">
        <v>657</v>
      </c>
      <c r="B18" s="5" t="s">
        <v>840</v>
      </c>
      <c r="C18" s="1076"/>
      <c r="D18" s="303"/>
    </row>
    <row r="19" spans="1:4" ht="13.5" thickBot="1">
      <c r="A19" s="188" t="s">
        <v>556</v>
      </c>
      <c r="B19" s="226" t="s">
        <v>142</v>
      </c>
      <c r="C19" s="647"/>
      <c r="D19" s="304">
        <f>SUM(D20:D22)</f>
        <v>0</v>
      </c>
    </row>
    <row r="20" spans="1:4" ht="12.75">
      <c r="A20" s="427" t="s">
        <v>646</v>
      </c>
      <c r="B20" s="7" t="s">
        <v>806</v>
      </c>
      <c r="C20" s="1077"/>
      <c r="D20" s="302"/>
    </row>
    <row r="21" spans="1:4" ht="12.75">
      <c r="A21" s="427" t="s">
        <v>647</v>
      </c>
      <c r="B21" s="6" t="s">
        <v>143</v>
      </c>
      <c r="C21" s="1075"/>
      <c r="D21" s="302"/>
    </row>
    <row r="22" spans="1:4" ht="12.75">
      <c r="A22" s="427" t="s">
        <v>648</v>
      </c>
      <c r="B22" s="6" t="s">
        <v>144</v>
      </c>
      <c r="C22" s="1075"/>
      <c r="D22" s="302"/>
    </row>
    <row r="23" spans="1:4" ht="13.5" thickBot="1">
      <c r="A23" s="427" t="s">
        <v>649</v>
      </c>
      <c r="B23" s="6" t="s">
        <v>538</v>
      </c>
      <c r="C23" s="1075"/>
      <c r="D23" s="302"/>
    </row>
    <row r="24" spans="1:4" ht="13.5" thickBot="1">
      <c r="A24" s="196" t="s">
        <v>557</v>
      </c>
      <c r="B24" s="121" t="s">
        <v>710</v>
      </c>
      <c r="C24" s="1078"/>
      <c r="D24" s="331"/>
    </row>
    <row r="25" spans="1:4" ht="13.5" thickBot="1">
      <c r="A25" s="196" t="s">
        <v>558</v>
      </c>
      <c r="B25" s="121" t="s">
        <v>145</v>
      </c>
      <c r="C25" s="1078"/>
      <c r="D25" s="304">
        <f>+D26+D27</f>
        <v>0</v>
      </c>
    </row>
    <row r="26" spans="1:4" ht="12.75">
      <c r="A26" s="428" t="s">
        <v>816</v>
      </c>
      <c r="B26" s="429" t="s">
        <v>143</v>
      </c>
      <c r="C26" s="1079"/>
      <c r="D26" s="76"/>
    </row>
    <row r="27" spans="1:4" ht="12.75">
      <c r="A27" s="428" t="s">
        <v>819</v>
      </c>
      <c r="B27" s="430" t="s">
        <v>146</v>
      </c>
      <c r="C27" s="430"/>
      <c r="D27" s="305"/>
    </row>
    <row r="28" spans="1:4" ht="13.5" thickBot="1">
      <c r="A28" s="427" t="s">
        <v>820</v>
      </c>
      <c r="B28" s="431" t="s">
        <v>147</v>
      </c>
      <c r="C28" s="1104"/>
      <c r="D28" s="83"/>
    </row>
    <row r="29" spans="1:4" ht="13.5" thickBot="1">
      <c r="A29" s="196" t="s">
        <v>559</v>
      </c>
      <c r="B29" s="121" t="s">
        <v>148</v>
      </c>
      <c r="C29" s="1078"/>
      <c r="D29" s="304">
        <f>+D30+D31+D32</f>
        <v>0</v>
      </c>
    </row>
    <row r="30" spans="1:4" ht="12.75">
      <c r="A30" s="428" t="s">
        <v>633</v>
      </c>
      <c r="B30" s="429" t="s">
        <v>845</v>
      </c>
      <c r="C30" s="1079"/>
      <c r="D30" s="76"/>
    </row>
    <row r="31" spans="1:4" ht="12.75">
      <c r="A31" s="428" t="s">
        <v>634</v>
      </c>
      <c r="B31" s="430" t="s">
        <v>846</v>
      </c>
      <c r="C31" s="430"/>
      <c r="D31" s="305"/>
    </row>
    <row r="32" spans="1:4" ht="13.5" thickBot="1">
      <c r="A32" s="427" t="s">
        <v>635</v>
      </c>
      <c r="B32" s="129" t="s">
        <v>847</v>
      </c>
      <c r="C32" s="1090"/>
      <c r="D32" s="83"/>
    </row>
    <row r="33" spans="1:4" ht="13.5" thickBot="1">
      <c r="A33" s="196" t="s">
        <v>560</v>
      </c>
      <c r="B33" s="121" t="s">
        <v>104</v>
      </c>
      <c r="C33" s="1078"/>
      <c r="D33" s="331"/>
    </row>
    <row r="34" spans="1:4" ht="13.5" thickBot="1">
      <c r="A34" s="196" t="s">
        <v>561</v>
      </c>
      <c r="B34" s="121" t="s">
        <v>149</v>
      </c>
      <c r="C34" s="1083"/>
      <c r="D34" s="353"/>
    </row>
    <row r="35" spans="1:4" ht="13.5" thickBot="1">
      <c r="A35" s="188" t="s">
        <v>562</v>
      </c>
      <c r="B35" s="121" t="s">
        <v>150</v>
      </c>
      <c r="C35" s="1083"/>
      <c r="D35" s="354">
        <f>+D8+D19+D24+D25+D29+D33+D34</f>
        <v>0</v>
      </c>
    </row>
    <row r="36" spans="1:4" ht="13.5" thickBot="1">
      <c r="A36" s="227" t="s">
        <v>563</v>
      </c>
      <c r="B36" s="121" t="s">
        <v>151</v>
      </c>
      <c r="C36" s="1083"/>
      <c r="D36" s="354">
        <f>+D37+D38+D39</f>
        <v>0</v>
      </c>
    </row>
    <row r="37" spans="1:4" ht="12.75">
      <c r="A37" s="428" t="s">
        <v>152</v>
      </c>
      <c r="B37" s="429" t="s">
        <v>779</v>
      </c>
      <c r="C37" s="1079"/>
      <c r="D37" s="76"/>
    </row>
    <row r="38" spans="1:4" ht="12.75">
      <c r="A38" s="428" t="s">
        <v>153</v>
      </c>
      <c r="B38" s="430" t="s">
        <v>539</v>
      </c>
      <c r="C38" s="430"/>
      <c r="D38" s="305"/>
    </row>
    <row r="39" spans="1:4" ht="13.5" thickBot="1">
      <c r="A39" s="427" t="s">
        <v>154</v>
      </c>
      <c r="B39" s="129" t="s">
        <v>155</v>
      </c>
      <c r="C39" s="1090"/>
      <c r="D39" s="83"/>
    </row>
    <row r="40" spans="1:4" ht="13.5" thickBot="1">
      <c r="A40" s="227" t="s">
        <v>564</v>
      </c>
      <c r="B40" s="228" t="s">
        <v>156</v>
      </c>
      <c r="C40" s="1084"/>
      <c r="D40" s="357">
        <f>+D35+D36</f>
        <v>0</v>
      </c>
    </row>
    <row r="41" spans="1:4" ht="13.5" thickBot="1">
      <c r="A41" s="229"/>
      <c r="B41" s="230"/>
      <c r="C41" s="230"/>
      <c r="D41" s="355"/>
    </row>
    <row r="42" spans="1:4" ht="13.5" thickBot="1">
      <c r="A42" s="233"/>
      <c r="B42" s="234" t="s">
        <v>595</v>
      </c>
      <c r="C42" s="234"/>
      <c r="D42" s="357"/>
    </row>
    <row r="43" spans="1:4" ht="13.5" thickBot="1">
      <c r="A43" s="196" t="s">
        <v>555</v>
      </c>
      <c r="B43" s="121" t="s">
        <v>157</v>
      </c>
      <c r="C43" s="1078"/>
      <c r="D43" s="304">
        <f>SUM(D44:D48)</f>
        <v>0</v>
      </c>
    </row>
    <row r="44" spans="1:4" ht="12.75">
      <c r="A44" s="427" t="s">
        <v>640</v>
      </c>
      <c r="B44" s="7" t="s">
        <v>585</v>
      </c>
      <c r="C44" s="1077"/>
      <c r="D44" s="76"/>
    </row>
    <row r="45" spans="1:4" ht="12.75">
      <c r="A45" s="427" t="s">
        <v>641</v>
      </c>
      <c r="B45" s="6" t="s">
        <v>719</v>
      </c>
      <c r="C45" s="1075"/>
      <c r="D45" s="79"/>
    </row>
    <row r="46" spans="1:4" ht="12.75">
      <c r="A46" s="427" t="s">
        <v>642</v>
      </c>
      <c r="B46" s="6" t="s">
        <v>678</v>
      </c>
      <c r="C46" s="1075"/>
      <c r="D46" s="79"/>
    </row>
    <row r="47" spans="1:4" ht="12.75">
      <c r="A47" s="427" t="s">
        <v>643</v>
      </c>
      <c r="B47" s="6" t="s">
        <v>720</v>
      </c>
      <c r="C47" s="1075"/>
      <c r="D47" s="79"/>
    </row>
    <row r="48" spans="1:4" ht="13.5" thickBot="1">
      <c r="A48" s="427" t="s">
        <v>686</v>
      </c>
      <c r="B48" s="6" t="s">
        <v>721</v>
      </c>
      <c r="C48" s="1075"/>
      <c r="D48" s="79"/>
    </row>
    <row r="49" spans="1:4" ht="13.5" thickBot="1">
      <c r="A49" s="196" t="s">
        <v>556</v>
      </c>
      <c r="B49" s="121" t="s">
        <v>158</v>
      </c>
      <c r="C49" s="1078"/>
      <c r="D49" s="304">
        <f>SUM(D50:D52)</f>
        <v>0</v>
      </c>
    </row>
    <row r="50" spans="1:4" ht="12.75">
      <c r="A50" s="427" t="s">
        <v>646</v>
      </c>
      <c r="B50" s="7" t="s">
        <v>769</v>
      </c>
      <c r="C50" s="1077"/>
      <c r="D50" s="76"/>
    </row>
    <row r="51" spans="1:4" ht="12.75">
      <c r="A51" s="427" t="s">
        <v>647</v>
      </c>
      <c r="B51" s="6" t="s">
        <v>723</v>
      </c>
      <c r="C51" s="1075"/>
      <c r="D51" s="79"/>
    </row>
    <row r="52" spans="1:4" ht="12.75">
      <c r="A52" s="427" t="s">
        <v>648</v>
      </c>
      <c r="B52" s="6" t="s">
        <v>596</v>
      </c>
      <c r="C52" s="1075"/>
      <c r="D52" s="79"/>
    </row>
    <row r="53" spans="1:4" ht="13.5" thickBot="1">
      <c r="A53" s="427" t="s">
        <v>649</v>
      </c>
      <c r="B53" s="6" t="s">
        <v>540</v>
      </c>
      <c r="C53" s="1075"/>
      <c r="D53" s="79"/>
    </row>
    <row r="54" spans="1:4" ht="13.5" thickBot="1">
      <c r="A54" s="196" t="s">
        <v>557</v>
      </c>
      <c r="B54" s="235" t="s">
        <v>164</v>
      </c>
      <c r="C54" s="1085"/>
      <c r="D54" s="358">
        <f>+D43+D49</f>
        <v>0</v>
      </c>
    </row>
    <row r="55" spans="1:4" ht="13.5" thickBot="1">
      <c r="A55" s="236"/>
      <c r="B55" s="237"/>
      <c r="C55" s="237"/>
      <c r="D55" s="359"/>
    </row>
    <row r="56" spans="1:4" ht="13.5" thickBot="1">
      <c r="A56" s="238" t="s">
        <v>742</v>
      </c>
      <c r="B56" s="239"/>
      <c r="C56" s="1086"/>
      <c r="D56" s="118"/>
    </row>
    <row r="57" spans="1:4" ht="13.5" thickBot="1">
      <c r="A57" s="238" t="s">
        <v>743</v>
      </c>
      <c r="B57" s="239"/>
      <c r="C57" s="1086"/>
      <c r="D57" s="118"/>
    </row>
    <row r="58" spans="1:4" ht="12.75">
      <c r="A58" s="236"/>
      <c r="B58" s="237"/>
      <c r="C58" s="237"/>
      <c r="D58" s="237"/>
    </row>
    <row r="59" spans="1:4" ht="12.75">
      <c r="A59" s="236"/>
      <c r="B59" s="237"/>
      <c r="C59" s="237"/>
      <c r="D59" s="237"/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BreakPreview" zoomScale="60" workbookViewId="0" topLeftCell="A1">
      <selection activeCell="B30" sqref="B29:B30"/>
    </sheetView>
  </sheetViews>
  <sheetFormatPr defaultColWidth="9.00390625" defaultRowHeight="12.75"/>
  <cols>
    <col min="1" max="1" width="5.50390625" style="45" customWidth="1"/>
    <col min="2" max="2" width="33.125" style="45" customWidth="1"/>
    <col min="3" max="3" width="12.375" style="45" customWidth="1"/>
    <col min="4" max="4" width="11.50390625" style="45" customWidth="1"/>
    <col min="5" max="5" width="11.375" style="45" customWidth="1"/>
    <col min="6" max="6" width="11.00390625" style="45" customWidth="1"/>
    <col min="7" max="7" width="14.375" style="45" customWidth="1"/>
    <col min="8" max="16384" width="9.375" style="45" customWidth="1"/>
  </cols>
  <sheetData>
    <row r="1" spans="1:7" ht="43.5" customHeight="1">
      <c r="A1" s="1243" t="s">
        <v>541</v>
      </c>
      <c r="B1" s="1243"/>
      <c r="C1" s="1243"/>
      <c r="D1" s="1243"/>
      <c r="E1" s="1243"/>
      <c r="F1" s="1243"/>
      <c r="G1" s="1243"/>
    </row>
    <row r="3" spans="1:7" s="151" customFormat="1" ht="27" customHeight="1">
      <c r="A3" s="149" t="s">
        <v>747</v>
      </c>
      <c r="B3" s="150"/>
      <c r="C3" s="1247" t="s">
        <v>748</v>
      </c>
      <c r="D3" s="1247"/>
      <c r="E3" s="1247"/>
      <c r="F3" s="1247"/>
      <c r="G3" s="1247"/>
    </row>
    <row r="4" spans="1:7" s="151" customFormat="1" ht="15.75">
      <c r="A4" s="150"/>
      <c r="B4" s="150"/>
      <c r="C4" s="150"/>
      <c r="D4" s="150"/>
      <c r="E4" s="150"/>
      <c r="F4" s="150"/>
      <c r="G4" s="150"/>
    </row>
    <row r="5" spans="1:7" s="151" customFormat="1" ht="24.75" customHeight="1">
      <c r="A5" s="149" t="s">
        <v>749</v>
      </c>
      <c r="B5" s="150"/>
      <c r="C5" s="1247" t="s">
        <v>748</v>
      </c>
      <c r="D5" s="1247"/>
      <c r="E5" s="1247"/>
      <c r="F5" s="1247"/>
      <c r="G5" s="150"/>
    </row>
    <row r="6" spans="1:7" s="152" customFormat="1" ht="12.75">
      <c r="A6" s="200"/>
      <c r="B6" s="200"/>
      <c r="C6" s="200"/>
      <c r="D6" s="200"/>
      <c r="E6" s="200"/>
      <c r="F6" s="200"/>
      <c r="G6" s="200"/>
    </row>
    <row r="7" spans="1:7" s="153" customFormat="1" ht="15" customHeight="1">
      <c r="A7" s="257" t="s">
        <v>750</v>
      </c>
      <c r="B7" s="256"/>
      <c r="C7" s="256"/>
      <c r="D7" s="242"/>
      <c r="E7" s="242"/>
      <c r="F7" s="242"/>
      <c r="G7" s="242"/>
    </row>
    <row r="8" spans="1:7" s="153" customFormat="1" ht="15" customHeight="1" thickBot="1">
      <c r="A8" s="257" t="s">
        <v>751</v>
      </c>
      <c r="B8" s="242"/>
      <c r="C8" s="242"/>
      <c r="D8" s="242"/>
      <c r="E8" s="242"/>
      <c r="F8" s="242"/>
      <c r="G8" s="242"/>
    </row>
    <row r="9" spans="1:7" s="75" customFormat="1" ht="42" customHeight="1" thickBot="1">
      <c r="A9" s="185" t="s">
        <v>553</v>
      </c>
      <c r="B9" s="186" t="s">
        <v>752</v>
      </c>
      <c r="C9" s="186" t="s">
        <v>753</v>
      </c>
      <c r="D9" s="186" t="s">
        <v>754</v>
      </c>
      <c r="E9" s="186" t="s">
        <v>755</v>
      </c>
      <c r="F9" s="186" t="s">
        <v>756</v>
      </c>
      <c r="G9" s="187" t="s">
        <v>588</v>
      </c>
    </row>
    <row r="10" spans="1:7" ht="24" customHeight="1">
      <c r="A10" s="243" t="s">
        <v>555</v>
      </c>
      <c r="B10" s="194" t="s">
        <v>757</v>
      </c>
      <c r="C10" s="154"/>
      <c r="D10" s="154"/>
      <c r="E10" s="154"/>
      <c r="F10" s="154"/>
      <c r="G10" s="244">
        <f>SUM(C10:F10)</f>
        <v>0</v>
      </c>
    </row>
    <row r="11" spans="1:7" ht="24" customHeight="1">
      <c r="A11" s="245" t="s">
        <v>556</v>
      </c>
      <c r="B11" s="195" t="s">
        <v>758</v>
      </c>
      <c r="C11" s="155"/>
      <c r="D11" s="155"/>
      <c r="E11" s="155"/>
      <c r="F11" s="155"/>
      <c r="G11" s="246">
        <f aca="true" t="shared" si="0" ref="G11:G16">SUM(C11:F11)</f>
        <v>0</v>
      </c>
    </row>
    <row r="12" spans="1:7" ht="24" customHeight="1">
      <c r="A12" s="245" t="s">
        <v>557</v>
      </c>
      <c r="B12" s="195" t="s">
        <v>759</v>
      </c>
      <c r="C12" s="155"/>
      <c r="D12" s="155"/>
      <c r="E12" s="155"/>
      <c r="F12" s="155"/>
      <c r="G12" s="246">
        <f t="shared" si="0"/>
        <v>0</v>
      </c>
    </row>
    <row r="13" spans="1:7" ht="24" customHeight="1">
      <c r="A13" s="245" t="s">
        <v>558</v>
      </c>
      <c r="B13" s="195" t="s">
        <v>760</v>
      </c>
      <c r="C13" s="155"/>
      <c r="D13" s="155"/>
      <c r="E13" s="155"/>
      <c r="F13" s="155"/>
      <c r="G13" s="246">
        <f t="shared" si="0"/>
        <v>0</v>
      </c>
    </row>
    <row r="14" spans="1:7" ht="24" customHeight="1">
      <c r="A14" s="245" t="s">
        <v>559</v>
      </c>
      <c r="B14" s="195" t="s">
        <v>761</v>
      </c>
      <c r="C14" s="155"/>
      <c r="D14" s="155"/>
      <c r="E14" s="155"/>
      <c r="F14" s="155"/>
      <c r="G14" s="246">
        <f t="shared" si="0"/>
        <v>0</v>
      </c>
    </row>
    <row r="15" spans="1:7" ht="24" customHeight="1" thickBot="1">
      <c r="A15" s="247" t="s">
        <v>560</v>
      </c>
      <c r="B15" s="248" t="s">
        <v>762</v>
      </c>
      <c r="C15" s="156"/>
      <c r="D15" s="156"/>
      <c r="E15" s="156"/>
      <c r="F15" s="156"/>
      <c r="G15" s="249">
        <f t="shared" si="0"/>
        <v>0</v>
      </c>
    </row>
    <row r="16" spans="1:7" s="157" customFormat="1" ht="24" customHeight="1" thickBot="1">
      <c r="A16" s="250" t="s">
        <v>561</v>
      </c>
      <c r="B16" s="251" t="s">
        <v>588</v>
      </c>
      <c r="C16" s="252">
        <f>SUM(C10:C15)</f>
        <v>0</v>
      </c>
      <c r="D16" s="252">
        <f>SUM(D10:D15)</f>
        <v>0</v>
      </c>
      <c r="E16" s="252">
        <f>SUM(E10:E15)</f>
        <v>0</v>
      </c>
      <c r="F16" s="252">
        <f>SUM(F10:F15)</f>
        <v>0</v>
      </c>
      <c r="G16" s="253">
        <f t="shared" si="0"/>
        <v>0</v>
      </c>
    </row>
    <row r="17" spans="1:7" s="152" customFormat="1" ht="12.75">
      <c r="A17" s="200"/>
      <c r="B17" s="200"/>
      <c r="C17" s="200"/>
      <c r="D17" s="200"/>
      <c r="E17" s="200"/>
      <c r="F17" s="200"/>
      <c r="G17" s="200"/>
    </row>
    <row r="18" spans="1:7" s="152" customFormat="1" ht="12.75">
      <c r="A18" s="200"/>
      <c r="B18" s="200"/>
      <c r="C18" s="200"/>
      <c r="D18" s="200"/>
      <c r="E18" s="200"/>
      <c r="F18" s="200"/>
      <c r="G18" s="200"/>
    </row>
    <row r="19" spans="1:7" s="152" customFormat="1" ht="12.75">
      <c r="A19" s="200"/>
      <c r="B19" s="200"/>
      <c r="C19" s="200"/>
      <c r="D19" s="200"/>
      <c r="E19" s="200"/>
      <c r="F19" s="200"/>
      <c r="G19" s="200"/>
    </row>
    <row r="20" spans="1:7" s="152" customFormat="1" ht="15.75">
      <c r="A20" s="151" t="s">
        <v>293</v>
      </c>
      <c r="B20" s="200"/>
      <c r="C20" s="200"/>
      <c r="D20" s="200"/>
      <c r="E20" s="200"/>
      <c r="F20" s="200"/>
      <c r="G20" s="200"/>
    </row>
    <row r="21" spans="1:7" s="152" customFormat="1" ht="12.75">
      <c r="A21" s="200"/>
      <c r="B21" s="200"/>
      <c r="C21" s="200"/>
      <c r="D21" s="200"/>
      <c r="E21" s="200"/>
      <c r="F21" s="200"/>
      <c r="G21" s="200"/>
    </row>
    <row r="22" spans="1:7" ht="12.75">
      <c r="A22" s="200"/>
      <c r="B22" s="200"/>
      <c r="C22" s="200"/>
      <c r="D22" s="200"/>
      <c r="E22" s="200"/>
      <c r="F22" s="200"/>
      <c r="G22" s="200"/>
    </row>
    <row r="23" spans="1:7" ht="12.75">
      <c r="A23" s="200"/>
      <c r="B23" s="200"/>
      <c r="C23" s="152"/>
      <c r="D23" s="152"/>
      <c r="E23" s="152"/>
      <c r="F23" s="152"/>
      <c r="G23" s="200"/>
    </row>
    <row r="24" spans="1:7" ht="13.5">
      <c r="A24" s="200"/>
      <c r="B24" s="200"/>
      <c r="C24" s="254"/>
      <c r="D24" s="255" t="s">
        <v>763</v>
      </c>
      <c r="E24" s="255"/>
      <c r="F24" s="254"/>
      <c r="G24" s="200"/>
    </row>
    <row r="25" spans="3:6" ht="13.5">
      <c r="C25" s="158"/>
      <c r="D25" s="159"/>
      <c r="E25" s="159"/>
      <c r="F25" s="158"/>
    </row>
    <row r="26" spans="3:6" ht="13.5">
      <c r="C26" s="158"/>
      <c r="D26" s="159"/>
      <c r="E26" s="159"/>
      <c r="F26" s="158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az 1/2016. (I.26.)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8"/>
  <sheetViews>
    <sheetView view="pageBreakPreview" zoomScaleNormal="120" zoomScaleSheetLayoutView="100" workbookViewId="0" topLeftCell="A118">
      <selection activeCell="B156" sqref="B156"/>
    </sheetView>
  </sheetViews>
  <sheetFormatPr defaultColWidth="9.00390625" defaultRowHeight="12.75"/>
  <cols>
    <col min="1" max="1" width="9.50390625" style="368" customWidth="1"/>
    <col min="2" max="2" width="91.625" style="368" customWidth="1"/>
    <col min="3" max="6" width="21.625" style="369" customWidth="1"/>
    <col min="7" max="16384" width="9.375" style="392" customWidth="1"/>
  </cols>
  <sheetData>
    <row r="1" spans="1:6" ht="15.75" customHeight="1">
      <c r="A1" s="1249" t="s">
        <v>552</v>
      </c>
      <c r="B1" s="1249"/>
      <c r="C1" s="1249"/>
      <c r="D1" s="392"/>
      <c r="E1" s="392"/>
      <c r="F1" s="392"/>
    </row>
    <row r="2" spans="1:6" ht="15.75" customHeight="1" thickBot="1">
      <c r="A2" s="1248" t="s">
        <v>689</v>
      </c>
      <c r="B2" s="1248"/>
      <c r="C2" s="294"/>
      <c r="D2" s="294"/>
      <c r="E2" s="294" t="s">
        <v>770</v>
      </c>
      <c r="F2" s="294"/>
    </row>
    <row r="3" spans="1:6" ht="37.5" customHeight="1" thickBot="1">
      <c r="A3" s="21" t="s">
        <v>610</v>
      </c>
      <c r="B3" s="22" t="s">
        <v>554</v>
      </c>
      <c r="C3" s="37" t="s">
        <v>451</v>
      </c>
      <c r="D3" s="37" t="s">
        <v>884</v>
      </c>
      <c r="E3" s="37" t="s">
        <v>906</v>
      </c>
      <c r="F3" s="37" t="s">
        <v>911</v>
      </c>
    </row>
    <row r="4" spans="1:6" s="393" customFormat="1" ht="12" customHeight="1" thickBot="1">
      <c r="A4" s="387">
        <v>1</v>
      </c>
      <c r="B4" s="388">
        <v>2</v>
      </c>
      <c r="C4" s="389">
        <v>3</v>
      </c>
      <c r="D4" s="389">
        <v>4</v>
      </c>
      <c r="E4" s="389">
        <v>5</v>
      </c>
      <c r="F4" s="389">
        <v>5</v>
      </c>
    </row>
    <row r="5" spans="1:6" s="394" customFormat="1" ht="12" customHeight="1" thickBot="1">
      <c r="A5" s="18" t="s">
        <v>555</v>
      </c>
      <c r="B5" s="19" t="s">
        <v>798</v>
      </c>
      <c r="C5" s="285">
        <f>+C6+C7+C8+C9+C10+C11</f>
        <v>0</v>
      </c>
      <c r="D5" s="285">
        <f>+D6+D7+D8+D9+D10+D11</f>
        <v>0</v>
      </c>
      <c r="E5" s="285">
        <f>+E6+E7+E8+E9+E10+E11</f>
        <v>0</v>
      </c>
      <c r="F5" s="285">
        <f>+F6+F7+F8+F9+F10+F11</f>
        <v>0</v>
      </c>
    </row>
    <row r="6" spans="1:6" s="394" customFormat="1" ht="12" customHeight="1">
      <c r="A6" s="13" t="s">
        <v>640</v>
      </c>
      <c r="B6" s="395" t="s">
        <v>799</v>
      </c>
      <c r="C6" s="288"/>
      <c r="D6" s="288"/>
      <c r="E6" s="288"/>
      <c r="F6" s="288"/>
    </row>
    <row r="7" spans="1:6" s="394" customFormat="1" ht="12" customHeight="1">
      <c r="A7" s="12" t="s">
        <v>641</v>
      </c>
      <c r="B7" s="396" t="s">
        <v>800</v>
      </c>
      <c r="C7" s="287"/>
      <c r="D7" s="287"/>
      <c r="E7" s="287"/>
      <c r="F7" s="287"/>
    </row>
    <row r="8" spans="1:6" s="394" customFormat="1" ht="12" customHeight="1">
      <c r="A8" s="12" t="s">
        <v>642</v>
      </c>
      <c r="B8" s="396" t="s">
        <v>801</v>
      </c>
      <c r="C8" s="287"/>
      <c r="D8" s="287"/>
      <c r="E8" s="287"/>
      <c r="F8" s="287"/>
    </row>
    <row r="9" spans="1:6" s="394" customFormat="1" ht="12" customHeight="1">
      <c r="A9" s="12" t="s">
        <v>643</v>
      </c>
      <c r="B9" s="396" t="s">
        <v>802</v>
      </c>
      <c r="C9" s="287"/>
      <c r="D9" s="287"/>
      <c r="E9" s="287"/>
      <c r="F9" s="287"/>
    </row>
    <row r="10" spans="1:6" s="394" customFormat="1" ht="12" customHeight="1">
      <c r="A10" s="12" t="s">
        <v>686</v>
      </c>
      <c r="B10" s="396" t="s">
        <v>803</v>
      </c>
      <c r="C10" s="287"/>
      <c r="D10" s="287"/>
      <c r="E10" s="287"/>
      <c r="F10" s="287"/>
    </row>
    <row r="11" spans="1:6" s="394" customFormat="1" ht="12" customHeight="1" thickBot="1">
      <c r="A11" s="14" t="s">
        <v>644</v>
      </c>
      <c r="B11" s="397" t="s">
        <v>804</v>
      </c>
      <c r="C11" s="287"/>
      <c r="D11" s="287"/>
      <c r="E11" s="287"/>
      <c r="F11" s="287"/>
    </row>
    <row r="12" spans="1:6" s="394" customFormat="1" ht="12" customHeight="1" thickBot="1">
      <c r="A12" s="18" t="s">
        <v>556</v>
      </c>
      <c r="B12" s="280" t="s">
        <v>805</v>
      </c>
      <c r="C12" s="285">
        <f>+C13+C14+C15+C16+C17</f>
        <v>0</v>
      </c>
      <c r="D12" s="285">
        <f>+D13+D14+D15+D16+D17</f>
        <v>0</v>
      </c>
      <c r="E12" s="285">
        <f>+E13+E14+E15+E16+E17</f>
        <v>0</v>
      </c>
      <c r="F12" s="285">
        <f>+F13+F14+F15+F16+F17</f>
        <v>0</v>
      </c>
    </row>
    <row r="13" spans="1:6" s="394" customFormat="1" ht="12" customHeight="1">
      <c r="A13" s="13" t="s">
        <v>646</v>
      </c>
      <c r="B13" s="395" t="s">
        <v>806</v>
      </c>
      <c r="C13" s="288"/>
      <c r="D13" s="288"/>
      <c r="E13" s="288"/>
      <c r="F13" s="288"/>
    </row>
    <row r="14" spans="1:6" s="394" customFormat="1" ht="12" customHeight="1">
      <c r="A14" s="12" t="s">
        <v>647</v>
      </c>
      <c r="B14" s="396" t="s">
        <v>807</v>
      </c>
      <c r="C14" s="287"/>
      <c r="D14" s="287"/>
      <c r="E14" s="287"/>
      <c r="F14" s="287"/>
    </row>
    <row r="15" spans="1:6" s="394" customFormat="1" ht="12" customHeight="1">
      <c r="A15" s="12" t="s">
        <v>648</v>
      </c>
      <c r="B15" s="396" t="s">
        <v>172</v>
      </c>
      <c r="C15" s="287"/>
      <c r="D15" s="287"/>
      <c r="E15" s="287"/>
      <c r="F15" s="287"/>
    </row>
    <row r="16" spans="1:6" s="394" customFormat="1" ht="12" customHeight="1">
      <c r="A16" s="12" t="s">
        <v>649</v>
      </c>
      <c r="B16" s="396" t="s">
        <v>173</v>
      </c>
      <c r="C16" s="287"/>
      <c r="D16" s="287"/>
      <c r="E16" s="287"/>
      <c r="F16" s="287"/>
    </row>
    <row r="17" spans="1:6" s="394" customFormat="1" ht="12" customHeight="1">
      <c r="A17" s="12" t="s">
        <v>650</v>
      </c>
      <c r="B17" s="396" t="s">
        <v>808</v>
      </c>
      <c r="C17" s="287"/>
      <c r="D17" s="287"/>
      <c r="E17" s="287"/>
      <c r="F17" s="287"/>
    </row>
    <row r="18" spans="1:6" s="394" customFormat="1" ht="12" customHeight="1" thickBot="1">
      <c r="A18" s="14" t="s">
        <v>659</v>
      </c>
      <c r="B18" s="397" t="s">
        <v>809</v>
      </c>
      <c r="C18" s="289"/>
      <c r="D18" s="289"/>
      <c r="E18" s="289"/>
      <c r="F18" s="289"/>
    </row>
    <row r="19" spans="1:6" s="394" customFormat="1" ht="12" customHeight="1" thickBot="1">
      <c r="A19" s="18" t="s">
        <v>557</v>
      </c>
      <c r="B19" s="19" t="s">
        <v>810</v>
      </c>
      <c r="C19" s="285">
        <f>+C20+C21+C22+C23+C24</f>
        <v>0</v>
      </c>
      <c r="D19" s="285">
        <f>+D20+D21+D22+D23+D24</f>
        <v>0</v>
      </c>
      <c r="E19" s="285">
        <f>+E20+E21+E22+E23+E24</f>
        <v>0</v>
      </c>
      <c r="F19" s="285">
        <f>+F20+F21+F22+F23+F24</f>
        <v>0</v>
      </c>
    </row>
    <row r="20" spans="1:6" s="394" customFormat="1" ht="12" customHeight="1">
      <c r="A20" s="13" t="s">
        <v>629</v>
      </c>
      <c r="B20" s="395" t="s">
        <v>811</v>
      </c>
      <c r="C20" s="288"/>
      <c r="D20" s="288"/>
      <c r="E20" s="288"/>
      <c r="F20" s="288"/>
    </row>
    <row r="21" spans="1:6" s="394" customFormat="1" ht="12" customHeight="1">
      <c r="A21" s="12" t="s">
        <v>630</v>
      </c>
      <c r="B21" s="396" t="s">
        <v>812</v>
      </c>
      <c r="C21" s="287"/>
      <c r="D21" s="287"/>
      <c r="E21" s="287"/>
      <c r="F21" s="287"/>
    </row>
    <row r="22" spans="1:6" s="394" customFormat="1" ht="12" customHeight="1">
      <c r="A22" s="12" t="s">
        <v>631</v>
      </c>
      <c r="B22" s="396" t="s">
        <v>174</v>
      </c>
      <c r="C22" s="287"/>
      <c r="D22" s="287"/>
      <c r="E22" s="287"/>
      <c r="F22" s="287"/>
    </row>
    <row r="23" spans="1:6" s="394" customFormat="1" ht="12" customHeight="1">
      <c r="A23" s="12" t="s">
        <v>632</v>
      </c>
      <c r="B23" s="396" t="s">
        <v>175</v>
      </c>
      <c r="C23" s="287"/>
      <c r="D23" s="287"/>
      <c r="E23" s="287"/>
      <c r="F23" s="287"/>
    </row>
    <row r="24" spans="1:6" s="394" customFormat="1" ht="12" customHeight="1">
      <c r="A24" s="12" t="s">
        <v>707</v>
      </c>
      <c r="B24" s="396" t="s">
        <v>813</v>
      </c>
      <c r="C24" s="287"/>
      <c r="D24" s="287"/>
      <c r="E24" s="287"/>
      <c r="F24" s="287"/>
    </row>
    <row r="25" spans="1:6" s="394" customFormat="1" ht="12" customHeight="1" thickBot="1">
      <c r="A25" s="14" t="s">
        <v>708</v>
      </c>
      <c r="B25" s="397" t="s">
        <v>814</v>
      </c>
      <c r="C25" s="289"/>
      <c r="D25" s="289"/>
      <c r="E25" s="289"/>
      <c r="F25" s="289"/>
    </row>
    <row r="26" spans="1:6" s="394" customFormat="1" ht="12" customHeight="1" thickBot="1">
      <c r="A26" s="18" t="s">
        <v>709</v>
      </c>
      <c r="B26" s="19" t="s">
        <v>815</v>
      </c>
      <c r="C26" s="291">
        <f>+C27+C30+C31+C32</f>
        <v>0</v>
      </c>
      <c r="D26" s="291">
        <f>+D27+D30+D31+D32</f>
        <v>0</v>
      </c>
      <c r="E26" s="291">
        <f>+E27+E30+E31+E32</f>
        <v>0</v>
      </c>
      <c r="F26" s="291">
        <f>+F27+F30+F31+F32</f>
        <v>0</v>
      </c>
    </row>
    <row r="27" spans="1:6" s="394" customFormat="1" ht="12" customHeight="1">
      <c r="A27" s="13" t="s">
        <v>816</v>
      </c>
      <c r="B27" s="395" t="s">
        <v>822</v>
      </c>
      <c r="C27" s="390">
        <f>+C28+C29</f>
        <v>0</v>
      </c>
      <c r="D27" s="390">
        <f>+D28+D29</f>
        <v>0</v>
      </c>
      <c r="E27" s="390">
        <f>+E28+E29</f>
        <v>0</v>
      </c>
      <c r="F27" s="390">
        <f>+F28+F29</f>
        <v>0</v>
      </c>
    </row>
    <row r="28" spans="1:6" s="394" customFormat="1" ht="12" customHeight="1">
      <c r="A28" s="12" t="s">
        <v>817</v>
      </c>
      <c r="B28" s="396" t="s">
        <v>823</v>
      </c>
      <c r="C28" s="287"/>
      <c r="D28" s="287"/>
      <c r="E28" s="287"/>
      <c r="F28" s="287"/>
    </row>
    <row r="29" spans="1:6" s="394" customFormat="1" ht="12" customHeight="1">
      <c r="A29" s="12" t="s">
        <v>818</v>
      </c>
      <c r="B29" s="396" t="s">
        <v>824</v>
      </c>
      <c r="C29" s="287"/>
      <c r="D29" s="287"/>
      <c r="E29" s="287"/>
      <c r="F29" s="287"/>
    </row>
    <row r="30" spans="1:6" s="394" customFormat="1" ht="12" customHeight="1">
      <c r="A30" s="12" t="s">
        <v>819</v>
      </c>
      <c r="B30" s="396" t="s">
        <v>825</v>
      </c>
      <c r="C30" s="287"/>
      <c r="D30" s="287"/>
      <c r="E30" s="287"/>
      <c r="F30" s="287"/>
    </row>
    <row r="31" spans="1:6" s="394" customFormat="1" ht="12" customHeight="1">
      <c r="A31" s="12" t="s">
        <v>820</v>
      </c>
      <c r="B31" s="396" t="s">
        <v>826</v>
      </c>
      <c r="C31" s="287"/>
      <c r="D31" s="287"/>
      <c r="E31" s="287"/>
      <c r="F31" s="287"/>
    </row>
    <row r="32" spans="1:6" s="394" customFormat="1" ht="12" customHeight="1" thickBot="1">
      <c r="A32" s="14" t="s">
        <v>821</v>
      </c>
      <c r="B32" s="397" t="s">
        <v>827</v>
      </c>
      <c r="C32" s="289"/>
      <c r="D32" s="289"/>
      <c r="E32" s="289"/>
      <c r="F32" s="289"/>
    </row>
    <row r="33" spans="1:6" s="394" customFormat="1" ht="12" customHeight="1" thickBot="1">
      <c r="A33" s="18" t="s">
        <v>559</v>
      </c>
      <c r="B33" s="19" t="s">
        <v>828</v>
      </c>
      <c r="C33" s="285">
        <f>SUM(C34:C43)</f>
        <v>4650</v>
      </c>
      <c r="D33" s="285">
        <f>SUM(D34:D43)</f>
        <v>4650</v>
      </c>
      <c r="E33" s="285">
        <f>SUM(E34:E43)</f>
        <v>4650</v>
      </c>
      <c r="F33" s="285">
        <f>SUM(F34:F43)</f>
        <v>4650</v>
      </c>
    </row>
    <row r="34" spans="1:6" s="394" customFormat="1" ht="12" customHeight="1">
      <c r="A34" s="13" t="s">
        <v>633</v>
      </c>
      <c r="B34" s="395" t="s">
        <v>831</v>
      </c>
      <c r="C34" s="288"/>
      <c r="D34" s="288"/>
      <c r="E34" s="288"/>
      <c r="F34" s="288"/>
    </row>
    <row r="35" spans="1:6" s="394" customFormat="1" ht="12" customHeight="1">
      <c r="A35" s="12" t="s">
        <v>634</v>
      </c>
      <c r="B35" s="396" t="s">
        <v>832</v>
      </c>
      <c r="C35" s="287">
        <v>4650</v>
      </c>
      <c r="D35" s="287">
        <v>4650</v>
      </c>
      <c r="E35" s="287">
        <v>4650</v>
      </c>
      <c r="F35" s="287">
        <v>4650</v>
      </c>
    </row>
    <row r="36" spans="1:6" s="394" customFormat="1" ht="12" customHeight="1">
      <c r="A36" s="12" t="s">
        <v>635</v>
      </c>
      <c r="B36" s="396" t="s">
        <v>833</v>
      </c>
      <c r="C36" s="287"/>
      <c r="D36" s="287"/>
      <c r="E36" s="287"/>
      <c r="F36" s="287"/>
    </row>
    <row r="37" spans="1:6" s="394" customFormat="1" ht="12" customHeight="1">
      <c r="A37" s="12" t="s">
        <v>711</v>
      </c>
      <c r="B37" s="396" t="s">
        <v>834</v>
      </c>
      <c r="C37" s="287"/>
      <c r="D37" s="287"/>
      <c r="E37" s="287"/>
      <c r="F37" s="287"/>
    </row>
    <row r="38" spans="1:6" s="394" customFormat="1" ht="12" customHeight="1">
      <c r="A38" s="12" t="s">
        <v>712</v>
      </c>
      <c r="B38" s="396" t="s">
        <v>835</v>
      </c>
      <c r="C38" s="287"/>
      <c r="D38" s="287"/>
      <c r="E38" s="287"/>
      <c r="F38" s="287"/>
    </row>
    <row r="39" spans="1:6" s="394" customFormat="1" ht="12" customHeight="1">
      <c r="A39" s="12" t="s">
        <v>713</v>
      </c>
      <c r="B39" s="396" t="s">
        <v>836</v>
      </c>
      <c r="C39" s="287"/>
      <c r="D39" s="287"/>
      <c r="E39" s="287"/>
      <c r="F39" s="287"/>
    </row>
    <row r="40" spans="1:6" s="394" customFormat="1" ht="12" customHeight="1">
      <c r="A40" s="12" t="s">
        <v>714</v>
      </c>
      <c r="B40" s="396" t="s">
        <v>837</v>
      </c>
      <c r="C40" s="287"/>
      <c r="D40" s="287"/>
      <c r="E40" s="287"/>
      <c r="F40" s="287"/>
    </row>
    <row r="41" spans="1:6" s="394" customFormat="1" ht="12" customHeight="1">
      <c r="A41" s="12" t="s">
        <v>715</v>
      </c>
      <c r="B41" s="396" t="s">
        <v>838</v>
      </c>
      <c r="C41" s="287"/>
      <c r="D41" s="287"/>
      <c r="E41" s="287"/>
      <c r="F41" s="287"/>
    </row>
    <row r="42" spans="1:6" s="394" customFormat="1" ht="12" customHeight="1">
      <c r="A42" s="12" t="s">
        <v>829</v>
      </c>
      <c r="B42" s="396" t="s">
        <v>839</v>
      </c>
      <c r="C42" s="290"/>
      <c r="D42" s="290"/>
      <c r="E42" s="290"/>
      <c r="F42" s="290"/>
    </row>
    <row r="43" spans="1:6" s="394" customFormat="1" ht="12" customHeight="1" thickBot="1">
      <c r="A43" s="14" t="s">
        <v>830</v>
      </c>
      <c r="B43" s="397" t="s">
        <v>840</v>
      </c>
      <c r="C43" s="384"/>
      <c r="D43" s="384"/>
      <c r="E43" s="384"/>
      <c r="F43" s="384"/>
    </row>
    <row r="44" spans="1:6" s="394" customFormat="1" ht="12" customHeight="1" thickBot="1">
      <c r="A44" s="18" t="s">
        <v>560</v>
      </c>
      <c r="B44" s="19" t="s">
        <v>841</v>
      </c>
      <c r="C44" s="285">
        <f>SUM(C45:C49)</f>
        <v>0</v>
      </c>
      <c r="D44" s="285">
        <f>SUM(D45:D49)</f>
        <v>0</v>
      </c>
      <c r="E44" s="285">
        <f>SUM(E45:E49)</f>
        <v>0</v>
      </c>
      <c r="F44" s="285">
        <f>SUM(F45:F49)</f>
        <v>0</v>
      </c>
    </row>
    <row r="45" spans="1:6" s="394" customFormat="1" ht="12" customHeight="1">
      <c r="A45" s="13" t="s">
        <v>636</v>
      </c>
      <c r="B45" s="395" t="s">
        <v>845</v>
      </c>
      <c r="C45" s="438"/>
      <c r="D45" s="438"/>
      <c r="E45" s="438"/>
      <c r="F45" s="438"/>
    </row>
    <row r="46" spans="1:6" s="394" customFormat="1" ht="12" customHeight="1">
      <c r="A46" s="12" t="s">
        <v>637</v>
      </c>
      <c r="B46" s="396" t="s">
        <v>846</v>
      </c>
      <c r="C46" s="290"/>
      <c r="D46" s="290"/>
      <c r="E46" s="290"/>
      <c r="F46" s="290"/>
    </row>
    <row r="47" spans="1:6" s="394" customFormat="1" ht="12" customHeight="1">
      <c r="A47" s="12" t="s">
        <v>842</v>
      </c>
      <c r="B47" s="396" t="s">
        <v>847</v>
      </c>
      <c r="C47" s="290"/>
      <c r="D47" s="290"/>
      <c r="E47" s="290"/>
      <c r="F47" s="290"/>
    </row>
    <row r="48" spans="1:6" s="394" customFormat="1" ht="12" customHeight="1">
      <c r="A48" s="12" t="s">
        <v>843</v>
      </c>
      <c r="B48" s="396" t="s">
        <v>848</v>
      </c>
      <c r="C48" s="290"/>
      <c r="D48" s="290"/>
      <c r="E48" s="290"/>
      <c r="F48" s="290"/>
    </row>
    <row r="49" spans="1:6" s="394" customFormat="1" ht="12" customHeight="1" thickBot="1">
      <c r="A49" s="14" t="s">
        <v>844</v>
      </c>
      <c r="B49" s="397" t="s">
        <v>849</v>
      </c>
      <c r="C49" s="384"/>
      <c r="D49" s="384"/>
      <c r="E49" s="384"/>
      <c r="F49" s="384"/>
    </row>
    <row r="50" spans="1:6" s="394" customFormat="1" ht="12" customHeight="1" thickBot="1">
      <c r="A50" s="18" t="s">
        <v>716</v>
      </c>
      <c r="B50" s="19" t="s">
        <v>850</v>
      </c>
      <c r="C50" s="285">
        <f>SUM(C51:C53)</f>
        <v>0</v>
      </c>
      <c r="D50" s="285">
        <f>SUM(D51:D53)</f>
        <v>0</v>
      </c>
      <c r="E50" s="285">
        <f>SUM(E51:E53)</f>
        <v>0</v>
      </c>
      <c r="F50" s="285">
        <f>SUM(F51:F53)</f>
        <v>0</v>
      </c>
    </row>
    <row r="51" spans="1:6" s="394" customFormat="1" ht="12" customHeight="1">
      <c r="A51" s="13" t="s">
        <v>638</v>
      </c>
      <c r="B51" s="395" t="s">
        <v>851</v>
      </c>
      <c r="C51" s="288"/>
      <c r="D51" s="288"/>
      <c r="E51" s="288"/>
      <c r="F51" s="288"/>
    </row>
    <row r="52" spans="1:6" s="394" customFormat="1" ht="12" customHeight="1">
      <c r="A52" s="12" t="s">
        <v>639</v>
      </c>
      <c r="B52" s="396" t="s">
        <v>176</v>
      </c>
      <c r="C52" s="287"/>
      <c r="D52" s="287"/>
      <c r="E52" s="287"/>
      <c r="F52" s="287"/>
    </row>
    <row r="53" spans="1:6" s="394" customFormat="1" ht="12" customHeight="1">
      <c r="A53" s="12" t="s">
        <v>854</v>
      </c>
      <c r="B53" s="396" t="s">
        <v>852</v>
      </c>
      <c r="C53" s="287"/>
      <c r="D53" s="287"/>
      <c r="E53" s="287"/>
      <c r="F53" s="287"/>
    </row>
    <row r="54" spans="1:6" s="394" customFormat="1" ht="12" customHeight="1" thickBot="1">
      <c r="A54" s="14" t="s">
        <v>855</v>
      </c>
      <c r="B54" s="397" t="s">
        <v>853</v>
      </c>
      <c r="C54" s="289"/>
      <c r="D54" s="289"/>
      <c r="E54" s="289"/>
      <c r="F54" s="289"/>
    </row>
    <row r="55" spans="1:6" s="394" customFormat="1" ht="12" customHeight="1" thickBot="1">
      <c r="A55" s="18" t="s">
        <v>562</v>
      </c>
      <c r="B55" s="280" t="s">
        <v>856</v>
      </c>
      <c r="C55" s="285">
        <f>SUM(C56:C58)</f>
        <v>0</v>
      </c>
      <c r="D55" s="285">
        <f>SUM(D56:D58)</f>
        <v>0</v>
      </c>
      <c r="E55" s="285">
        <f>SUM(E56:E58)</f>
        <v>0</v>
      </c>
      <c r="F55" s="285">
        <f>SUM(F56:F58)</f>
        <v>0</v>
      </c>
    </row>
    <row r="56" spans="1:6" s="394" customFormat="1" ht="12" customHeight="1">
      <c r="A56" s="13" t="s">
        <v>717</v>
      </c>
      <c r="B56" s="395" t="s">
        <v>858</v>
      </c>
      <c r="C56" s="290"/>
      <c r="D56" s="290"/>
      <c r="E56" s="290"/>
      <c r="F56" s="290"/>
    </row>
    <row r="57" spans="1:6" s="394" customFormat="1" ht="12" customHeight="1">
      <c r="A57" s="12" t="s">
        <v>718</v>
      </c>
      <c r="B57" s="396" t="s">
        <v>177</v>
      </c>
      <c r="C57" s="290"/>
      <c r="D57" s="290"/>
      <c r="E57" s="290"/>
      <c r="F57" s="290"/>
    </row>
    <row r="58" spans="1:6" s="394" customFormat="1" ht="12" customHeight="1">
      <c r="A58" s="12" t="s">
        <v>771</v>
      </c>
      <c r="B58" s="396" t="s">
        <v>859</v>
      </c>
      <c r="C58" s="290"/>
      <c r="D58" s="290"/>
      <c r="E58" s="290"/>
      <c r="F58" s="290"/>
    </row>
    <row r="59" spans="1:6" s="394" customFormat="1" ht="12" customHeight="1" thickBot="1">
      <c r="A59" s="14" t="s">
        <v>857</v>
      </c>
      <c r="B59" s="397" t="s">
        <v>860</v>
      </c>
      <c r="C59" s="290"/>
      <c r="D59" s="290"/>
      <c r="E59" s="290"/>
      <c r="F59" s="290"/>
    </row>
    <row r="60" spans="1:6" s="394" customFormat="1" ht="12" customHeight="1" thickBot="1">
      <c r="A60" s="18" t="s">
        <v>563</v>
      </c>
      <c r="B60" s="19" t="s">
        <v>861</v>
      </c>
      <c r="C60" s="291">
        <f>+C5+C12+C19+C26+C33+C44+C50+C55</f>
        <v>4650</v>
      </c>
      <c r="D60" s="291">
        <f>+D5+D12+D19+D26+D33+D44+D50+D55</f>
        <v>4650</v>
      </c>
      <c r="E60" s="291">
        <f>+E5+E12+E19+E26+E33+E44+E50+E55</f>
        <v>4650</v>
      </c>
      <c r="F60" s="291">
        <f>+F5+F12+F19+F26+F33+F44+F50+F55</f>
        <v>4650</v>
      </c>
    </row>
    <row r="61" spans="1:6" s="394" customFormat="1" ht="12" customHeight="1" thickBot="1">
      <c r="A61" s="398" t="s">
        <v>862</v>
      </c>
      <c r="B61" s="280" t="s">
        <v>863</v>
      </c>
      <c r="C61" s="285">
        <f>SUM(C62:C64)</f>
        <v>0</v>
      </c>
      <c r="D61" s="285">
        <f>SUM(D62:D64)</f>
        <v>0</v>
      </c>
      <c r="E61" s="285">
        <f>SUM(E62:E64)</f>
        <v>0</v>
      </c>
      <c r="F61" s="285">
        <f>SUM(F62:F64)</f>
        <v>0</v>
      </c>
    </row>
    <row r="62" spans="1:6" s="394" customFormat="1" ht="12" customHeight="1">
      <c r="A62" s="13" t="s">
        <v>41</v>
      </c>
      <c r="B62" s="395" t="s">
        <v>864</v>
      </c>
      <c r="C62" s="290"/>
      <c r="D62" s="290"/>
      <c r="E62" s="290"/>
      <c r="F62" s="290"/>
    </row>
    <row r="63" spans="1:6" s="394" customFormat="1" ht="12" customHeight="1">
      <c r="A63" s="12" t="s">
        <v>50</v>
      </c>
      <c r="B63" s="396" t="s">
        <v>865</v>
      </c>
      <c r="C63" s="290"/>
      <c r="D63" s="290"/>
      <c r="E63" s="290"/>
      <c r="F63" s="290"/>
    </row>
    <row r="64" spans="1:6" s="394" customFormat="1" ht="12" customHeight="1" thickBot="1">
      <c r="A64" s="14" t="s">
        <v>51</v>
      </c>
      <c r="B64" s="399" t="s">
        <v>866</v>
      </c>
      <c r="C64" s="290"/>
      <c r="D64" s="290"/>
      <c r="E64" s="290"/>
      <c r="F64" s="290"/>
    </row>
    <row r="65" spans="1:6" s="394" customFormat="1" ht="12" customHeight="1" thickBot="1">
      <c r="A65" s="398" t="s">
        <v>867</v>
      </c>
      <c r="B65" s="280" t="s">
        <v>868</v>
      </c>
      <c r="C65" s="285">
        <f>SUM(C66:C69)</f>
        <v>0</v>
      </c>
      <c r="D65" s="285">
        <f>SUM(D66:D69)</f>
        <v>0</v>
      </c>
      <c r="E65" s="285">
        <f>SUM(E66:E69)</f>
        <v>0</v>
      </c>
      <c r="F65" s="285">
        <f>SUM(F66:F69)</f>
        <v>0</v>
      </c>
    </row>
    <row r="66" spans="1:6" s="394" customFormat="1" ht="12" customHeight="1">
      <c r="A66" s="13" t="s">
        <v>687</v>
      </c>
      <c r="B66" s="395" t="s">
        <v>869</v>
      </c>
      <c r="C66" s="290"/>
      <c r="D66" s="290"/>
      <c r="E66" s="290"/>
      <c r="F66" s="290"/>
    </row>
    <row r="67" spans="1:6" s="394" customFormat="1" ht="12" customHeight="1">
      <c r="A67" s="12" t="s">
        <v>688</v>
      </c>
      <c r="B67" s="396" t="s">
        <v>870</v>
      </c>
      <c r="C67" s="290"/>
      <c r="D67" s="290"/>
      <c r="E67" s="290"/>
      <c r="F67" s="290"/>
    </row>
    <row r="68" spans="1:6" s="394" customFormat="1" ht="12" customHeight="1">
      <c r="A68" s="12" t="s">
        <v>42</v>
      </c>
      <c r="B68" s="396" t="s">
        <v>871</v>
      </c>
      <c r="C68" s="290"/>
      <c r="D68" s="290"/>
      <c r="E68" s="290"/>
      <c r="F68" s="290"/>
    </row>
    <row r="69" spans="1:6" s="394" customFormat="1" ht="12" customHeight="1" thickBot="1">
      <c r="A69" s="14" t="s">
        <v>43</v>
      </c>
      <c r="B69" s="397" t="s">
        <v>872</v>
      </c>
      <c r="C69" s="290"/>
      <c r="D69" s="290"/>
      <c r="E69" s="290"/>
      <c r="F69" s="290"/>
    </row>
    <row r="70" spans="1:6" s="394" customFormat="1" ht="12" customHeight="1" thickBot="1">
      <c r="A70" s="398" t="s">
        <v>873</v>
      </c>
      <c r="B70" s="280" t="s">
        <v>874</v>
      </c>
      <c r="C70" s="285">
        <f>SUM(C71:C72)</f>
        <v>0</v>
      </c>
      <c r="D70" s="285">
        <f>SUM(D71:D72)</f>
        <v>0</v>
      </c>
      <c r="E70" s="285">
        <f>SUM(E71:E72)</f>
        <v>0</v>
      </c>
      <c r="F70" s="285">
        <f>SUM(F71:F72)</f>
        <v>0</v>
      </c>
    </row>
    <row r="71" spans="1:6" s="394" customFormat="1" ht="12" customHeight="1">
      <c r="A71" s="13" t="s">
        <v>44</v>
      </c>
      <c r="B71" s="395" t="s">
        <v>875</v>
      </c>
      <c r="C71" s="290"/>
      <c r="D71" s="290"/>
      <c r="E71" s="290"/>
      <c r="F71" s="290"/>
    </row>
    <row r="72" spans="1:6" s="394" customFormat="1" ht="12" customHeight="1" thickBot="1">
      <c r="A72" s="14" t="s">
        <v>45</v>
      </c>
      <c r="B72" s="397" t="s">
        <v>876</v>
      </c>
      <c r="C72" s="290"/>
      <c r="D72" s="290"/>
      <c r="E72" s="290"/>
      <c r="F72" s="290"/>
    </row>
    <row r="73" spans="1:6" s="394" customFormat="1" ht="12" customHeight="1" thickBot="1">
      <c r="A73" s="398" t="s">
        <v>877</v>
      </c>
      <c r="B73" s="280" t="s">
        <v>878</v>
      </c>
      <c r="C73" s="285">
        <f>SUM(C74:C76)</f>
        <v>0</v>
      </c>
      <c r="D73" s="285">
        <f>SUM(D74:D76)</f>
        <v>0</v>
      </c>
      <c r="E73" s="285">
        <f>SUM(E74:E76)</f>
        <v>0</v>
      </c>
      <c r="F73" s="285">
        <f>SUM(F74:F76)</f>
        <v>0</v>
      </c>
    </row>
    <row r="74" spans="1:6" s="394" customFormat="1" ht="12" customHeight="1">
      <c r="A74" s="13" t="s">
        <v>46</v>
      </c>
      <c r="B74" s="395" t="s">
        <v>879</v>
      </c>
      <c r="C74" s="290"/>
      <c r="D74" s="290"/>
      <c r="E74" s="290"/>
      <c r="F74" s="290"/>
    </row>
    <row r="75" spans="1:6" s="394" customFormat="1" ht="12" customHeight="1">
      <c r="A75" s="12" t="s">
        <v>47</v>
      </c>
      <c r="B75" s="396" t="s">
        <v>880</v>
      </c>
      <c r="C75" s="290"/>
      <c r="D75" s="290"/>
      <c r="E75" s="290"/>
      <c r="F75" s="290"/>
    </row>
    <row r="76" spans="1:6" s="394" customFormat="1" ht="12" customHeight="1" thickBot="1">
      <c r="A76" s="14" t="s">
        <v>48</v>
      </c>
      <c r="B76" s="397" t="s">
        <v>881</v>
      </c>
      <c r="C76" s="290"/>
      <c r="D76" s="290"/>
      <c r="E76" s="290"/>
      <c r="F76" s="290"/>
    </row>
    <row r="77" spans="1:6" s="394" customFormat="1" ht="12" customHeight="1" thickBot="1">
      <c r="A77" s="398" t="s">
        <v>882</v>
      </c>
      <c r="B77" s="280" t="s">
        <v>49</v>
      </c>
      <c r="C77" s="285">
        <f>SUM(C78:C81)</f>
        <v>0</v>
      </c>
      <c r="D77" s="285">
        <f>SUM(D78:D81)</f>
        <v>0</v>
      </c>
      <c r="E77" s="285">
        <f>SUM(E78:E81)</f>
        <v>0</v>
      </c>
      <c r="F77" s="285">
        <f>SUM(F78:F81)</f>
        <v>0</v>
      </c>
    </row>
    <row r="78" spans="1:6" s="394" customFormat="1" ht="12" customHeight="1">
      <c r="A78" s="400" t="s">
        <v>883</v>
      </c>
      <c r="B78" s="395" t="s">
        <v>29</v>
      </c>
      <c r="C78" s="290"/>
      <c r="D78" s="290"/>
      <c r="E78" s="290"/>
      <c r="F78" s="290"/>
    </row>
    <row r="79" spans="1:6" s="394" customFormat="1" ht="12" customHeight="1">
      <c r="A79" s="401" t="s">
        <v>30</v>
      </c>
      <c r="B79" s="396" t="s">
        <v>31</v>
      </c>
      <c r="C79" s="290"/>
      <c r="D79" s="290"/>
      <c r="E79" s="290"/>
      <c r="F79" s="290"/>
    </row>
    <row r="80" spans="1:6" s="394" customFormat="1" ht="12" customHeight="1">
      <c r="A80" s="401" t="s">
        <v>32</v>
      </c>
      <c r="B80" s="396" t="s">
        <v>33</v>
      </c>
      <c r="C80" s="290"/>
      <c r="D80" s="290"/>
      <c r="E80" s="290"/>
      <c r="F80" s="290"/>
    </row>
    <row r="81" spans="1:6" s="394" customFormat="1" ht="12" customHeight="1" thickBot="1">
      <c r="A81" s="402" t="s">
        <v>34</v>
      </c>
      <c r="B81" s="397" t="s">
        <v>35</v>
      </c>
      <c r="C81" s="290"/>
      <c r="D81" s="290"/>
      <c r="E81" s="290"/>
      <c r="F81" s="290"/>
    </row>
    <row r="82" spans="1:6" s="394" customFormat="1" ht="13.5" customHeight="1" thickBot="1">
      <c r="A82" s="398" t="s">
        <v>36</v>
      </c>
      <c r="B82" s="280" t="s">
        <v>37</v>
      </c>
      <c r="C82" s="439"/>
      <c r="D82" s="439"/>
      <c r="E82" s="439"/>
      <c r="F82" s="439"/>
    </row>
    <row r="83" spans="1:6" s="394" customFormat="1" ht="15.75" customHeight="1" thickBot="1">
      <c r="A83" s="398" t="s">
        <v>38</v>
      </c>
      <c r="B83" s="403" t="s">
        <v>39</v>
      </c>
      <c r="C83" s="291">
        <f>+C61+C65+C70+C73+C77+C82</f>
        <v>0</v>
      </c>
      <c r="D83" s="291">
        <f>+D61+D65+D70+D73+D77+D82</f>
        <v>0</v>
      </c>
      <c r="E83" s="291">
        <f>+E61+E65+E70+E73+E77+E82</f>
        <v>0</v>
      </c>
      <c r="F83" s="291">
        <f>+F61+F65+F70+F73+F77+F82</f>
        <v>0</v>
      </c>
    </row>
    <row r="84" spans="1:6" s="394" customFormat="1" ht="16.5" customHeight="1" thickBot="1">
      <c r="A84" s="404" t="s">
        <v>52</v>
      </c>
      <c r="B84" s="405" t="s">
        <v>40</v>
      </c>
      <c r="C84" s="291">
        <f>+C60+C83</f>
        <v>4650</v>
      </c>
      <c r="D84" s="291">
        <f>+D60+D83</f>
        <v>4650</v>
      </c>
      <c r="E84" s="291">
        <f>+E60+E83</f>
        <v>4650</v>
      </c>
      <c r="F84" s="291">
        <f>+F60+F83</f>
        <v>4650</v>
      </c>
    </row>
    <row r="85" spans="1:6" ht="16.5" customHeight="1">
      <c r="A85" s="1249" t="s">
        <v>583</v>
      </c>
      <c r="B85" s="1249"/>
      <c r="C85" s="1249"/>
      <c r="D85" s="392"/>
      <c r="E85" s="392"/>
      <c r="F85" s="392"/>
    </row>
    <row r="86" spans="1:6" s="406" customFormat="1" ht="16.5" customHeight="1" thickBot="1">
      <c r="A86" s="1250" t="s">
        <v>690</v>
      </c>
      <c r="B86" s="1250"/>
      <c r="C86" s="128" t="s">
        <v>770</v>
      </c>
      <c r="D86" s="128" t="s">
        <v>770</v>
      </c>
      <c r="E86" s="128" t="s">
        <v>770</v>
      </c>
      <c r="F86" s="128"/>
    </row>
    <row r="87" spans="1:6" ht="37.5" customHeight="1" thickBot="1">
      <c r="A87" s="21" t="s">
        <v>610</v>
      </c>
      <c r="B87" s="22" t="s">
        <v>584</v>
      </c>
      <c r="C87" s="37" t="s">
        <v>451</v>
      </c>
      <c r="D87" s="37" t="s">
        <v>451</v>
      </c>
      <c r="E87" s="37" t="s">
        <v>451</v>
      </c>
      <c r="F87" s="37" t="s">
        <v>451</v>
      </c>
    </row>
    <row r="88" spans="1:6" s="393" customFormat="1" ht="12" customHeight="1" thickBot="1">
      <c r="A88" s="30">
        <v>1</v>
      </c>
      <c r="B88" s="31">
        <v>2</v>
      </c>
      <c r="C88" s="32">
        <v>3</v>
      </c>
      <c r="D88" s="32">
        <v>4</v>
      </c>
      <c r="E88" s="32">
        <v>5</v>
      </c>
      <c r="F88" s="32">
        <v>6</v>
      </c>
    </row>
    <row r="89" spans="1:6" ht="12" customHeight="1" thickBot="1">
      <c r="A89" s="20" t="s">
        <v>555</v>
      </c>
      <c r="B89" s="29" t="s">
        <v>55</v>
      </c>
      <c r="C89" s="284">
        <f>SUM(C90:C94)</f>
        <v>3450</v>
      </c>
      <c r="D89" s="284">
        <f>SUM(D90:D94)</f>
        <v>3450</v>
      </c>
      <c r="E89" s="284">
        <f>SUM(E90:E94)</f>
        <v>3450</v>
      </c>
      <c r="F89" s="284">
        <f>SUM(F90:F94)</f>
        <v>3450</v>
      </c>
    </row>
    <row r="90" spans="1:6" ht="12" customHeight="1">
      <c r="A90" s="15" t="s">
        <v>640</v>
      </c>
      <c r="B90" s="8" t="s">
        <v>585</v>
      </c>
      <c r="C90" s="286"/>
      <c r="D90" s="286"/>
      <c r="E90" s="286"/>
      <c r="F90" s="286"/>
    </row>
    <row r="91" spans="1:6" ht="12" customHeight="1">
      <c r="A91" s="12" t="s">
        <v>641</v>
      </c>
      <c r="B91" s="6" t="s">
        <v>719</v>
      </c>
      <c r="C91" s="287"/>
      <c r="D91" s="287"/>
      <c r="E91" s="287"/>
      <c r="F91" s="287"/>
    </row>
    <row r="92" spans="1:6" ht="12" customHeight="1">
      <c r="A92" s="12" t="s">
        <v>642</v>
      </c>
      <c r="B92" s="6" t="s">
        <v>678</v>
      </c>
      <c r="C92" s="289"/>
      <c r="D92" s="289"/>
      <c r="E92" s="289"/>
      <c r="F92" s="289"/>
    </row>
    <row r="93" spans="1:6" ht="12" customHeight="1">
      <c r="A93" s="12" t="s">
        <v>643</v>
      </c>
      <c r="B93" s="9" t="s">
        <v>720</v>
      </c>
      <c r="C93" s="289"/>
      <c r="D93" s="289"/>
      <c r="E93" s="289"/>
      <c r="F93" s="289"/>
    </row>
    <row r="94" spans="1:6" ht="12" customHeight="1">
      <c r="A94" s="12" t="s">
        <v>654</v>
      </c>
      <c r="B94" s="17" t="s">
        <v>721</v>
      </c>
      <c r="C94" s="289">
        <v>3450</v>
      </c>
      <c r="D94" s="289">
        <v>3450</v>
      </c>
      <c r="E94" s="289">
        <v>3450</v>
      </c>
      <c r="F94" s="289">
        <v>3450</v>
      </c>
    </row>
    <row r="95" spans="1:6" ht="12" customHeight="1">
      <c r="A95" s="12" t="s">
        <v>644</v>
      </c>
      <c r="B95" s="6" t="s">
        <v>56</v>
      </c>
      <c r="C95" s="289"/>
      <c r="D95" s="289"/>
      <c r="E95" s="289"/>
      <c r="F95" s="289"/>
    </row>
    <row r="96" spans="1:6" ht="12" customHeight="1">
      <c r="A96" s="12" t="s">
        <v>645</v>
      </c>
      <c r="B96" s="130" t="s">
        <v>57</v>
      </c>
      <c r="C96" s="289"/>
      <c r="D96" s="289"/>
      <c r="E96" s="289"/>
      <c r="F96" s="289"/>
    </row>
    <row r="97" spans="1:6" ht="12" customHeight="1">
      <c r="A97" s="12" t="s">
        <v>655</v>
      </c>
      <c r="B97" s="131" t="s">
        <v>58</v>
      </c>
      <c r="C97" s="289"/>
      <c r="D97" s="289"/>
      <c r="E97" s="289"/>
      <c r="F97" s="289"/>
    </row>
    <row r="98" spans="1:6" ht="12" customHeight="1">
      <c r="A98" s="12" t="s">
        <v>656</v>
      </c>
      <c r="B98" s="131" t="s">
        <v>59</v>
      </c>
      <c r="C98" s="289"/>
      <c r="D98" s="289"/>
      <c r="E98" s="289"/>
      <c r="F98" s="289"/>
    </row>
    <row r="99" spans="1:6" ht="12" customHeight="1">
      <c r="A99" s="12" t="s">
        <v>657</v>
      </c>
      <c r="B99" s="130" t="s">
        <v>60</v>
      </c>
      <c r="C99" s="289">
        <v>2000</v>
      </c>
      <c r="D99" s="289">
        <v>2000</v>
      </c>
      <c r="E99" s="289">
        <v>2000</v>
      </c>
      <c r="F99" s="289">
        <v>2000</v>
      </c>
    </row>
    <row r="100" spans="1:6" ht="12" customHeight="1">
      <c r="A100" s="12" t="s">
        <v>658</v>
      </c>
      <c r="B100" s="130" t="s">
        <v>61</v>
      </c>
      <c r="C100" s="289"/>
      <c r="D100" s="289"/>
      <c r="E100" s="289"/>
      <c r="F100" s="289"/>
    </row>
    <row r="101" spans="1:6" ht="12" customHeight="1">
      <c r="A101" s="12" t="s">
        <v>660</v>
      </c>
      <c r="B101" s="131" t="s">
        <v>62</v>
      </c>
      <c r="C101" s="289"/>
      <c r="D101" s="289"/>
      <c r="E101" s="289"/>
      <c r="F101" s="289"/>
    </row>
    <row r="102" spans="1:6" ht="12" customHeight="1">
      <c r="A102" s="11" t="s">
        <v>722</v>
      </c>
      <c r="B102" s="132" t="s">
        <v>63</v>
      </c>
      <c r="C102" s="289"/>
      <c r="D102" s="289"/>
      <c r="E102" s="289"/>
      <c r="F102" s="289"/>
    </row>
    <row r="103" spans="1:6" ht="12" customHeight="1">
      <c r="A103" s="12" t="s">
        <v>53</v>
      </c>
      <c r="B103" s="132" t="s">
        <v>64</v>
      </c>
      <c r="C103" s="289"/>
      <c r="D103" s="289"/>
      <c r="E103" s="289"/>
      <c r="F103" s="289"/>
    </row>
    <row r="104" spans="1:6" ht="12" customHeight="1" thickBot="1">
      <c r="A104" s="16" t="s">
        <v>54</v>
      </c>
      <c r="B104" s="133" t="s">
        <v>65</v>
      </c>
      <c r="C104" s="292">
        <v>1450</v>
      </c>
      <c r="D104" s="292">
        <v>1450</v>
      </c>
      <c r="E104" s="292">
        <v>1450</v>
      </c>
      <c r="F104" s="292">
        <v>1450</v>
      </c>
    </row>
    <row r="105" spans="1:6" ht="12" customHeight="1" thickBot="1">
      <c r="A105" s="18" t="s">
        <v>556</v>
      </c>
      <c r="B105" s="28" t="s">
        <v>66</v>
      </c>
      <c r="C105" s="285">
        <f>+C106+C108+C110</f>
        <v>1200</v>
      </c>
      <c r="D105" s="285">
        <f>+D106+D108+D110</f>
        <v>1200</v>
      </c>
      <c r="E105" s="285">
        <f>+E106+E108+E110</f>
        <v>1200</v>
      </c>
      <c r="F105" s="285">
        <f>+F106+F108+F110</f>
        <v>1200</v>
      </c>
    </row>
    <row r="106" spans="1:6" ht="12" customHeight="1">
      <c r="A106" s="13" t="s">
        <v>646</v>
      </c>
      <c r="B106" s="6" t="s">
        <v>769</v>
      </c>
      <c r="C106" s="288"/>
      <c r="D106" s="288"/>
      <c r="E106" s="288"/>
      <c r="F106" s="288"/>
    </row>
    <row r="107" spans="1:6" ht="12" customHeight="1">
      <c r="A107" s="13" t="s">
        <v>647</v>
      </c>
      <c r="B107" s="10" t="s">
        <v>70</v>
      </c>
      <c r="C107" s="288"/>
      <c r="D107" s="288"/>
      <c r="E107" s="288"/>
      <c r="F107" s="288"/>
    </row>
    <row r="108" spans="1:6" ht="12" customHeight="1">
      <c r="A108" s="13" t="s">
        <v>648</v>
      </c>
      <c r="B108" s="10" t="s">
        <v>723</v>
      </c>
      <c r="C108" s="287"/>
      <c r="D108" s="287"/>
      <c r="E108" s="1169"/>
      <c r="F108" s="1169"/>
    </row>
    <row r="109" spans="1:6" ht="12" customHeight="1">
      <c r="A109" s="13" t="s">
        <v>649</v>
      </c>
      <c r="B109" s="10" t="s">
        <v>71</v>
      </c>
      <c r="C109" s="258"/>
      <c r="D109" s="258"/>
      <c r="E109" s="1169"/>
      <c r="F109" s="1169"/>
    </row>
    <row r="110" spans="1:6" ht="12" customHeight="1">
      <c r="A110" s="13" t="s">
        <v>650</v>
      </c>
      <c r="B110" s="282" t="s">
        <v>772</v>
      </c>
      <c r="C110" s="258">
        <v>1200</v>
      </c>
      <c r="D110" s="258">
        <v>1200</v>
      </c>
      <c r="E110" s="1169">
        <v>1200</v>
      </c>
      <c r="F110" s="1169">
        <v>1200</v>
      </c>
    </row>
    <row r="111" spans="1:6" ht="12" customHeight="1">
      <c r="A111" s="13" t="s">
        <v>659</v>
      </c>
      <c r="B111" s="281" t="s">
        <v>178</v>
      </c>
      <c r="C111" s="258"/>
      <c r="D111" s="258"/>
      <c r="E111" s="1169"/>
      <c r="F111" s="1169"/>
    </row>
    <row r="112" spans="1:6" ht="12" customHeight="1">
      <c r="A112" s="13" t="s">
        <v>661</v>
      </c>
      <c r="B112" s="391" t="s">
        <v>76</v>
      </c>
      <c r="C112" s="258"/>
      <c r="D112" s="258"/>
      <c r="E112" s="1169"/>
      <c r="F112" s="1169"/>
    </row>
    <row r="113" spans="1:6" ht="15.75">
      <c r="A113" s="13" t="s">
        <v>724</v>
      </c>
      <c r="B113" s="131" t="s">
        <v>59</v>
      </c>
      <c r="C113" s="258"/>
      <c r="D113" s="258"/>
      <c r="E113" s="1169"/>
      <c r="F113" s="1169"/>
    </row>
    <row r="114" spans="1:6" ht="12" customHeight="1">
      <c r="A114" s="13" t="s">
        <v>725</v>
      </c>
      <c r="B114" s="131" t="s">
        <v>75</v>
      </c>
      <c r="C114" s="258"/>
      <c r="D114" s="258"/>
      <c r="E114" s="1169"/>
      <c r="F114" s="1169"/>
    </row>
    <row r="115" spans="1:6" ht="12" customHeight="1">
      <c r="A115" s="13" t="s">
        <v>726</v>
      </c>
      <c r="B115" s="131" t="s">
        <v>74</v>
      </c>
      <c r="C115" s="258"/>
      <c r="D115" s="258"/>
      <c r="E115" s="1169"/>
      <c r="F115" s="1169"/>
    </row>
    <row r="116" spans="1:6" ht="12" customHeight="1">
      <c r="A116" s="13" t="s">
        <v>67</v>
      </c>
      <c r="B116" s="131" t="s">
        <v>62</v>
      </c>
      <c r="C116" s="258"/>
      <c r="D116" s="258"/>
      <c r="E116" s="1169"/>
      <c r="F116" s="1169"/>
    </row>
    <row r="117" spans="1:6" ht="12" customHeight="1">
      <c r="A117" s="13" t="s">
        <v>68</v>
      </c>
      <c r="B117" s="131" t="s">
        <v>73</v>
      </c>
      <c r="C117" s="258"/>
      <c r="D117" s="258"/>
      <c r="E117" s="1169"/>
      <c r="F117" s="1169"/>
    </row>
    <row r="118" spans="1:6" ht="16.5" thickBot="1">
      <c r="A118" s="11" t="s">
        <v>69</v>
      </c>
      <c r="B118" s="131" t="s">
        <v>72</v>
      </c>
      <c r="C118" s="259">
        <v>1200</v>
      </c>
      <c r="D118" s="259">
        <v>1200</v>
      </c>
      <c r="E118" s="1170">
        <v>1200</v>
      </c>
      <c r="F118" s="1170">
        <v>1200</v>
      </c>
    </row>
    <row r="119" spans="1:6" ht="12" customHeight="1" thickBot="1">
      <c r="A119" s="18" t="s">
        <v>557</v>
      </c>
      <c r="B119" s="121" t="s">
        <v>77</v>
      </c>
      <c r="C119" s="285">
        <f>+C120+C121</f>
        <v>0</v>
      </c>
      <c r="D119" s="285">
        <f>+D120+D121</f>
        <v>0</v>
      </c>
      <c r="E119" s="1171">
        <f>+E120+E121</f>
        <v>0</v>
      </c>
      <c r="F119" s="1171">
        <f>+F120+F121</f>
        <v>0</v>
      </c>
    </row>
    <row r="120" spans="1:6" ht="12" customHeight="1">
      <c r="A120" s="13" t="s">
        <v>629</v>
      </c>
      <c r="B120" s="7" t="s">
        <v>597</v>
      </c>
      <c r="C120" s="288"/>
      <c r="D120" s="288"/>
      <c r="E120" s="1172"/>
      <c r="F120" s="1172"/>
    </row>
    <row r="121" spans="1:6" ht="12" customHeight="1" thickBot="1">
      <c r="A121" s="14" t="s">
        <v>630</v>
      </c>
      <c r="B121" s="10" t="s">
        <v>598</v>
      </c>
      <c r="C121" s="289"/>
      <c r="D121" s="289"/>
      <c r="E121" s="1170"/>
      <c r="F121" s="1170"/>
    </row>
    <row r="122" spans="1:6" ht="12" customHeight="1" thickBot="1">
      <c r="A122" s="18" t="s">
        <v>558</v>
      </c>
      <c r="B122" s="121" t="s">
        <v>78</v>
      </c>
      <c r="C122" s="285">
        <f>+C89+C105+C119</f>
        <v>4650</v>
      </c>
      <c r="D122" s="285">
        <f>+D89+D105+D119</f>
        <v>4650</v>
      </c>
      <c r="E122" s="1171">
        <f>+E89+E105+E119</f>
        <v>4650</v>
      </c>
      <c r="F122" s="1171">
        <f>+F89+F105+F119</f>
        <v>4650</v>
      </c>
    </row>
    <row r="123" spans="1:6" ht="12" customHeight="1" thickBot="1">
      <c r="A123" s="18" t="s">
        <v>559</v>
      </c>
      <c r="B123" s="121" t="s">
        <v>79</v>
      </c>
      <c r="C123" s="285">
        <f>+C124+C125+C126</f>
        <v>0</v>
      </c>
      <c r="D123" s="285">
        <f>+D124+D125+D126</f>
        <v>0</v>
      </c>
      <c r="E123" s="1171">
        <f>+E124+E125+E126</f>
        <v>0</v>
      </c>
      <c r="F123" s="1171">
        <f>+F124+F125+F126</f>
        <v>0</v>
      </c>
    </row>
    <row r="124" spans="1:6" ht="12" customHeight="1">
      <c r="A124" s="13" t="s">
        <v>633</v>
      </c>
      <c r="B124" s="7" t="s">
        <v>80</v>
      </c>
      <c r="C124" s="258"/>
      <c r="D124" s="258"/>
      <c r="E124" s="1169"/>
      <c r="F124" s="1169"/>
    </row>
    <row r="125" spans="1:6" ht="12" customHeight="1">
      <c r="A125" s="13" t="s">
        <v>634</v>
      </c>
      <c r="B125" s="7" t="s">
        <v>81</v>
      </c>
      <c r="C125" s="258"/>
      <c r="D125" s="258"/>
      <c r="E125" s="1169"/>
      <c r="F125" s="1169"/>
    </row>
    <row r="126" spans="1:6" ht="12" customHeight="1" thickBot="1">
      <c r="A126" s="11" t="s">
        <v>635</v>
      </c>
      <c r="B126" s="5" t="s">
        <v>82</v>
      </c>
      <c r="C126" s="258"/>
      <c r="D126" s="258"/>
      <c r="E126" s="1169"/>
      <c r="F126" s="1169"/>
    </row>
    <row r="127" spans="1:6" ht="12" customHeight="1" thickBot="1">
      <c r="A127" s="18" t="s">
        <v>560</v>
      </c>
      <c r="B127" s="121" t="s">
        <v>132</v>
      </c>
      <c r="C127" s="285">
        <f>+C128+C129+C130+C131</f>
        <v>0</v>
      </c>
      <c r="D127" s="285">
        <f>+D128+D129+D130+D131</f>
        <v>0</v>
      </c>
      <c r="E127" s="1171">
        <f>+E128+E129+E130+E131</f>
        <v>0</v>
      </c>
      <c r="F127" s="1171">
        <f>+F128+F129+F130+F131</f>
        <v>0</v>
      </c>
    </row>
    <row r="128" spans="1:6" ht="12" customHeight="1">
      <c r="A128" s="13" t="s">
        <v>636</v>
      </c>
      <c r="B128" s="7" t="s">
        <v>83</v>
      </c>
      <c r="C128" s="258"/>
      <c r="D128" s="258"/>
      <c r="E128" s="1169"/>
      <c r="F128" s="1169"/>
    </row>
    <row r="129" spans="1:6" ht="12" customHeight="1">
      <c r="A129" s="13" t="s">
        <v>637</v>
      </c>
      <c r="B129" s="7" t="s">
        <v>84</v>
      </c>
      <c r="C129" s="258"/>
      <c r="D129" s="258"/>
      <c r="E129" s="1169"/>
      <c r="F129" s="1169"/>
    </row>
    <row r="130" spans="1:6" ht="12" customHeight="1">
      <c r="A130" s="13" t="s">
        <v>842</v>
      </c>
      <c r="B130" s="7" t="s">
        <v>85</v>
      </c>
      <c r="C130" s="258"/>
      <c r="D130" s="258"/>
      <c r="E130" s="1169"/>
      <c r="F130" s="1169"/>
    </row>
    <row r="131" spans="1:6" ht="12" customHeight="1" thickBot="1">
      <c r="A131" s="11" t="s">
        <v>843</v>
      </c>
      <c r="B131" s="5" t="s">
        <v>86</v>
      </c>
      <c r="C131" s="258"/>
      <c r="D131" s="258"/>
      <c r="E131" s="1169"/>
      <c r="F131" s="1169"/>
    </row>
    <row r="132" spans="1:6" ht="12" customHeight="1" thickBot="1">
      <c r="A132" s="18" t="s">
        <v>561</v>
      </c>
      <c r="B132" s="121" t="s">
        <v>87</v>
      </c>
      <c r="C132" s="291">
        <f>+C133+C134+C135+C136</f>
        <v>0</v>
      </c>
      <c r="D132" s="291">
        <f>+D133+D134+D135+D136</f>
        <v>0</v>
      </c>
      <c r="E132" s="1173">
        <f>+E133+E134+E135+E136</f>
        <v>0</v>
      </c>
      <c r="F132" s="1173">
        <f>+F133+F134+F135+F136</f>
        <v>0</v>
      </c>
    </row>
    <row r="133" spans="1:6" ht="12" customHeight="1">
      <c r="A133" s="13" t="s">
        <v>638</v>
      </c>
      <c r="B133" s="7" t="s">
        <v>88</v>
      </c>
      <c r="C133" s="258"/>
      <c r="D133" s="258"/>
      <c r="E133" s="1169"/>
      <c r="F133" s="1169"/>
    </row>
    <row r="134" spans="1:6" ht="12" customHeight="1">
      <c r="A134" s="13" t="s">
        <v>639</v>
      </c>
      <c r="B134" s="7" t="s">
        <v>98</v>
      </c>
      <c r="C134" s="258"/>
      <c r="D134" s="258"/>
      <c r="E134" s="1169"/>
      <c r="F134" s="1169"/>
    </row>
    <row r="135" spans="1:6" ht="12" customHeight="1">
      <c r="A135" s="13" t="s">
        <v>854</v>
      </c>
      <c r="B135" s="7" t="s">
        <v>89</v>
      </c>
      <c r="C135" s="258"/>
      <c r="D135" s="258"/>
      <c r="E135" s="1169"/>
      <c r="F135" s="1169"/>
    </row>
    <row r="136" spans="1:6" ht="12" customHeight="1" thickBot="1">
      <c r="A136" s="11" t="s">
        <v>855</v>
      </c>
      <c r="B136" s="5" t="s">
        <v>90</v>
      </c>
      <c r="C136" s="258"/>
      <c r="D136" s="258"/>
      <c r="E136" s="1169"/>
      <c r="F136" s="1169"/>
    </row>
    <row r="137" spans="1:6" ht="12" customHeight="1" thickBot="1">
      <c r="A137" s="18" t="s">
        <v>562</v>
      </c>
      <c r="B137" s="121" t="s">
        <v>91</v>
      </c>
      <c r="C137" s="293">
        <f>+C138+C139+C140+C141</f>
        <v>0</v>
      </c>
      <c r="D137" s="293">
        <f>+D138+D139+D140+D141</f>
        <v>0</v>
      </c>
      <c r="E137" s="1174">
        <f>+E138+E139+E140+E141</f>
        <v>0</v>
      </c>
      <c r="F137" s="1174">
        <f>+F138+F139+F140+F141</f>
        <v>0</v>
      </c>
    </row>
    <row r="138" spans="1:6" ht="12" customHeight="1">
      <c r="A138" s="13" t="s">
        <v>717</v>
      </c>
      <c r="B138" s="7" t="s">
        <v>92</v>
      </c>
      <c r="C138" s="258"/>
      <c r="D138" s="258"/>
      <c r="E138" s="1169"/>
      <c r="F138" s="1169"/>
    </row>
    <row r="139" spans="1:6" ht="12" customHeight="1">
      <c r="A139" s="13" t="s">
        <v>718</v>
      </c>
      <c r="B139" s="7" t="s">
        <v>93</v>
      </c>
      <c r="C139" s="258"/>
      <c r="D139" s="258"/>
      <c r="E139" s="1169"/>
      <c r="F139" s="1169"/>
    </row>
    <row r="140" spans="1:6" ht="12" customHeight="1">
      <c r="A140" s="13" t="s">
        <v>771</v>
      </c>
      <c r="B140" s="7" t="s">
        <v>94</v>
      </c>
      <c r="C140" s="258"/>
      <c r="D140" s="258"/>
      <c r="E140" s="1169"/>
      <c r="F140" s="1169"/>
    </row>
    <row r="141" spans="1:6" ht="12" customHeight="1" thickBot="1">
      <c r="A141" s="13" t="s">
        <v>857</v>
      </c>
      <c r="B141" s="7" t="s">
        <v>95</v>
      </c>
      <c r="C141" s="258"/>
      <c r="D141" s="258"/>
      <c r="E141" s="1169"/>
      <c r="F141" s="1169"/>
    </row>
    <row r="142" spans="1:9" ht="15" customHeight="1" thickBot="1">
      <c r="A142" s="18" t="s">
        <v>563</v>
      </c>
      <c r="B142" s="121" t="s">
        <v>96</v>
      </c>
      <c r="C142" s="407">
        <f>+C123+C127+C132+C137</f>
        <v>0</v>
      </c>
      <c r="D142" s="407">
        <f>+D123+D127+D132+D137</f>
        <v>0</v>
      </c>
      <c r="E142" s="1175">
        <f>+E123+E127+E132+E137</f>
        <v>0</v>
      </c>
      <c r="F142" s="1175">
        <f>+F123+F127+F132+F137</f>
        <v>0</v>
      </c>
      <c r="G142" s="408"/>
      <c r="H142" s="408"/>
      <c r="I142" s="408"/>
    </row>
    <row r="143" spans="1:6" s="394" customFormat="1" ht="12.75" customHeight="1" thickBot="1">
      <c r="A143" s="283" t="s">
        <v>564</v>
      </c>
      <c r="B143" s="367" t="s">
        <v>97</v>
      </c>
      <c r="C143" s="407">
        <f>+C122+C142</f>
        <v>4650</v>
      </c>
      <c r="D143" s="407">
        <f>+D122+D142</f>
        <v>4650</v>
      </c>
      <c r="E143" s="407">
        <f>+E122+E142</f>
        <v>4650</v>
      </c>
      <c r="F143" s="407">
        <f>+F122+F142</f>
        <v>4650</v>
      </c>
    </row>
    <row r="144" ht="7.5" customHeight="1"/>
    <row r="145" spans="1:6" ht="15.75">
      <c r="A145" s="1251" t="s">
        <v>99</v>
      </c>
      <c r="B145" s="1251"/>
      <c r="C145" s="1251"/>
      <c r="D145" s="392"/>
      <c r="E145" s="392"/>
      <c r="F145" s="392"/>
    </row>
    <row r="146" spans="1:6" ht="15" customHeight="1" thickBot="1">
      <c r="A146" s="1248" t="s">
        <v>691</v>
      </c>
      <c r="B146" s="1248"/>
      <c r="C146" s="294"/>
      <c r="D146" s="294" t="s">
        <v>770</v>
      </c>
      <c r="E146" s="294" t="s">
        <v>770</v>
      </c>
      <c r="F146" s="294" t="s">
        <v>770</v>
      </c>
    </row>
    <row r="147" spans="1:6" ht="13.5" customHeight="1" thickBot="1">
      <c r="A147" s="18">
        <v>1</v>
      </c>
      <c r="B147" s="28" t="s">
        <v>100</v>
      </c>
      <c r="C147" s="285">
        <f>+C60-C122</f>
        <v>0</v>
      </c>
      <c r="D147" s="285">
        <f>+D60-D122</f>
        <v>0</v>
      </c>
      <c r="E147" s="285">
        <f>+E60-E122</f>
        <v>0</v>
      </c>
      <c r="F147" s="285">
        <f>+F60-F122</f>
        <v>0</v>
      </c>
    </row>
    <row r="148" spans="1:6" ht="27.75" customHeight="1" thickBot="1">
      <c r="A148" s="18" t="s">
        <v>556</v>
      </c>
      <c r="B148" s="28" t="s">
        <v>101</v>
      </c>
      <c r="C148" s="285">
        <f>+C83-C142</f>
        <v>0</v>
      </c>
      <c r="D148" s="285">
        <f>+D83-D142</f>
        <v>0</v>
      </c>
      <c r="E148" s="285">
        <f>+E83-E142</f>
        <v>0</v>
      </c>
      <c r="F148" s="285">
        <f>+F83-F142</f>
        <v>0</v>
      </c>
    </row>
  </sheetData>
  <sheetProtection/>
  <mergeCells count="6">
    <mergeCell ref="A145:C145"/>
    <mergeCell ref="A146:B146"/>
    <mergeCell ref="A1:C1"/>
    <mergeCell ref="A2:B2"/>
    <mergeCell ref="A85:C85"/>
    <mergeCell ref="A86:B8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0" r:id="rId1"/>
  <headerFooter alignWithMargins="0">
    <oddHeader>&amp;C&amp;"Times New Roman CE,Félkövér"&amp;12
Tát Város Önkormányzat
2016. ÉVI KÖLTSÉGVETÉS
ÖNKÉNT VÁLLALT FELADATAINAK MÉRLEGE
&amp;R&amp;"Times New Roman CE,Félkövér dőlt"&amp;11 1.3. melléklet az  1/2016. (I.26.) önkormányzati rendelethez</oddHeader>
  </headerFooter>
  <rowBreaks count="1" manualBreakCount="1">
    <brk id="84" max="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G186"/>
  <sheetViews>
    <sheetView tabSelected="1" view="pageBreakPreview" zoomScale="130" zoomScaleNormal="120" zoomScaleSheetLayoutView="130" workbookViewId="0" topLeftCell="A13">
      <selection activeCell="E106" sqref="E106"/>
    </sheetView>
  </sheetViews>
  <sheetFormatPr defaultColWidth="9.00390625" defaultRowHeight="12.75"/>
  <cols>
    <col min="1" max="1" width="9.00390625" style="370" customWidth="1"/>
    <col min="2" max="2" width="75.875" style="370" customWidth="1"/>
    <col min="3" max="3" width="15.50390625" style="371" customWidth="1"/>
    <col min="4" max="5" width="15.50390625" style="370" customWidth="1"/>
    <col min="6" max="6" width="9.00390625" style="36" customWidth="1"/>
    <col min="7" max="16384" width="9.375" style="36" customWidth="1"/>
  </cols>
  <sheetData>
    <row r="1" spans="1:5" ht="15.75" customHeight="1">
      <c r="A1" s="1249" t="s">
        <v>552</v>
      </c>
      <c r="B1" s="1249"/>
      <c r="C1" s="1249"/>
      <c r="D1" s="1249"/>
      <c r="E1" s="1249"/>
    </row>
    <row r="2" spans="1:5" ht="15.75" customHeight="1" thickBot="1">
      <c r="A2" s="1239"/>
      <c r="B2" s="1239"/>
      <c r="D2" s="456"/>
      <c r="E2" s="457" t="s">
        <v>770</v>
      </c>
    </row>
    <row r="3" spans="1:5" ht="37.5" customHeight="1" thickBot="1">
      <c r="A3" s="458" t="s">
        <v>610</v>
      </c>
      <c r="B3" s="459" t="s">
        <v>554</v>
      </c>
      <c r="C3" s="459" t="s">
        <v>459</v>
      </c>
      <c r="D3" s="460" t="s">
        <v>460</v>
      </c>
      <c r="E3" s="461" t="s">
        <v>461</v>
      </c>
    </row>
    <row r="4" spans="1:5" s="38" customFormat="1" ht="12" customHeight="1" thickBot="1">
      <c r="A4" s="458">
        <v>1</v>
      </c>
      <c r="B4" s="459">
        <v>2</v>
      </c>
      <c r="C4" s="459">
        <v>3</v>
      </c>
      <c r="D4" s="459">
        <v>4</v>
      </c>
      <c r="E4" s="461">
        <v>5</v>
      </c>
    </row>
    <row r="5" spans="1:5" s="1" customFormat="1" ht="15" customHeight="1" thickBot="1">
      <c r="A5" s="462" t="s">
        <v>555</v>
      </c>
      <c r="B5" s="463" t="s">
        <v>798</v>
      </c>
      <c r="C5" s="464">
        <f>+C6+C7+C8+C15+C9+C10+C11</f>
        <v>341590</v>
      </c>
      <c r="D5" s="464">
        <v>361722</v>
      </c>
      <c r="E5" s="465">
        <v>388467</v>
      </c>
    </row>
    <row r="6" spans="1:5" s="1" customFormat="1" ht="15.75" customHeight="1">
      <c r="A6" s="466" t="s">
        <v>640</v>
      </c>
      <c r="B6" s="467" t="s">
        <v>799</v>
      </c>
      <c r="C6" s="468">
        <v>135462</v>
      </c>
      <c r="D6" s="468">
        <v>128864</v>
      </c>
      <c r="E6" s="469">
        <v>129128</v>
      </c>
    </row>
    <row r="7" spans="1:5" s="1" customFormat="1" ht="15" customHeight="1">
      <c r="A7" s="470" t="s">
        <v>641</v>
      </c>
      <c r="B7" s="471" t="s">
        <v>800</v>
      </c>
      <c r="C7" s="472">
        <v>90315</v>
      </c>
      <c r="D7" s="472">
        <v>99643</v>
      </c>
      <c r="E7" s="473">
        <v>114811</v>
      </c>
    </row>
    <row r="8" spans="1:5" s="1" customFormat="1" ht="15" customHeight="1">
      <c r="A8" s="470" t="s">
        <v>642</v>
      </c>
      <c r="B8" s="471" t="s">
        <v>801</v>
      </c>
      <c r="C8" s="472">
        <v>92006</v>
      </c>
      <c r="D8" s="472">
        <v>110208</v>
      </c>
      <c r="E8" s="473">
        <v>138262</v>
      </c>
    </row>
    <row r="9" spans="1:5" s="1" customFormat="1" ht="15" customHeight="1">
      <c r="A9" s="470" t="s">
        <v>643</v>
      </c>
      <c r="B9" s="471" t="s">
        <v>802</v>
      </c>
      <c r="C9" s="472">
        <v>6278</v>
      </c>
      <c r="D9" s="472">
        <v>6299</v>
      </c>
      <c r="E9" s="473">
        <v>6266</v>
      </c>
    </row>
    <row r="10" spans="1:5" s="1" customFormat="1" ht="13.5" customHeight="1">
      <c r="A10" s="470" t="s">
        <v>686</v>
      </c>
      <c r="B10" s="471" t="s">
        <v>803</v>
      </c>
      <c r="C10" s="474">
        <v>5813</v>
      </c>
      <c r="D10" s="474"/>
      <c r="E10" s="473"/>
    </row>
    <row r="11" spans="1:5" s="1" customFormat="1" ht="13.5" customHeight="1">
      <c r="A11" s="475" t="s">
        <v>644</v>
      </c>
      <c r="B11" s="476" t="s">
        <v>804</v>
      </c>
      <c r="C11" s="477">
        <v>11716</v>
      </c>
      <c r="D11" s="477"/>
      <c r="E11" s="473"/>
    </row>
    <row r="12" spans="1:5" s="1" customFormat="1" ht="15" customHeight="1">
      <c r="A12" s="470" t="s">
        <v>645</v>
      </c>
      <c r="B12" s="471" t="s">
        <v>429</v>
      </c>
      <c r="C12" s="472"/>
      <c r="D12" s="472">
        <v>1957</v>
      </c>
      <c r="E12" s="473"/>
    </row>
    <row r="13" spans="1:5" s="1" customFormat="1" ht="15" customHeight="1">
      <c r="A13" s="470" t="s">
        <v>655</v>
      </c>
      <c r="B13" s="471" t="s">
        <v>430</v>
      </c>
      <c r="C13" s="472"/>
      <c r="D13" s="472">
        <v>7228</v>
      </c>
      <c r="E13" s="473"/>
    </row>
    <row r="14" spans="1:5" s="1" customFormat="1" ht="15" customHeight="1">
      <c r="A14" s="470" t="s">
        <v>656</v>
      </c>
      <c r="B14" s="471" t="s">
        <v>431</v>
      </c>
      <c r="C14" s="472"/>
      <c r="D14" s="472">
        <v>7275</v>
      </c>
      <c r="E14" s="473"/>
    </row>
    <row r="15" spans="1:5" s="1" customFormat="1" ht="15" customHeight="1" thickBot="1">
      <c r="A15" s="470" t="s">
        <v>657</v>
      </c>
      <c r="B15" s="471" t="s">
        <v>432</v>
      </c>
      <c r="C15" s="472"/>
      <c r="D15" s="472">
        <v>248</v>
      </c>
      <c r="E15" s="473"/>
    </row>
    <row r="16" spans="1:5" s="1" customFormat="1" ht="14.25" customHeight="1" thickBot="1">
      <c r="A16" s="462" t="s">
        <v>556</v>
      </c>
      <c r="B16" s="478" t="s">
        <v>805</v>
      </c>
      <c r="C16" s="464">
        <v>36241</v>
      </c>
      <c r="D16" s="464">
        <v>24185</v>
      </c>
      <c r="E16" s="465">
        <v>9120</v>
      </c>
    </row>
    <row r="17" spans="1:5" s="1" customFormat="1" ht="15" customHeight="1">
      <c r="A17" s="466" t="s">
        <v>646</v>
      </c>
      <c r="B17" s="471" t="s">
        <v>347</v>
      </c>
      <c r="C17" s="468"/>
      <c r="D17" s="468"/>
      <c r="E17" s="469"/>
    </row>
    <row r="18" spans="1:5" s="1" customFormat="1" ht="13.5" customHeight="1">
      <c r="A18" s="470" t="s">
        <v>647</v>
      </c>
      <c r="B18" s="471" t="s">
        <v>348</v>
      </c>
      <c r="C18" s="472">
        <v>4494</v>
      </c>
      <c r="D18" s="472"/>
      <c r="E18" s="473"/>
    </row>
    <row r="19" spans="1:5" s="1" customFormat="1" ht="15" customHeight="1">
      <c r="A19" s="470" t="s">
        <v>648</v>
      </c>
      <c r="B19" s="471" t="s">
        <v>343</v>
      </c>
      <c r="C19" s="472">
        <v>9400</v>
      </c>
      <c r="D19" s="472">
        <v>8400</v>
      </c>
      <c r="E19" s="473"/>
    </row>
    <row r="20" spans="1:5" s="1" customFormat="1" ht="15" customHeight="1">
      <c r="A20" s="470" t="s">
        <v>649</v>
      </c>
      <c r="B20" s="471" t="s">
        <v>344</v>
      </c>
      <c r="C20" s="472">
        <v>21827</v>
      </c>
      <c r="D20" s="472"/>
      <c r="E20" s="473">
        <v>9120</v>
      </c>
    </row>
    <row r="21" spans="1:5" s="1" customFormat="1" ht="13.5" customHeight="1">
      <c r="A21" s="470" t="s">
        <v>650</v>
      </c>
      <c r="B21" s="471" t="s">
        <v>345</v>
      </c>
      <c r="C21" s="472"/>
      <c r="D21" s="472">
        <v>3917</v>
      </c>
      <c r="E21" s="473"/>
    </row>
    <row r="22" spans="1:5" s="1" customFormat="1" ht="13.5" customHeight="1">
      <c r="A22" s="470" t="s">
        <v>433</v>
      </c>
      <c r="B22" s="471" t="s">
        <v>434</v>
      </c>
      <c r="C22" s="479"/>
      <c r="D22" s="479">
        <v>3917</v>
      </c>
      <c r="E22" s="480"/>
    </row>
    <row r="23" spans="1:5" s="1" customFormat="1" ht="13.5" customHeight="1">
      <c r="A23" s="470" t="s">
        <v>659</v>
      </c>
      <c r="B23" s="471" t="s">
        <v>349</v>
      </c>
      <c r="C23" s="479"/>
      <c r="D23" s="479">
        <v>10514</v>
      </c>
      <c r="E23" s="480"/>
    </row>
    <row r="24" spans="1:5" s="1" customFormat="1" ht="13.5" customHeight="1">
      <c r="A24" s="470" t="s">
        <v>661</v>
      </c>
      <c r="B24" s="471" t="s">
        <v>350</v>
      </c>
      <c r="C24" s="479"/>
      <c r="D24" s="479"/>
      <c r="E24" s="480"/>
    </row>
    <row r="25" spans="1:5" s="1" customFormat="1" ht="15" customHeight="1">
      <c r="A25" s="470" t="s">
        <v>724</v>
      </c>
      <c r="B25" s="471" t="s">
        <v>435</v>
      </c>
      <c r="C25" s="479"/>
      <c r="D25" s="479">
        <v>1354</v>
      </c>
      <c r="E25" s="480"/>
    </row>
    <row r="26" spans="1:5" s="1" customFormat="1" ht="15" customHeight="1">
      <c r="A26" s="470" t="s">
        <v>725</v>
      </c>
      <c r="B26" s="471" t="s">
        <v>351</v>
      </c>
      <c r="C26" s="479">
        <v>400</v>
      </c>
      <c r="D26" s="479"/>
      <c r="E26" s="480"/>
    </row>
    <row r="27" spans="1:5" s="1" customFormat="1" ht="15" customHeight="1" thickBot="1">
      <c r="A27" s="470" t="s">
        <v>726</v>
      </c>
      <c r="B27" s="471" t="s">
        <v>352</v>
      </c>
      <c r="C27" s="479">
        <v>120</v>
      </c>
      <c r="D27" s="479"/>
      <c r="E27" s="480"/>
    </row>
    <row r="28" spans="1:5" s="1" customFormat="1" ht="13.5" customHeight="1" thickBot="1">
      <c r="A28" s="462" t="s">
        <v>557</v>
      </c>
      <c r="B28" s="463" t="s">
        <v>810</v>
      </c>
      <c r="C28" s="464">
        <v>185478</v>
      </c>
      <c r="D28" s="464">
        <v>264215</v>
      </c>
      <c r="E28" s="465">
        <v>33407</v>
      </c>
    </row>
    <row r="29" spans="1:5" s="1" customFormat="1" ht="13.5" customHeight="1">
      <c r="A29" s="466" t="s">
        <v>629</v>
      </c>
      <c r="B29" s="467" t="s">
        <v>534</v>
      </c>
      <c r="C29" s="468">
        <v>4274</v>
      </c>
      <c r="D29" s="468"/>
      <c r="E29" s="469"/>
    </row>
    <row r="30" spans="1:5" s="1" customFormat="1" ht="13.5" customHeight="1">
      <c r="A30" s="470" t="s">
        <v>630</v>
      </c>
      <c r="B30" s="467" t="s">
        <v>353</v>
      </c>
      <c r="C30" s="472">
        <v>181000</v>
      </c>
      <c r="D30" s="472"/>
      <c r="E30" s="473"/>
    </row>
    <row r="31" spans="1:5" s="1" customFormat="1" ht="15.75" customHeight="1">
      <c r="A31" s="470" t="s">
        <v>631</v>
      </c>
      <c r="B31" s="467" t="s">
        <v>354</v>
      </c>
      <c r="C31" s="472">
        <v>204</v>
      </c>
      <c r="D31" s="472"/>
      <c r="E31" s="473"/>
    </row>
    <row r="32" spans="1:5" s="1" customFormat="1" ht="15" customHeight="1">
      <c r="A32" s="470" t="s">
        <v>632</v>
      </c>
      <c r="B32" s="471" t="s">
        <v>334</v>
      </c>
      <c r="C32" s="472"/>
      <c r="D32" s="472">
        <v>11594</v>
      </c>
      <c r="E32" s="473">
        <v>33407</v>
      </c>
    </row>
    <row r="33" spans="1:5" s="1" customFormat="1" ht="15" customHeight="1">
      <c r="A33" s="470" t="s">
        <v>437</v>
      </c>
      <c r="B33" s="471" t="s">
        <v>436</v>
      </c>
      <c r="C33" s="472"/>
      <c r="D33" s="472">
        <v>160582</v>
      </c>
      <c r="E33" s="473"/>
    </row>
    <row r="34" spans="1:5" s="1" customFormat="1" ht="15" customHeight="1">
      <c r="A34" s="470" t="s">
        <v>438</v>
      </c>
      <c r="B34" s="471" t="s">
        <v>814</v>
      </c>
      <c r="C34" s="472"/>
      <c r="D34" s="472">
        <v>160582</v>
      </c>
      <c r="E34" s="473"/>
    </row>
    <row r="35" spans="1:5" s="1" customFormat="1" ht="13.5" customHeight="1">
      <c r="A35" s="470" t="s">
        <v>439</v>
      </c>
      <c r="B35" s="471" t="s">
        <v>333</v>
      </c>
      <c r="C35" s="472"/>
      <c r="D35" s="472">
        <v>92039</v>
      </c>
      <c r="E35" s="473"/>
    </row>
    <row r="36" spans="1:5" s="1" customFormat="1" ht="13.5" customHeight="1" thickBot="1">
      <c r="A36" s="475" t="s">
        <v>441</v>
      </c>
      <c r="B36" s="476" t="s">
        <v>440</v>
      </c>
      <c r="C36" s="479"/>
      <c r="D36" s="479">
        <v>92039</v>
      </c>
      <c r="E36" s="480"/>
    </row>
    <row r="37" spans="1:5" s="1" customFormat="1" ht="12" customHeight="1" thickBot="1">
      <c r="A37" s="462" t="s">
        <v>709</v>
      </c>
      <c r="B37" s="463" t="s">
        <v>815</v>
      </c>
      <c r="C37" s="481">
        <v>133072</v>
      </c>
      <c r="D37" s="481">
        <v>114350</v>
      </c>
      <c r="E37" s="482">
        <v>114350</v>
      </c>
    </row>
    <row r="38" spans="1:5" s="1" customFormat="1" ht="14.25" customHeight="1">
      <c r="A38" s="466" t="s">
        <v>816</v>
      </c>
      <c r="B38" s="467" t="s">
        <v>822</v>
      </c>
      <c r="C38" s="483">
        <v>113919</v>
      </c>
      <c r="D38" s="483">
        <v>95800</v>
      </c>
      <c r="E38" s="484">
        <v>95800</v>
      </c>
    </row>
    <row r="39" spans="1:5" s="1" customFormat="1" ht="13.5" customHeight="1">
      <c r="A39" s="470" t="s">
        <v>817</v>
      </c>
      <c r="B39" s="471" t="s">
        <v>823</v>
      </c>
      <c r="C39" s="472">
        <v>5914</v>
      </c>
      <c r="D39" s="472">
        <v>5800</v>
      </c>
      <c r="E39" s="473">
        <v>5800</v>
      </c>
    </row>
    <row r="40" spans="1:5" s="1" customFormat="1" ht="13.5" customHeight="1">
      <c r="A40" s="470" t="s">
        <v>818</v>
      </c>
      <c r="B40" s="471" t="s">
        <v>824</v>
      </c>
      <c r="C40" s="472">
        <v>108005</v>
      </c>
      <c r="D40" s="472">
        <v>90000</v>
      </c>
      <c r="E40" s="473">
        <v>90000</v>
      </c>
    </row>
    <row r="41" spans="1:5" s="1" customFormat="1" ht="13.5" customHeight="1">
      <c r="A41" s="470" t="s">
        <v>819</v>
      </c>
      <c r="B41" s="471" t="s">
        <v>825</v>
      </c>
      <c r="C41" s="472">
        <v>16558</v>
      </c>
      <c r="D41" s="472">
        <v>16000</v>
      </c>
      <c r="E41" s="473">
        <v>16000</v>
      </c>
    </row>
    <row r="42" spans="1:5" s="1" customFormat="1" ht="15" customHeight="1">
      <c r="A42" s="470" t="s">
        <v>820</v>
      </c>
      <c r="B42" s="471" t="s">
        <v>826</v>
      </c>
      <c r="C42" s="472">
        <v>267</v>
      </c>
      <c r="D42" s="472">
        <v>205</v>
      </c>
      <c r="E42" s="473">
        <v>250</v>
      </c>
    </row>
    <row r="43" spans="1:5" s="1" customFormat="1" ht="15" customHeight="1">
      <c r="A43" s="475" t="s">
        <v>821</v>
      </c>
      <c r="B43" s="731" t="s">
        <v>303</v>
      </c>
      <c r="C43" s="479">
        <v>1314</v>
      </c>
      <c r="D43" s="479">
        <v>1300</v>
      </c>
      <c r="E43" s="480">
        <v>1300</v>
      </c>
    </row>
    <row r="44" spans="1:5" s="1" customFormat="1" ht="15.75" customHeight="1" thickBot="1">
      <c r="A44" s="475" t="s">
        <v>301</v>
      </c>
      <c r="B44" s="476" t="s">
        <v>827</v>
      </c>
      <c r="C44" s="479">
        <v>1015</v>
      </c>
      <c r="D44" s="479">
        <v>1000</v>
      </c>
      <c r="E44" s="480">
        <v>1000</v>
      </c>
    </row>
    <row r="45" spans="1:5" s="1" customFormat="1" ht="14.25" customHeight="1" thickBot="1">
      <c r="A45" s="462" t="s">
        <v>559</v>
      </c>
      <c r="B45" s="463" t="s">
        <v>828</v>
      </c>
      <c r="C45" s="464">
        <v>127137</v>
      </c>
      <c r="D45" s="464">
        <v>117175</v>
      </c>
      <c r="E45" s="465">
        <v>105322</v>
      </c>
    </row>
    <row r="46" spans="1:5" s="1" customFormat="1" ht="15" customHeight="1">
      <c r="A46" s="466" t="s">
        <v>633</v>
      </c>
      <c r="B46" s="467" t="s">
        <v>831</v>
      </c>
      <c r="C46" s="468"/>
      <c r="D46" s="468"/>
      <c r="E46" s="469"/>
    </row>
    <row r="47" spans="1:5" s="1" customFormat="1" ht="13.5" customHeight="1">
      <c r="A47" s="470" t="s">
        <v>634</v>
      </c>
      <c r="B47" s="471" t="s">
        <v>832</v>
      </c>
      <c r="C47" s="472">
        <v>9223</v>
      </c>
      <c r="D47" s="472">
        <v>18300</v>
      </c>
      <c r="E47" s="473">
        <v>10200</v>
      </c>
    </row>
    <row r="48" spans="1:5" s="1" customFormat="1" ht="13.5" customHeight="1">
      <c r="A48" s="470" t="s">
        <v>635</v>
      </c>
      <c r="B48" s="471" t="s">
        <v>833</v>
      </c>
      <c r="C48" s="472">
        <v>15</v>
      </c>
      <c r="D48" s="472">
        <v>320</v>
      </c>
      <c r="E48" s="473">
        <v>300</v>
      </c>
    </row>
    <row r="49" spans="1:5" s="1" customFormat="1" ht="13.5" customHeight="1">
      <c r="A49" s="470" t="s">
        <v>711</v>
      </c>
      <c r="B49" s="471" t="s">
        <v>834</v>
      </c>
      <c r="C49" s="472">
        <v>11189</v>
      </c>
      <c r="D49" s="472"/>
      <c r="E49" s="473"/>
    </row>
    <row r="50" spans="1:5" s="1" customFormat="1" ht="13.5" customHeight="1">
      <c r="A50" s="470" t="s">
        <v>712</v>
      </c>
      <c r="B50" s="471" t="s">
        <v>835</v>
      </c>
      <c r="C50" s="472">
        <v>80934</v>
      </c>
      <c r="D50" s="472">
        <v>88666</v>
      </c>
      <c r="E50" s="473">
        <v>83277</v>
      </c>
    </row>
    <row r="51" spans="1:5" s="1" customFormat="1" ht="13.5" customHeight="1">
      <c r="A51" s="470" t="s">
        <v>713</v>
      </c>
      <c r="B51" s="471" t="s">
        <v>836</v>
      </c>
      <c r="C51" s="472">
        <v>5086</v>
      </c>
      <c r="D51" s="472">
        <v>4038</v>
      </c>
      <c r="E51" s="473">
        <v>3045</v>
      </c>
    </row>
    <row r="52" spans="1:5" s="1" customFormat="1" ht="13.5" customHeight="1">
      <c r="A52" s="470" t="s">
        <v>714</v>
      </c>
      <c r="B52" s="471" t="s">
        <v>837</v>
      </c>
      <c r="C52" s="472">
        <v>581</v>
      </c>
      <c r="D52" s="472">
        <v>1351</v>
      </c>
      <c r="E52" s="473"/>
    </row>
    <row r="53" spans="1:5" s="1" customFormat="1" ht="15" customHeight="1">
      <c r="A53" s="470" t="s">
        <v>715</v>
      </c>
      <c r="B53" s="471" t="s">
        <v>838</v>
      </c>
      <c r="C53" s="472">
        <v>2043</v>
      </c>
      <c r="D53" s="472">
        <v>1500</v>
      </c>
      <c r="E53" s="473">
        <v>1500</v>
      </c>
    </row>
    <row r="54" spans="1:5" s="1" customFormat="1" ht="13.5" customHeight="1">
      <c r="A54" s="470" t="s">
        <v>829</v>
      </c>
      <c r="B54" s="471" t="s">
        <v>839</v>
      </c>
      <c r="C54" s="485">
        <v>3228</v>
      </c>
      <c r="D54" s="485"/>
      <c r="E54" s="486"/>
    </row>
    <row r="55" spans="1:5" s="1" customFormat="1" ht="14.25" customHeight="1">
      <c r="A55" s="475" t="s">
        <v>830</v>
      </c>
      <c r="B55" s="476" t="s">
        <v>840</v>
      </c>
      <c r="C55" s="487">
        <v>4787</v>
      </c>
      <c r="D55" s="487">
        <v>3000</v>
      </c>
      <c r="E55" s="488">
        <v>7000</v>
      </c>
    </row>
    <row r="56" spans="1:5" s="1" customFormat="1" ht="14.25" customHeight="1" thickBot="1">
      <c r="A56" s="475" t="s">
        <v>416</v>
      </c>
      <c r="B56" s="476" t="s">
        <v>417</v>
      </c>
      <c r="C56" s="487">
        <v>10051</v>
      </c>
      <c r="D56" s="487"/>
      <c r="E56" s="488"/>
    </row>
    <row r="57" spans="1:5" s="1" customFormat="1" ht="12" customHeight="1" thickBot="1">
      <c r="A57" s="462" t="s">
        <v>560</v>
      </c>
      <c r="B57" s="463" t="s">
        <v>841</v>
      </c>
      <c r="C57" s="464">
        <f>SUM(C58:C62)</f>
        <v>8133</v>
      </c>
      <c r="D57" s="464">
        <v>3643</v>
      </c>
      <c r="E57" s="465">
        <f>SUM(E58:E62)</f>
        <v>0</v>
      </c>
    </row>
    <row r="58" spans="1:5" s="1" customFormat="1" ht="18" customHeight="1">
      <c r="A58" s="466" t="s">
        <v>636</v>
      </c>
      <c r="B58" s="467" t="s">
        <v>845</v>
      </c>
      <c r="C58" s="489"/>
      <c r="D58" s="489"/>
      <c r="E58" s="490"/>
    </row>
    <row r="59" spans="1:5" s="1" customFormat="1" ht="15.75" customHeight="1">
      <c r="A59" s="470" t="s">
        <v>637</v>
      </c>
      <c r="B59" s="471" t="s">
        <v>846</v>
      </c>
      <c r="C59" s="485">
        <v>8133</v>
      </c>
      <c r="D59" s="485">
        <v>3643</v>
      </c>
      <c r="E59" s="486"/>
    </row>
    <row r="60" spans="1:5" s="1" customFormat="1" ht="17.25" customHeight="1">
      <c r="A60" s="470" t="s">
        <v>842</v>
      </c>
      <c r="B60" s="471" t="s">
        <v>847</v>
      </c>
      <c r="C60" s="485"/>
      <c r="D60" s="485"/>
      <c r="E60" s="486"/>
    </row>
    <row r="61" spans="1:5" s="1" customFormat="1" ht="15" customHeight="1">
      <c r="A61" s="470" t="s">
        <v>843</v>
      </c>
      <c r="B61" s="471" t="s">
        <v>190</v>
      </c>
      <c r="C61" s="485"/>
      <c r="D61" s="485"/>
      <c r="E61" s="486"/>
    </row>
    <row r="62" spans="1:5" s="1" customFormat="1" ht="16.5" customHeight="1" thickBot="1">
      <c r="A62" s="475" t="s">
        <v>844</v>
      </c>
      <c r="B62" s="476" t="s">
        <v>849</v>
      </c>
      <c r="C62" s="487"/>
      <c r="D62" s="487"/>
      <c r="E62" s="488"/>
    </row>
    <row r="63" spans="1:5" s="1" customFormat="1" ht="15" customHeight="1" thickBot="1">
      <c r="A63" s="462" t="s">
        <v>716</v>
      </c>
      <c r="B63" s="463" t="s">
        <v>850</v>
      </c>
      <c r="C63" s="464">
        <v>2725</v>
      </c>
      <c r="D63" s="464">
        <v>2559</v>
      </c>
      <c r="E63" s="465">
        <f>SUM(E64:E66)</f>
        <v>0</v>
      </c>
    </row>
    <row r="64" spans="1:5" s="1" customFormat="1" ht="15.75" customHeight="1">
      <c r="A64" s="466" t="s">
        <v>638</v>
      </c>
      <c r="B64" s="471" t="s">
        <v>176</v>
      </c>
      <c r="C64" s="468"/>
      <c r="D64" s="468">
        <v>619</v>
      </c>
      <c r="E64" s="469"/>
    </row>
    <row r="65" spans="1:5" s="1" customFormat="1" ht="15" customHeight="1">
      <c r="A65" s="470" t="s">
        <v>639</v>
      </c>
      <c r="B65" s="471" t="s">
        <v>418</v>
      </c>
      <c r="C65" s="472">
        <v>2350</v>
      </c>
      <c r="D65" s="472">
        <v>1458</v>
      </c>
      <c r="E65" s="473"/>
    </row>
    <row r="66" spans="1:5" s="1" customFormat="1" ht="15.75" customHeight="1">
      <c r="A66" s="470" t="s">
        <v>854</v>
      </c>
      <c r="B66" s="471" t="s">
        <v>852</v>
      </c>
      <c r="C66" s="472">
        <v>375</v>
      </c>
      <c r="D66" s="472"/>
      <c r="E66" s="473"/>
    </row>
    <row r="67" spans="1:5" s="1" customFormat="1" ht="15" customHeight="1" thickBot="1">
      <c r="A67" s="475" t="s">
        <v>855</v>
      </c>
      <c r="B67" s="476" t="s">
        <v>853</v>
      </c>
      <c r="C67" s="479"/>
      <c r="D67" s="479">
        <v>482</v>
      </c>
      <c r="E67" s="480"/>
    </row>
    <row r="68" spans="1:5" s="1" customFormat="1" ht="12" customHeight="1" thickBot="1">
      <c r="A68" s="462" t="s">
        <v>562</v>
      </c>
      <c r="B68" s="478" t="s">
        <v>856</v>
      </c>
      <c r="C68" s="464">
        <v>62896</v>
      </c>
      <c r="D68" s="464">
        <v>925</v>
      </c>
      <c r="E68" s="465">
        <f>SUM(E69:E71)</f>
        <v>0</v>
      </c>
    </row>
    <row r="69" spans="1:5" s="1" customFormat="1" ht="12" customHeight="1">
      <c r="A69" s="470" t="s">
        <v>717</v>
      </c>
      <c r="B69" s="471" t="s">
        <v>859</v>
      </c>
      <c r="C69" s="485">
        <v>7000</v>
      </c>
      <c r="D69" s="485"/>
      <c r="E69" s="486"/>
    </row>
    <row r="70" spans="1:5" s="1" customFormat="1" ht="12" customHeight="1">
      <c r="A70" s="470" t="s">
        <v>718</v>
      </c>
      <c r="B70" s="471" t="s">
        <v>177</v>
      </c>
      <c r="C70" s="485">
        <v>1327</v>
      </c>
      <c r="D70" s="485"/>
      <c r="E70" s="486"/>
    </row>
    <row r="71" spans="1:5" s="1" customFormat="1" ht="12" customHeight="1">
      <c r="A71" s="470" t="s">
        <v>771</v>
      </c>
      <c r="B71" s="471" t="s">
        <v>859</v>
      </c>
      <c r="C71" s="485">
        <v>742</v>
      </c>
      <c r="D71" s="485">
        <v>925</v>
      </c>
      <c r="E71" s="486"/>
    </row>
    <row r="72" spans="1:5" s="1" customFormat="1" ht="12" customHeight="1" thickBot="1">
      <c r="A72" s="470" t="s">
        <v>857</v>
      </c>
      <c r="B72" s="476" t="s">
        <v>419</v>
      </c>
      <c r="C72" s="485">
        <v>53827</v>
      </c>
      <c r="D72" s="485"/>
      <c r="E72" s="486"/>
    </row>
    <row r="73" spans="1:5" s="1" customFormat="1" ht="12" customHeight="1" thickBot="1">
      <c r="A73" s="462" t="s">
        <v>563</v>
      </c>
      <c r="B73" s="463" t="s">
        <v>861</v>
      </c>
      <c r="C73" s="481">
        <f>C5+C16+C28+C37+C45+C57+C63+C68</f>
        <v>897272</v>
      </c>
      <c r="D73" s="481">
        <f>+D5+D16+D28+D37+D45+D57+D63+D68</f>
        <v>888774</v>
      </c>
      <c r="E73" s="482">
        <f>+E5+E16+E28+E37+E45+E57+E63+E68</f>
        <v>650666</v>
      </c>
    </row>
    <row r="74" spans="1:5" s="1" customFormat="1" ht="12" customHeight="1" thickBot="1">
      <c r="A74" s="491" t="s">
        <v>862</v>
      </c>
      <c r="B74" s="478" t="s">
        <v>863</v>
      </c>
      <c r="C74" s="464">
        <f>SUM(C75:C77)</f>
        <v>0</v>
      </c>
      <c r="D74" s="464">
        <f>SUM(D75:D77)</f>
        <v>0</v>
      </c>
      <c r="E74" s="465">
        <f>SUM(E75:E77)</f>
        <v>0</v>
      </c>
    </row>
    <row r="75" spans="1:5" s="1" customFormat="1" ht="12.75" customHeight="1">
      <c r="A75" s="470" t="s">
        <v>41</v>
      </c>
      <c r="B75" s="467" t="s">
        <v>864</v>
      </c>
      <c r="C75" s="485"/>
      <c r="D75" s="485"/>
      <c r="E75" s="486"/>
    </row>
    <row r="76" spans="1:5" s="1" customFormat="1" ht="13.5" customHeight="1">
      <c r="A76" s="470" t="s">
        <v>50</v>
      </c>
      <c r="B76" s="471" t="s">
        <v>865</v>
      </c>
      <c r="C76" s="485"/>
      <c r="D76" s="485"/>
      <c r="E76" s="486"/>
    </row>
    <row r="77" spans="1:5" s="1" customFormat="1" ht="12" customHeight="1" thickBot="1">
      <c r="A77" s="470" t="s">
        <v>51</v>
      </c>
      <c r="B77" s="492" t="s">
        <v>184</v>
      </c>
      <c r="C77" s="485"/>
      <c r="D77" s="485"/>
      <c r="E77" s="486"/>
    </row>
    <row r="78" spans="1:5" s="1" customFormat="1" ht="12" customHeight="1" thickBot="1">
      <c r="A78" s="491" t="s">
        <v>867</v>
      </c>
      <c r="B78" s="478" t="s">
        <v>868</v>
      </c>
      <c r="C78" s="464">
        <f>SUM(C79:C82)</f>
        <v>0</v>
      </c>
      <c r="D78" s="464">
        <f>SUM(D79:D82)</f>
        <v>0</v>
      </c>
      <c r="E78" s="465">
        <f>SUM(E79:E82)</f>
        <v>0</v>
      </c>
    </row>
    <row r="79" spans="1:5" s="1" customFormat="1" ht="15.75" customHeight="1">
      <c r="A79" s="470" t="s">
        <v>687</v>
      </c>
      <c r="B79" s="467" t="s">
        <v>869</v>
      </c>
      <c r="C79" s="485"/>
      <c r="D79" s="485"/>
      <c r="E79" s="486"/>
    </row>
    <row r="80" spans="1:5" s="1" customFormat="1" ht="12" customHeight="1">
      <c r="A80" s="470" t="s">
        <v>688</v>
      </c>
      <c r="B80" s="471" t="s">
        <v>870</v>
      </c>
      <c r="C80" s="485"/>
      <c r="D80" s="485"/>
      <c r="E80" s="486"/>
    </row>
    <row r="81" spans="1:5" s="1" customFormat="1" ht="12" customHeight="1">
      <c r="A81" s="470" t="s">
        <v>42</v>
      </c>
      <c r="B81" s="471" t="s">
        <v>871</v>
      </c>
      <c r="C81" s="485"/>
      <c r="D81" s="485"/>
      <c r="E81" s="486"/>
    </row>
    <row r="82" spans="1:7" s="1" customFormat="1" ht="17.25" customHeight="1" thickBot="1">
      <c r="A82" s="470" t="s">
        <v>43</v>
      </c>
      <c r="B82" s="476" t="s">
        <v>872</v>
      </c>
      <c r="C82" s="485"/>
      <c r="D82" s="485"/>
      <c r="E82" s="486"/>
      <c r="G82" s="39"/>
    </row>
    <row r="83" spans="1:5" s="1" customFormat="1" ht="12" customHeight="1" thickBot="1">
      <c r="A83" s="491" t="s">
        <v>873</v>
      </c>
      <c r="B83" s="478" t="s">
        <v>874</v>
      </c>
      <c r="C83" s="464">
        <v>123369</v>
      </c>
      <c r="D83" s="464">
        <v>240792</v>
      </c>
      <c r="E83" s="465">
        <v>100000</v>
      </c>
    </row>
    <row r="84" spans="1:5" s="1" customFormat="1" ht="15.75" customHeight="1">
      <c r="A84" s="470" t="s">
        <v>44</v>
      </c>
      <c r="B84" s="467" t="s">
        <v>875</v>
      </c>
      <c r="C84" s="485">
        <v>123369</v>
      </c>
      <c r="D84" s="485">
        <v>240792</v>
      </c>
      <c r="E84" s="486">
        <v>100000</v>
      </c>
    </row>
    <row r="85" spans="1:5" s="1" customFormat="1" ht="12" customHeight="1" thickBot="1">
      <c r="A85" s="470" t="s">
        <v>45</v>
      </c>
      <c r="B85" s="476" t="s">
        <v>876</v>
      </c>
      <c r="C85" s="485"/>
      <c r="D85" s="485"/>
      <c r="E85" s="486"/>
    </row>
    <row r="86" spans="1:5" s="1" customFormat="1" ht="12" customHeight="1" thickBot="1">
      <c r="A86" s="491" t="s">
        <v>877</v>
      </c>
      <c r="B86" s="478" t="s">
        <v>878</v>
      </c>
      <c r="C86" s="464">
        <v>11921</v>
      </c>
      <c r="D86" s="464">
        <f>SUM(D87:D89)</f>
        <v>0</v>
      </c>
      <c r="E86" s="465">
        <f>SUM(E87:E89)</f>
        <v>0</v>
      </c>
    </row>
    <row r="87" spans="1:5" s="1" customFormat="1" ht="12" customHeight="1">
      <c r="A87" s="470" t="s">
        <v>46</v>
      </c>
      <c r="B87" s="467" t="s">
        <v>879</v>
      </c>
      <c r="C87" s="485">
        <v>11921</v>
      </c>
      <c r="D87" s="485"/>
      <c r="E87" s="486"/>
    </row>
    <row r="88" spans="1:5" s="1" customFormat="1" ht="12" customHeight="1">
      <c r="A88" s="470" t="s">
        <v>47</v>
      </c>
      <c r="B88" s="471" t="s">
        <v>880</v>
      </c>
      <c r="C88" s="485"/>
      <c r="D88" s="485"/>
      <c r="E88" s="486"/>
    </row>
    <row r="89" spans="1:5" s="1" customFormat="1" ht="12" customHeight="1" thickBot="1">
      <c r="A89" s="470" t="s">
        <v>48</v>
      </c>
      <c r="B89" s="476" t="s">
        <v>881</v>
      </c>
      <c r="C89" s="485"/>
      <c r="D89" s="485"/>
      <c r="E89" s="486"/>
    </row>
    <row r="90" spans="1:5" s="1" customFormat="1" ht="12" customHeight="1" thickBot="1">
      <c r="A90" s="491" t="s">
        <v>882</v>
      </c>
      <c r="B90" s="478" t="s">
        <v>49</v>
      </c>
      <c r="C90" s="464">
        <f>SUM(C91:C94)</f>
        <v>0</v>
      </c>
      <c r="D90" s="464">
        <f>SUM(D91:D94)</f>
        <v>0</v>
      </c>
      <c r="E90" s="465">
        <f>SUM(E91:E94)</f>
        <v>0</v>
      </c>
    </row>
    <row r="91" spans="1:5" s="1" customFormat="1" ht="12" customHeight="1">
      <c r="A91" s="493" t="s">
        <v>883</v>
      </c>
      <c r="B91" s="467" t="s">
        <v>29</v>
      </c>
      <c r="C91" s="485"/>
      <c r="D91" s="485"/>
      <c r="E91" s="486"/>
    </row>
    <row r="92" spans="1:5" s="1" customFormat="1" ht="12" customHeight="1">
      <c r="A92" s="494" t="s">
        <v>30</v>
      </c>
      <c r="B92" s="471" t="s">
        <v>31</v>
      </c>
      <c r="C92" s="485"/>
      <c r="D92" s="485"/>
      <c r="E92" s="486"/>
    </row>
    <row r="93" spans="1:5" s="1" customFormat="1" ht="12" customHeight="1">
      <c r="A93" s="494" t="s">
        <v>32</v>
      </c>
      <c r="B93" s="471" t="s">
        <v>33</v>
      </c>
      <c r="C93" s="485"/>
      <c r="D93" s="485"/>
      <c r="E93" s="486"/>
    </row>
    <row r="94" spans="1:5" s="1" customFormat="1" ht="12" customHeight="1" thickBot="1">
      <c r="A94" s="495" t="s">
        <v>34</v>
      </c>
      <c r="B94" s="476" t="s">
        <v>35</v>
      </c>
      <c r="C94" s="485"/>
      <c r="D94" s="485"/>
      <c r="E94" s="486"/>
    </row>
    <row r="95" spans="1:5" s="1" customFormat="1" ht="12" customHeight="1" thickBot="1">
      <c r="A95" s="491" t="s">
        <v>36</v>
      </c>
      <c r="B95" s="478" t="s">
        <v>37</v>
      </c>
      <c r="C95" s="496"/>
      <c r="D95" s="496"/>
      <c r="E95" s="497"/>
    </row>
    <row r="96" spans="1:5" s="1" customFormat="1" ht="12" customHeight="1" thickBot="1">
      <c r="A96" s="491" t="s">
        <v>38</v>
      </c>
      <c r="B96" s="498" t="s">
        <v>39</v>
      </c>
      <c r="C96" s="481">
        <f>+C74+C78+C83+C86+C90+C95</f>
        <v>135290</v>
      </c>
      <c r="D96" s="481">
        <f>+D74+D78+D83+D86+D90+D95</f>
        <v>240792</v>
      </c>
      <c r="E96" s="482">
        <f>+E74+E78+E83+E86+E90+E95</f>
        <v>100000</v>
      </c>
    </row>
    <row r="97" spans="1:5" s="1" customFormat="1" ht="12" customHeight="1" thickBot="1">
      <c r="A97" s="914" t="s">
        <v>571</v>
      </c>
      <c r="B97" s="499" t="s">
        <v>420</v>
      </c>
      <c r="C97" s="481">
        <v>1788</v>
      </c>
      <c r="D97" s="481"/>
      <c r="E97" s="482"/>
    </row>
    <row r="98" spans="1:5" s="1" customFormat="1" ht="12" customHeight="1" thickBot="1">
      <c r="A98" s="914" t="s">
        <v>572</v>
      </c>
      <c r="B98" s="499" t="s">
        <v>421</v>
      </c>
      <c r="C98" s="481">
        <v>-320</v>
      </c>
      <c r="D98" s="481"/>
      <c r="E98" s="482"/>
    </row>
    <row r="99" spans="1:5" s="1" customFormat="1" ht="12" customHeight="1" thickBot="1">
      <c r="A99" s="914" t="s">
        <v>573</v>
      </c>
      <c r="B99" s="499" t="s">
        <v>40</v>
      </c>
      <c r="C99" s="481">
        <f>+C73+C96+C97+C98</f>
        <v>1034030</v>
      </c>
      <c r="D99" s="481">
        <f>+D73+D96</f>
        <v>1129566</v>
      </c>
      <c r="E99" s="482">
        <f>+E73+E96</f>
        <v>750666</v>
      </c>
    </row>
    <row r="100" spans="1:5" s="1" customFormat="1" ht="12" customHeight="1">
      <c r="A100" s="363"/>
      <c r="B100" s="364"/>
      <c r="C100" s="365"/>
      <c r="D100" s="500"/>
      <c r="E100" s="501"/>
    </row>
    <row r="101" spans="1:5" s="1" customFormat="1" ht="12" customHeight="1">
      <c r="A101" s="1249" t="s">
        <v>583</v>
      </c>
      <c r="B101" s="1249"/>
      <c r="C101" s="1249"/>
      <c r="D101" s="1249"/>
      <c r="E101" s="1249"/>
    </row>
    <row r="102" spans="1:5" s="1" customFormat="1" ht="12" customHeight="1" thickBot="1">
      <c r="A102" s="1238"/>
      <c r="B102" s="1238"/>
      <c r="C102" s="371"/>
      <c r="D102" s="456"/>
      <c r="E102" s="457" t="s">
        <v>770</v>
      </c>
    </row>
    <row r="103" spans="1:6" s="1" customFormat="1" ht="34.5" customHeight="1" thickBot="1">
      <c r="A103" s="458" t="s">
        <v>553</v>
      </c>
      <c r="B103" s="459" t="s">
        <v>584</v>
      </c>
      <c r="C103" s="459" t="s">
        <v>459</v>
      </c>
      <c r="D103" s="460" t="s">
        <v>460</v>
      </c>
      <c r="E103" s="461" t="s">
        <v>461</v>
      </c>
      <c r="F103" s="134"/>
    </row>
    <row r="104" spans="1:6" s="1" customFormat="1" ht="12" customHeight="1" thickBot="1">
      <c r="A104" s="458">
        <v>1</v>
      </c>
      <c r="B104" s="459">
        <v>2</v>
      </c>
      <c r="C104" s="459">
        <v>3</v>
      </c>
      <c r="D104" s="459">
        <v>4</v>
      </c>
      <c r="E104" s="502">
        <v>5</v>
      </c>
      <c r="F104" s="134"/>
    </row>
    <row r="105" spans="1:6" s="1" customFormat="1" ht="15" customHeight="1" thickBot="1">
      <c r="A105" s="503" t="s">
        <v>555</v>
      </c>
      <c r="B105" s="504" t="s">
        <v>191</v>
      </c>
      <c r="C105" s="505">
        <f>SUM(C106:C110)</f>
        <v>609974</v>
      </c>
      <c r="D105" s="506">
        <v>641616</v>
      </c>
      <c r="E105" s="507">
        <v>589799</v>
      </c>
      <c r="F105" s="134"/>
    </row>
    <row r="106" spans="1:5" s="1" customFormat="1" ht="12.75" customHeight="1">
      <c r="A106" s="508" t="s">
        <v>640</v>
      </c>
      <c r="B106" s="509" t="s">
        <v>585</v>
      </c>
      <c r="C106" s="510">
        <v>206408</v>
      </c>
      <c r="D106" s="511">
        <v>193016</v>
      </c>
      <c r="E106" s="512">
        <v>181117</v>
      </c>
    </row>
    <row r="107" spans="1:5" ht="16.5" customHeight="1">
      <c r="A107" s="470" t="s">
        <v>641</v>
      </c>
      <c r="B107" s="513" t="s">
        <v>719</v>
      </c>
      <c r="C107" s="514">
        <v>54495</v>
      </c>
      <c r="D107" s="472">
        <v>52409</v>
      </c>
      <c r="E107" s="473">
        <v>50297</v>
      </c>
    </row>
    <row r="108" spans="1:5" ht="15.75">
      <c r="A108" s="470" t="s">
        <v>642</v>
      </c>
      <c r="B108" s="513" t="s">
        <v>678</v>
      </c>
      <c r="C108" s="515">
        <v>215896</v>
      </c>
      <c r="D108" s="479">
        <v>238473</v>
      </c>
      <c r="E108" s="480">
        <v>217425</v>
      </c>
    </row>
    <row r="109" spans="1:5" s="38" customFormat="1" ht="12" customHeight="1">
      <c r="A109" s="470" t="s">
        <v>643</v>
      </c>
      <c r="B109" s="516" t="s">
        <v>720</v>
      </c>
      <c r="C109" s="515">
        <v>12199</v>
      </c>
      <c r="D109" s="479">
        <v>11121</v>
      </c>
      <c r="E109" s="480">
        <v>9611</v>
      </c>
    </row>
    <row r="110" spans="1:5" ht="12" customHeight="1">
      <c r="A110" s="470" t="s">
        <v>654</v>
      </c>
      <c r="B110" s="517" t="s">
        <v>721</v>
      </c>
      <c r="C110" s="515">
        <v>120976</v>
      </c>
      <c r="D110" s="479">
        <v>146597</v>
      </c>
      <c r="E110" s="480">
        <v>131349</v>
      </c>
    </row>
    <row r="111" spans="1:5" ht="12" customHeight="1">
      <c r="A111" s="470" t="s">
        <v>644</v>
      </c>
      <c r="B111" s="513" t="s">
        <v>56</v>
      </c>
      <c r="C111" s="515">
        <v>1744</v>
      </c>
      <c r="D111" s="479"/>
      <c r="E111" s="480"/>
    </row>
    <row r="112" spans="1:5" ht="12" customHeight="1">
      <c r="A112" s="470" t="s">
        <v>645</v>
      </c>
      <c r="B112" s="518" t="s">
        <v>57</v>
      </c>
      <c r="C112" s="515"/>
      <c r="D112" s="479"/>
      <c r="E112" s="480"/>
    </row>
    <row r="113" spans="1:5" ht="12" customHeight="1">
      <c r="A113" s="470" t="s">
        <v>655</v>
      </c>
      <c r="B113" s="519" t="s">
        <v>58</v>
      </c>
      <c r="C113" s="515"/>
      <c r="D113" s="479"/>
      <c r="E113" s="480"/>
    </row>
    <row r="114" spans="1:5" ht="12" customHeight="1">
      <c r="A114" s="470" t="s">
        <v>656</v>
      </c>
      <c r="B114" s="519" t="s">
        <v>59</v>
      </c>
      <c r="C114" s="515"/>
      <c r="D114" s="479"/>
      <c r="E114" s="480"/>
    </row>
    <row r="115" spans="1:5" ht="12" customHeight="1">
      <c r="A115" s="470" t="s">
        <v>657</v>
      </c>
      <c r="B115" s="518" t="s">
        <v>413</v>
      </c>
      <c r="C115" s="515">
        <v>114520</v>
      </c>
      <c r="D115" s="479">
        <v>131680</v>
      </c>
      <c r="E115" s="480">
        <v>126149</v>
      </c>
    </row>
    <row r="116" spans="1:5" ht="12" customHeight="1">
      <c r="A116" s="470" t="s">
        <v>658</v>
      </c>
      <c r="B116" s="518" t="s">
        <v>60</v>
      </c>
      <c r="C116" s="515">
        <v>1200</v>
      </c>
      <c r="D116" s="479"/>
      <c r="E116" s="480">
        <v>2000</v>
      </c>
    </row>
    <row r="117" spans="1:5" ht="12" customHeight="1">
      <c r="A117" s="470" t="s">
        <v>660</v>
      </c>
      <c r="B117" s="519" t="s">
        <v>62</v>
      </c>
      <c r="C117" s="515"/>
      <c r="D117" s="479"/>
      <c r="E117" s="480"/>
    </row>
    <row r="118" spans="1:5" ht="12" customHeight="1">
      <c r="A118" s="520" t="s">
        <v>722</v>
      </c>
      <c r="B118" s="518" t="s">
        <v>442</v>
      </c>
      <c r="C118" s="515"/>
      <c r="D118" s="479">
        <v>2000</v>
      </c>
      <c r="E118" s="480"/>
    </row>
    <row r="119" spans="1:5" ht="12" customHeight="1">
      <c r="A119" s="470" t="s">
        <v>53</v>
      </c>
      <c r="B119" s="518" t="s">
        <v>414</v>
      </c>
      <c r="C119" s="515"/>
      <c r="D119" s="479">
        <v>9717</v>
      </c>
      <c r="E119" s="480"/>
    </row>
    <row r="120" spans="1:5" ht="12" customHeight="1" thickBot="1">
      <c r="A120" s="521" t="s">
        <v>54</v>
      </c>
      <c r="B120" s="518" t="s">
        <v>415</v>
      </c>
      <c r="C120" s="522">
        <v>3512</v>
      </c>
      <c r="D120" s="523">
        <v>3200</v>
      </c>
      <c r="E120" s="524">
        <v>3200</v>
      </c>
    </row>
    <row r="121" spans="1:5" ht="12" customHeight="1" thickBot="1">
      <c r="A121" s="462" t="s">
        <v>556</v>
      </c>
      <c r="B121" s="525" t="s">
        <v>192</v>
      </c>
      <c r="C121" s="526">
        <f>+C122+C124+C126</f>
        <v>181797</v>
      </c>
      <c r="D121" s="464">
        <v>375368</v>
      </c>
      <c r="E121" s="465">
        <v>100000</v>
      </c>
    </row>
    <row r="122" spans="1:5" ht="12" customHeight="1">
      <c r="A122" s="466" t="s">
        <v>646</v>
      </c>
      <c r="B122" s="513" t="s">
        <v>769</v>
      </c>
      <c r="C122" s="527">
        <v>14891</v>
      </c>
      <c r="D122" s="468">
        <v>154504</v>
      </c>
      <c r="E122" s="469">
        <v>18354</v>
      </c>
    </row>
    <row r="123" spans="1:5" ht="12" customHeight="1">
      <c r="A123" s="466" t="s">
        <v>647</v>
      </c>
      <c r="B123" s="528" t="s">
        <v>70</v>
      </c>
      <c r="C123" s="527"/>
      <c r="D123" s="468">
        <v>87541</v>
      </c>
      <c r="E123" s="469"/>
    </row>
    <row r="124" spans="1:5" ht="12" customHeight="1">
      <c r="A124" s="466" t="s">
        <v>648</v>
      </c>
      <c r="B124" s="528" t="s">
        <v>723</v>
      </c>
      <c r="C124" s="514">
        <v>163014</v>
      </c>
      <c r="D124" s="472">
        <v>142369</v>
      </c>
      <c r="E124" s="473">
        <v>31681</v>
      </c>
    </row>
    <row r="125" spans="1:5" ht="12" customHeight="1">
      <c r="A125" s="466" t="s">
        <v>649</v>
      </c>
      <c r="B125" s="528" t="s">
        <v>71</v>
      </c>
      <c r="C125" s="529">
        <v>108728</v>
      </c>
      <c r="D125" s="472">
        <v>26307</v>
      </c>
      <c r="E125" s="473"/>
    </row>
    <row r="126" spans="1:5" ht="12" customHeight="1">
      <c r="A126" s="466" t="s">
        <v>650</v>
      </c>
      <c r="B126" s="476" t="s">
        <v>772</v>
      </c>
      <c r="C126" s="529">
        <v>3892</v>
      </c>
      <c r="D126" s="472">
        <v>78495</v>
      </c>
      <c r="E126" s="473">
        <f>E135+E130+E129</f>
        <v>49965</v>
      </c>
    </row>
    <row r="127" spans="1:5" ht="12" customHeight="1">
      <c r="A127" s="466" t="s">
        <v>659</v>
      </c>
      <c r="B127" s="530" t="s">
        <v>178</v>
      </c>
      <c r="C127" s="529"/>
      <c r="D127" s="472"/>
      <c r="E127" s="473"/>
    </row>
    <row r="128" spans="1:5" ht="31.5">
      <c r="A128" s="466" t="s">
        <v>661</v>
      </c>
      <c r="B128" s="531" t="s">
        <v>76</v>
      </c>
      <c r="C128" s="529"/>
      <c r="D128" s="472"/>
      <c r="E128" s="473"/>
    </row>
    <row r="129" spans="1:5" ht="12" customHeight="1">
      <c r="A129" s="466" t="s">
        <v>724</v>
      </c>
      <c r="B129" s="519" t="s">
        <v>75</v>
      </c>
      <c r="C129" s="529">
        <v>633</v>
      </c>
      <c r="D129" s="472">
        <v>77295</v>
      </c>
      <c r="E129" s="473">
        <v>31646</v>
      </c>
    </row>
    <row r="130" spans="1:5" ht="12" customHeight="1">
      <c r="A130" s="466" t="s">
        <v>725</v>
      </c>
      <c r="B130" s="519" t="s">
        <v>383</v>
      </c>
      <c r="C130" s="529"/>
      <c r="D130" s="472"/>
      <c r="E130" s="473">
        <v>17119</v>
      </c>
    </row>
    <row r="131" spans="1:5" ht="12" customHeight="1">
      <c r="A131" s="466" t="s">
        <v>726</v>
      </c>
      <c r="B131" s="519" t="s">
        <v>422</v>
      </c>
      <c r="C131" s="529">
        <v>23</v>
      </c>
      <c r="D131" s="472"/>
      <c r="E131" s="473"/>
    </row>
    <row r="132" spans="1:5" ht="12" customHeight="1">
      <c r="A132" s="466" t="s">
        <v>67</v>
      </c>
      <c r="B132" s="519" t="s">
        <v>74</v>
      </c>
      <c r="C132" s="529"/>
      <c r="D132" s="472"/>
      <c r="E132" s="473"/>
    </row>
    <row r="133" spans="1:5" ht="12" customHeight="1">
      <c r="A133" s="466" t="s">
        <v>68</v>
      </c>
      <c r="B133" s="519" t="s">
        <v>62</v>
      </c>
      <c r="C133" s="529"/>
      <c r="D133" s="472"/>
      <c r="E133" s="473"/>
    </row>
    <row r="134" spans="1:5" ht="12" customHeight="1">
      <c r="A134" s="466" t="s">
        <v>69</v>
      </c>
      <c r="B134" s="519" t="s">
        <v>73</v>
      </c>
      <c r="C134" s="529"/>
      <c r="D134" s="472"/>
      <c r="E134" s="473"/>
    </row>
    <row r="135" spans="1:5" ht="12" customHeight="1" thickBot="1">
      <c r="A135" s="520" t="s">
        <v>387</v>
      </c>
      <c r="B135" s="519" t="s">
        <v>72</v>
      </c>
      <c r="C135" s="532">
        <v>3236</v>
      </c>
      <c r="D135" s="479">
        <v>1200</v>
      </c>
      <c r="E135" s="480">
        <v>1200</v>
      </c>
    </row>
    <row r="136" spans="1:5" ht="12" customHeight="1" thickBot="1">
      <c r="A136" s="462" t="s">
        <v>557</v>
      </c>
      <c r="B136" s="533" t="s">
        <v>77</v>
      </c>
      <c r="C136" s="526">
        <f>+C137+C138</f>
        <v>0</v>
      </c>
      <c r="D136" s="464">
        <v>100661</v>
      </c>
      <c r="E136" s="465">
        <v>60867</v>
      </c>
    </row>
    <row r="137" spans="1:5" ht="12" customHeight="1">
      <c r="A137" s="466" t="s">
        <v>629</v>
      </c>
      <c r="B137" s="534" t="s">
        <v>597</v>
      </c>
      <c r="C137" s="527"/>
      <c r="D137" s="468">
        <v>83910</v>
      </c>
      <c r="E137" s="469">
        <v>27460</v>
      </c>
    </row>
    <row r="138" spans="1:5" ht="12" customHeight="1" thickBot="1">
      <c r="A138" s="475" t="s">
        <v>630</v>
      </c>
      <c r="B138" s="528" t="s">
        <v>598</v>
      </c>
      <c r="C138" s="515"/>
      <c r="D138" s="479">
        <v>16751</v>
      </c>
      <c r="E138" s="480">
        <v>33407</v>
      </c>
    </row>
    <row r="139" spans="1:5" ht="12" customHeight="1" thickBot="1">
      <c r="A139" s="462" t="s">
        <v>558</v>
      </c>
      <c r="B139" s="533" t="s">
        <v>78</v>
      </c>
      <c r="C139" s="526">
        <f>+C105+C121+C136</f>
        <v>791771</v>
      </c>
      <c r="D139" s="464">
        <f>+D105+D121+D136</f>
        <v>1117645</v>
      </c>
      <c r="E139" s="465">
        <f>+E105+E121+E136</f>
        <v>750666</v>
      </c>
    </row>
    <row r="140" spans="1:5" ht="12" customHeight="1" thickBot="1">
      <c r="A140" s="462" t="s">
        <v>559</v>
      </c>
      <c r="B140" s="533" t="s">
        <v>79</v>
      </c>
      <c r="C140" s="526">
        <f>+C141+C142+C143</f>
        <v>0</v>
      </c>
      <c r="D140" s="464">
        <f>+D141+D142+D143</f>
        <v>0</v>
      </c>
      <c r="E140" s="465">
        <f>+E141+E142+E143</f>
        <v>0</v>
      </c>
    </row>
    <row r="141" spans="1:5" ht="12" customHeight="1">
      <c r="A141" s="466" t="s">
        <v>633</v>
      </c>
      <c r="B141" s="534" t="s">
        <v>80</v>
      </c>
      <c r="C141" s="529"/>
      <c r="D141" s="472"/>
      <c r="E141" s="473"/>
    </row>
    <row r="142" spans="1:5" ht="12" customHeight="1">
      <c r="A142" s="466" t="s">
        <v>634</v>
      </c>
      <c r="B142" s="534" t="s">
        <v>81</v>
      </c>
      <c r="C142" s="529"/>
      <c r="D142" s="472"/>
      <c r="E142" s="473"/>
    </row>
    <row r="143" spans="1:5" ht="12" customHeight="1" thickBot="1">
      <c r="A143" s="520" t="s">
        <v>635</v>
      </c>
      <c r="B143" s="535" t="s">
        <v>82</v>
      </c>
      <c r="C143" s="529"/>
      <c r="D143" s="472"/>
      <c r="E143" s="473"/>
    </row>
    <row r="144" spans="1:5" ht="12" customHeight="1" thickBot="1">
      <c r="A144" s="462" t="s">
        <v>560</v>
      </c>
      <c r="B144" s="533" t="s">
        <v>132</v>
      </c>
      <c r="C144" s="526">
        <f>+C145+C146+C147+C148</f>
        <v>0</v>
      </c>
      <c r="D144" s="464">
        <f>+D145+D146+D147+D148</f>
        <v>0</v>
      </c>
      <c r="E144" s="465">
        <f>+E145+E146+E147+E148</f>
        <v>0</v>
      </c>
    </row>
    <row r="145" spans="1:5" ht="12" customHeight="1">
      <c r="A145" s="466" t="s">
        <v>636</v>
      </c>
      <c r="B145" s="534" t="s">
        <v>83</v>
      </c>
      <c r="C145" s="529"/>
      <c r="D145" s="472"/>
      <c r="E145" s="473"/>
    </row>
    <row r="146" spans="1:5" ht="12" customHeight="1">
      <c r="A146" s="466" t="s">
        <v>637</v>
      </c>
      <c r="B146" s="534" t="s">
        <v>84</v>
      </c>
      <c r="C146" s="529"/>
      <c r="D146" s="472"/>
      <c r="E146" s="473"/>
    </row>
    <row r="147" spans="1:5" ht="12" customHeight="1">
      <c r="A147" s="466" t="s">
        <v>842</v>
      </c>
      <c r="B147" s="534" t="s">
        <v>85</v>
      </c>
      <c r="C147" s="529"/>
      <c r="D147" s="472"/>
      <c r="E147" s="473"/>
    </row>
    <row r="148" spans="1:5" ht="12" customHeight="1" thickBot="1">
      <c r="A148" s="520" t="s">
        <v>843</v>
      </c>
      <c r="B148" s="535" t="s">
        <v>86</v>
      </c>
      <c r="C148" s="529"/>
      <c r="D148" s="472"/>
      <c r="E148" s="473"/>
    </row>
    <row r="149" spans="1:5" ht="12" customHeight="1" thickBot="1">
      <c r="A149" s="462" t="s">
        <v>561</v>
      </c>
      <c r="B149" s="533" t="s">
        <v>87</v>
      </c>
      <c r="C149" s="536">
        <f>+C150+C151+C152+C153</f>
        <v>0</v>
      </c>
      <c r="D149" s="481">
        <v>11921</v>
      </c>
      <c r="E149" s="482">
        <f>+E150+E151+E152+E153</f>
        <v>0</v>
      </c>
    </row>
    <row r="150" spans="1:5" ht="12" customHeight="1">
      <c r="A150" s="466" t="s">
        <v>638</v>
      </c>
      <c r="B150" s="534" t="s">
        <v>88</v>
      </c>
      <c r="C150" s="529"/>
      <c r="D150" s="472"/>
      <c r="E150" s="473"/>
    </row>
    <row r="151" spans="1:5" ht="12" customHeight="1">
      <c r="A151" s="466" t="s">
        <v>639</v>
      </c>
      <c r="B151" s="534" t="s">
        <v>98</v>
      </c>
      <c r="C151" s="529"/>
      <c r="D151" s="472">
        <v>11921</v>
      </c>
      <c r="E151" s="473"/>
    </row>
    <row r="152" spans="1:5" ht="12" customHeight="1">
      <c r="A152" s="466" t="s">
        <v>854</v>
      </c>
      <c r="B152" s="534" t="s">
        <v>89</v>
      </c>
      <c r="C152" s="529"/>
      <c r="D152" s="472"/>
      <c r="E152" s="473"/>
    </row>
    <row r="153" spans="1:5" ht="12" customHeight="1" thickBot="1">
      <c r="A153" s="520" t="s">
        <v>855</v>
      </c>
      <c r="B153" s="535" t="s">
        <v>90</v>
      </c>
      <c r="C153" s="529"/>
      <c r="D153" s="472"/>
      <c r="E153" s="473"/>
    </row>
    <row r="154" spans="1:5" ht="12" customHeight="1" thickBot="1">
      <c r="A154" s="462" t="s">
        <v>562</v>
      </c>
      <c r="B154" s="533" t="s">
        <v>91</v>
      </c>
      <c r="C154" s="537">
        <f>+C155+C156+C157+C158</f>
        <v>0</v>
      </c>
      <c r="D154" s="538">
        <f>+D155+D156+D157+D158</f>
        <v>0</v>
      </c>
      <c r="E154" s="539">
        <f>+E155+E156+E157+E158</f>
        <v>0</v>
      </c>
    </row>
    <row r="155" spans="1:5" ht="12" customHeight="1">
      <c r="A155" s="466" t="s">
        <v>717</v>
      </c>
      <c r="B155" s="534" t="s">
        <v>92</v>
      </c>
      <c r="C155" s="529"/>
      <c r="D155" s="472"/>
      <c r="E155" s="473"/>
    </row>
    <row r="156" spans="1:5" ht="12" customHeight="1">
      <c r="A156" s="466" t="s">
        <v>718</v>
      </c>
      <c r="B156" s="534" t="s">
        <v>93</v>
      </c>
      <c r="C156" s="529"/>
      <c r="D156" s="472"/>
      <c r="E156" s="473"/>
    </row>
    <row r="157" spans="1:5" ht="12" customHeight="1">
      <c r="A157" s="466" t="s">
        <v>771</v>
      </c>
      <c r="B157" s="534" t="s">
        <v>94</v>
      </c>
      <c r="C157" s="529"/>
      <c r="D157" s="472"/>
      <c r="E157" s="473"/>
    </row>
    <row r="158" spans="1:5" ht="12" customHeight="1" thickBot="1">
      <c r="A158" s="466" t="s">
        <v>857</v>
      </c>
      <c r="B158" s="534" t="s">
        <v>95</v>
      </c>
      <c r="C158" s="529"/>
      <c r="D158" s="472"/>
      <c r="E158" s="473"/>
    </row>
    <row r="159" spans="1:5" ht="12" customHeight="1" thickBot="1">
      <c r="A159" s="462" t="s">
        <v>563</v>
      </c>
      <c r="B159" s="533" t="s">
        <v>96</v>
      </c>
      <c r="C159" s="540">
        <f>+C140+C144+C149+C154</f>
        <v>0</v>
      </c>
      <c r="D159" s="541">
        <f>+D140+D144+D149+D154</f>
        <v>11921</v>
      </c>
      <c r="E159" s="542">
        <f>+E140+E144+E149+E154</f>
        <v>0</v>
      </c>
    </row>
    <row r="160" spans="1:5" ht="12" customHeight="1" thickBot="1">
      <c r="A160" s="913" t="s">
        <v>564</v>
      </c>
      <c r="B160" s="915" t="s">
        <v>423</v>
      </c>
      <c r="C160" s="540">
        <v>225611</v>
      </c>
      <c r="D160" s="541"/>
      <c r="E160" s="542"/>
    </row>
    <row r="161" spans="1:5" ht="12" customHeight="1" thickBot="1">
      <c r="A161" s="913" t="s">
        <v>565</v>
      </c>
      <c r="B161" s="915" t="s">
        <v>424</v>
      </c>
      <c r="C161" s="540">
        <v>110</v>
      </c>
      <c r="D161" s="541"/>
      <c r="E161" s="542"/>
    </row>
    <row r="162" spans="1:5" ht="12" customHeight="1" thickBot="1">
      <c r="A162" s="913" t="s">
        <v>566</v>
      </c>
      <c r="B162" s="915" t="s">
        <v>425</v>
      </c>
      <c r="C162" s="540">
        <v>16029</v>
      </c>
      <c r="D162" s="541"/>
      <c r="E162" s="542"/>
    </row>
    <row r="163" spans="1:5" ht="12" customHeight="1" thickBot="1">
      <c r="A163" s="913" t="s">
        <v>567</v>
      </c>
      <c r="B163" s="915" t="s">
        <v>426</v>
      </c>
      <c r="C163" s="540">
        <v>334</v>
      </c>
      <c r="D163" s="541"/>
      <c r="E163" s="542"/>
    </row>
    <row r="164" spans="1:5" ht="12" customHeight="1" thickBot="1">
      <c r="A164" s="913" t="s">
        <v>568</v>
      </c>
      <c r="B164" s="915" t="s">
        <v>427</v>
      </c>
      <c r="C164" s="540">
        <v>71</v>
      </c>
      <c r="D164" s="541"/>
      <c r="E164" s="542"/>
    </row>
    <row r="165" spans="1:5" ht="12" customHeight="1" thickBot="1">
      <c r="A165" s="913" t="s">
        <v>569</v>
      </c>
      <c r="B165" s="915" t="s">
        <v>428</v>
      </c>
      <c r="C165" s="540">
        <v>104</v>
      </c>
      <c r="D165" s="541"/>
      <c r="E165" s="542"/>
    </row>
    <row r="166" spans="1:5" ht="12" customHeight="1" thickBot="1">
      <c r="A166" s="543" t="s">
        <v>570</v>
      </c>
      <c r="B166" s="544" t="s">
        <v>97</v>
      </c>
      <c r="C166" s="540">
        <v>1034030</v>
      </c>
      <c r="D166" s="541">
        <f>+D139+D159</f>
        <v>1129566</v>
      </c>
      <c r="E166" s="542">
        <f>+E139+E159</f>
        <v>750666</v>
      </c>
    </row>
    <row r="167" ht="12" customHeight="1">
      <c r="C167" s="370"/>
    </row>
    <row r="168" ht="12" customHeight="1">
      <c r="C168" s="370"/>
    </row>
    <row r="169" ht="12" customHeight="1">
      <c r="C169" s="370"/>
    </row>
    <row r="170" ht="12" customHeight="1">
      <c r="C170" s="370"/>
    </row>
    <row r="171" ht="12" customHeight="1">
      <c r="C171" s="370"/>
    </row>
    <row r="172" spans="3:6" ht="15" customHeight="1">
      <c r="C172" s="122"/>
      <c r="D172" s="122"/>
      <c r="E172" s="122"/>
      <c r="F172" s="122"/>
    </row>
    <row r="173" s="1" customFormat="1" ht="12.75" customHeight="1"/>
    <row r="174" ht="15.75">
      <c r="C174" s="370"/>
    </row>
    <row r="175" ht="15.75">
      <c r="C175" s="370"/>
    </row>
    <row r="176" ht="15.75">
      <c r="C176" s="370"/>
    </row>
    <row r="177" ht="16.5" customHeight="1">
      <c r="C177" s="370"/>
    </row>
    <row r="178" ht="15.75">
      <c r="C178" s="370"/>
    </row>
    <row r="179" ht="15.75">
      <c r="C179" s="370"/>
    </row>
    <row r="180" ht="15.75">
      <c r="C180" s="370"/>
    </row>
    <row r="181" ht="15.75">
      <c r="C181" s="370"/>
    </row>
    <row r="182" ht="15.75">
      <c r="C182" s="370"/>
    </row>
    <row r="183" ht="15.75">
      <c r="C183" s="370"/>
    </row>
    <row r="184" ht="15.75">
      <c r="C184" s="370"/>
    </row>
    <row r="185" ht="15.75">
      <c r="C185" s="370"/>
    </row>
    <row r="186" ht="15.75">
      <c r="C186" s="370"/>
    </row>
  </sheetData>
  <sheetProtection selectLockedCells="1"/>
  <mergeCells count="4">
    <mergeCell ref="A1:E1"/>
    <mergeCell ref="A101:E101"/>
    <mergeCell ref="A102:B102"/>
    <mergeCell ref="A2:B2"/>
  </mergeCells>
  <printOptions horizontalCentered="1"/>
  <pageMargins left="0.3937007874015748" right="0.3937007874015748" top="1.2598425196850394" bottom="0.2755905511811024" header="0.7874015748031497" footer="0.5905511811023623"/>
  <pageSetup fitToHeight="2" fitToWidth="3" horizontalDpi="600" verticalDpi="600" orientation="portrait" paperSize="9" scale="52" r:id="rId1"/>
  <headerFooter alignWithMargins="0">
    <oddHeader>&amp;C&amp;"Times New Roman CE,Félkövér"&amp;12&amp;UTájékoztató kimutatások, mérlegek&amp;U
Tát Város Önkormányzat
2016. ÉVI KÖLTSÉGVETÉSÉNEK MÉRLEGE&amp;R&amp;"Times New Roman CE,Félkövér dőlt"&amp;11 1.  tájékoztató tábla</oddHeader>
  </headerFooter>
  <rowBreaks count="1" manualBreakCount="1">
    <brk id="100" max="4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view="pageBreakPreview" zoomScale="60" workbookViewId="0" topLeftCell="A1">
      <selection activeCell="H5" sqref="H5"/>
    </sheetView>
  </sheetViews>
  <sheetFormatPr defaultColWidth="9.00390625" defaultRowHeight="12.75"/>
  <cols>
    <col min="1" max="1" width="6.875" style="182" customWidth="1"/>
    <col min="2" max="2" width="49.625" style="54" customWidth="1"/>
    <col min="3" max="8" width="12.875" style="54" customWidth="1"/>
    <col min="9" max="9" width="13.875" style="54" customWidth="1"/>
    <col min="10" max="16384" width="9.375" style="54" customWidth="1"/>
  </cols>
  <sheetData>
    <row r="1" spans="1:9" ht="27.75" customHeight="1">
      <c r="A1" s="1240" t="s">
        <v>542</v>
      </c>
      <c r="B1" s="1240"/>
      <c r="C1" s="1240"/>
      <c r="D1" s="1240"/>
      <c r="E1" s="1240"/>
      <c r="F1" s="1240"/>
      <c r="G1" s="1240"/>
      <c r="H1" s="1240"/>
      <c r="I1" s="1240"/>
    </row>
    <row r="2" ht="20.25" customHeight="1" thickBot="1">
      <c r="I2" s="450" t="s">
        <v>601</v>
      </c>
    </row>
    <row r="3" spans="1:9" s="451" customFormat="1" ht="26.25" customHeight="1">
      <c r="A3" s="1280" t="s">
        <v>610</v>
      </c>
      <c r="B3" s="1235" t="s">
        <v>626</v>
      </c>
      <c r="C3" s="1280" t="s">
        <v>627</v>
      </c>
      <c r="D3" s="1280" t="s">
        <v>297</v>
      </c>
      <c r="E3" s="1237" t="s">
        <v>609</v>
      </c>
      <c r="F3" s="1278"/>
      <c r="G3" s="1278"/>
      <c r="H3" s="1279"/>
      <c r="I3" s="1235" t="s">
        <v>587</v>
      </c>
    </row>
    <row r="4" spans="1:9" s="452" customFormat="1" ht="32.25" customHeight="1" thickBot="1">
      <c r="A4" s="1281"/>
      <c r="B4" s="1236"/>
      <c r="C4" s="1236"/>
      <c r="D4" s="1281"/>
      <c r="E4" s="260">
        <v>2016</v>
      </c>
      <c r="F4" s="260">
        <v>2017</v>
      </c>
      <c r="G4" s="260">
        <v>2018</v>
      </c>
      <c r="H4" s="261" t="s">
        <v>364</v>
      </c>
      <c r="I4" s="1236"/>
    </row>
    <row r="5" spans="1:9" s="453" customFormat="1" ht="12.75" customHeight="1" thickBot="1">
      <c r="A5" s="262">
        <v>1</v>
      </c>
      <c r="B5" s="263">
        <v>2</v>
      </c>
      <c r="C5" s="264">
        <v>3</v>
      </c>
      <c r="D5" s="263">
        <v>4</v>
      </c>
      <c r="E5" s="262">
        <v>5</v>
      </c>
      <c r="F5" s="264">
        <v>6</v>
      </c>
      <c r="G5" s="264">
        <v>7</v>
      </c>
      <c r="H5" s="265">
        <v>8</v>
      </c>
      <c r="I5" s="266" t="s">
        <v>628</v>
      </c>
    </row>
    <row r="6" spans="1:9" ht="24.75" customHeight="1" thickBot="1">
      <c r="A6" s="267" t="s">
        <v>555</v>
      </c>
      <c r="B6" s="268" t="s">
        <v>543</v>
      </c>
      <c r="C6" s="445"/>
      <c r="D6" s="58">
        <f>+D7+D8</f>
        <v>0</v>
      </c>
      <c r="E6" s="59">
        <f>+E7+E8</f>
        <v>0</v>
      </c>
      <c r="F6" s="60">
        <f>+F7+F8</f>
        <v>0</v>
      </c>
      <c r="G6" s="60">
        <f>+G7+G8</f>
        <v>0</v>
      </c>
      <c r="H6" s="61">
        <f>+H7+H8</f>
        <v>0</v>
      </c>
      <c r="I6" s="58">
        <f aca="true" t="shared" si="0" ref="I6:I17">SUM(D6:H6)</f>
        <v>0</v>
      </c>
    </row>
    <row r="7" spans="1:9" ht="19.5" customHeight="1">
      <c r="A7" s="269" t="s">
        <v>556</v>
      </c>
      <c r="B7" s="62" t="s">
        <v>611</v>
      </c>
      <c r="C7" s="446"/>
      <c r="D7" s="63"/>
      <c r="E7" s="64"/>
      <c r="F7" s="26"/>
      <c r="G7" s="26"/>
      <c r="H7" s="23"/>
      <c r="I7" s="270">
        <f t="shared" si="0"/>
        <v>0</v>
      </c>
    </row>
    <row r="8" spans="1:9" ht="19.5" customHeight="1" thickBot="1">
      <c r="A8" s="269" t="s">
        <v>557</v>
      </c>
      <c r="B8" s="62" t="s">
        <v>611</v>
      </c>
      <c r="C8" s="446"/>
      <c r="D8" s="63"/>
      <c r="E8" s="64"/>
      <c r="F8" s="26"/>
      <c r="G8" s="26"/>
      <c r="H8" s="23"/>
      <c r="I8" s="270">
        <f t="shared" si="0"/>
        <v>0</v>
      </c>
    </row>
    <row r="9" spans="1:9" ht="25.5" customHeight="1" thickBot="1">
      <c r="A9" s="267" t="s">
        <v>558</v>
      </c>
      <c r="B9" s="268" t="s">
        <v>544</v>
      </c>
      <c r="C9" s="447"/>
      <c r="D9" s="58">
        <f>+D10+D11</f>
        <v>0</v>
      </c>
      <c r="E9" s="59">
        <f>+E10+E11</f>
        <v>0</v>
      </c>
      <c r="F9" s="60">
        <f>+F10+F11</f>
        <v>0</v>
      </c>
      <c r="G9" s="60">
        <f>+G10+G11</f>
        <v>0</v>
      </c>
      <c r="H9" s="61">
        <f>+H10+H11</f>
        <v>0</v>
      </c>
      <c r="I9" s="58">
        <f t="shared" si="0"/>
        <v>0</v>
      </c>
    </row>
    <row r="10" spans="1:9" ht="19.5" customHeight="1">
      <c r="A10" s="269" t="s">
        <v>559</v>
      </c>
      <c r="B10" s="62" t="s">
        <v>611</v>
      </c>
      <c r="C10" s="446"/>
      <c r="D10" s="63"/>
      <c r="E10" s="64"/>
      <c r="F10" s="26"/>
      <c r="G10" s="26"/>
      <c r="H10" s="23"/>
      <c r="I10" s="270">
        <f t="shared" si="0"/>
        <v>0</v>
      </c>
    </row>
    <row r="11" spans="1:9" ht="19.5" customHeight="1" thickBot="1">
      <c r="A11" s="269" t="s">
        <v>560</v>
      </c>
      <c r="B11" s="62" t="s">
        <v>611</v>
      </c>
      <c r="C11" s="446"/>
      <c r="D11" s="63"/>
      <c r="E11" s="64"/>
      <c r="F11" s="26"/>
      <c r="G11" s="26"/>
      <c r="H11" s="23"/>
      <c r="I11" s="270">
        <f t="shared" si="0"/>
        <v>0</v>
      </c>
    </row>
    <row r="12" spans="1:9" ht="19.5" customHeight="1" thickBot="1">
      <c r="A12" s="267" t="s">
        <v>561</v>
      </c>
      <c r="B12" s="268" t="s">
        <v>744</v>
      </c>
      <c r="C12" s="447"/>
      <c r="D12" s="58">
        <f>+D13</f>
        <v>0</v>
      </c>
      <c r="E12" s="59">
        <f>+E13</f>
        <v>0</v>
      </c>
      <c r="F12" s="60">
        <f>+F13</f>
        <v>0</v>
      </c>
      <c r="G12" s="60">
        <f>+G13</f>
        <v>0</v>
      </c>
      <c r="H12" s="61">
        <f>+H13</f>
        <v>0</v>
      </c>
      <c r="I12" s="58">
        <f t="shared" si="0"/>
        <v>0</v>
      </c>
    </row>
    <row r="13" spans="1:9" ht="19.5" customHeight="1" thickBot="1">
      <c r="A13" s="269" t="s">
        <v>562</v>
      </c>
      <c r="B13" s="62" t="s">
        <v>611</v>
      </c>
      <c r="C13" s="446"/>
      <c r="D13" s="63"/>
      <c r="E13" s="64"/>
      <c r="F13" s="26"/>
      <c r="G13" s="26"/>
      <c r="H13" s="23"/>
      <c r="I13" s="270">
        <f t="shared" si="0"/>
        <v>0</v>
      </c>
    </row>
    <row r="14" spans="1:9" ht="19.5" customHeight="1" thickBot="1">
      <c r="A14" s="267" t="s">
        <v>563</v>
      </c>
      <c r="B14" s="268" t="s">
        <v>745</v>
      </c>
      <c r="C14" s="447"/>
      <c r="D14" s="58">
        <f>+D15</f>
        <v>0</v>
      </c>
      <c r="E14" s="59">
        <f>+E15</f>
        <v>0</v>
      </c>
      <c r="F14" s="60">
        <f>+F15</f>
        <v>0</v>
      </c>
      <c r="G14" s="60">
        <f>+G15</f>
        <v>0</v>
      </c>
      <c r="H14" s="61">
        <f>+H15</f>
        <v>0</v>
      </c>
      <c r="I14" s="58">
        <f t="shared" si="0"/>
        <v>0</v>
      </c>
    </row>
    <row r="15" spans="1:9" ht="19.5" customHeight="1" thickBot="1">
      <c r="A15" s="271" t="s">
        <v>564</v>
      </c>
      <c r="B15" s="65" t="s">
        <v>611</v>
      </c>
      <c r="C15" s="448"/>
      <c r="D15" s="66"/>
      <c r="E15" s="67"/>
      <c r="F15" s="27"/>
      <c r="G15" s="27"/>
      <c r="H15" s="25"/>
      <c r="I15" s="272">
        <f t="shared" si="0"/>
        <v>0</v>
      </c>
    </row>
    <row r="16" spans="1:9" ht="19.5" customHeight="1" thickBot="1">
      <c r="A16" s="267" t="s">
        <v>565</v>
      </c>
      <c r="B16" s="273" t="s">
        <v>746</v>
      </c>
      <c r="C16" s="447"/>
      <c r="D16" s="58">
        <f>+D17</f>
        <v>0</v>
      </c>
      <c r="E16" s="59">
        <f>+E17</f>
        <v>5200</v>
      </c>
      <c r="F16" s="60">
        <f>+F17</f>
        <v>5200</v>
      </c>
      <c r="G16" s="60">
        <f>+G17</f>
        <v>5200</v>
      </c>
      <c r="H16" s="61">
        <f>+H17</f>
        <v>5200</v>
      </c>
      <c r="I16" s="58">
        <f t="shared" si="0"/>
        <v>20800</v>
      </c>
    </row>
    <row r="17" spans="1:9" ht="19.5" customHeight="1" thickBot="1">
      <c r="A17" s="274" t="s">
        <v>566</v>
      </c>
      <c r="B17" s="68" t="s">
        <v>250</v>
      </c>
      <c r="C17" s="449"/>
      <c r="D17" s="69"/>
      <c r="E17" s="70">
        <v>5200</v>
      </c>
      <c r="F17" s="71">
        <v>5200</v>
      </c>
      <c r="G17" s="71">
        <v>5200</v>
      </c>
      <c r="H17" s="24">
        <v>5200</v>
      </c>
      <c r="I17" s="275">
        <f t="shared" si="0"/>
        <v>20800</v>
      </c>
    </row>
    <row r="18" spans="1:9" ht="19.5" customHeight="1" thickBot="1">
      <c r="A18" s="1241" t="s">
        <v>684</v>
      </c>
      <c r="B18" s="1242"/>
      <c r="C18" s="916"/>
      <c r="D18" s="58">
        <f aca="true" t="shared" si="1" ref="D18:I18">+D6+D9+D12+D14+D16</f>
        <v>0</v>
      </c>
      <c r="E18" s="59">
        <f t="shared" si="1"/>
        <v>5200</v>
      </c>
      <c r="F18" s="60">
        <f t="shared" si="1"/>
        <v>5200</v>
      </c>
      <c r="G18" s="60">
        <f t="shared" si="1"/>
        <v>5200</v>
      </c>
      <c r="H18" s="61">
        <f t="shared" si="1"/>
        <v>5200</v>
      </c>
      <c r="I18" s="58">
        <f t="shared" si="1"/>
        <v>20800</v>
      </c>
    </row>
  </sheetData>
  <sheetProtection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view="pageBreakPreview" zoomScale="60" workbookViewId="0" topLeftCell="B1">
      <selection activeCell="C5" sqref="C5"/>
    </sheetView>
  </sheetViews>
  <sheetFormatPr defaultColWidth="9.00390625" defaultRowHeight="12.75"/>
  <cols>
    <col min="1" max="1" width="5.875" style="85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1283" t="s">
        <v>545</v>
      </c>
      <c r="C1" s="1283"/>
      <c r="D1" s="1283"/>
    </row>
    <row r="2" spans="1:4" s="73" customFormat="1" ht="16.5" thickBot="1">
      <c r="A2" s="72"/>
      <c r="B2" s="366"/>
      <c r="D2" s="42" t="s">
        <v>601</v>
      </c>
    </row>
    <row r="3" spans="1:4" s="75" customFormat="1" ht="48" customHeight="1" thickBot="1">
      <c r="A3" s="74" t="s">
        <v>553</v>
      </c>
      <c r="B3" s="186" t="s">
        <v>554</v>
      </c>
      <c r="C3" s="186" t="s">
        <v>612</v>
      </c>
      <c r="D3" s="187" t="s">
        <v>613</v>
      </c>
    </row>
    <row r="4" spans="1:4" s="75" customFormat="1" ht="13.5" customHeight="1" thickBot="1">
      <c r="A4" s="33">
        <v>1</v>
      </c>
      <c r="B4" s="189">
        <v>2</v>
      </c>
      <c r="C4" s="189">
        <v>3</v>
      </c>
      <c r="D4" s="190">
        <v>4</v>
      </c>
    </row>
    <row r="5" spans="1:4" ht="18" customHeight="1">
      <c r="A5" s="126" t="s">
        <v>555</v>
      </c>
      <c r="B5" s="191" t="s">
        <v>703</v>
      </c>
      <c r="C5" s="287">
        <v>83277</v>
      </c>
      <c r="D5" s="76">
        <v>17729</v>
      </c>
    </row>
    <row r="6" spans="1:4" ht="18" customHeight="1">
      <c r="A6" s="77" t="s">
        <v>556</v>
      </c>
      <c r="B6" s="192" t="s">
        <v>704</v>
      </c>
      <c r="C6" s="125"/>
      <c r="D6" s="79"/>
    </row>
    <row r="7" spans="1:4" ht="18" customHeight="1">
      <c r="A7" s="77" t="s">
        <v>557</v>
      </c>
      <c r="B7" s="192" t="s">
        <v>662</v>
      </c>
      <c r="C7" s="125"/>
      <c r="D7" s="79"/>
    </row>
    <row r="8" spans="1:4" ht="18" customHeight="1">
      <c r="A8" s="77" t="s">
        <v>558</v>
      </c>
      <c r="B8" s="192" t="s">
        <v>663</v>
      </c>
      <c r="C8" s="125"/>
      <c r="D8" s="79"/>
    </row>
    <row r="9" spans="1:4" ht="18" customHeight="1">
      <c r="A9" s="77" t="s">
        <v>559</v>
      </c>
      <c r="B9" s="192" t="s">
        <v>696</v>
      </c>
      <c r="C9" s="125"/>
      <c r="D9" s="79"/>
    </row>
    <row r="10" spans="1:4" ht="18" customHeight="1">
      <c r="A10" s="77" t="s">
        <v>560</v>
      </c>
      <c r="B10" s="192" t="s">
        <v>697</v>
      </c>
      <c r="C10" s="125"/>
      <c r="D10" s="79"/>
    </row>
    <row r="11" spans="1:4" ht="18" customHeight="1">
      <c r="A11" s="77" t="s">
        <v>561</v>
      </c>
      <c r="B11" s="193" t="s">
        <v>698</v>
      </c>
      <c r="C11" s="125"/>
      <c r="D11" s="79"/>
    </row>
    <row r="12" spans="1:4" ht="18" customHeight="1">
      <c r="A12" s="77" t="s">
        <v>563</v>
      </c>
      <c r="B12" s="193" t="s">
        <v>699</v>
      </c>
      <c r="C12" s="125">
        <v>5800</v>
      </c>
      <c r="D12" s="79"/>
    </row>
    <row r="13" spans="1:4" ht="18" customHeight="1">
      <c r="A13" s="77" t="s">
        <v>564</v>
      </c>
      <c r="B13" s="193" t="s">
        <v>700</v>
      </c>
      <c r="C13" s="125">
        <v>250</v>
      </c>
      <c r="D13" s="79"/>
    </row>
    <row r="14" spans="1:4" ht="18" customHeight="1">
      <c r="A14" s="77" t="s">
        <v>565</v>
      </c>
      <c r="B14" s="193" t="s">
        <v>701</v>
      </c>
      <c r="C14" s="125"/>
      <c r="D14" s="79"/>
    </row>
    <row r="15" spans="1:4" ht="22.5" customHeight="1">
      <c r="A15" s="77" t="s">
        <v>566</v>
      </c>
      <c r="B15" s="193" t="s">
        <v>702</v>
      </c>
      <c r="C15" s="125">
        <v>90000</v>
      </c>
      <c r="D15" s="79"/>
    </row>
    <row r="16" spans="1:4" ht="18" customHeight="1">
      <c r="A16" s="77" t="s">
        <v>567</v>
      </c>
      <c r="B16" s="192" t="s">
        <v>664</v>
      </c>
      <c r="C16" s="125">
        <v>16000</v>
      </c>
      <c r="D16" s="79"/>
    </row>
    <row r="17" spans="1:4" ht="18" customHeight="1">
      <c r="A17" s="77" t="s">
        <v>568</v>
      </c>
      <c r="B17" s="192" t="s">
        <v>547</v>
      </c>
      <c r="C17" s="125">
        <v>6200</v>
      </c>
      <c r="D17" s="79"/>
    </row>
    <row r="18" spans="1:4" ht="18" customHeight="1">
      <c r="A18" s="77" t="s">
        <v>569</v>
      </c>
      <c r="B18" s="192" t="s">
        <v>546</v>
      </c>
      <c r="C18" s="125"/>
      <c r="D18" s="79"/>
    </row>
    <row r="19" spans="1:4" ht="18" customHeight="1">
      <c r="A19" s="77" t="s">
        <v>570</v>
      </c>
      <c r="B19" s="192" t="s">
        <v>665</v>
      </c>
      <c r="C19" s="125"/>
      <c r="D19" s="79"/>
    </row>
    <row r="20" spans="1:4" ht="18" customHeight="1">
      <c r="A20" s="77" t="s">
        <v>571</v>
      </c>
      <c r="B20" s="192" t="s">
        <v>666</v>
      </c>
      <c r="C20" s="125"/>
      <c r="D20" s="79"/>
    </row>
    <row r="21" spans="1:4" ht="18" customHeight="1">
      <c r="A21" s="77" t="s">
        <v>572</v>
      </c>
      <c r="B21" s="120"/>
      <c r="C21" s="78"/>
      <c r="D21" s="79"/>
    </row>
    <row r="22" spans="1:4" ht="18" customHeight="1">
      <c r="A22" s="77" t="s">
        <v>573</v>
      </c>
      <c r="B22" s="80"/>
      <c r="C22" s="78"/>
      <c r="D22" s="79"/>
    </row>
    <row r="23" spans="1:4" ht="18" customHeight="1">
      <c r="A23" s="77" t="s">
        <v>574</v>
      </c>
      <c r="B23" s="80"/>
      <c r="C23" s="78"/>
      <c r="D23" s="79"/>
    </row>
    <row r="24" spans="1:4" ht="18" customHeight="1">
      <c r="A24" s="77" t="s">
        <v>575</v>
      </c>
      <c r="B24" s="80"/>
      <c r="C24" s="78"/>
      <c r="D24" s="79"/>
    </row>
    <row r="25" spans="1:4" ht="18" customHeight="1">
      <c r="A25" s="77" t="s">
        <v>576</v>
      </c>
      <c r="B25" s="80"/>
      <c r="C25" s="78"/>
      <c r="D25" s="79"/>
    </row>
    <row r="26" spans="1:4" ht="18" customHeight="1">
      <c r="A26" s="77" t="s">
        <v>577</v>
      </c>
      <c r="B26" s="80"/>
      <c r="C26" s="78"/>
      <c r="D26" s="79"/>
    </row>
    <row r="27" spans="1:4" ht="18" customHeight="1">
      <c r="A27" s="77" t="s">
        <v>578</v>
      </c>
      <c r="B27" s="80"/>
      <c r="C27" s="78"/>
      <c r="D27" s="79"/>
    </row>
    <row r="28" spans="1:4" ht="18" customHeight="1">
      <c r="A28" s="77" t="s">
        <v>579</v>
      </c>
      <c r="B28" s="80"/>
      <c r="C28" s="78"/>
      <c r="D28" s="79"/>
    </row>
    <row r="29" spans="1:4" ht="18" customHeight="1" thickBot="1">
      <c r="A29" s="127" t="s">
        <v>580</v>
      </c>
      <c r="B29" s="81"/>
      <c r="C29" s="82"/>
      <c r="D29" s="83"/>
    </row>
    <row r="30" spans="1:4" ht="18" customHeight="1" thickBot="1">
      <c r="A30" s="34" t="s">
        <v>581</v>
      </c>
      <c r="B30" s="197" t="s">
        <v>588</v>
      </c>
      <c r="C30" s="198">
        <f>+C5+C6+C7+C8+C9+C16+C17+C18+C19+C20+C21+C22+C23+C24+C25+C26+C27+C28+C29</f>
        <v>105477</v>
      </c>
      <c r="D30" s="199">
        <f>+D5+D6+D7+D8+D9+D16+D17+D18+D19+D20+D21+D22+D23+D24+D25+D26+D27+D28+D29</f>
        <v>17729</v>
      </c>
    </row>
    <row r="31" spans="1:4" ht="8.25" customHeight="1">
      <c r="A31" s="84"/>
      <c r="B31" s="1282"/>
      <c r="C31" s="1282"/>
      <c r="D31" s="1282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view="pageBreakPreview" zoomScale="60" workbookViewId="0" topLeftCell="A1">
      <selection activeCell="I32" sqref="I32"/>
    </sheetView>
  </sheetViews>
  <sheetFormatPr defaultColWidth="9.00390625" defaultRowHeight="12.75"/>
  <cols>
    <col min="1" max="1" width="4.875" style="99" customWidth="1"/>
    <col min="2" max="2" width="31.125" style="114" customWidth="1"/>
    <col min="3" max="3" width="10.00390625" style="114" customWidth="1"/>
    <col min="4" max="4" width="9.00390625" style="114" customWidth="1"/>
    <col min="5" max="5" width="9.50390625" style="114" customWidth="1"/>
    <col min="6" max="6" width="8.875" style="114" customWidth="1"/>
    <col min="7" max="7" width="8.625" style="114" customWidth="1"/>
    <col min="8" max="8" width="8.875" style="114" customWidth="1"/>
    <col min="9" max="9" width="8.125" style="114" customWidth="1"/>
    <col min="10" max="14" width="9.50390625" style="114" customWidth="1"/>
    <col min="15" max="15" width="12.625" style="99" customWidth="1"/>
    <col min="16" max="16384" width="9.375" style="114" customWidth="1"/>
  </cols>
  <sheetData>
    <row r="1" spans="1:15" ht="31.5" customHeight="1">
      <c r="A1" s="1287" t="s">
        <v>294</v>
      </c>
      <c r="B1" s="1288"/>
      <c r="C1" s="1288"/>
      <c r="D1" s="1288"/>
      <c r="E1" s="1288"/>
      <c r="F1" s="1288"/>
      <c r="G1" s="1288"/>
      <c r="H1" s="1288"/>
      <c r="I1" s="1288"/>
      <c r="J1" s="1288"/>
      <c r="K1" s="1288"/>
      <c r="L1" s="1288"/>
      <c r="M1" s="1288"/>
      <c r="N1" s="1288"/>
      <c r="O1" s="1288"/>
    </row>
    <row r="2" ht="16.5" thickBot="1">
      <c r="O2" s="4" t="s">
        <v>590</v>
      </c>
    </row>
    <row r="3" spans="1:15" s="99" customFormat="1" ht="25.5" customHeight="1" thickBot="1">
      <c r="A3" s="96" t="s">
        <v>553</v>
      </c>
      <c r="B3" s="97" t="s">
        <v>602</v>
      </c>
      <c r="C3" s="97" t="s">
        <v>614</v>
      </c>
      <c r="D3" s="97" t="s">
        <v>615</v>
      </c>
      <c r="E3" s="97" t="s">
        <v>616</v>
      </c>
      <c r="F3" s="97" t="s">
        <v>617</v>
      </c>
      <c r="G3" s="97" t="s">
        <v>618</v>
      </c>
      <c r="H3" s="97" t="s">
        <v>619</v>
      </c>
      <c r="I3" s="97" t="s">
        <v>620</v>
      </c>
      <c r="J3" s="97" t="s">
        <v>621</v>
      </c>
      <c r="K3" s="97" t="s">
        <v>622</v>
      </c>
      <c r="L3" s="97" t="s">
        <v>623</v>
      </c>
      <c r="M3" s="97" t="s">
        <v>624</v>
      </c>
      <c r="N3" s="97" t="s">
        <v>625</v>
      </c>
      <c r="O3" s="98" t="s">
        <v>588</v>
      </c>
    </row>
    <row r="4" spans="1:15" s="101" customFormat="1" ht="15" customHeight="1" thickBot="1">
      <c r="A4" s="100" t="s">
        <v>555</v>
      </c>
      <c r="B4" s="1284" t="s">
        <v>593</v>
      </c>
      <c r="C4" s="1285"/>
      <c r="D4" s="1285"/>
      <c r="E4" s="1285"/>
      <c r="F4" s="1285"/>
      <c r="G4" s="1285"/>
      <c r="H4" s="1285"/>
      <c r="I4" s="1285"/>
      <c r="J4" s="1285"/>
      <c r="K4" s="1285"/>
      <c r="L4" s="1285"/>
      <c r="M4" s="1285"/>
      <c r="N4" s="1285"/>
      <c r="O4" s="1286"/>
    </row>
    <row r="5" spans="1:15" s="101" customFormat="1" ht="22.5">
      <c r="A5" s="102" t="s">
        <v>556</v>
      </c>
      <c r="B5" s="454" t="s">
        <v>102</v>
      </c>
      <c r="C5" s="103">
        <f>28592+3780</f>
        <v>32372</v>
      </c>
      <c r="D5" s="103">
        <f aca="true" t="shared" si="0" ref="D5:M5">28592+3780</f>
        <v>32372</v>
      </c>
      <c r="E5" s="103">
        <f t="shared" si="0"/>
        <v>32372</v>
      </c>
      <c r="F5" s="103">
        <f t="shared" si="0"/>
        <v>32372</v>
      </c>
      <c r="G5" s="103">
        <f t="shared" si="0"/>
        <v>32372</v>
      </c>
      <c r="H5" s="103">
        <f t="shared" si="0"/>
        <v>32372</v>
      </c>
      <c r="I5" s="103">
        <f t="shared" si="0"/>
        <v>32372</v>
      </c>
      <c r="J5" s="103">
        <f t="shared" si="0"/>
        <v>32372</v>
      </c>
      <c r="K5" s="103">
        <f t="shared" si="0"/>
        <v>32372</v>
      </c>
      <c r="L5" s="103">
        <f t="shared" si="0"/>
        <v>32372</v>
      </c>
      <c r="M5" s="103">
        <f t="shared" si="0"/>
        <v>32372</v>
      </c>
      <c r="N5" s="103">
        <f>28592+3783</f>
        <v>32375</v>
      </c>
      <c r="O5" s="732">
        <f>SUM(C5:N5)</f>
        <v>388467</v>
      </c>
    </row>
    <row r="6" spans="1:15" s="108" customFormat="1" ht="22.5">
      <c r="A6" s="105" t="s">
        <v>557</v>
      </c>
      <c r="B6" s="278" t="s">
        <v>169</v>
      </c>
      <c r="C6" s="106">
        <v>760</v>
      </c>
      <c r="D6" s="106">
        <v>760</v>
      </c>
      <c r="E6" s="106">
        <v>760</v>
      </c>
      <c r="F6" s="106">
        <v>760</v>
      </c>
      <c r="G6" s="106">
        <v>760</v>
      </c>
      <c r="H6" s="106">
        <v>760</v>
      </c>
      <c r="I6" s="106">
        <v>760</v>
      </c>
      <c r="J6" s="106">
        <v>760</v>
      </c>
      <c r="K6" s="106">
        <v>760</v>
      </c>
      <c r="L6" s="106">
        <v>760</v>
      </c>
      <c r="M6" s="106">
        <v>760</v>
      </c>
      <c r="N6" s="106">
        <v>760</v>
      </c>
      <c r="O6" s="107">
        <f aca="true" t="shared" si="1" ref="O6:O12">SUM(C6:N6)</f>
        <v>9120</v>
      </c>
    </row>
    <row r="7" spans="1:15" s="108" customFormat="1" ht="22.5">
      <c r="A7" s="105" t="s">
        <v>558</v>
      </c>
      <c r="B7" s="277" t="s">
        <v>170</v>
      </c>
      <c r="C7" s="109"/>
      <c r="D7" s="109">
        <v>33407</v>
      </c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7">
        <f t="shared" si="1"/>
        <v>33407</v>
      </c>
    </row>
    <row r="8" spans="1:15" s="108" customFormat="1" ht="13.5" customHeight="1">
      <c r="A8" s="105" t="s">
        <v>559</v>
      </c>
      <c r="B8" s="276" t="s">
        <v>710</v>
      </c>
      <c r="C8" s="106"/>
      <c r="D8" s="106"/>
      <c r="E8" s="106">
        <v>45740</v>
      </c>
      <c r="F8" s="106"/>
      <c r="G8" s="106"/>
      <c r="H8" s="106">
        <v>17153</v>
      </c>
      <c r="I8" s="106"/>
      <c r="J8" s="106"/>
      <c r="K8" s="106">
        <v>45740</v>
      </c>
      <c r="L8" s="106"/>
      <c r="M8" s="106"/>
      <c r="N8" s="106">
        <v>5717</v>
      </c>
      <c r="O8" s="107">
        <f t="shared" si="1"/>
        <v>114350</v>
      </c>
    </row>
    <row r="9" spans="1:15" s="108" customFormat="1" ht="13.5" customHeight="1">
      <c r="A9" s="105" t="s">
        <v>560</v>
      </c>
      <c r="B9" s="276" t="s">
        <v>171</v>
      </c>
      <c r="C9" s="106">
        <f>9470-140</f>
        <v>9330</v>
      </c>
      <c r="D9" s="106">
        <f>9470-140</f>
        <v>9330</v>
      </c>
      <c r="E9" s="106">
        <f>9470-140</f>
        <v>9330</v>
      </c>
      <c r="F9" s="106">
        <f>9494-140</f>
        <v>9354</v>
      </c>
      <c r="G9" s="106">
        <f>9500-140</f>
        <v>9360</v>
      </c>
      <c r="H9" s="106">
        <f>8000-140</f>
        <v>7860</v>
      </c>
      <c r="I9" s="106">
        <f>6800-140</f>
        <v>6660</v>
      </c>
      <c r="J9" s="106">
        <f>6800-140</f>
        <v>6660</v>
      </c>
      <c r="K9" s="106">
        <f>10000-140</f>
        <v>9860</v>
      </c>
      <c r="L9" s="106">
        <f>10000-140</f>
        <v>9860</v>
      </c>
      <c r="M9" s="106">
        <f>10000-140</f>
        <v>9860</v>
      </c>
      <c r="N9" s="106">
        <f>8000-142</f>
        <v>7858</v>
      </c>
      <c r="O9" s="107">
        <f t="shared" si="1"/>
        <v>105322</v>
      </c>
    </row>
    <row r="10" spans="1:15" s="108" customFormat="1" ht="13.5" customHeight="1">
      <c r="A10" s="105" t="s">
        <v>561</v>
      </c>
      <c r="B10" s="276" t="s">
        <v>548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7">
        <f t="shared" si="1"/>
        <v>0</v>
      </c>
    </row>
    <row r="11" spans="1:15" s="108" customFormat="1" ht="13.5" customHeight="1">
      <c r="A11" s="105" t="s">
        <v>562</v>
      </c>
      <c r="B11" s="276" t="s">
        <v>104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7">
        <v>0</v>
      </c>
    </row>
    <row r="12" spans="1:15" s="108" customFormat="1" ht="22.5">
      <c r="A12" s="105" t="s">
        <v>563</v>
      </c>
      <c r="B12" s="278" t="s">
        <v>149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7">
        <f t="shared" si="1"/>
        <v>0</v>
      </c>
    </row>
    <row r="13" spans="1:15" s="108" customFormat="1" ht="13.5" customHeight="1" thickBot="1">
      <c r="A13" s="105" t="s">
        <v>564</v>
      </c>
      <c r="B13" s="276" t="s">
        <v>549</v>
      </c>
      <c r="C13" s="106">
        <v>16736</v>
      </c>
      <c r="D13" s="106"/>
      <c r="E13" s="106"/>
      <c r="F13" s="106">
        <v>6272</v>
      </c>
      <c r="G13" s="106"/>
      <c r="H13" s="106"/>
      <c r="I13" s="106">
        <v>2848</v>
      </c>
      <c r="J13" s="106">
        <v>5085</v>
      </c>
      <c r="K13" s="106"/>
      <c r="L13" s="106">
        <v>11217</v>
      </c>
      <c r="M13" s="106">
        <v>11218</v>
      </c>
      <c r="N13" s="106">
        <v>46624</v>
      </c>
      <c r="O13" s="104">
        <v>100000</v>
      </c>
    </row>
    <row r="14" spans="1:15" s="101" customFormat="1" ht="15.75" customHeight="1" thickBot="1">
      <c r="A14" s="100" t="s">
        <v>565</v>
      </c>
      <c r="B14" s="35" t="s">
        <v>651</v>
      </c>
      <c r="C14" s="111">
        <f>SUM(C5:C13)</f>
        <v>59198</v>
      </c>
      <c r="D14" s="111">
        <f aca="true" t="shared" si="2" ref="D14:N14">SUM(D5:D13)</f>
        <v>75869</v>
      </c>
      <c r="E14" s="111">
        <f t="shared" si="2"/>
        <v>88202</v>
      </c>
      <c r="F14" s="111">
        <f t="shared" si="2"/>
        <v>48758</v>
      </c>
      <c r="G14" s="111">
        <f t="shared" si="2"/>
        <v>42492</v>
      </c>
      <c r="H14" s="111">
        <f t="shared" si="2"/>
        <v>58145</v>
      </c>
      <c r="I14" s="111">
        <f t="shared" si="2"/>
        <v>42640</v>
      </c>
      <c r="J14" s="111">
        <f t="shared" si="2"/>
        <v>44877</v>
      </c>
      <c r="K14" s="111">
        <f t="shared" si="2"/>
        <v>88732</v>
      </c>
      <c r="L14" s="111">
        <f t="shared" si="2"/>
        <v>54209</v>
      </c>
      <c r="M14" s="111">
        <f t="shared" si="2"/>
        <v>54210</v>
      </c>
      <c r="N14" s="111">
        <f t="shared" si="2"/>
        <v>93334</v>
      </c>
      <c r="O14" s="112">
        <f>SUM(C14:N14)</f>
        <v>750666</v>
      </c>
    </row>
    <row r="15" spans="1:15" s="101" customFormat="1" ht="15" customHeight="1" thickBot="1">
      <c r="A15" s="100" t="s">
        <v>566</v>
      </c>
      <c r="B15" s="1284" t="s">
        <v>595</v>
      </c>
      <c r="C15" s="1285"/>
      <c r="D15" s="1285"/>
      <c r="E15" s="1285"/>
      <c r="F15" s="1285"/>
      <c r="G15" s="1285"/>
      <c r="H15" s="1285"/>
      <c r="I15" s="1285"/>
      <c r="J15" s="1285"/>
      <c r="K15" s="1285"/>
      <c r="L15" s="1285"/>
      <c r="M15" s="1285"/>
      <c r="N15" s="1285"/>
      <c r="O15" s="1286"/>
    </row>
    <row r="16" spans="1:15" s="108" customFormat="1" ht="13.5" customHeight="1">
      <c r="A16" s="113" t="s">
        <v>567</v>
      </c>
      <c r="B16" s="279" t="s">
        <v>603</v>
      </c>
      <c r="C16" s="109">
        <f>14054+1040-11</f>
        <v>15083</v>
      </c>
      <c r="D16" s="109">
        <f aca="true" t="shared" si="3" ref="D16:N16">14054+1040</f>
        <v>15094</v>
      </c>
      <c r="E16" s="109">
        <f t="shared" si="3"/>
        <v>15094</v>
      </c>
      <c r="F16" s="109">
        <f t="shared" si="3"/>
        <v>15094</v>
      </c>
      <c r="G16" s="109">
        <f t="shared" si="3"/>
        <v>15094</v>
      </c>
      <c r="H16" s="109">
        <f t="shared" si="3"/>
        <v>15094</v>
      </c>
      <c r="I16" s="109">
        <f t="shared" si="3"/>
        <v>15094</v>
      </c>
      <c r="J16" s="109">
        <f t="shared" si="3"/>
        <v>15094</v>
      </c>
      <c r="K16" s="109">
        <f t="shared" si="3"/>
        <v>15094</v>
      </c>
      <c r="L16" s="109">
        <f t="shared" si="3"/>
        <v>15094</v>
      </c>
      <c r="M16" s="109">
        <f t="shared" si="3"/>
        <v>15094</v>
      </c>
      <c r="N16" s="109">
        <f t="shared" si="3"/>
        <v>15094</v>
      </c>
      <c r="O16" s="110">
        <f>SUM(C16:N16)</f>
        <v>181117</v>
      </c>
    </row>
    <row r="17" spans="1:15" s="108" customFormat="1" ht="27" customHeight="1">
      <c r="A17" s="105" t="s">
        <v>568</v>
      </c>
      <c r="B17" s="278" t="s">
        <v>719</v>
      </c>
      <c r="C17" s="106">
        <f>3883+308</f>
        <v>4191</v>
      </c>
      <c r="D17" s="106">
        <f aca="true" t="shared" si="4" ref="D17:M17">3883+308</f>
        <v>4191</v>
      </c>
      <c r="E17" s="106">
        <f t="shared" si="4"/>
        <v>4191</v>
      </c>
      <c r="F17" s="106">
        <f t="shared" si="4"/>
        <v>4191</v>
      </c>
      <c r="G17" s="106">
        <f t="shared" si="4"/>
        <v>4191</v>
      </c>
      <c r="H17" s="106">
        <f t="shared" si="4"/>
        <v>4191</v>
      </c>
      <c r="I17" s="106">
        <f t="shared" si="4"/>
        <v>4191</v>
      </c>
      <c r="J17" s="106">
        <f t="shared" si="4"/>
        <v>4191</v>
      </c>
      <c r="K17" s="106">
        <f t="shared" si="4"/>
        <v>4191</v>
      </c>
      <c r="L17" s="106">
        <f t="shared" si="4"/>
        <v>4191</v>
      </c>
      <c r="M17" s="106">
        <f t="shared" si="4"/>
        <v>4191</v>
      </c>
      <c r="N17" s="106">
        <f>3883+308+5</f>
        <v>4196</v>
      </c>
      <c r="O17" s="110">
        <f aca="true" t="shared" si="5" ref="O17:O25">SUM(C17:N17)</f>
        <v>50297</v>
      </c>
    </row>
    <row r="18" spans="1:15" s="108" customFormat="1" ht="13.5" customHeight="1">
      <c r="A18" s="105" t="s">
        <v>569</v>
      </c>
      <c r="B18" s="276" t="s">
        <v>678</v>
      </c>
      <c r="C18" s="106">
        <v>28176</v>
      </c>
      <c r="D18" s="106">
        <f>28176</f>
        <v>28176</v>
      </c>
      <c r="E18" s="106">
        <v>23176</v>
      </c>
      <c r="F18" s="106">
        <v>17725</v>
      </c>
      <c r="G18" s="106">
        <v>8726</v>
      </c>
      <c r="H18" s="106">
        <v>8725</v>
      </c>
      <c r="I18" s="106">
        <v>8285</v>
      </c>
      <c r="J18" s="106">
        <v>7725</v>
      </c>
      <c r="K18" s="106">
        <v>17726</v>
      </c>
      <c r="L18" s="106">
        <v>23176</v>
      </c>
      <c r="M18" s="106">
        <v>23176</v>
      </c>
      <c r="N18" s="106">
        <f>23176-543</f>
        <v>22633</v>
      </c>
      <c r="O18" s="110">
        <f t="shared" si="5"/>
        <v>217425</v>
      </c>
    </row>
    <row r="19" spans="1:15" s="108" customFormat="1" ht="13.5" customHeight="1">
      <c r="A19" s="105" t="s">
        <v>570</v>
      </c>
      <c r="B19" s="276" t="s">
        <v>720</v>
      </c>
      <c r="C19" s="106">
        <v>801</v>
      </c>
      <c r="D19" s="106">
        <v>801</v>
      </c>
      <c r="E19" s="106">
        <v>801</v>
      </c>
      <c r="F19" s="106">
        <v>800</v>
      </c>
      <c r="G19" s="106">
        <v>801</v>
      </c>
      <c r="H19" s="106">
        <v>801</v>
      </c>
      <c r="I19" s="106">
        <v>801</v>
      </c>
      <c r="J19" s="106">
        <v>801</v>
      </c>
      <c r="K19" s="106">
        <v>801</v>
      </c>
      <c r="L19" s="106">
        <v>801</v>
      </c>
      <c r="M19" s="106">
        <v>801</v>
      </c>
      <c r="N19" s="106">
        <v>801</v>
      </c>
      <c r="O19" s="110">
        <f t="shared" si="5"/>
        <v>9611</v>
      </c>
    </row>
    <row r="20" spans="1:15" s="108" customFormat="1" ht="13.5" customHeight="1">
      <c r="A20" s="105" t="s">
        <v>571</v>
      </c>
      <c r="B20" s="276" t="s">
        <v>550</v>
      </c>
      <c r="C20" s="106">
        <f>13447-2500</f>
        <v>10947</v>
      </c>
      <c r="D20" s="106">
        <f>13447-2500</f>
        <v>10947</v>
      </c>
      <c r="E20" s="106">
        <f>13447-2500</f>
        <v>10947</v>
      </c>
      <c r="F20" s="106">
        <f>13448-2500</f>
        <v>10948</v>
      </c>
      <c r="G20" s="106">
        <f>13447-2500</f>
        <v>10947</v>
      </c>
      <c r="H20" s="106">
        <f>13447-2500</f>
        <v>10947</v>
      </c>
      <c r="I20" s="106">
        <f>13447-2500</f>
        <v>10947</v>
      </c>
      <c r="J20" s="106">
        <f>13448-2500</f>
        <v>10948</v>
      </c>
      <c r="K20" s="106">
        <f>13447-2500</f>
        <v>10947</v>
      </c>
      <c r="L20" s="106">
        <f>13447-2500</f>
        <v>10947</v>
      </c>
      <c r="M20" s="106">
        <f>13448-2500</f>
        <v>10948</v>
      </c>
      <c r="N20" s="106">
        <f>13448-2500-19</f>
        <v>10929</v>
      </c>
      <c r="O20" s="110">
        <f t="shared" si="5"/>
        <v>131349</v>
      </c>
    </row>
    <row r="21" spans="1:15" s="108" customFormat="1" ht="13.5" customHeight="1">
      <c r="A21" s="105" t="s">
        <v>572</v>
      </c>
      <c r="B21" s="276" t="s">
        <v>769</v>
      </c>
      <c r="C21" s="106"/>
      <c r="D21" s="106"/>
      <c r="E21" s="106">
        <v>8914</v>
      </c>
      <c r="F21" s="106"/>
      <c r="G21" s="106"/>
      <c r="H21" s="106"/>
      <c r="I21" s="106">
        <f>18354-E21-J21</f>
        <v>3322</v>
      </c>
      <c r="J21" s="106">
        <v>6118</v>
      </c>
      <c r="K21" s="106"/>
      <c r="L21" s="106"/>
      <c r="M21" s="106"/>
      <c r="N21" s="106"/>
      <c r="O21" s="110">
        <f t="shared" si="5"/>
        <v>18354</v>
      </c>
    </row>
    <row r="22" spans="1:15" s="108" customFormat="1" ht="15.75">
      <c r="A22" s="105" t="s">
        <v>573</v>
      </c>
      <c r="B22" s="278" t="s">
        <v>723</v>
      </c>
      <c r="C22" s="106"/>
      <c r="D22" s="106"/>
      <c r="E22" s="106"/>
      <c r="F22" s="106"/>
      <c r="G22" s="106"/>
      <c r="H22" s="106"/>
      <c r="I22" s="106"/>
      <c r="J22" s="106"/>
      <c r="K22" s="106">
        <v>31681</v>
      </c>
      <c r="L22" s="106"/>
      <c r="M22" s="106"/>
      <c r="N22" s="106"/>
      <c r="O22" s="110">
        <f t="shared" si="5"/>
        <v>31681</v>
      </c>
    </row>
    <row r="23" spans="1:15" s="108" customFormat="1" ht="13.5" customHeight="1">
      <c r="A23" s="105" t="s">
        <v>574</v>
      </c>
      <c r="B23" s="276" t="s">
        <v>772</v>
      </c>
      <c r="C23" s="106"/>
      <c r="D23" s="106">
        <v>16660</v>
      </c>
      <c r="E23" s="106">
        <v>25079</v>
      </c>
      <c r="F23" s="106"/>
      <c r="G23" s="106"/>
      <c r="H23" s="106">
        <v>8226</v>
      </c>
      <c r="I23" s="106"/>
      <c r="J23" s="106"/>
      <c r="K23" s="106"/>
      <c r="L23" s="106"/>
      <c r="M23" s="106"/>
      <c r="N23" s="106"/>
      <c r="O23" s="110">
        <f>D23+E23+H23</f>
        <v>49965</v>
      </c>
    </row>
    <row r="24" spans="1:15" s="108" customFormat="1" ht="13.5" customHeight="1">
      <c r="A24" s="105" t="s">
        <v>575</v>
      </c>
      <c r="B24" s="276" t="s">
        <v>586</v>
      </c>
      <c r="C24" s="106"/>
      <c r="D24" s="106"/>
      <c r="E24" s="106"/>
      <c r="F24" s="106"/>
      <c r="G24" s="106">
        <v>2733</v>
      </c>
      <c r="H24" s="106">
        <v>10161</v>
      </c>
      <c r="I24" s="106"/>
      <c r="J24" s="106"/>
      <c r="K24" s="106">
        <v>8292</v>
      </c>
      <c r="L24" s="106"/>
      <c r="M24" s="106"/>
      <c r="N24" s="106">
        <f>60867-G24-H24-K24</f>
        <v>39681</v>
      </c>
      <c r="O24" s="110">
        <f t="shared" si="5"/>
        <v>60867</v>
      </c>
    </row>
    <row r="25" spans="1:15" s="101" customFormat="1" ht="15.75" customHeight="1" thickBot="1">
      <c r="A25" s="581" t="s">
        <v>576</v>
      </c>
      <c r="B25" s="582" t="s">
        <v>551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10">
        <f t="shared" si="5"/>
        <v>0</v>
      </c>
    </row>
    <row r="26" spans="1:15" ht="16.5" thickBot="1">
      <c r="A26" s="583" t="s">
        <v>577</v>
      </c>
      <c r="B26" s="584" t="s">
        <v>652</v>
      </c>
      <c r="C26" s="585">
        <f>SUM(C16:C25)</f>
        <v>59198</v>
      </c>
      <c r="D26" s="585">
        <f aca="true" t="shared" si="6" ref="D26:N26">SUM(D16:D25)</f>
        <v>75869</v>
      </c>
      <c r="E26" s="585">
        <f t="shared" si="6"/>
        <v>88202</v>
      </c>
      <c r="F26" s="585">
        <f t="shared" si="6"/>
        <v>48758</v>
      </c>
      <c r="G26" s="585">
        <f t="shared" si="6"/>
        <v>42492</v>
      </c>
      <c r="H26" s="585">
        <f t="shared" si="6"/>
        <v>58145</v>
      </c>
      <c r="I26" s="585">
        <f t="shared" si="6"/>
        <v>42640</v>
      </c>
      <c r="J26" s="585">
        <f t="shared" si="6"/>
        <v>44877</v>
      </c>
      <c r="K26" s="585">
        <f t="shared" si="6"/>
        <v>88732</v>
      </c>
      <c r="L26" s="585">
        <f t="shared" si="6"/>
        <v>54209</v>
      </c>
      <c r="M26" s="585">
        <f t="shared" si="6"/>
        <v>54210</v>
      </c>
      <c r="N26" s="585">
        <f t="shared" si="6"/>
        <v>93334</v>
      </c>
      <c r="O26" s="112">
        <f>SUM(C26:N26)</f>
        <v>750666</v>
      </c>
    </row>
    <row r="27" spans="1:15" ht="16.5" thickBot="1">
      <c r="A27" s="583" t="s">
        <v>578</v>
      </c>
      <c r="B27" s="586" t="s">
        <v>653</v>
      </c>
      <c r="C27" s="587">
        <f>(C14-C26)</f>
        <v>0</v>
      </c>
      <c r="D27" s="587">
        <f aca="true" t="shared" si="7" ref="D27:N27">(D14-D26)</f>
        <v>0</v>
      </c>
      <c r="E27" s="587">
        <f t="shared" si="7"/>
        <v>0</v>
      </c>
      <c r="F27" s="587">
        <f t="shared" si="7"/>
        <v>0</v>
      </c>
      <c r="G27" s="587">
        <f t="shared" si="7"/>
        <v>0</v>
      </c>
      <c r="H27" s="587">
        <f t="shared" si="7"/>
        <v>0</v>
      </c>
      <c r="I27" s="587">
        <f t="shared" si="7"/>
        <v>0</v>
      </c>
      <c r="J27" s="587">
        <f t="shared" si="7"/>
        <v>0</v>
      </c>
      <c r="K27" s="587">
        <f t="shared" si="7"/>
        <v>0</v>
      </c>
      <c r="L27" s="587">
        <f t="shared" si="7"/>
        <v>0</v>
      </c>
      <c r="M27" s="587">
        <f t="shared" si="7"/>
        <v>0</v>
      </c>
      <c r="N27" s="587">
        <f t="shared" si="7"/>
        <v>0</v>
      </c>
      <c r="O27" s="112">
        <f>SUM(C27:N27)</f>
        <v>0</v>
      </c>
    </row>
    <row r="28" ht="15.75">
      <c r="A28" s="115"/>
    </row>
    <row r="29" spans="2:15" ht="15.75">
      <c r="B29" s="116"/>
      <c r="C29" s="117"/>
      <c r="D29" s="117"/>
      <c r="O29" s="114"/>
    </row>
    <row r="30" ht="15.75">
      <c r="O30" s="114"/>
    </row>
    <row r="31" ht="15.75">
      <c r="O31" s="114"/>
    </row>
    <row r="32" ht="15.75">
      <c r="O32" s="114"/>
    </row>
    <row r="33" ht="15.75">
      <c r="O33" s="114"/>
    </row>
    <row r="34" ht="15.75">
      <c r="O34" s="114"/>
    </row>
    <row r="35" ht="15.75">
      <c r="O35" s="114"/>
    </row>
    <row r="36" ht="15.75">
      <c r="O36" s="114"/>
    </row>
    <row r="37" ht="15.75">
      <c r="O37" s="114"/>
    </row>
    <row r="38" ht="15.75">
      <c r="O38" s="114"/>
    </row>
    <row r="39" ht="15.75">
      <c r="O39" s="114"/>
    </row>
    <row r="40" ht="15.75">
      <c r="O40" s="114"/>
    </row>
    <row r="41" ht="15.75">
      <c r="O41" s="114"/>
    </row>
    <row r="42" ht="15.75">
      <c r="O42" s="114"/>
    </row>
    <row r="43" ht="15.75">
      <c r="O43" s="114"/>
    </row>
    <row r="44" ht="15.75">
      <c r="O44" s="114"/>
    </row>
    <row r="45" ht="15.75">
      <c r="O45" s="114"/>
    </row>
    <row r="46" ht="15.75">
      <c r="O46" s="114"/>
    </row>
    <row r="47" ht="15.75">
      <c r="O47" s="114"/>
    </row>
    <row r="48" ht="15.75">
      <c r="O48" s="114"/>
    </row>
    <row r="49" ht="15.75">
      <c r="O49" s="114"/>
    </row>
    <row r="50" ht="15.75">
      <c r="O50" s="114"/>
    </row>
    <row r="51" ht="15.75">
      <c r="O51" s="114"/>
    </row>
    <row r="52" ht="15.75">
      <c r="O52" s="114"/>
    </row>
    <row r="53" ht="15.75">
      <c r="O53" s="114"/>
    </row>
    <row r="54" ht="15.75">
      <c r="O54" s="114"/>
    </row>
    <row r="55" ht="15.75">
      <c r="O55" s="114"/>
    </row>
    <row r="56" ht="15.75">
      <c r="O56" s="114"/>
    </row>
    <row r="57" ht="15.75">
      <c r="O57" s="114"/>
    </row>
    <row r="58" ht="15.75">
      <c r="O58" s="114"/>
    </row>
    <row r="59" ht="15.75">
      <c r="O59" s="114"/>
    </row>
    <row r="60" ht="15.75">
      <c r="O60" s="114"/>
    </row>
    <row r="61" ht="15.75">
      <c r="O61" s="114"/>
    </row>
    <row r="62" ht="15.75">
      <c r="O62" s="114"/>
    </row>
    <row r="63" ht="15.75">
      <c r="O63" s="114"/>
    </row>
    <row r="64" ht="15.75">
      <c r="O64" s="114"/>
    </row>
    <row r="65" ht="15.75">
      <c r="O65" s="114"/>
    </row>
    <row r="66" ht="15.75">
      <c r="O66" s="114"/>
    </row>
    <row r="67" ht="15.75">
      <c r="O67" s="114"/>
    </row>
    <row r="68" ht="15.75">
      <c r="O68" s="114"/>
    </row>
    <row r="69" ht="15.75">
      <c r="O69" s="114"/>
    </row>
    <row r="70" ht="15.75">
      <c r="O70" s="114"/>
    </row>
    <row r="71" ht="15.75">
      <c r="O71" s="114"/>
    </row>
    <row r="72" ht="15.75">
      <c r="O72" s="114"/>
    </row>
    <row r="73" ht="15.75">
      <c r="O73" s="114"/>
    </row>
    <row r="74" ht="15.75">
      <c r="O74" s="114"/>
    </row>
    <row r="75" ht="15.75">
      <c r="O75" s="114"/>
    </row>
    <row r="76" ht="15.75">
      <c r="O76" s="114"/>
    </row>
    <row r="77" ht="15.75">
      <c r="O77" s="114"/>
    </row>
    <row r="78" ht="15.75">
      <c r="O78" s="114"/>
    </row>
    <row r="79" ht="15.75">
      <c r="O79" s="114"/>
    </row>
    <row r="80" ht="15.75">
      <c r="O80" s="114"/>
    </row>
    <row r="81" ht="15.75">
      <c r="O81" s="114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48"/>
  <sheetViews>
    <sheetView view="pageBreakPreview" zoomScale="60" workbookViewId="0" topLeftCell="A1">
      <selection activeCell="H2" sqref="H2:I2"/>
    </sheetView>
  </sheetViews>
  <sheetFormatPr defaultColWidth="9.00390625" defaultRowHeight="12.75"/>
  <cols>
    <col min="1" max="1" width="8.50390625" style="45" customWidth="1"/>
    <col min="2" max="2" width="9.375" style="45" customWidth="1"/>
    <col min="3" max="3" width="42.625" style="45" customWidth="1"/>
    <col min="4" max="4" width="9.375" style="45" customWidth="1"/>
    <col min="5" max="5" width="11.00390625" style="45" customWidth="1"/>
    <col min="6" max="6" width="12.375" style="45" customWidth="1"/>
    <col min="7" max="7" width="9.375" style="45" customWidth="1"/>
    <col min="8" max="8" width="13.375" style="45" bestFit="1" customWidth="1"/>
    <col min="9" max="9" width="13.375" style="45" customWidth="1"/>
    <col min="10" max="10" width="15.125" style="45" customWidth="1"/>
    <col min="11" max="16384" width="9.375" style="45" customWidth="1"/>
  </cols>
  <sheetData>
    <row r="1" spans="1:9" ht="15.75">
      <c r="A1" s="1295" t="s">
        <v>365</v>
      </c>
      <c r="B1" s="1295"/>
      <c r="C1" s="1295"/>
      <c r="D1" s="1295"/>
      <c r="E1" s="1295"/>
      <c r="F1" s="1295"/>
      <c r="G1" s="1295"/>
      <c r="H1" s="1295"/>
      <c r="I1" s="1295"/>
    </row>
    <row r="2" spans="1:9" ht="16.5" thickBot="1">
      <c r="A2" s="563"/>
      <c r="B2" s="563"/>
      <c r="C2" s="563"/>
      <c r="D2" s="563"/>
      <c r="E2" s="563"/>
      <c r="F2" s="563"/>
      <c r="G2" s="563"/>
      <c r="H2" s="1291" t="s">
        <v>129</v>
      </c>
      <c r="I2" s="1292"/>
    </row>
    <row r="3" spans="1:9" ht="18.75" customHeight="1">
      <c r="A3" s="917" t="s">
        <v>506</v>
      </c>
      <c r="B3" s="918"/>
      <c r="C3" s="918"/>
      <c r="D3" s="920" t="s">
        <v>507</v>
      </c>
      <c r="E3" s="958"/>
      <c r="F3" s="919"/>
      <c r="G3" s="920" t="s">
        <v>507</v>
      </c>
      <c r="H3" s="958"/>
      <c r="I3" s="921"/>
    </row>
    <row r="4" spans="1:9" s="46" customFormat="1" ht="24" customHeight="1">
      <c r="A4" s="922"/>
      <c r="B4" s="560"/>
      <c r="C4" s="560"/>
      <c r="D4" s="961" t="s">
        <v>791</v>
      </c>
      <c r="E4" s="959" t="s">
        <v>791</v>
      </c>
      <c r="F4" s="626" t="s">
        <v>791</v>
      </c>
      <c r="G4" s="625" t="s">
        <v>792</v>
      </c>
      <c r="H4" s="959" t="s">
        <v>792</v>
      </c>
      <c r="I4" s="923" t="s">
        <v>792</v>
      </c>
    </row>
    <row r="5" spans="1:9" s="46" customFormat="1" ht="16.5" customHeight="1">
      <c r="A5" s="922"/>
      <c r="B5" s="560"/>
      <c r="C5" s="560"/>
      <c r="D5" s="961"/>
      <c r="E5" s="959"/>
      <c r="F5" s="626" t="s">
        <v>508</v>
      </c>
      <c r="G5" s="625"/>
      <c r="H5" s="959"/>
      <c r="I5" s="923" t="s">
        <v>508</v>
      </c>
    </row>
    <row r="6" spans="1:9" s="47" customFormat="1" ht="12.75">
      <c r="A6" s="924"/>
      <c r="B6" s="627"/>
      <c r="C6" s="627"/>
      <c r="D6" s="962" t="s">
        <v>509</v>
      </c>
      <c r="E6" s="960" t="s">
        <v>510</v>
      </c>
      <c r="F6" s="562" t="s">
        <v>511</v>
      </c>
      <c r="G6" s="561" t="s">
        <v>509</v>
      </c>
      <c r="H6" s="960" t="s">
        <v>510</v>
      </c>
      <c r="I6" s="925" t="s">
        <v>511</v>
      </c>
    </row>
    <row r="7" spans="1:9" ht="12.75">
      <c r="A7" s="926" t="s">
        <v>512</v>
      </c>
      <c r="B7" s="629"/>
      <c r="C7" s="629"/>
      <c r="D7" s="963">
        <v>21.79</v>
      </c>
      <c r="E7" s="947">
        <v>4580000</v>
      </c>
      <c r="F7" s="628">
        <v>99798</v>
      </c>
      <c r="G7" s="630">
        <v>21.76</v>
      </c>
      <c r="H7" s="949">
        <v>4580000</v>
      </c>
      <c r="I7" s="927">
        <v>99661</v>
      </c>
    </row>
    <row r="8" spans="1:9" ht="12.75" customHeight="1">
      <c r="A8" s="926" t="s">
        <v>513</v>
      </c>
      <c r="B8" s="629"/>
      <c r="C8" s="629"/>
      <c r="D8" s="964"/>
      <c r="E8" s="948"/>
      <c r="F8" s="628">
        <v>5953</v>
      </c>
      <c r="G8" s="631"/>
      <c r="H8" s="948"/>
      <c r="I8" s="927">
        <v>5954</v>
      </c>
    </row>
    <row r="9" spans="1:9" ht="12.75">
      <c r="A9" s="926" t="s">
        <v>514</v>
      </c>
      <c r="B9" s="629"/>
      <c r="C9" s="629"/>
      <c r="D9" s="964"/>
      <c r="E9" s="948" t="s">
        <v>515</v>
      </c>
      <c r="F9" s="628">
        <v>10240</v>
      </c>
      <c r="G9" s="631"/>
      <c r="H9" s="948" t="s">
        <v>515</v>
      </c>
      <c r="I9" s="927">
        <v>10272</v>
      </c>
    </row>
    <row r="10" spans="1:9" ht="12.75">
      <c r="A10" s="926" t="s">
        <v>516</v>
      </c>
      <c r="B10" s="629"/>
      <c r="C10" s="629"/>
      <c r="D10" s="964"/>
      <c r="E10" s="948" t="s">
        <v>517</v>
      </c>
      <c r="F10" s="628">
        <v>100</v>
      </c>
      <c r="G10" s="631"/>
      <c r="H10" s="948" t="s">
        <v>517</v>
      </c>
      <c r="I10" s="927">
        <v>1370</v>
      </c>
    </row>
    <row r="11" spans="1:9" ht="12.75">
      <c r="A11" s="926" t="s">
        <v>518</v>
      </c>
      <c r="B11" s="629"/>
      <c r="C11" s="629"/>
      <c r="D11" s="964"/>
      <c r="E11" s="948" t="s">
        <v>519</v>
      </c>
      <c r="F11" s="628">
        <v>5398</v>
      </c>
      <c r="G11" s="631"/>
      <c r="H11" s="948" t="s">
        <v>519</v>
      </c>
      <c r="I11" s="927">
        <v>5398</v>
      </c>
    </row>
    <row r="12" spans="1:9" ht="12.75">
      <c r="A12" s="926" t="s">
        <v>520</v>
      </c>
      <c r="B12" s="629"/>
      <c r="C12" s="629"/>
      <c r="D12" s="964"/>
      <c r="E12" s="948"/>
      <c r="F12" s="632"/>
      <c r="G12" s="631"/>
      <c r="H12" s="948"/>
      <c r="I12" s="928"/>
    </row>
    <row r="13" spans="1:9" ht="12.75">
      <c r="A13" s="926" t="s">
        <v>521</v>
      </c>
      <c r="B13" s="629"/>
      <c r="C13" s="629"/>
      <c r="D13" s="964">
        <v>5525</v>
      </c>
      <c r="E13" s="949">
        <v>2700</v>
      </c>
      <c r="F13" s="645">
        <v>14918</v>
      </c>
      <c r="G13" s="631">
        <v>5525</v>
      </c>
      <c r="H13" s="949">
        <v>2700</v>
      </c>
      <c r="I13" s="929">
        <v>14839</v>
      </c>
    </row>
    <row r="14" spans="1:9" ht="12.75">
      <c r="A14" s="930" t="s">
        <v>520</v>
      </c>
      <c r="B14" s="629"/>
      <c r="C14" s="629"/>
      <c r="D14" s="964"/>
      <c r="E14" s="949"/>
      <c r="F14" s="646">
        <v>-8186</v>
      </c>
      <c r="G14" s="631"/>
      <c r="H14" s="949"/>
      <c r="I14" s="931">
        <v>-9025</v>
      </c>
    </row>
    <row r="15" spans="1:9" ht="12.75">
      <c r="A15" s="926" t="s">
        <v>522</v>
      </c>
      <c r="B15" s="629"/>
      <c r="C15" s="629"/>
      <c r="D15" s="964"/>
      <c r="E15" s="950"/>
      <c r="F15" s="633">
        <v>429</v>
      </c>
      <c r="G15" s="631"/>
      <c r="H15" s="950"/>
      <c r="I15" s="932">
        <v>414</v>
      </c>
    </row>
    <row r="16" spans="1:9" ht="12.75">
      <c r="A16" s="926" t="s">
        <v>523</v>
      </c>
      <c r="B16" s="629"/>
      <c r="C16" s="629"/>
      <c r="D16" s="964"/>
      <c r="E16" s="951"/>
      <c r="F16" s="635">
        <v>214</v>
      </c>
      <c r="G16" s="631"/>
      <c r="H16" s="951"/>
      <c r="I16" s="933">
        <v>245</v>
      </c>
    </row>
    <row r="17" spans="1:9" ht="12.75">
      <c r="A17" s="934" t="s">
        <v>391</v>
      </c>
      <c r="B17" s="734"/>
      <c r="C17" s="734"/>
      <c r="D17" s="965"/>
      <c r="E17" s="952"/>
      <c r="F17" s="935">
        <f>F7+F8+F9+F10+F11+F12++F13+F14+F15+F16</f>
        <v>128864</v>
      </c>
      <c r="G17" s="735"/>
      <c r="H17" s="952"/>
      <c r="I17" s="935">
        <f>I7+I8+I9+I10+I11+I12++I13+I14+I15+I16</f>
        <v>129128</v>
      </c>
    </row>
    <row r="18" spans="1:9" ht="12.75">
      <c r="A18" s="936" t="s">
        <v>529</v>
      </c>
      <c r="B18" s="636"/>
      <c r="C18" s="636"/>
      <c r="D18" s="966">
        <v>15.7</v>
      </c>
      <c r="E18" s="949">
        <v>4012000</v>
      </c>
      <c r="F18" s="628">
        <v>43458</v>
      </c>
      <c r="G18" s="640">
        <v>16.2</v>
      </c>
      <c r="H18" s="949">
        <v>4308000</v>
      </c>
      <c r="I18" s="927">
        <v>46526</v>
      </c>
    </row>
    <row r="19" spans="1:9" ht="12.75">
      <c r="A19" s="926" t="s">
        <v>530</v>
      </c>
      <c r="B19" s="629"/>
      <c r="C19" s="629"/>
      <c r="D19" s="966">
        <v>15.6</v>
      </c>
      <c r="E19" s="949">
        <v>4012000</v>
      </c>
      <c r="F19" s="628">
        <v>21590</v>
      </c>
      <c r="G19" s="640">
        <v>16.2</v>
      </c>
      <c r="H19" s="949">
        <v>4308000</v>
      </c>
      <c r="I19" s="927">
        <v>23263</v>
      </c>
    </row>
    <row r="20" spans="1:9" ht="12.75">
      <c r="A20" s="926" t="s">
        <v>531</v>
      </c>
      <c r="B20" s="629"/>
      <c r="C20" s="629"/>
      <c r="D20" s="966">
        <v>15.6</v>
      </c>
      <c r="E20" s="949">
        <v>34400</v>
      </c>
      <c r="F20" s="628">
        <v>546</v>
      </c>
      <c r="G20" s="640">
        <v>16.2</v>
      </c>
      <c r="H20" s="949">
        <v>35000</v>
      </c>
      <c r="I20" s="927">
        <v>567</v>
      </c>
    </row>
    <row r="21" spans="1:9" ht="12.75">
      <c r="A21" s="926" t="s">
        <v>359</v>
      </c>
      <c r="B21" s="629"/>
      <c r="C21" s="629"/>
      <c r="D21" s="966"/>
      <c r="E21" s="949"/>
      <c r="F21" s="628"/>
      <c r="G21" s="640">
        <v>1</v>
      </c>
      <c r="H21" s="949">
        <v>35000</v>
      </c>
      <c r="I21" s="927">
        <v>35</v>
      </c>
    </row>
    <row r="22" spans="1:9" ht="12.75">
      <c r="A22" s="926" t="s">
        <v>283</v>
      </c>
      <c r="B22" s="629"/>
      <c r="C22" s="629"/>
      <c r="D22" s="964">
        <v>10</v>
      </c>
      <c r="E22" s="949">
        <v>1800000</v>
      </c>
      <c r="F22" s="628">
        <v>12000</v>
      </c>
      <c r="G22" s="631">
        <v>12</v>
      </c>
      <c r="H22" s="949">
        <v>1800000</v>
      </c>
      <c r="I22" s="927">
        <v>14400</v>
      </c>
    </row>
    <row r="23" spans="1:9" ht="12.75">
      <c r="A23" s="926" t="s">
        <v>360</v>
      </c>
      <c r="B23" s="629"/>
      <c r="C23" s="629"/>
      <c r="D23" s="964"/>
      <c r="E23" s="949"/>
      <c r="F23" s="628"/>
      <c r="G23" s="631">
        <v>1</v>
      </c>
      <c r="H23" s="949">
        <v>4308000</v>
      </c>
      <c r="I23" s="927">
        <v>2872</v>
      </c>
    </row>
    <row r="24" spans="1:9" ht="12.75">
      <c r="A24" s="926" t="s">
        <v>284</v>
      </c>
      <c r="B24" s="629"/>
      <c r="C24" s="629"/>
      <c r="D24" s="964">
        <v>10</v>
      </c>
      <c r="E24" s="949">
        <v>1800000</v>
      </c>
      <c r="F24" s="628">
        <v>6000</v>
      </c>
      <c r="G24" s="631">
        <v>12</v>
      </c>
      <c r="H24" s="949">
        <v>1800000</v>
      </c>
      <c r="I24" s="927">
        <v>7200</v>
      </c>
    </row>
    <row r="25" spans="1:9" ht="12.75">
      <c r="A25" s="926" t="s">
        <v>361</v>
      </c>
      <c r="B25" s="629"/>
      <c r="C25" s="629"/>
      <c r="D25" s="964"/>
      <c r="E25" s="949"/>
      <c r="F25" s="628"/>
      <c r="G25" s="631">
        <v>1</v>
      </c>
      <c r="H25" s="949">
        <v>4308000</v>
      </c>
      <c r="I25" s="927">
        <v>1436</v>
      </c>
    </row>
    <row r="26" spans="1:11" ht="12.75">
      <c r="A26" s="926" t="s">
        <v>362</v>
      </c>
      <c r="B26" s="629"/>
      <c r="C26" s="629"/>
      <c r="D26" s="964">
        <v>196</v>
      </c>
      <c r="E26" s="949">
        <v>56000</v>
      </c>
      <c r="F26" s="628">
        <v>9147</v>
      </c>
      <c r="G26" s="631">
        <v>198</v>
      </c>
      <c r="H26" s="949">
        <v>80000</v>
      </c>
      <c r="I26" s="927">
        <v>10560</v>
      </c>
      <c r="K26" s="973"/>
    </row>
    <row r="27" spans="1:9" ht="12.75">
      <c r="A27" s="926" t="s">
        <v>363</v>
      </c>
      <c r="B27" s="629"/>
      <c r="C27" s="629"/>
      <c r="D27" s="964">
        <v>196</v>
      </c>
      <c r="E27" s="949">
        <v>56000</v>
      </c>
      <c r="F27" s="628">
        <v>4573</v>
      </c>
      <c r="G27" s="631">
        <v>198</v>
      </c>
      <c r="H27" s="949">
        <v>80000</v>
      </c>
      <c r="I27" s="927">
        <v>5280</v>
      </c>
    </row>
    <row r="28" spans="1:10" ht="12.75">
      <c r="A28" s="926" t="s">
        <v>388</v>
      </c>
      <c r="B28" s="629"/>
      <c r="C28" s="629"/>
      <c r="D28" s="964"/>
      <c r="E28" s="949"/>
      <c r="F28" s="628"/>
      <c r="G28" s="631"/>
      <c r="H28" s="949"/>
      <c r="I28" s="927">
        <v>2672</v>
      </c>
      <c r="J28" s="733"/>
    </row>
    <row r="29" spans="1:9" ht="12.75">
      <c r="A29" s="937" t="s">
        <v>392</v>
      </c>
      <c r="B29" s="734"/>
      <c r="C29" s="734"/>
      <c r="D29" s="965"/>
      <c r="E29" s="952"/>
      <c r="F29" s="935">
        <f>F18+F19+F20+F21+F22+F23+F24+F25+F26+F27+F28</f>
        <v>97314</v>
      </c>
      <c r="G29" s="735"/>
      <c r="H29" s="952"/>
      <c r="I29" s="935">
        <f>I18+I19+I20+I21+I22+I23+I24+I25+I26+I27+I28</f>
        <v>114811</v>
      </c>
    </row>
    <row r="30" spans="1:9" ht="12.75">
      <c r="A30" s="926" t="s">
        <v>291</v>
      </c>
      <c r="B30" s="629"/>
      <c r="C30" s="629"/>
      <c r="D30" s="964">
        <v>5525</v>
      </c>
      <c r="E30" s="953">
        <v>1.56</v>
      </c>
      <c r="F30" s="628">
        <v>17253</v>
      </c>
      <c r="G30" s="631">
        <v>5496</v>
      </c>
      <c r="H30" s="953">
        <v>1.56</v>
      </c>
      <c r="I30" s="927">
        <v>30008</v>
      </c>
    </row>
    <row r="31" spans="1:9" ht="12.75">
      <c r="A31" s="926" t="s">
        <v>358</v>
      </c>
      <c r="B31" s="629"/>
      <c r="C31" s="629"/>
      <c r="D31" s="964">
        <v>6393</v>
      </c>
      <c r="E31" s="949">
        <v>395</v>
      </c>
      <c r="F31" s="628">
        <v>2525</v>
      </c>
      <c r="G31" s="631">
        <v>6375</v>
      </c>
      <c r="H31" s="949">
        <v>395</v>
      </c>
      <c r="I31" s="927">
        <v>3900</v>
      </c>
    </row>
    <row r="32" spans="1:9" ht="12.75">
      <c r="A32" s="926" t="s">
        <v>524</v>
      </c>
      <c r="B32" s="629"/>
      <c r="C32" s="629"/>
      <c r="D32" s="964">
        <v>6393</v>
      </c>
      <c r="E32" s="949">
        <v>300</v>
      </c>
      <c r="F32" s="628">
        <v>1918</v>
      </c>
      <c r="G32" s="631"/>
      <c r="H32" s="949"/>
      <c r="I32" s="927"/>
    </row>
    <row r="33" spans="1:9" ht="12.75">
      <c r="A33" s="926" t="s">
        <v>215</v>
      </c>
      <c r="B33" s="629"/>
      <c r="C33" s="629"/>
      <c r="D33" s="964">
        <v>6393</v>
      </c>
      <c r="E33" s="949">
        <v>395</v>
      </c>
      <c r="F33" s="628">
        <v>2525</v>
      </c>
      <c r="G33" s="631"/>
      <c r="H33" s="949"/>
      <c r="I33" s="927"/>
    </row>
    <row r="34" spans="1:9" ht="12.75">
      <c r="A34" s="926" t="s">
        <v>525</v>
      </c>
      <c r="B34" s="629"/>
      <c r="C34" s="629"/>
      <c r="D34" s="964">
        <v>6393</v>
      </c>
      <c r="E34" s="949">
        <v>300</v>
      </c>
      <c r="F34" s="628">
        <v>1291</v>
      </c>
      <c r="G34" s="631"/>
      <c r="H34" s="949"/>
      <c r="I34" s="927"/>
    </row>
    <row r="35" spans="1:9" ht="12.75">
      <c r="A35" s="1293" t="s">
        <v>526</v>
      </c>
      <c r="B35" s="1294"/>
      <c r="C35" s="1294"/>
      <c r="D35" s="967">
        <v>13</v>
      </c>
      <c r="E35" s="954">
        <v>55360</v>
      </c>
      <c r="F35" s="639">
        <v>720</v>
      </c>
      <c r="G35" s="637">
        <v>18</v>
      </c>
      <c r="H35" s="954">
        <v>55360</v>
      </c>
      <c r="I35" s="938">
        <v>996</v>
      </c>
    </row>
    <row r="36" spans="1:9" ht="12.75">
      <c r="A36" s="936" t="s">
        <v>193</v>
      </c>
      <c r="B36" s="636"/>
      <c r="C36" s="636"/>
      <c r="D36" s="967">
        <v>0</v>
      </c>
      <c r="E36" s="954">
        <v>145000</v>
      </c>
      <c r="F36" s="639">
        <v>0</v>
      </c>
      <c r="G36" s="637">
        <v>0</v>
      </c>
      <c r="H36" s="954">
        <v>145000</v>
      </c>
      <c r="I36" s="938">
        <v>0</v>
      </c>
    </row>
    <row r="37" spans="1:9" ht="12.75">
      <c r="A37" s="926" t="s">
        <v>527</v>
      </c>
      <c r="B37" s="629"/>
      <c r="C37" s="629"/>
      <c r="D37" s="964">
        <v>25</v>
      </c>
      <c r="E37" s="949">
        <v>109000</v>
      </c>
      <c r="F37" s="628">
        <v>2725</v>
      </c>
      <c r="G37" s="631">
        <v>25</v>
      </c>
      <c r="H37" s="949">
        <v>109000</v>
      </c>
      <c r="I37" s="927">
        <v>2725</v>
      </c>
    </row>
    <row r="38" spans="1:9" ht="12.75">
      <c r="A38" s="926" t="s">
        <v>389</v>
      </c>
      <c r="B38" s="629"/>
      <c r="C38" s="629"/>
      <c r="D38" s="964">
        <v>19</v>
      </c>
      <c r="E38" s="949">
        <v>2606040</v>
      </c>
      <c r="F38" s="628">
        <v>49515</v>
      </c>
      <c r="G38" s="631">
        <v>19</v>
      </c>
      <c r="H38" s="949">
        <v>2606040</v>
      </c>
      <c r="I38" s="927">
        <v>49515</v>
      </c>
    </row>
    <row r="39" spans="1:9" ht="12.75">
      <c r="A39" s="926" t="s">
        <v>528</v>
      </c>
      <c r="B39" s="629"/>
      <c r="C39" s="629"/>
      <c r="D39" s="964"/>
      <c r="E39" s="949"/>
      <c r="F39" s="628">
        <v>7125</v>
      </c>
      <c r="G39" s="631"/>
      <c r="H39" s="949"/>
      <c r="I39" s="927">
        <v>7304</v>
      </c>
    </row>
    <row r="40" spans="1:9" s="48" customFormat="1" ht="12" customHeight="1">
      <c r="A40" s="926" t="s">
        <v>214</v>
      </c>
      <c r="B40" s="629"/>
      <c r="C40" s="629"/>
      <c r="D40" s="964">
        <v>10</v>
      </c>
      <c r="E40" s="949">
        <v>494100</v>
      </c>
      <c r="F40" s="628">
        <v>4941</v>
      </c>
      <c r="G40" s="631">
        <v>10</v>
      </c>
      <c r="H40" s="949">
        <v>494100</v>
      </c>
      <c r="I40" s="927">
        <v>4941</v>
      </c>
    </row>
    <row r="41" spans="1:9" ht="12.75">
      <c r="A41" s="1293" t="s">
        <v>285</v>
      </c>
      <c r="B41" s="1294"/>
      <c r="C41" s="1294"/>
      <c r="D41" s="968">
        <v>9.1</v>
      </c>
      <c r="E41" s="949"/>
      <c r="F41" s="638">
        <v>14851</v>
      </c>
      <c r="G41" s="644">
        <v>9.76</v>
      </c>
      <c r="H41" s="949">
        <v>1632000</v>
      </c>
      <c r="I41" s="939">
        <v>15929</v>
      </c>
    </row>
    <row r="42" spans="1:9" ht="12.75">
      <c r="A42" s="940" t="s">
        <v>532</v>
      </c>
      <c r="B42" s="636"/>
      <c r="C42" s="636"/>
      <c r="D42" s="969"/>
      <c r="E42" s="949"/>
      <c r="F42" s="642">
        <v>5235</v>
      </c>
      <c r="G42" s="641"/>
      <c r="H42" s="949"/>
      <c r="I42" s="941">
        <v>22545</v>
      </c>
    </row>
    <row r="43" spans="1:9" ht="12.75">
      <c r="A43" s="940" t="s">
        <v>390</v>
      </c>
      <c r="B43" s="636"/>
      <c r="C43" s="636"/>
      <c r="D43" s="969"/>
      <c r="E43" s="949"/>
      <c r="F43" s="642"/>
      <c r="G43" s="641">
        <v>700</v>
      </c>
      <c r="H43" s="949">
        <v>570</v>
      </c>
      <c r="I43" s="941">
        <v>399</v>
      </c>
    </row>
    <row r="44" spans="1:9" ht="26.25" customHeight="1">
      <c r="A44" s="1298" t="s">
        <v>393</v>
      </c>
      <c r="B44" s="1299"/>
      <c r="C44" s="1300"/>
      <c r="D44" s="970"/>
      <c r="E44" s="955"/>
      <c r="F44" s="942">
        <f>F30+F31+F35+F36+F37+F38+F39+F40+F41+F42+F43</f>
        <v>104890</v>
      </c>
      <c r="G44" s="736"/>
      <c r="H44" s="955"/>
      <c r="I44" s="942">
        <f>I30+I31+I35+I36+I37+I38+I39+I40+I41+I42+I43</f>
        <v>138262</v>
      </c>
    </row>
    <row r="45" spans="1:11" ht="12.75">
      <c r="A45" s="1296" t="s">
        <v>533</v>
      </c>
      <c r="B45" s="1297"/>
      <c r="C45" s="1297"/>
      <c r="D45" s="930">
        <v>5525</v>
      </c>
      <c r="E45" s="953">
        <v>1140</v>
      </c>
      <c r="F45" s="634">
        <v>6299</v>
      </c>
      <c r="G45" s="643">
        <v>5496</v>
      </c>
      <c r="H45" s="953">
        <v>1140</v>
      </c>
      <c r="I45" s="943">
        <v>6266</v>
      </c>
      <c r="J45" s="733"/>
      <c r="K45" s="974"/>
    </row>
    <row r="46" spans="1:10" ht="12.75">
      <c r="A46" s="944" t="s">
        <v>394</v>
      </c>
      <c r="B46" s="737"/>
      <c r="C46" s="737"/>
      <c r="D46" s="971"/>
      <c r="E46" s="956"/>
      <c r="F46" s="945">
        <f>F45</f>
        <v>6299</v>
      </c>
      <c r="G46" s="738"/>
      <c r="H46" s="956"/>
      <c r="I46" s="945">
        <f>I45</f>
        <v>6266</v>
      </c>
      <c r="J46" s="733"/>
    </row>
    <row r="47" spans="1:9" ht="21.75" customHeight="1" thickBot="1">
      <c r="A47" s="1289" t="s">
        <v>244</v>
      </c>
      <c r="B47" s="1290"/>
      <c r="C47" s="739"/>
      <c r="D47" s="972"/>
      <c r="E47" s="957"/>
      <c r="F47" s="946">
        <f>F46+F44+F29+F17</f>
        <v>337367</v>
      </c>
      <c r="G47" s="740"/>
      <c r="H47" s="957"/>
      <c r="I47" s="946">
        <f>I46+I44+I29+I17</f>
        <v>388467</v>
      </c>
    </row>
    <row r="48" spans="1:9" ht="12.75">
      <c r="A48"/>
      <c r="B48"/>
      <c r="C48"/>
      <c r="D48"/>
      <c r="E48"/>
      <c r="F48"/>
      <c r="G48"/>
      <c r="H48"/>
      <c r="I48"/>
    </row>
  </sheetData>
  <sheetProtection/>
  <mergeCells count="7">
    <mergeCell ref="A47:B47"/>
    <mergeCell ref="H2:I2"/>
    <mergeCell ref="A41:C41"/>
    <mergeCell ref="A1:I1"/>
    <mergeCell ref="A35:C35"/>
    <mergeCell ref="A45:C45"/>
    <mergeCell ref="A44:C4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2"/>
  <sheetViews>
    <sheetView view="pageBreakPreview" zoomScale="60" workbookViewId="0" topLeftCell="A1">
      <selection activeCell="D25" sqref="D25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9.875" style="0" customWidth="1"/>
    <col min="4" max="4" width="12.625" style="0" customWidth="1"/>
    <col min="5" max="5" width="27.875" style="0" customWidth="1"/>
    <col min="6" max="6" width="10.50390625" style="0" customWidth="1"/>
  </cols>
  <sheetData>
    <row r="1" spans="1:6" ht="32.25" customHeight="1">
      <c r="A1" s="1303" t="s">
        <v>366</v>
      </c>
      <c r="B1" s="1303"/>
      <c r="C1" s="1303"/>
      <c r="D1" s="1303"/>
      <c r="E1" s="1303"/>
      <c r="F1" s="1303"/>
    </row>
    <row r="2" spans="1:6" ht="15.75" customHeight="1">
      <c r="A2" s="653"/>
      <c r="B2" s="653"/>
      <c r="C2" s="653"/>
      <c r="D2" s="653"/>
      <c r="E2" s="1305" t="s">
        <v>315</v>
      </c>
      <c r="F2" s="1305"/>
    </row>
    <row r="3" spans="1:6" ht="13.5" thickBot="1">
      <c r="A3" s="661"/>
      <c r="B3" s="661"/>
      <c r="C3" s="1304"/>
      <c r="D3" s="1304"/>
      <c r="E3" s="1304" t="s">
        <v>590</v>
      </c>
      <c r="F3" s="1304"/>
    </row>
    <row r="4" spans="1:6" ht="42.75" customHeight="1" thickBot="1">
      <c r="A4" s="679" t="s">
        <v>610</v>
      </c>
      <c r="B4" s="680" t="s">
        <v>667</v>
      </c>
      <c r="C4" s="680" t="s">
        <v>668</v>
      </c>
      <c r="D4" s="681" t="s">
        <v>306</v>
      </c>
      <c r="E4" s="682" t="s">
        <v>307</v>
      </c>
      <c r="F4" s="684" t="s">
        <v>587</v>
      </c>
    </row>
    <row r="5" spans="1:6" ht="15.75" customHeight="1">
      <c r="A5" s="662" t="s">
        <v>555</v>
      </c>
      <c r="B5" s="663" t="s">
        <v>498</v>
      </c>
      <c r="C5" s="663" t="s">
        <v>500</v>
      </c>
      <c r="D5" s="683">
        <v>125</v>
      </c>
      <c r="E5" s="672" t="s">
        <v>308</v>
      </c>
      <c r="F5" s="1306">
        <v>3450</v>
      </c>
    </row>
    <row r="6" spans="1:6" ht="15.75" customHeight="1">
      <c r="A6" s="664" t="s">
        <v>556</v>
      </c>
      <c r="B6" s="665" t="s">
        <v>499</v>
      </c>
      <c r="C6" s="665" t="s">
        <v>500</v>
      </c>
      <c r="D6" s="671">
        <v>125</v>
      </c>
      <c r="E6" s="673" t="s">
        <v>308</v>
      </c>
      <c r="F6" s="1307"/>
    </row>
    <row r="7" spans="1:6" ht="15.75" customHeight="1">
      <c r="A7" s="664" t="s">
        <v>557</v>
      </c>
      <c r="B7" s="665" t="s">
        <v>501</v>
      </c>
      <c r="C7" s="665" t="s">
        <v>500</v>
      </c>
      <c r="D7" s="671">
        <v>125</v>
      </c>
      <c r="E7" s="673" t="s">
        <v>308</v>
      </c>
      <c r="F7" s="1307"/>
    </row>
    <row r="8" spans="1:6" ht="15.75" customHeight="1">
      <c r="A8" s="668" t="s">
        <v>558</v>
      </c>
      <c r="B8" s="666" t="s">
        <v>503</v>
      </c>
      <c r="C8" s="666" t="s">
        <v>500</v>
      </c>
      <c r="D8" s="678">
        <v>300</v>
      </c>
      <c r="E8" s="674" t="s">
        <v>308</v>
      </c>
      <c r="F8" s="1307"/>
    </row>
    <row r="9" spans="1:6" ht="15.75" customHeight="1">
      <c r="A9" s="664" t="s">
        <v>559</v>
      </c>
      <c r="B9" s="665" t="s">
        <v>504</v>
      </c>
      <c r="C9" s="666" t="s">
        <v>500</v>
      </c>
      <c r="D9" s="671">
        <v>100</v>
      </c>
      <c r="E9" s="673" t="s">
        <v>308</v>
      </c>
      <c r="F9" s="1307"/>
    </row>
    <row r="10" spans="1:6" ht="15.75" customHeight="1">
      <c r="A10" s="664" t="s">
        <v>560</v>
      </c>
      <c r="B10" s="665" t="s">
        <v>505</v>
      </c>
      <c r="C10" s="665" t="s">
        <v>500</v>
      </c>
      <c r="D10" s="671">
        <v>675</v>
      </c>
      <c r="E10" s="673" t="s">
        <v>308</v>
      </c>
      <c r="F10" s="1307"/>
    </row>
    <row r="11" spans="1:6" ht="15.75" customHeight="1" thickBot="1">
      <c r="A11" s="660" t="s">
        <v>561</v>
      </c>
      <c r="B11" s="670" t="s">
        <v>316</v>
      </c>
      <c r="C11" s="669" t="s">
        <v>500</v>
      </c>
      <c r="D11" s="659">
        <v>2000</v>
      </c>
      <c r="E11" s="676" t="s">
        <v>308</v>
      </c>
      <c r="F11" s="1308"/>
    </row>
    <row r="12" spans="1:6" ht="15.75" customHeight="1" thickBot="1">
      <c r="A12" s="660" t="s">
        <v>562</v>
      </c>
      <c r="B12" s="670" t="s">
        <v>310</v>
      </c>
      <c r="C12" s="670" t="s">
        <v>311</v>
      </c>
      <c r="D12" s="659">
        <v>1200</v>
      </c>
      <c r="E12" s="675" t="s">
        <v>309</v>
      </c>
      <c r="F12" s="685">
        <v>1200</v>
      </c>
    </row>
    <row r="13" spans="1:6" ht="15.75" customHeight="1" thickBot="1">
      <c r="A13" s="686" t="s">
        <v>563</v>
      </c>
      <c r="B13" s="687" t="s">
        <v>502</v>
      </c>
      <c r="C13" s="687" t="s">
        <v>500</v>
      </c>
      <c r="D13" s="688">
        <v>1750</v>
      </c>
      <c r="E13" s="689" t="s">
        <v>312</v>
      </c>
      <c r="F13" s="690">
        <v>1750</v>
      </c>
    </row>
    <row r="14" spans="1:5" ht="15.75" customHeight="1">
      <c r="A14" s="668" t="s">
        <v>564</v>
      </c>
      <c r="B14" s="666"/>
      <c r="C14" s="663"/>
      <c r="D14" s="678"/>
      <c r="E14" s="674"/>
    </row>
    <row r="15" spans="1:5" ht="15.75" customHeight="1">
      <c r="A15" s="664" t="s">
        <v>565</v>
      </c>
      <c r="B15" s="665"/>
      <c r="C15" s="665"/>
      <c r="D15" s="671"/>
      <c r="E15" s="673"/>
    </row>
    <row r="16" spans="1:5" ht="15.75" customHeight="1">
      <c r="A16" s="664" t="s">
        <v>566</v>
      </c>
      <c r="B16" s="665"/>
      <c r="C16" s="665"/>
      <c r="D16" s="671"/>
      <c r="E16" s="673"/>
    </row>
    <row r="17" spans="1:5" ht="15.75" customHeight="1">
      <c r="A17" s="664" t="s">
        <v>567</v>
      </c>
      <c r="B17" s="665"/>
      <c r="C17" s="665"/>
      <c r="D17" s="671"/>
      <c r="E17" s="673"/>
    </row>
    <row r="18" spans="1:5" ht="15.75" customHeight="1">
      <c r="A18" s="664" t="s">
        <v>568</v>
      </c>
      <c r="B18" s="665"/>
      <c r="C18" s="665"/>
      <c r="D18" s="671"/>
      <c r="E18" s="673"/>
    </row>
    <row r="19" spans="1:5" ht="15.75" customHeight="1" thickBot="1">
      <c r="A19" s="664" t="s">
        <v>569</v>
      </c>
      <c r="B19" s="665"/>
      <c r="C19" s="976"/>
      <c r="D19" s="671"/>
      <c r="E19" s="673"/>
    </row>
    <row r="20" spans="1:5" ht="15.75" customHeight="1" thickBot="1">
      <c r="A20" s="1301" t="s">
        <v>588</v>
      </c>
      <c r="B20" s="1302"/>
      <c r="C20" s="977"/>
      <c r="D20" s="975">
        <v>6400</v>
      </c>
      <c r="E20" s="677"/>
    </row>
    <row r="21" spans="1:4" ht="15.75" customHeight="1">
      <c r="A21" s="655"/>
      <c r="B21" s="656"/>
      <c r="C21" s="656"/>
      <c r="D21" s="657"/>
    </row>
    <row r="22" spans="1:2" ht="15.75" customHeight="1">
      <c r="A22" s="667"/>
      <c r="B22" s="667"/>
    </row>
    <row r="23" spans="1:4" ht="15.75" customHeight="1">
      <c r="A23" s="655"/>
      <c r="B23" s="656"/>
      <c r="C23" s="656"/>
      <c r="D23" s="657"/>
    </row>
    <row r="24" spans="1:4" ht="15.75" customHeight="1">
      <c r="A24" s="655"/>
      <c r="B24" s="656"/>
      <c r="C24" s="656"/>
      <c r="D24" s="657"/>
    </row>
    <row r="25" spans="1:4" ht="15.75" customHeight="1">
      <c r="A25" s="655"/>
      <c r="B25" s="656"/>
      <c r="C25" s="656"/>
      <c r="D25" s="657"/>
    </row>
    <row r="26" spans="1:4" ht="15.75" customHeight="1">
      <c r="A26" s="655"/>
      <c r="B26" s="656"/>
      <c r="C26" s="656"/>
      <c r="D26" s="657"/>
    </row>
    <row r="27" spans="1:4" ht="15.75" customHeight="1">
      <c r="A27" s="655"/>
      <c r="B27" s="656"/>
      <c r="C27" s="656"/>
      <c r="D27" s="658"/>
    </row>
    <row r="28" spans="1:4" ht="15.75" customHeight="1">
      <c r="A28" s="655"/>
      <c r="B28" s="656"/>
      <c r="C28" s="656"/>
      <c r="D28" s="658"/>
    </row>
    <row r="29" spans="1:4" ht="15.75" customHeight="1">
      <c r="A29" s="655"/>
      <c r="B29" s="656"/>
      <c r="C29" s="656"/>
      <c r="D29" s="658"/>
    </row>
    <row r="30" spans="1:4" ht="15.75" customHeight="1">
      <c r="A30" s="655"/>
      <c r="B30" s="656"/>
      <c r="C30" s="656"/>
      <c r="D30" s="658"/>
    </row>
    <row r="31" spans="1:4" ht="12.75">
      <c r="A31" s="560"/>
      <c r="B31" s="560"/>
      <c r="C31" s="560"/>
      <c r="D31" s="560"/>
    </row>
    <row r="32" spans="1:4" ht="12.75">
      <c r="A32" s="560"/>
      <c r="B32" s="560"/>
      <c r="C32" s="560"/>
      <c r="D32" s="560"/>
    </row>
  </sheetData>
  <sheetProtection/>
  <mergeCells count="6">
    <mergeCell ref="A20:B20"/>
    <mergeCell ref="A1:F1"/>
    <mergeCell ref="E3:F3"/>
    <mergeCell ref="E2:F2"/>
    <mergeCell ref="F5:F11"/>
    <mergeCell ref="C3:D3"/>
  </mergeCells>
  <printOptions horizontalCentered="1"/>
  <pageMargins left="0.3937007874015748" right="0.3937007874015748" top="1.062992125984252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6. számú tájékoztató tábla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J84"/>
  <sheetViews>
    <sheetView view="pageBreakPreview" zoomScale="60" workbookViewId="0" topLeftCell="A40">
      <selection activeCell="I68" sqref="I68"/>
    </sheetView>
  </sheetViews>
  <sheetFormatPr defaultColWidth="9.00390625" defaultRowHeight="12.75"/>
  <cols>
    <col min="2" max="2" width="6.00390625" style="0" customWidth="1"/>
    <col min="3" max="3" width="32.875" style="0" customWidth="1"/>
    <col min="4" max="4" width="17.125" style="0" customWidth="1"/>
    <col min="5" max="5" width="11.375" style="0" customWidth="1"/>
    <col min="6" max="9" width="13.00390625" style="0" customWidth="1"/>
    <col min="10" max="10" width="12.625" style="0" bestFit="1" customWidth="1"/>
  </cols>
  <sheetData>
    <row r="1" spans="1:9" ht="13.5" thickBot="1">
      <c r="A1" s="545"/>
      <c r="B1" s="546"/>
      <c r="C1" s="547"/>
      <c r="D1" s="548"/>
      <c r="E1" s="549"/>
      <c r="F1" s="545"/>
      <c r="G1" s="545"/>
      <c r="H1" s="545"/>
      <c r="I1" s="545" t="s">
        <v>1</v>
      </c>
    </row>
    <row r="2" spans="1:9" ht="43.5" customHeight="1">
      <c r="A2" s="545"/>
      <c r="B2" s="752" t="s">
        <v>555</v>
      </c>
      <c r="C2" s="1317" t="s">
        <v>188</v>
      </c>
      <c r="D2" s="1318"/>
      <c r="E2" s="753" t="s">
        <v>453</v>
      </c>
      <c r="F2" s="753" t="s">
        <v>889</v>
      </c>
      <c r="G2" s="753" t="s">
        <v>2</v>
      </c>
      <c r="H2" s="753" t="s">
        <v>3</v>
      </c>
      <c r="I2" s="753" t="s">
        <v>14</v>
      </c>
    </row>
    <row r="3" spans="1:9" ht="12.75">
      <c r="A3" s="545"/>
      <c r="B3" s="754"/>
      <c r="C3" s="1309" t="s">
        <v>216</v>
      </c>
      <c r="D3" s="755" t="s">
        <v>212</v>
      </c>
      <c r="E3" s="756">
        <f>'[6]Munka1'!$C$45</f>
        <v>8140</v>
      </c>
      <c r="F3" s="756">
        <f>8140+604+66</f>
        <v>8810</v>
      </c>
      <c r="G3" s="756">
        <f>8140+604+66+52</f>
        <v>8862</v>
      </c>
      <c r="H3" s="756">
        <f>8888200+100000</f>
        <v>8988200</v>
      </c>
      <c r="I3" s="756">
        <v>8938000</v>
      </c>
    </row>
    <row r="4" spans="1:9" ht="12.75">
      <c r="A4" s="545"/>
      <c r="B4" s="757"/>
      <c r="C4" s="1310"/>
      <c r="D4" s="758" t="s">
        <v>466</v>
      </c>
      <c r="E4" s="759">
        <f>'[6]Munka1'!$C$64</f>
        <v>2127</v>
      </c>
      <c r="F4" s="759">
        <f>2127+190+18</f>
        <v>2335</v>
      </c>
      <c r="G4" s="759">
        <f>2127+190+18+14</f>
        <v>2349</v>
      </c>
      <c r="H4" s="759">
        <f>2349000+7074+27000</f>
        <v>2383074</v>
      </c>
      <c r="I4" s="759">
        <v>2370250</v>
      </c>
    </row>
    <row r="5" spans="1:9" ht="12.75">
      <c r="A5" s="545"/>
      <c r="B5" s="760"/>
      <c r="C5" s="1310"/>
      <c r="D5" s="761" t="s">
        <v>213</v>
      </c>
      <c r="E5" s="762">
        <f>'[5]Munka1'!$E$97</f>
        <v>5580</v>
      </c>
      <c r="F5" s="762">
        <f>5580+3350+1790</f>
        <v>10720</v>
      </c>
      <c r="G5" s="762">
        <f>5580+3350+1790+625</f>
        <v>11345</v>
      </c>
      <c r="H5" s="1197">
        <v>11345000</v>
      </c>
      <c r="I5" s="1197">
        <v>9546210</v>
      </c>
    </row>
    <row r="6" spans="1:9" ht="12.75">
      <c r="A6" s="545"/>
      <c r="B6" s="763"/>
      <c r="C6" s="1329" t="s">
        <v>471</v>
      </c>
      <c r="D6" s="1330"/>
      <c r="E6" s="764">
        <f>SUM(E3:E5)</f>
        <v>15847</v>
      </c>
      <c r="F6" s="764">
        <f>SUM(F3:F5)</f>
        <v>21865</v>
      </c>
      <c r="G6" s="764">
        <f>SUM(G3:G5)</f>
        <v>22556</v>
      </c>
      <c r="H6" s="764">
        <f>SUM(H3:H5)</f>
        <v>22716274</v>
      </c>
      <c r="I6" s="764">
        <f>SUM(I3:I5)</f>
        <v>20854460</v>
      </c>
    </row>
    <row r="7" spans="1:9" ht="12.75">
      <c r="A7" s="545"/>
      <c r="B7" s="770"/>
      <c r="C7" s="1331" t="s">
        <v>217</v>
      </c>
      <c r="D7" s="1107" t="s">
        <v>212</v>
      </c>
      <c r="E7" s="759">
        <f>'[6]Munka1'!$B$45</f>
        <v>1733</v>
      </c>
      <c r="F7" s="759">
        <f>1733+146+65</f>
        <v>1944</v>
      </c>
      <c r="G7" s="759">
        <f>1733+146+65+51</f>
        <v>1995</v>
      </c>
      <c r="H7" s="759">
        <f>1995000+25600+20000</f>
        <v>2040600</v>
      </c>
      <c r="I7" s="759">
        <v>2090800</v>
      </c>
    </row>
    <row r="8" spans="1:9" ht="12.75">
      <c r="A8" s="545"/>
      <c r="B8" s="771"/>
      <c r="C8" s="1309"/>
      <c r="D8" s="1108" t="s">
        <v>466</v>
      </c>
      <c r="E8" s="759">
        <f>'[6]Munka1'!$B$64</f>
        <v>468</v>
      </c>
      <c r="F8" s="759">
        <f>468+46+17</f>
        <v>531</v>
      </c>
      <c r="G8" s="759">
        <f>468+46+17+14</f>
        <v>545</v>
      </c>
      <c r="H8" s="759">
        <f>545000+6912+5400</f>
        <v>557312</v>
      </c>
      <c r="I8" s="759">
        <v>570136</v>
      </c>
    </row>
    <row r="9" spans="1:9" ht="12.75">
      <c r="A9" s="545"/>
      <c r="B9" s="772"/>
      <c r="C9" s="1309"/>
      <c r="D9" s="1109" t="s">
        <v>213</v>
      </c>
      <c r="E9" s="759">
        <f>'[5]Munka1'!$C$97</f>
        <v>750</v>
      </c>
      <c r="F9" s="759">
        <f>'[5]Munka1'!$C$97</f>
        <v>750</v>
      </c>
      <c r="G9" s="759">
        <f>'[5]Munka1'!$C$97</f>
        <v>750</v>
      </c>
      <c r="H9" s="759">
        <f>750000+341686</f>
        <v>1091686</v>
      </c>
      <c r="I9" s="759">
        <v>1133488</v>
      </c>
    </row>
    <row r="10" spans="1:9" ht="12.75">
      <c r="A10" s="545"/>
      <c r="B10" s="765"/>
      <c r="C10" s="1329" t="s">
        <v>472</v>
      </c>
      <c r="D10" s="1332"/>
      <c r="E10" s="764">
        <f>SUM(E7:E9)</f>
        <v>2951</v>
      </c>
      <c r="F10" s="764">
        <f>SUM(F7:F9)</f>
        <v>3225</v>
      </c>
      <c r="G10" s="764">
        <f>SUM(G7:G9)</f>
        <v>3290</v>
      </c>
      <c r="H10" s="764">
        <f>SUM(H7:H9)</f>
        <v>3689598</v>
      </c>
      <c r="I10" s="764">
        <f>SUM(I7:I9)</f>
        <v>3794424</v>
      </c>
    </row>
    <row r="11" spans="1:9" ht="12.75">
      <c r="A11" s="545"/>
      <c r="B11" s="765"/>
      <c r="C11" s="1110" t="s">
        <v>218</v>
      </c>
      <c r="D11" s="1198" t="s">
        <v>213</v>
      </c>
      <c r="E11" s="766">
        <f>'[5]Munka1'!$F$97</f>
        <v>596</v>
      </c>
      <c r="F11" s="766">
        <f>'[5]Munka1'!$F$97</f>
        <v>596</v>
      </c>
      <c r="G11" s="766">
        <f>'[5]Munka1'!$F$97</f>
        <v>596</v>
      </c>
      <c r="H11" s="766">
        <v>596000</v>
      </c>
      <c r="I11" s="766">
        <v>596000</v>
      </c>
    </row>
    <row r="12" spans="1:9" ht="12.75">
      <c r="A12" s="545"/>
      <c r="B12" s="765"/>
      <c r="C12" s="1111" t="s">
        <v>463</v>
      </c>
      <c r="D12" s="1198" t="s">
        <v>213</v>
      </c>
      <c r="E12" s="766">
        <f>'[5]Munka1'!$B$97</f>
        <v>1100</v>
      </c>
      <c r="F12" s="766">
        <f>'[5]Munka1'!$B$97</f>
        <v>1100</v>
      </c>
      <c r="G12" s="766">
        <f>'[5]Munka1'!$B$97</f>
        <v>1100</v>
      </c>
      <c r="H12" s="766">
        <f>1100000+300000</f>
        <v>1400000</v>
      </c>
      <c r="I12" s="766">
        <v>1700000</v>
      </c>
    </row>
    <row r="13" spans="1:9" ht="12.75">
      <c r="A13" s="545"/>
      <c r="B13" s="765"/>
      <c r="C13" s="767" t="s">
        <v>219</v>
      </c>
      <c r="D13" s="1112" t="s">
        <v>213</v>
      </c>
      <c r="E13" s="766">
        <f>'[5]Munka1'!$D$97</f>
        <v>440</v>
      </c>
      <c r="F13" s="766">
        <f>440+164</f>
        <v>604</v>
      </c>
      <c r="G13" s="766">
        <f>440+164</f>
        <v>604</v>
      </c>
      <c r="H13" s="766">
        <f>604000+500000+200000+653500</f>
        <v>1957500</v>
      </c>
      <c r="I13" s="766">
        <v>3022500</v>
      </c>
    </row>
    <row r="14" spans="1:9" ht="12.75" customHeight="1">
      <c r="A14" s="545"/>
      <c r="B14" s="770"/>
      <c r="C14" s="1311" t="s">
        <v>220</v>
      </c>
      <c r="D14" s="1113" t="s">
        <v>212</v>
      </c>
      <c r="E14" s="759">
        <f aca="true" t="shared" si="0" ref="E14:I15">SUM(E3+E7)</f>
        <v>9873</v>
      </c>
      <c r="F14" s="759">
        <f t="shared" si="0"/>
        <v>10754</v>
      </c>
      <c r="G14" s="759">
        <f t="shared" si="0"/>
        <v>10857</v>
      </c>
      <c r="H14" s="759">
        <f t="shared" si="0"/>
        <v>11028800</v>
      </c>
      <c r="I14" s="759">
        <f t="shared" si="0"/>
        <v>11028800</v>
      </c>
    </row>
    <row r="15" spans="1:9" ht="12.75">
      <c r="A15" s="545"/>
      <c r="B15" s="771"/>
      <c r="C15" s="1312"/>
      <c r="D15" s="1108" t="s">
        <v>466</v>
      </c>
      <c r="E15" s="759">
        <f t="shared" si="0"/>
        <v>2595</v>
      </c>
      <c r="F15" s="759">
        <f t="shared" si="0"/>
        <v>2866</v>
      </c>
      <c r="G15" s="759">
        <f t="shared" si="0"/>
        <v>2894</v>
      </c>
      <c r="H15" s="759">
        <f t="shared" si="0"/>
        <v>2940386</v>
      </c>
      <c r="I15" s="759">
        <f t="shared" si="0"/>
        <v>2940386</v>
      </c>
    </row>
    <row r="16" spans="1:9" ht="13.5" thickBot="1">
      <c r="A16" s="545"/>
      <c r="B16" s="772"/>
      <c r="C16" s="1313"/>
      <c r="D16" s="1114" t="s">
        <v>213</v>
      </c>
      <c r="E16" s="759">
        <f>SUM(E5+E9+E11+E12+E13)</f>
        <v>8466</v>
      </c>
      <c r="F16" s="759">
        <f>SUM(F5+F9+F11+F12+F13)</f>
        <v>13770</v>
      </c>
      <c r="G16" s="759">
        <v>14395</v>
      </c>
      <c r="H16" s="759">
        <f>SUM(H5+H9+H11+H12+H13)</f>
        <v>16390186</v>
      </c>
      <c r="I16" s="759">
        <f>SUM(I5+I9+I11+I12+I13)</f>
        <v>15998198</v>
      </c>
    </row>
    <row r="17" spans="1:9" ht="13.5" thickBot="1">
      <c r="A17" s="545"/>
      <c r="B17" s="768" t="s">
        <v>555</v>
      </c>
      <c r="C17" s="1319" t="s">
        <v>464</v>
      </c>
      <c r="D17" s="1320"/>
      <c r="E17" s="769">
        <f>SUM(E14:E16)</f>
        <v>20934</v>
      </c>
      <c r="F17" s="769">
        <f>SUM(F14:F16)</f>
        <v>27390</v>
      </c>
      <c r="G17" s="769">
        <f>SUM(G14:G16)</f>
        <v>28146</v>
      </c>
      <c r="H17" s="769">
        <f>SUM(H14:H16)</f>
        <v>30359372</v>
      </c>
      <c r="I17" s="769">
        <f>SUM(I14:I16)</f>
        <v>29967384</v>
      </c>
    </row>
    <row r="18" spans="1:9" ht="12.75">
      <c r="A18" s="545"/>
      <c r="B18" s="546"/>
      <c r="C18" s="550"/>
      <c r="D18" s="550"/>
      <c r="E18" s="545"/>
      <c r="F18" s="545"/>
      <c r="G18" s="545"/>
      <c r="H18" s="545"/>
      <c r="I18" s="545"/>
    </row>
    <row r="19" spans="1:9" ht="12.75">
      <c r="A19" s="545"/>
      <c r="B19" s="546"/>
      <c r="C19" s="550"/>
      <c r="D19" s="550"/>
      <c r="E19" s="545"/>
      <c r="F19" s="545"/>
      <c r="G19" s="545"/>
      <c r="H19" s="545"/>
      <c r="I19" s="545"/>
    </row>
    <row r="20" spans="1:9" ht="13.5" thickBot="1">
      <c r="A20" s="545"/>
      <c r="B20" s="546"/>
      <c r="C20" s="550"/>
      <c r="D20" s="550"/>
      <c r="E20" s="545"/>
      <c r="F20" s="545"/>
      <c r="G20" s="545"/>
      <c r="H20" s="545"/>
      <c r="I20" s="545"/>
    </row>
    <row r="21" spans="1:9" ht="12.75" customHeight="1">
      <c r="A21" s="545"/>
      <c r="B21" s="1349" t="s">
        <v>556</v>
      </c>
      <c r="C21" s="1315" t="s">
        <v>189</v>
      </c>
      <c r="D21" s="1315"/>
      <c r="E21" s="1333" t="s">
        <v>454</v>
      </c>
      <c r="F21" s="1333" t="s">
        <v>889</v>
      </c>
      <c r="G21" s="1333" t="s">
        <v>2</v>
      </c>
      <c r="H21" s="1333" t="s">
        <v>3</v>
      </c>
      <c r="I21" s="1333" t="s">
        <v>14</v>
      </c>
    </row>
    <row r="22" spans="1:9" ht="23.25" customHeight="1">
      <c r="A22" s="545"/>
      <c r="B22" s="1350"/>
      <c r="C22" s="1316"/>
      <c r="D22" s="1316"/>
      <c r="E22" s="1334"/>
      <c r="F22" s="1334"/>
      <c r="G22" s="1334"/>
      <c r="H22" s="1334"/>
      <c r="I22" s="1334"/>
    </row>
    <row r="23" spans="1:9" ht="12.75" customHeight="1">
      <c r="A23" s="545"/>
      <c r="B23" s="770"/>
      <c r="C23" s="1326" t="s">
        <v>254</v>
      </c>
      <c r="D23" s="755" t="s">
        <v>212</v>
      </c>
      <c r="E23" s="756">
        <f>'[11]Munka1'!$B$45</f>
        <v>59115</v>
      </c>
      <c r="F23" s="756">
        <f>59115+746+1266</f>
        <v>61127</v>
      </c>
      <c r="G23" s="756">
        <f>59115+746+1266+627+587</f>
        <v>62341</v>
      </c>
      <c r="H23" s="756">
        <f>62341000+307900+630794+580000</f>
        <v>63859694</v>
      </c>
      <c r="I23" s="756">
        <f>55208181+8645000</f>
        <v>63853181</v>
      </c>
    </row>
    <row r="24" spans="1:9" ht="12.75">
      <c r="A24" s="545"/>
      <c r="B24" s="771"/>
      <c r="C24" s="1327"/>
      <c r="D24" s="758" t="s">
        <v>466</v>
      </c>
      <c r="E24" s="759">
        <f>'[11]Munka1'!$B$64</f>
        <v>16965</v>
      </c>
      <c r="F24" s="759">
        <f>16965+187+341</f>
        <v>17493</v>
      </c>
      <c r="G24" s="759">
        <f>16965+187+341+155+159</f>
        <v>17807</v>
      </c>
      <c r="H24" s="759">
        <f>17807000+76221+233307+156600</f>
        <v>18273128</v>
      </c>
      <c r="I24" s="759">
        <f>16433768+2440000</f>
        <v>18873768</v>
      </c>
    </row>
    <row r="25" spans="1:9" ht="12.75">
      <c r="A25" s="545"/>
      <c r="B25" s="772"/>
      <c r="C25" s="1328"/>
      <c r="D25" s="761" t="s">
        <v>213</v>
      </c>
      <c r="E25" s="773">
        <f>'[12]Munka1'!$B$97</f>
        <v>56669</v>
      </c>
      <c r="F25" s="773">
        <f>56669</f>
        <v>56669</v>
      </c>
      <c r="G25" s="773">
        <f>56669</f>
        <v>56669</v>
      </c>
      <c r="H25" s="773">
        <v>56196000</v>
      </c>
      <c r="I25" s="773">
        <f>44841601+8737000</f>
        <v>53578601</v>
      </c>
    </row>
    <row r="26" spans="1:9" ht="12.75">
      <c r="A26" s="545"/>
      <c r="B26" s="774"/>
      <c r="C26" s="1314" t="s">
        <v>221</v>
      </c>
      <c r="D26" s="1314"/>
      <c r="E26" s="764">
        <f>SUM(E23:E25)</f>
        <v>132749</v>
      </c>
      <c r="F26" s="764">
        <f>SUM(F23:F25)</f>
        <v>135289</v>
      </c>
      <c r="G26" s="764">
        <f>SUM(G23:G25)</f>
        <v>136817</v>
      </c>
      <c r="H26" s="764">
        <f>SUM(H23:H25)</f>
        <v>138328822</v>
      </c>
      <c r="I26" s="764">
        <f>SUM(I23:I25)</f>
        <v>136305550</v>
      </c>
    </row>
    <row r="27" spans="1:9" ht="12.75">
      <c r="A27" s="545"/>
      <c r="B27" s="770"/>
      <c r="C27" s="1323" t="s">
        <v>497</v>
      </c>
      <c r="D27" s="755" t="s">
        <v>212</v>
      </c>
      <c r="E27" s="756">
        <f>'[11]Munka1'!$C$45</f>
        <v>3939</v>
      </c>
      <c r="F27" s="756">
        <f>3939+71+83</f>
        <v>4093</v>
      </c>
      <c r="G27" s="756">
        <f>3939+71+83+54+39</f>
        <v>4186</v>
      </c>
      <c r="H27" s="756">
        <f>4186000+27000+44539+40000</f>
        <v>4297539</v>
      </c>
      <c r="I27" s="756">
        <v>4417752</v>
      </c>
    </row>
    <row r="28" spans="1:9" ht="12.75">
      <c r="A28" s="545"/>
      <c r="B28" s="771"/>
      <c r="C28" s="1324"/>
      <c r="D28" s="758" t="s">
        <v>466</v>
      </c>
      <c r="E28" s="759">
        <f>'[11]Munka1'!$C$64</f>
        <v>1057</v>
      </c>
      <c r="F28" s="759">
        <f>1057+19+22</f>
        <v>1098</v>
      </c>
      <c r="G28" s="759">
        <f>1057+19+22+15+11</f>
        <v>1124</v>
      </c>
      <c r="H28" s="759">
        <f>1124000+7290+16474+10800</f>
        <v>1158564</v>
      </c>
      <c r="I28" s="759">
        <v>1329732</v>
      </c>
    </row>
    <row r="29" spans="1:9" ht="12.75">
      <c r="A29" s="545"/>
      <c r="B29" s="772"/>
      <c r="C29" s="1325"/>
      <c r="D29" s="761" t="s">
        <v>213</v>
      </c>
      <c r="E29" s="773">
        <f>'[12]Munka1'!$C$97</f>
        <v>170</v>
      </c>
      <c r="F29" s="773">
        <f>'[12]Munka1'!$C$97</f>
        <v>170</v>
      </c>
      <c r="G29" s="773">
        <f>'[12]Munka1'!$C$97</f>
        <v>170</v>
      </c>
      <c r="H29" s="773">
        <v>170000</v>
      </c>
      <c r="I29" s="773">
        <v>208500</v>
      </c>
    </row>
    <row r="30" spans="1:9" ht="12.75">
      <c r="A30" s="545"/>
      <c r="B30" s="774"/>
      <c r="C30" s="1314" t="s">
        <v>222</v>
      </c>
      <c r="D30" s="1314"/>
      <c r="E30" s="764">
        <f>SUM(E27:E29)</f>
        <v>5166</v>
      </c>
      <c r="F30" s="764">
        <f>SUM(F27:F29)</f>
        <v>5361</v>
      </c>
      <c r="G30" s="764">
        <f>SUM(G27:G29)</f>
        <v>5480</v>
      </c>
      <c r="H30" s="764">
        <f>SUM(H27:H29)</f>
        <v>5626103</v>
      </c>
      <c r="I30" s="764">
        <f>SUM(I27:I29)</f>
        <v>5955984</v>
      </c>
    </row>
    <row r="31" spans="1:9" ht="12.75">
      <c r="A31" s="545"/>
      <c r="B31" s="770"/>
      <c r="C31" s="1323" t="s">
        <v>473</v>
      </c>
      <c r="D31" s="755" t="s">
        <v>212</v>
      </c>
      <c r="E31" s="756">
        <f>'[11]Munka1'!$D$45</f>
        <v>963</v>
      </c>
      <c r="F31" s="756">
        <f>963+31+23</f>
        <v>1017</v>
      </c>
      <c r="G31" s="756">
        <f>963+31+23+31+11</f>
        <v>1059</v>
      </c>
      <c r="H31" s="756">
        <f>1059000+15400+10430</f>
        <v>1084830</v>
      </c>
      <c r="I31" s="756">
        <v>1161880</v>
      </c>
    </row>
    <row r="32" spans="1:9" ht="12.75">
      <c r="A32" s="545"/>
      <c r="B32" s="771"/>
      <c r="C32" s="1324"/>
      <c r="D32" s="758" t="s">
        <v>466</v>
      </c>
      <c r="E32" s="759">
        <f>'[11]Munka1'!$D$64</f>
        <v>262</v>
      </c>
      <c r="F32" s="759">
        <f>262+8+6</f>
        <v>276</v>
      </c>
      <c r="G32" s="759">
        <f>262+8+6+8+3</f>
        <v>287</v>
      </c>
      <c r="H32" s="759">
        <f>287000+4158+3858</f>
        <v>295016</v>
      </c>
      <c r="I32" s="759">
        <v>367370</v>
      </c>
    </row>
    <row r="33" spans="1:9" ht="12.75">
      <c r="A33" s="545"/>
      <c r="B33" s="772"/>
      <c r="C33" s="1325"/>
      <c r="D33" s="761" t="s">
        <v>213</v>
      </c>
      <c r="E33" s="773">
        <f>'[12]Munka1'!$D$97</f>
        <v>130</v>
      </c>
      <c r="F33" s="773">
        <f>'[12]Munka1'!$D$97</f>
        <v>130</v>
      </c>
      <c r="G33" s="773">
        <f>'[12]Munka1'!$D$97</f>
        <v>130</v>
      </c>
      <c r="H33" s="773">
        <v>130000</v>
      </c>
      <c r="I33" s="773">
        <v>10100</v>
      </c>
    </row>
    <row r="34" spans="1:9" ht="12.75">
      <c r="A34" s="545"/>
      <c r="B34" s="774"/>
      <c r="C34" s="1314" t="s">
        <v>223</v>
      </c>
      <c r="D34" s="1314"/>
      <c r="E34" s="764">
        <f>SUM(E31:E33)</f>
        <v>1355</v>
      </c>
      <c r="F34" s="764">
        <f>SUM(F31:F33)</f>
        <v>1423</v>
      </c>
      <c r="G34" s="764">
        <f>SUM(G31:G33)</f>
        <v>1476</v>
      </c>
      <c r="H34" s="764">
        <f>SUM(H31:H33)</f>
        <v>1509846</v>
      </c>
      <c r="I34" s="764">
        <f>SUM(I31:I33)</f>
        <v>1539350</v>
      </c>
    </row>
    <row r="35" spans="1:9" ht="12.75">
      <c r="A35" s="545"/>
      <c r="B35" s="776"/>
      <c r="C35" s="1346" t="s">
        <v>193</v>
      </c>
      <c r="D35" s="755" t="s">
        <v>212</v>
      </c>
      <c r="E35" s="777">
        <f>'[11]Munka1'!$E$45</f>
        <v>962</v>
      </c>
      <c r="F35" s="777">
        <f>962+23</f>
        <v>985</v>
      </c>
      <c r="G35" s="777">
        <f>962+23+11</f>
        <v>996</v>
      </c>
      <c r="H35" s="777">
        <f>996000+10430</f>
        <v>1006430</v>
      </c>
      <c r="I35" s="777">
        <v>737880</v>
      </c>
    </row>
    <row r="36" spans="1:9" ht="12.75">
      <c r="A36" s="545"/>
      <c r="B36" s="776"/>
      <c r="C36" s="1347"/>
      <c r="D36" s="758" t="s">
        <v>466</v>
      </c>
      <c r="E36" s="777">
        <f>'[11]Munka1'!$E$64</f>
        <v>262</v>
      </c>
      <c r="F36" s="777">
        <f>262+6</f>
        <v>268</v>
      </c>
      <c r="G36" s="777">
        <f>262+6+3</f>
        <v>271</v>
      </c>
      <c r="H36" s="777">
        <f>271000+3858</f>
        <v>274858</v>
      </c>
      <c r="I36" s="777">
        <v>206896</v>
      </c>
    </row>
    <row r="37" spans="1:9" ht="12.75">
      <c r="A37" s="545"/>
      <c r="B37" s="776"/>
      <c r="C37" s="1348"/>
      <c r="D37" s="761" t="s">
        <v>213</v>
      </c>
      <c r="E37" s="778">
        <f>'[12]Munka1'!$E$97</f>
        <v>0</v>
      </c>
      <c r="F37" s="778">
        <f>'[12]Munka1'!$E$97</f>
        <v>0</v>
      </c>
      <c r="G37" s="778">
        <f>'[12]Munka1'!$E$97</f>
        <v>0</v>
      </c>
      <c r="H37" s="778">
        <f>'[12]Munka1'!$E$97</f>
        <v>0</v>
      </c>
      <c r="I37" s="778">
        <v>10100</v>
      </c>
    </row>
    <row r="38" spans="1:9" ht="12.75">
      <c r="A38" s="545"/>
      <c r="B38" s="774"/>
      <c r="C38" s="775" t="s">
        <v>197</v>
      </c>
      <c r="D38" s="775"/>
      <c r="E38" s="764">
        <f>SUM(E35:E37)</f>
        <v>1224</v>
      </c>
      <c r="F38" s="764">
        <f>SUM(F35:F37)</f>
        <v>1253</v>
      </c>
      <c r="G38" s="764">
        <f>SUM(G35:G37)</f>
        <v>1267</v>
      </c>
      <c r="H38" s="764">
        <f>SUM(H35:H37)</f>
        <v>1281288</v>
      </c>
      <c r="I38" s="764">
        <f>SUM(I35:I37)</f>
        <v>954876</v>
      </c>
    </row>
    <row r="39" spans="1:9" ht="12.75" customHeight="1">
      <c r="A39" s="545"/>
      <c r="B39" s="770"/>
      <c r="C39" s="1321" t="s">
        <v>224</v>
      </c>
      <c r="D39" s="755" t="s">
        <v>212</v>
      </c>
      <c r="E39" s="756">
        <f aca="true" t="shared" si="1" ref="E39:F41">SUM(E23+E27+E31+E35)</f>
        <v>64979</v>
      </c>
      <c r="F39" s="756">
        <f t="shared" si="1"/>
        <v>67222</v>
      </c>
      <c r="G39" s="756">
        <f aca="true" t="shared" si="2" ref="G39:I40">SUM(G23+G27+G31+G35)</f>
        <v>68582</v>
      </c>
      <c r="H39" s="756">
        <f t="shared" si="2"/>
        <v>70248493</v>
      </c>
      <c r="I39" s="756">
        <f t="shared" si="2"/>
        <v>70170693</v>
      </c>
    </row>
    <row r="40" spans="1:9" ht="12.75">
      <c r="A40" s="545"/>
      <c r="B40" s="771"/>
      <c r="C40" s="1321"/>
      <c r="D40" s="758" t="s">
        <v>466</v>
      </c>
      <c r="E40" s="756">
        <f t="shared" si="1"/>
        <v>18546</v>
      </c>
      <c r="F40" s="756">
        <f t="shared" si="1"/>
        <v>19135</v>
      </c>
      <c r="G40" s="756">
        <f t="shared" si="2"/>
        <v>19489</v>
      </c>
      <c r="H40" s="756">
        <f t="shared" si="2"/>
        <v>20001566</v>
      </c>
      <c r="I40" s="756">
        <f t="shared" si="2"/>
        <v>20777766</v>
      </c>
    </row>
    <row r="41" spans="1:9" ht="13.5" thickBot="1">
      <c r="A41" s="545"/>
      <c r="B41" s="779"/>
      <c r="C41" s="1322"/>
      <c r="D41" s="761" t="s">
        <v>213</v>
      </c>
      <c r="E41" s="756">
        <f t="shared" si="1"/>
        <v>56969</v>
      </c>
      <c r="F41" s="756">
        <f t="shared" si="1"/>
        <v>56969</v>
      </c>
      <c r="G41" s="756">
        <f>SUM(G25+G29+G33+G37)</f>
        <v>56969</v>
      </c>
      <c r="H41" s="756">
        <v>56496000</v>
      </c>
      <c r="I41" s="756">
        <f>I25+I29+I33+I37</f>
        <v>53807301</v>
      </c>
    </row>
    <row r="42" spans="1:9" ht="13.5" thickBot="1">
      <c r="A42" s="545"/>
      <c r="B42" s="768" t="s">
        <v>556</v>
      </c>
      <c r="C42" s="1353" t="s">
        <v>225</v>
      </c>
      <c r="D42" s="1353"/>
      <c r="E42" s="769">
        <f>SUM(E39:E41)</f>
        <v>140494</v>
      </c>
      <c r="F42" s="769">
        <f>SUM(F39:F41)</f>
        <v>143326</v>
      </c>
      <c r="G42" s="769">
        <f>SUM(G39:G41)</f>
        <v>145040</v>
      </c>
      <c r="H42" s="769">
        <f>SUM(H39:H41)</f>
        <v>146746059</v>
      </c>
      <c r="I42" s="769">
        <f>SUM(I39:I41)</f>
        <v>144755760</v>
      </c>
    </row>
    <row r="43" spans="1:9" ht="12.75">
      <c r="A43" s="545"/>
      <c r="B43" s="546"/>
      <c r="C43" s="550"/>
      <c r="D43" s="550"/>
      <c r="E43" s="545"/>
      <c r="F43" s="545"/>
      <c r="G43" s="545"/>
      <c r="H43" s="545"/>
      <c r="I43" s="545"/>
    </row>
    <row r="44" spans="1:9" ht="13.5" thickBot="1">
      <c r="A44" s="545"/>
      <c r="B44" s="551"/>
      <c r="C44" s="552"/>
      <c r="D44" s="552"/>
      <c r="E44" s="545"/>
      <c r="F44" s="545"/>
      <c r="G44" s="545"/>
      <c r="H44" s="545"/>
      <c r="I44" s="545"/>
    </row>
    <row r="45" spans="1:9" ht="36.75" thickBot="1">
      <c r="A45" s="545"/>
      <c r="B45" s="780" t="s">
        <v>557</v>
      </c>
      <c r="C45" s="1351" t="s">
        <v>207</v>
      </c>
      <c r="D45" s="1352"/>
      <c r="E45" s="781" t="s">
        <v>455</v>
      </c>
      <c r="F45" s="753" t="s">
        <v>889</v>
      </c>
      <c r="G45" s="753" t="s">
        <v>2</v>
      </c>
      <c r="H45" s="753" t="s">
        <v>3</v>
      </c>
      <c r="I45" s="753" t="s">
        <v>14</v>
      </c>
    </row>
    <row r="46" spans="1:9" ht="12.75" customHeight="1">
      <c r="A46" s="545"/>
      <c r="B46" s="782"/>
      <c r="C46" s="1358" t="s">
        <v>492</v>
      </c>
      <c r="D46" s="783" t="s">
        <v>229</v>
      </c>
      <c r="E46" s="784">
        <f>'[2]Munka1'!$B$45</f>
        <v>66232</v>
      </c>
      <c r="F46" s="784">
        <f>66232+178</f>
        <v>66410</v>
      </c>
      <c r="G46" s="784">
        <f>66232+178+114</f>
        <v>66524</v>
      </c>
      <c r="H46" s="784">
        <f>66524000+794095+52800-5990000</f>
        <v>61380895</v>
      </c>
      <c r="I46" s="784">
        <v>60948690</v>
      </c>
    </row>
    <row r="47" spans="1:9" ht="12.75">
      <c r="A47" s="545"/>
      <c r="B47" s="785"/>
      <c r="C47" s="1356"/>
      <c r="D47" s="786" t="s">
        <v>466</v>
      </c>
      <c r="E47" s="1199">
        <f>'[2]Munka1'!$B$64</f>
        <v>18125</v>
      </c>
      <c r="F47" s="787">
        <f>18125+48</f>
        <v>18173</v>
      </c>
      <c r="G47" s="787">
        <f>18125+48+31</f>
        <v>18204</v>
      </c>
      <c r="H47" s="787">
        <f>18204000+229948+14256-1260000</f>
        <v>17188204</v>
      </c>
      <c r="I47" s="787">
        <v>17016256</v>
      </c>
    </row>
    <row r="48" spans="1:9" ht="12.75">
      <c r="A48" s="545"/>
      <c r="B48" s="785"/>
      <c r="C48" s="1359"/>
      <c r="D48" s="786" t="s">
        <v>213</v>
      </c>
      <c r="E48" s="1199">
        <f>'[3]Munka1'!$B$97+'[3]Munka1'!$C$97</f>
        <v>15741</v>
      </c>
      <c r="F48" s="787">
        <f>'[3]Munka1'!$B$97+'[3]Munka1'!$C$97</f>
        <v>15741</v>
      </c>
      <c r="G48" s="787">
        <f>'[3]Munka1'!$B$97+'[3]Munka1'!$C$97</f>
        <v>15741</v>
      </c>
      <c r="H48" s="787">
        <f>15741000+199351+7250000</f>
        <v>23190351</v>
      </c>
      <c r="I48" s="787">
        <f>19610835+186379</f>
        <v>19797214</v>
      </c>
    </row>
    <row r="49" spans="1:9" ht="12.75">
      <c r="A49" s="545"/>
      <c r="B49" s="1230"/>
      <c r="C49" s="1231" t="s">
        <v>15</v>
      </c>
      <c r="D49" s="1232" t="s">
        <v>213</v>
      </c>
      <c r="E49" s="1206"/>
      <c r="F49" s="800"/>
      <c r="G49" s="800"/>
      <c r="H49" s="800"/>
      <c r="I49" s="800">
        <v>2985000</v>
      </c>
    </row>
    <row r="50" spans="1:9" ht="12.75">
      <c r="A50" s="545"/>
      <c r="B50" s="788"/>
      <c r="C50" s="789" t="s">
        <v>204</v>
      </c>
      <c r="D50" s="1200"/>
      <c r="E50" s="1201">
        <f>SUM(E46:E48)</f>
        <v>100098</v>
      </c>
      <c r="F50" s="790">
        <f>SUM(F46:F48)</f>
        <v>100324</v>
      </c>
      <c r="G50" s="790">
        <f>SUM(G46:G48)</f>
        <v>100469</v>
      </c>
      <c r="H50" s="790">
        <f>SUM(H46:H48)</f>
        <v>101759450</v>
      </c>
      <c r="I50" s="790">
        <f>SUM(I46:I48)</f>
        <v>97762160</v>
      </c>
    </row>
    <row r="51" spans="1:9" ht="12.75" customHeight="1">
      <c r="A51" s="545"/>
      <c r="B51" s="791"/>
      <c r="C51" s="1354" t="s">
        <v>252</v>
      </c>
      <c r="D51" s="792" t="s">
        <v>229</v>
      </c>
      <c r="E51" s="1202">
        <f>'[2]Munka1'!$C$45</f>
        <v>2018</v>
      </c>
      <c r="F51" s="793">
        <f>'[2]Munka1'!$C$45</f>
        <v>2018</v>
      </c>
      <c r="G51" s="793">
        <f>'[2]Munka1'!$C$45</f>
        <v>2018</v>
      </c>
      <c r="H51" s="793">
        <f>2018000</f>
        <v>2018000</v>
      </c>
      <c r="I51" s="793">
        <f>2018000</f>
        <v>2018000</v>
      </c>
    </row>
    <row r="52" spans="1:9" ht="12.75">
      <c r="A52" s="545"/>
      <c r="B52" s="791"/>
      <c r="C52" s="1355"/>
      <c r="D52" s="786" t="s">
        <v>466</v>
      </c>
      <c r="E52" s="1203">
        <f>'[2]Munka1'!$C$64</f>
        <v>545</v>
      </c>
      <c r="F52" s="794">
        <f>'[2]Munka1'!$C$64</f>
        <v>545</v>
      </c>
      <c r="G52" s="794">
        <f>'[2]Munka1'!$C$64</f>
        <v>545</v>
      </c>
      <c r="H52" s="794">
        <f>545000</f>
        <v>545000</v>
      </c>
      <c r="I52" s="794">
        <f>545000</f>
        <v>545000</v>
      </c>
    </row>
    <row r="53" spans="1:9" ht="12.75">
      <c r="A53" s="545"/>
      <c r="B53" s="795"/>
      <c r="C53" s="796" t="s">
        <v>253</v>
      </c>
      <c r="D53" s="803"/>
      <c r="E53" s="1204">
        <f>(E51+E52)</f>
        <v>2563</v>
      </c>
      <c r="F53" s="797">
        <f>(F51+F52)</f>
        <v>2563</v>
      </c>
      <c r="G53" s="797">
        <f>(G51+G52)</f>
        <v>2563</v>
      </c>
      <c r="H53" s="797">
        <f>(H51+H52)</f>
        <v>2563000</v>
      </c>
      <c r="I53" s="797">
        <f>(I51+I52)</f>
        <v>2563000</v>
      </c>
    </row>
    <row r="54" spans="1:9" ht="12.75">
      <c r="A54" s="545"/>
      <c r="B54" s="798"/>
      <c r="C54" s="1356" t="s">
        <v>288</v>
      </c>
      <c r="D54" s="792" t="s">
        <v>229</v>
      </c>
      <c r="E54" s="1205">
        <v>0</v>
      </c>
      <c r="F54" s="799">
        <v>0</v>
      </c>
      <c r="G54" s="799">
        <v>0</v>
      </c>
      <c r="H54" s="799">
        <v>0</v>
      </c>
      <c r="I54" s="799">
        <v>0</v>
      </c>
    </row>
    <row r="55" spans="1:9" ht="12.75">
      <c r="A55" s="545"/>
      <c r="B55" s="798"/>
      <c r="C55" s="1356"/>
      <c r="D55" s="786" t="s">
        <v>466</v>
      </c>
      <c r="E55" s="1206">
        <v>0</v>
      </c>
      <c r="F55" s="800">
        <v>0</v>
      </c>
      <c r="G55" s="800">
        <v>0</v>
      </c>
      <c r="H55" s="800">
        <v>0</v>
      </c>
      <c r="I55" s="800">
        <v>0</v>
      </c>
    </row>
    <row r="56" spans="1:9" ht="12.75">
      <c r="A56" s="545"/>
      <c r="B56" s="801"/>
      <c r="C56" s="1356"/>
      <c r="D56" s="786" t="s">
        <v>213</v>
      </c>
      <c r="E56" s="1207">
        <v>0</v>
      </c>
      <c r="F56" s="802">
        <v>0</v>
      </c>
      <c r="G56" s="802">
        <v>0</v>
      </c>
      <c r="H56" s="802">
        <v>0</v>
      </c>
      <c r="I56" s="802">
        <v>0</v>
      </c>
    </row>
    <row r="57" spans="1:9" ht="14.25" customHeight="1">
      <c r="A57" s="545"/>
      <c r="B57" s="795"/>
      <c r="C57" s="796" t="s">
        <v>288</v>
      </c>
      <c r="D57" s="803"/>
      <c r="E57" s="1204">
        <v>0</v>
      </c>
      <c r="F57" s="797">
        <v>0</v>
      </c>
      <c r="G57" s="797">
        <v>0</v>
      </c>
      <c r="H57" s="797">
        <v>0</v>
      </c>
      <c r="I57" s="797">
        <v>0</v>
      </c>
    </row>
    <row r="58" spans="1:9" ht="12.75">
      <c r="A58" s="545"/>
      <c r="B58" s="798"/>
      <c r="C58" s="1356" t="s">
        <v>290</v>
      </c>
      <c r="D58" s="792" t="s">
        <v>229</v>
      </c>
      <c r="E58" s="1205">
        <v>0</v>
      </c>
      <c r="F58" s="799">
        <v>0</v>
      </c>
      <c r="G58" s="799">
        <v>0</v>
      </c>
      <c r="H58" s="799">
        <v>0</v>
      </c>
      <c r="I58" s="799">
        <v>0</v>
      </c>
    </row>
    <row r="59" spans="1:9" ht="12.75">
      <c r="A59" s="545"/>
      <c r="B59" s="798"/>
      <c r="C59" s="1356"/>
      <c r="D59" s="786" t="s">
        <v>466</v>
      </c>
      <c r="E59" s="1206">
        <v>0</v>
      </c>
      <c r="F59" s="800">
        <v>0</v>
      </c>
      <c r="G59" s="800">
        <v>0</v>
      </c>
      <c r="H59" s="800">
        <v>0</v>
      </c>
      <c r="I59" s="800">
        <v>0</v>
      </c>
    </row>
    <row r="60" spans="1:9" ht="12.75">
      <c r="A60" s="545"/>
      <c r="B60" s="801"/>
      <c r="C60" s="1356"/>
      <c r="D60" s="786" t="s">
        <v>213</v>
      </c>
      <c r="E60" s="1207">
        <v>0</v>
      </c>
      <c r="F60" s="802">
        <v>0</v>
      </c>
      <c r="G60" s="802">
        <v>0</v>
      </c>
      <c r="H60" s="802">
        <v>0</v>
      </c>
      <c r="I60" s="802">
        <v>0</v>
      </c>
    </row>
    <row r="61" spans="1:9" ht="12.75">
      <c r="A61" s="545"/>
      <c r="B61" s="795"/>
      <c r="C61" s="796" t="s">
        <v>289</v>
      </c>
      <c r="D61" s="803"/>
      <c r="E61" s="1204">
        <v>0</v>
      </c>
      <c r="F61" s="797">
        <v>0</v>
      </c>
      <c r="G61" s="797">
        <v>0</v>
      </c>
      <c r="H61" s="797">
        <v>0</v>
      </c>
      <c r="I61" s="797">
        <v>0</v>
      </c>
    </row>
    <row r="62" spans="1:9" ht="12.75">
      <c r="A62" s="545"/>
      <c r="B62" s="798"/>
      <c r="C62" s="1356" t="s">
        <v>16</v>
      </c>
      <c r="D62" s="792" t="s">
        <v>229</v>
      </c>
      <c r="E62" s="1205">
        <v>0</v>
      </c>
      <c r="F62" s="799">
        <v>0</v>
      </c>
      <c r="G62" s="799">
        <v>0</v>
      </c>
      <c r="H62" s="799">
        <v>0</v>
      </c>
      <c r="I62" s="799">
        <v>794100</v>
      </c>
    </row>
    <row r="63" spans="1:9" ht="12.75">
      <c r="A63" s="545"/>
      <c r="B63" s="798"/>
      <c r="C63" s="1356"/>
      <c r="D63" s="786" t="s">
        <v>466</v>
      </c>
      <c r="E63" s="1206">
        <v>0</v>
      </c>
      <c r="F63" s="800">
        <v>0</v>
      </c>
      <c r="G63" s="800">
        <v>0</v>
      </c>
      <c r="H63" s="800">
        <v>0</v>
      </c>
      <c r="I63" s="800">
        <v>229948</v>
      </c>
    </row>
    <row r="64" spans="1:9" ht="12.75">
      <c r="A64" s="545"/>
      <c r="B64" s="801"/>
      <c r="C64" s="1356"/>
      <c r="D64" s="786" t="s">
        <v>213</v>
      </c>
      <c r="E64" s="1207">
        <v>0</v>
      </c>
      <c r="F64" s="802">
        <v>0</v>
      </c>
      <c r="G64" s="802">
        <v>0</v>
      </c>
      <c r="H64" s="802">
        <v>0</v>
      </c>
      <c r="I64" s="802">
        <v>225246</v>
      </c>
    </row>
    <row r="65" spans="1:9" ht="12.75">
      <c r="A65" s="545"/>
      <c r="B65" s="795"/>
      <c r="C65" s="796" t="s">
        <v>295</v>
      </c>
      <c r="D65" s="803"/>
      <c r="E65" s="1204">
        <v>0</v>
      </c>
      <c r="F65" s="797">
        <v>0</v>
      </c>
      <c r="G65" s="797">
        <v>0</v>
      </c>
      <c r="H65" s="797">
        <v>0</v>
      </c>
      <c r="I65" s="797">
        <v>0</v>
      </c>
    </row>
    <row r="66" spans="1:10" ht="12.75" customHeight="1">
      <c r="A66" s="545"/>
      <c r="B66" s="804"/>
      <c r="C66" s="1357" t="s">
        <v>206</v>
      </c>
      <c r="D66" s="792" t="s">
        <v>229</v>
      </c>
      <c r="E66" s="1208">
        <f aca="true" t="shared" si="3" ref="E66:H67">(E46+E51)</f>
        <v>68250</v>
      </c>
      <c r="F66" s="805">
        <f t="shared" si="3"/>
        <v>68428</v>
      </c>
      <c r="G66" s="805">
        <f t="shared" si="3"/>
        <v>68542</v>
      </c>
      <c r="H66" s="805">
        <f t="shared" si="3"/>
        <v>63398895</v>
      </c>
      <c r="I66" s="805">
        <f>(I46+I51+I62)</f>
        <v>63760790</v>
      </c>
      <c r="J66" s="1233"/>
    </row>
    <row r="67" spans="1:10" ht="12.75">
      <c r="A67" s="545"/>
      <c r="B67" s="785"/>
      <c r="C67" s="1357"/>
      <c r="D67" s="786" t="s">
        <v>466</v>
      </c>
      <c r="E67" s="1208">
        <f t="shared" si="3"/>
        <v>18670</v>
      </c>
      <c r="F67" s="805">
        <f t="shared" si="3"/>
        <v>18718</v>
      </c>
      <c r="G67" s="805">
        <f t="shared" si="3"/>
        <v>18749</v>
      </c>
      <c r="H67" s="805">
        <f t="shared" si="3"/>
        <v>17733204</v>
      </c>
      <c r="I67" s="805">
        <f>(I47+I52+I63)</f>
        <v>17791204</v>
      </c>
      <c r="J67" s="1233"/>
    </row>
    <row r="68" spans="1:10" ht="12.75">
      <c r="A68" s="545"/>
      <c r="B68" s="785"/>
      <c r="C68" s="1357"/>
      <c r="D68" s="786" t="s">
        <v>213</v>
      </c>
      <c r="E68" s="1208">
        <f>(E48)</f>
        <v>15741</v>
      </c>
      <c r="F68" s="805">
        <f>(F48)</f>
        <v>15741</v>
      </c>
      <c r="G68" s="805">
        <f>(G48)</f>
        <v>15741</v>
      </c>
      <c r="H68" s="805">
        <f>(H48)</f>
        <v>23190351</v>
      </c>
      <c r="I68" s="805">
        <f>(I48+I49+I64)</f>
        <v>23007460</v>
      </c>
      <c r="J68" s="1233"/>
    </row>
    <row r="69" spans="1:10" ht="13.5" thickBot="1">
      <c r="A69" s="545"/>
      <c r="B69" s="806"/>
      <c r="C69" s="1357"/>
      <c r="D69" s="786" t="s">
        <v>239</v>
      </c>
      <c r="E69" s="1209">
        <v>0</v>
      </c>
      <c r="F69" s="807">
        <v>0</v>
      </c>
      <c r="G69" s="807">
        <v>0</v>
      </c>
      <c r="H69" s="807">
        <v>0</v>
      </c>
      <c r="I69" s="807">
        <v>0</v>
      </c>
      <c r="J69" s="1234"/>
    </row>
    <row r="70" spans="1:9" ht="13.5" thickBot="1">
      <c r="A70" s="545"/>
      <c r="B70" s="808" t="s">
        <v>557</v>
      </c>
      <c r="C70" s="1335" t="s">
        <v>208</v>
      </c>
      <c r="D70" s="1335"/>
      <c r="E70" s="809">
        <f>SUM(E66:E69)</f>
        <v>102661</v>
      </c>
      <c r="F70" s="809">
        <f>SUM(F66:F69)</f>
        <v>102887</v>
      </c>
      <c r="G70" s="809">
        <f>SUM(G66:G69)</f>
        <v>103032</v>
      </c>
      <c r="H70" s="809">
        <f>SUM(H66:H69)</f>
        <v>104322450</v>
      </c>
      <c r="I70" s="809">
        <f>SUM(I66:I69)</f>
        <v>104559454</v>
      </c>
    </row>
    <row r="71" spans="1:9" ht="12.75">
      <c r="A71" s="545"/>
      <c r="B71" s="551"/>
      <c r="C71" s="552"/>
      <c r="D71" s="552"/>
      <c r="E71" s="545"/>
      <c r="F71" s="545"/>
      <c r="G71" s="545"/>
      <c r="H71" s="545"/>
      <c r="I71" s="545"/>
    </row>
    <row r="72" spans="1:9" ht="12.75">
      <c r="A72" s="545"/>
      <c r="B72" s="551"/>
      <c r="C72" s="552"/>
      <c r="D72" s="552"/>
      <c r="E72" s="545"/>
      <c r="F72" s="545"/>
      <c r="H72" s="545"/>
      <c r="I72" s="545"/>
    </row>
    <row r="73" spans="1:9" ht="13.5" thickBot="1">
      <c r="A73" s="545"/>
      <c r="B73" s="551"/>
      <c r="C73" s="552"/>
      <c r="D73" s="552"/>
      <c r="E73" s="545"/>
      <c r="F73" s="545"/>
      <c r="G73" s="545"/>
      <c r="H73" s="545"/>
      <c r="I73" s="545"/>
    </row>
    <row r="74" spans="1:9" ht="12.75" customHeight="1">
      <c r="A74" s="545"/>
      <c r="B74" s="1336"/>
      <c r="C74" s="1339" t="s">
        <v>244</v>
      </c>
      <c r="D74" s="1340"/>
      <c r="E74" s="1333" t="s">
        <v>456</v>
      </c>
      <c r="F74" s="1333" t="s">
        <v>889</v>
      </c>
      <c r="G74" s="1333" t="s">
        <v>2</v>
      </c>
      <c r="H74" s="1333" t="s">
        <v>3</v>
      </c>
      <c r="I74" s="1333" t="s">
        <v>14</v>
      </c>
    </row>
    <row r="75" spans="1:9" ht="12.75" customHeight="1">
      <c r="A75" s="545"/>
      <c r="B75" s="1337"/>
      <c r="C75" s="1341"/>
      <c r="D75" s="1342"/>
      <c r="E75" s="1345"/>
      <c r="F75" s="1345"/>
      <c r="G75" s="1345"/>
      <c r="H75" s="1345"/>
      <c r="I75" s="1345"/>
    </row>
    <row r="76" spans="1:9" ht="12.75" customHeight="1">
      <c r="A76" s="545"/>
      <c r="B76" s="1338"/>
      <c r="C76" s="1343"/>
      <c r="D76" s="1344"/>
      <c r="E76" s="1334"/>
      <c r="F76" s="1334"/>
      <c r="G76" s="1334"/>
      <c r="H76" s="1334"/>
      <c r="I76" s="1334"/>
    </row>
    <row r="77" spans="1:9" ht="12.75" customHeight="1">
      <c r="A77" s="545"/>
      <c r="B77" s="776"/>
      <c r="C77" s="1326" t="s">
        <v>469</v>
      </c>
      <c r="D77" s="755" t="s">
        <v>212</v>
      </c>
      <c r="E77" s="810">
        <f aca="true" t="shared" si="4" ref="E77:I79">(E14+E39+E66)</f>
        <v>143102</v>
      </c>
      <c r="F77" s="810">
        <f t="shared" si="4"/>
        <v>146404</v>
      </c>
      <c r="G77" s="810">
        <f t="shared" si="4"/>
        <v>147981</v>
      </c>
      <c r="H77" s="810">
        <f t="shared" si="4"/>
        <v>144676188</v>
      </c>
      <c r="I77" s="810">
        <f t="shared" si="4"/>
        <v>144960283</v>
      </c>
    </row>
    <row r="78" spans="1:9" ht="12.75">
      <c r="A78" s="545"/>
      <c r="B78" s="776"/>
      <c r="C78" s="1327"/>
      <c r="D78" s="758" t="s">
        <v>466</v>
      </c>
      <c r="E78" s="810">
        <f t="shared" si="4"/>
        <v>39811</v>
      </c>
      <c r="F78" s="810">
        <f t="shared" si="4"/>
        <v>40719</v>
      </c>
      <c r="G78" s="810">
        <f t="shared" si="4"/>
        <v>41132</v>
      </c>
      <c r="H78" s="810">
        <f t="shared" si="4"/>
        <v>40675156</v>
      </c>
      <c r="I78" s="810">
        <f t="shared" si="4"/>
        <v>41509356</v>
      </c>
    </row>
    <row r="79" spans="1:9" ht="12.75">
      <c r="A79" s="545"/>
      <c r="B79" s="776"/>
      <c r="C79" s="1327"/>
      <c r="D79" s="758" t="s">
        <v>213</v>
      </c>
      <c r="E79" s="810">
        <f t="shared" si="4"/>
        <v>81176</v>
      </c>
      <c r="F79" s="810">
        <f t="shared" si="4"/>
        <v>86480</v>
      </c>
      <c r="G79" s="810">
        <f t="shared" si="4"/>
        <v>87105</v>
      </c>
      <c r="H79" s="810">
        <f t="shared" si="4"/>
        <v>96076537</v>
      </c>
      <c r="I79" s="810">
        <f t="shared" si="4"/>
        <v>92812959</v>
      </c>
    </row>
    <row r="80" spans="1:9" ht="12.75">
      <c r="A80" s="545"/>
      <c r="B80" s="776"/>
      <c r="C80" s="1327"/>
      <c r="D80" s="761" t="s">
        <v>233</v>
      </c>
      <c r="E80" s="811">
        <v>0</v>
      </c>
      <c r="F80" s="811">
        <v>0</v>
      </c>
      <c r="G80" s="811">
        <v>0</v>
      </c>
      <c r="H80" s="811">
        <v>0</v>
      </c>
      <c r="I80" s="811">
        <v>0</v>
      </c>
    </row>
    <row r="81" spans="1:9" ht="13.5" thickBot="1">
      <c r="A81" s="545"/>
      <c r="B81" s="776"/>
      <c r="C81" s="1327"/>
      <c r="D81" s="761" t="s">
        <v>467</v>
      </c>
      <c r="E81" s="1210">
        <v>0</v>
      </c>
      <c r="F81" s="812">
        <v>0</v>
      </c>
      <c r="G81" s="812">
        <v>0</v>
      </c>
      <c r="H81" s="812">
        <v>0</v>
      </c>
      <c r="I81" s="812">
        <v>0</v>
      </c>
    </row>
    <row r="82" spans="1:9" ht="13.5" customHeight="1" thickBot="1">
      <c r="A82" s="545"/>
      <c r="B82" s="768" t="s">
        <v>210</v>
      </c>
      <c r="C82" s="1360" t="s">
        <v>226</v>
      </c>
      <c r="D82" s="1361"/>
      <c r="E82" s="1211">
        <f>SUM(E77:E79)</f>
        <v>264089</v>
      </c>
      <c r="F82" s="813">
        <f>SUM(F77:F79)</f>
        <v>273603</v>
      </c>
      <c r="G82" s="813">
        <f>SUM(G77:G79)</f>
        <v>276218</v>
      </c>
      <c r="H82" s="813">
        <f>SUM(H77:H79)</f>
        <v>281427881</v>
      </c>
      <c r="I82" s="813">
        <f>SUM(I77:I79)</f>
        <v>279282598</v>
      </c>
    </row>
    <row r="83" spans="1:9" ht="14.25">
      <c r="A83" s="545"/>
      <c r="B83" s="553"/>
      <c r="C83" s="553"/>
      <c r="D83" s="553"/>
      <c r="E83" s="545"/>
      <c r="F83" s="545"/>
      <c r="G83" s="545"/>
      <c r="H83" s="545"/>
      <c r="I83" s="545"/>
    </row>
    <row r="84" spans="1:9" ht="15.75">
      <c r="A84" s="368"/>
      <c r="B84" s="368"/>
      <c r="C84" s="182"/>
      <c r="D84" s="54"/>
      <c r="E84" s="545"/>
      <c r="F84" s="545"/>
      <c r="G84" s="545"/>
      <c r="H84" s="545"/>
      <c r="I84" s="545"/>
    </row>
  </sheetData>
  <sheetProtection/>
  <mergeCells count="40">
    <mergeCell ref="C77:C81"/>
    <mergeCell ref="C82:D82"/>
    <mergeCell ref="F74:F76"/>
    <mergeCell ref="G74:G76"/>
    <mergeCell ref="H74:H76"/>
    <mergeCell ref="I74:I76"/>
    <mergeCell ref="C62:C64"/>
    <mergeCell ref="C66:C69"/>
    <mergeCell ref="F21:F22"/>
    <mergeCell ref="E21:E22"/>
    <mergeCell ref="C46:C48"/>
    <mergeCell ref="I21:I22"/>
    <mergeCell ref="C51:C52"/>
    <mergeCell ref="C54:C56"/>
    <mergeCell ref="C58:C60"/>
    <mergeCell ref="G21:G22"/>
    <mergeCell ref="H21:H22"/>
    <mergeCell ref="C70:D70"/>
    <mergeCell ref="B74:B76"/>
    <mergeCell ref="C74:D76"/>
    <mergeCell ref="E74:E76"/>
    <mergeCell ref="C35:C37"/>
    <mergeCell ref="B21:B22"/>
    <mergeCell ref="C26:D26"/>
    <mergeCell ref="C45:D45"/>
    <mergeCell ref="C42:D42"/>
    <mergeCell ref="C2:D2"/>
    <mergeCell ref="C17:D17"/>
    <mergeCell ref="C39:C41"/>
    <mergeCell ref="C27:C29"/>
    <mergeCell ref="C31:C33"/>
    <mergeCell ref="C34:D34"/>
    <mergeCell ref="C23:C25"/>
    <mergeCell ref="C6:D6"/>
    <mergeCell ref="C7:C9"/>
    <mergeCell ref="C10:D10"/>
    <mergeCell ref="C3:C5"/>
    <mergeCell ref="C14:C16"/>
    <mergeCell ref="C30:D30"/>
    <mergeCell ref="C21:D2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0" r:id="rId1"/>
  <headerFooter alignWithMargins="0">
    <oddHeader>&amp;C&amp;"Times New Roman CE,Félkövér"&amp;12Költségvetési szervek működési kiadásai kormányzati funkciónként&amp;R
7.  tájékoztató tábla</oddHeader>
  </headerFooter>
  <rowBreaks count="1" manualBreakCount="1">
    <brk id="43" max="25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H80"/>
  <sheetViews>
    <sheetView view="pageBreakPreview" zoomScale="60" workbookViewId="0" topLeftCell="A1">
      <selection activeCell="A1" sqref="A1:IV16384"/>
    </sheetView>
  </sheetViews>
  <sheetFormatPr defaultColWidth="18.625" defaultRowHeight="12.75"/>
  <sheetData>
    <row r="1" spans="5:8" ht="13.5" thickBot="1">
      <c r="E1" s="545"/>
      <c r="F1" s="545"/>
      <c r="G1" s="545"/>
      <c r="H1" s="545" t="s">
        <v>4</v>
      </c>
    </row>
    <row r="2" spans="1:8" ht="25.5">
      <c r="A2" s="816" t="s">
        <v>209</v>
      </c>
      <c r="B2" s="817" t="s">
        <v>227</v>
      </c>
      <c r="C2" s="818" t="s">
        <v>211</v>
      </c>
      <c r="D2" s="819" t="s">
        <v>396</v>
      </c>
      <c r="E2" s="819" t="s">
        <v>890</v>
      </c>
      <c r="F2" s="819" t="s">
        <v>5</v>
      </c>
      <c r="G2" s="819" t="s">
        <v>6</v>
      </c>
      <c r="H2" s="819" t="s">
        <v>11</v>
      </c>
    </row>
    <row r="3" spans="1:8" ht="12.75">
      <c r="A3" s="820"/>
      <c r="B3" s="821" t="s">
        <v>487</v>
      </c>
      <c r="C3" s="822" t="s">
        <v>213</v>
      </c>
      <c r="D3" s="823">
        <f>'[14]Munka1'!$G$99</f>
        <v>2920</v>
      </c>
      <c r="E3" s="823">
        <f>'[14]Munka1'!$G$99</f>
        <v>2920</v>
      </c>
      <c r="F3" s="823">
        <f>'[14]Munka1'!$G$99</f>
        <v>2920</v>
      </c>
      <c r="G3" s="823">
        <v>2920000</v>
      </c>
      <c r="H3" s="823">
        <v>2644000</v>
      </c>
    </row>
    <row r="4" spans="1:8" ht="12.75">
      <c r="A4" s="820"/>
      <c r="B4" s="821" t="s">
        <v>12</v>
      </c>
      <c r="C4" s="822" t="s">
        <v>213</v>
      </c>
      <c r="D4" s="823"/>
      <c r="E4" s="823"/>
      <c r="F4" s="823"/>
      <c r="G4" s="823"/>
      <c r="H4" s="823">
        <v>1621000</v>
      </c>
    </row>
    <row r="5" spans="1:8" ht="12.75">
      <c r="A5" s="824"/>
      <c r="B5" s="825" t="s">
        <v>488</v>
      </c>
      <c r="C5" s="822" t="s">
        <v>213</v>
      </c>
      <c r="D5" s="823">
        <f>'[14]Munka1'!$F$99</f>
        <v>500</v>
      </c>
      <c r="E5" s="823">
        <f>'[14]Munka1'!$F$99</f>
        <v>500</v>
      </c>
      <c r="F5" s="823">
        <f>'[14]Munka1'!$F$99</f>
        <v>500</v>
      </c>
      <c r="G5" s="823">
        <v>500000</v>
      </c>
      <c r="H5" s="823">
        <v>500000</v>
      </c>
    </row>
    <row r="6" spans="1:8" ht="12.75">
      <c r="A6" s="824"/>
      <c r="B6" s="825" t="s">
        <v>397</v>
      </c>
      <c r="C6" s="826" t="s">
        <v>213</v>
      </c>
      <c r="D6" s="823">
        <f>'[14]Munka1'!$E$99</f>
        <v>500</v>
      </c>
      <c r="E6" s="823">
        <f>500+14000</f>
        <v>14500</v>
      </c>
      <c r="F6" s="823">
        <f>500+14000</f>
        <v>14500</v>
      </c>
      <c r="G6" s="823">
        <v>14500000</v>
      </c>
      <c r="H6" s="823">
        <v>14500000</v>
      </c>
    </row>
    <row r="7" spans="1:8" ht="12.75">
      <c r="A7" s="824"/>
      <c r="B7" s="825" t="s">
        <v>491</v>
      </c>
      <c r="C7" s="826" t="s">
        <v>213</v>
      </c>
      <c r="D7" s="823">
        <v>1835</v>
      </c>
      <c r="E7" s="823">
        <v>1835</v>
      </c>
      <c r="F7" s="823">
        <v>1835</v>
      </c>
      <c r="G7" s="823">
        <v>1835000</v>
      </c>
      <c r="H7" s="823">
        <v>195000</v>
      </c>
    </row>
    <row r="8" spans="1:8" ht="12.75">
      <c r="A8" s="824"/>
      <c r="B8" s="825" t="s">
        <v>228</v>
      </c>
      <c r="C8" s="826" t="s">
        <v>213</v>
      </c>
      <c r="D8" s="823">
        <f>'[14]Munka1'!$H$99</f>
        <v>10160</v>
      </c>
      <c r="E8" s="823">
        <f>'[14]Munka1'!$H$99</f>
        <v>10160</v>
      </c>
      <c r="F8" s="823">
        <f>'[14]Munka1'!$H$99</f>
        <v>10160</v>
      </c>
      <c r="G8" s="823">
        <v>10160000</v>
      </c>
      <c r="H8" s="823">
        <v>10895000</v>
      </c>
    </row>
    <row r="9" spans="1:8" ht="12.75">
      <c r="A9" s="824"/>
      <c r="B9" s="825" t="s">
        <v>489</v>
      </c>
      <c r="C9" s="826" t="s">
        <v>213</v>
      </c>
      <c r="D9" s="823">
        <f>'[14]Munka1'!$C$99</f>
        <v>1778</v>
      </c>
      <c r="E9" s="823">
        <f>'[14]Munka1'!$C$99</f>
        <v>1778</v>
      </c>
      <c r="F9" s="823">
        <f>'[14]Munka1'!$C$99</f>
        <v>1778</v>
      </c>
      <c r="G9" s="823">
        <v>1778000</v>
      </c>
      <c r="H9" s="823">
        <v>378000</v>
      </c>
    </row>
    <row r="10" spans="1:8" ht="12.75">
      <c r="A10" s="824"/>
      <c r="B10" s="1366" t="s">
        <v>243</v>
      </c>
      <c r="C10" s="826" t="s">
        <v>229</v>
      </c>
      <c r="D10" s="823">
        <f>'[13]Munka1'!$B$47</f>
        <v>4317</v>
      </c>
      <c r="E10" s="823">
        <f>4317+76+192</f>
        <v>4585</v>
      </c>
      <c r="F10" s="823">
        <f>4317+76+192+60</f>
        <v>4645</v>
      </c>
      <c r="G10" s="823">
        <f>4645000+30000+40000</f>
        <v>4715000</v>
      </c>
      <c r="H10" s="823">
        <v>4525000</v>
      </c>
    </row>
    <row r="11" spans="1:8" ht="12.75">
      <c r="A11" s="824"/>
      <c r="B11" s="1366"/>
      <c r="C11" s="826" t="s">
        <v>466</v>
      </c>
      <c r="D11" s="823">
        <f>'[13]Munka1'!$B$66</f>
        <v>1137</v>
      </c>
      <c r="E11" s="823">
        <f>1137+20+65</f>
        <v>1222</v>
      </c>
      <c r="F11" s="823">
        <f>1137+20+65+16</f>
        <v>1238</v>
      </c>
      <c r="G11" s="823">
        <f>1238000+8100+10800</f>
        <v>1256900</v>
      </c>
      <c r="H11" s="823">
        <v>1504100</v>
      </c>
    </row>
    <row r="12" spans="1:8" ht="12.75">
      <c r="A12" s="827"/>
      <c r="B12" s="1366"/>
      <c r="C12" s="828" t="s">
        <v>213</v>
      </c>
      <c r="D12" s="823">
        <f>'[14]Munka1'!$I$99</f>
        <v>9000</v>
      </c>
      <c r="E12" s="823">
        <f>'[14]Munka1'!$I$99</f>
        <v>9000</v>
      </c>
      <c r="F12" s="823">
        <f>'[14]Munka1'!$I$99</f>
        <v>9000</v>
      </c>
      <c r="G12" s="823">
        <v>9000000</v>
      </c>
      <c r="H12" s="823">
        <v>11548935</v>
      </c>
    </row>
    <row r="13" spans="1:8" ht="12.75">
      <c r="A13" s="829"/>
      <c r="B13" s="1364" t="s">
        <v>230</v>
      </c>
      <c r="C13" s="1364"/>
      <c r="D13" s="830">
        <f>SUM(D10:D12)</f>
        <v>14454</v>
      </c>
      <c r="E13" s="830">
        <f>SUM(E10:E12)</f>
        <v>14807</v>
      </c>
      <c r="F13" s="830">
        <f>SUM(F10:F12)</f>
        <v>14883</v>
      </c>
      <c r="G13" s="830">
        <f>SUM(G10:G12)</f>
        <v>14971900</v>
      </c>
      <c r="H13" s="830">
        <f>SUM(H10:H12)</f>
        <v>17578035</v>
      </c>
    </row>
    <row r="14" spans="1:8" ht="12.75">
      <c r="A14" s="824"/>
      <c r="B14" s="1367" t="s">
        <v>398</v>
      </c>
      <c r="C14" s="826" t="s">
        <v>229</v>
      </c>
      <c r="D14" s="823">
        <v>0</v>
      </c>
      <c r="E14" s="823">
        <v>7248</v>
      </c>
      <c r="F14" s="823">
        <f>7248+3723</f>
        <v>10971</v>
      </c>
      <c r="G14" s="823">
        <f>10971000+1033579</f>
        <v>12004579</v>
      </c>
      <c r="H14" s="823">
        <v>14775385</v>
      </c>
    </row>
    <row r="15" spans="1:8" ht="12.75">
      <c r="A15" s="824"/>
      <c r="B15" s="1368"/>
      <c r="C15" s="826" t="s">
        <v>466</v>
      </c>
      <c r="D15" s="823">
        <v>0</v>
      </c>
      <c r="E15" s="823">
        <v>1957</v>
      </c>
      <c r="F15" s="823">
        <f>1957+1005</f>
        <v>2962</v>
      </c>
      <c r="G15" s="823">
        <f>2962000+279067</f>
        <v>3241067</v>
      </c>
      <c r="H15" s="823">
        <v>2121224</v>
      </c>
    </row>
    <row r="16" spans="1:8" ht="12.75">
      <c r="A16" s="827"/>
      <c r="B16" s="1369"/>
      <c r="C16" s="828" t="s">
        <v>213</v>
      </c>
      <c r="D16" s="823">
        <v>0</v>
      </c>
      <c r="E16" s="823">
        <v>0</v>
      </c>
      <c r="F16" s="823">
        <v>0</v>
      </c>
      <c r="G16" s="823">
        <v>0</v>
      </c>
      <c r="H16" s="823">
        <v>348200</v>
      </c>
    </row>
    <row r="17" spans="1:8" ht="12.75">
      <c r="A17" s="829"/>
      <c r="B17" s="1364" t="s">
        <v>465</v>
      </c>
      <c r="C17" s="1364"/>
      <c r="D17" s="830">
        <f>D14+D15+D16</f>
        <v>0</v>
      </c>
      <c r="E17" s="830">
        <f>E14+E15+E16</f>
        <v>9205</v>
      </c>
      <c r="F17" s="830">
        <f>F14+F15+F16</f>
        <v>13933</v>
      </c>
      <c r="G17" s="830">
        <f>G14+G15+G16</f>
        <v>15245646</v>
      </c>
      <c r="H17" s="830">
        <f>H14+H15+H16</f>
        <v>17244809</v>
      </c>
    </row>
    <row r="18" spans="1:8" ht="13.5" thickBot="1">
      <c r="A18" s="832"/>
      <c r="B18" s="833" t="s">
        <v>443</v>
      </c>
      <c r="C18" s="834" t="s">
        <v>213</v>
      </c>
      <c r="D18" s="823">
        <f>'[14]Munka1'!$D$99</f>
        <v>15240</v>
      </c>
      <c r="E18" s="823">
        <f>'[14]Munka1'!$D$99</f>
        <v>15240</v>
      </c>
      <c r="F18" s="823">
        <f>'[14]Munka1'!$D$99</f>
        <v>15240</v>
      </c>
      <c r="G18" s="823">
        <v>15240000</v>
      </c>
      <c r="H18" s="823">
        <v>11303000</v>
      </c>
    </row>
    <row r="19" spans="1:8" ht="13.5" thickBot="1">
      <c r="A19" s="835" t="s">
        <v>468</v>
      </c>
      <c r="B19" s="1370" t="s">
        <v>470</v>
      </c>
      <c r="C19" s="1371"/>
      <c r="D19" s="837">
        <f>SUM(D3+D5+D6+D7+D8+D9+D13+D17+D18)</f>
        <v>47387</v>
      </c>
      <c r="E19" s="837">
        <f>SUM(E3+E5+E6+E7+E8+E9+E13+E17+E18)</f>
        <v>70945</v>
      </c>
      <c r="F19" s="837">
        <f>SUM(F3+F5+F6+F7+F8+F9+F13+F17+F18)</f>
        <v>75749</v>
      </c>
      <c r="G19" s="837">
        <f>SUM(G3+G5+G6+G7+G8+G9+G13+G17+G18)</f>
        <v>77150546</v>
      </c>
      <c r="H19" s="837">
        <f>SUM(H3+H5+H6+H7+H8+H9+H13+H17+H18)</f>
        <v>75237844</v>
      </c>
    </row>
    <row r="20" spans="1:8" ht="12.75">
      <c r="A20" s="838"/>
      <c r="B20" s="839" t="s">
        <v>494</v>
      </c>
      <c r="C20" s="840" t="s">
        <v>231</v>
      </c>
      <c r="D20" s="823">
        <f>'[16]Munka1'!$G$45</f>
        <v>3775</v>
      </c>
      <c r="E20" s="823">
        <f>'[16]Munka1'!$G$45</f>
        <v>3775</v>
      </c>
      <c r="F20" s="823">
        <f>'[16]Munka1'!$G$45</f>
        <v>3775</v>
      </c>
      <c r="G20" s="823">
        <v>3775000</v>
      </c>
      <c r="H20" s="823">
        <v>4854000</v>
      </c>
    </row>
    <row r="21" spans="1:8" ht="12.75">
      <c r="A21" s="820"/>
      <c r="B21" s="821" t="s">
        <v>478</v>
      </c>
      <c r="C21" s="841" t="s">
        <v>231</v>
      </c>
      <c r="D21" s="823"/>
      <c r="E21" s="823"/>
      <c r="F21" s="823"/>
      <c r="G21" s="823"/>
      <c r="H21" s="823"/>
    </row>
    <row r="22" spans="1:8" ht="12.75">
      <c r="A22" s="820"/>
      <c r="B22" s="821" t="s">
        <v>444</v>
      </c>
      <c r="C22" s="841" t="s">
        <v>493</v>
      </c>
      <c r="D22" s="823">
        <f>'[16]Munka1'!$B$45</f>
        <v>1100</v>
      </c>
      <c r="E22" s="823">
        <f>'[16]Munka1'!$B$45</f>
        <v>1100</v>
      </c>
      <c r="F22" s="823">
        <f>'[16]Munka1'!$B$45</f>
        <v>1100</v>
      </c>
      <c r="G22" s="823">
        <v>1100000</v>
      </c>
      <c r="H22" s="823">
        <v>1100000</v>
      </c>
    </row>
    <row r="23" spans="1:8" ht="12.75">
      <c r="A23" s="820"/>
      <c r="B23" s="821" t="s">
        <v>234</v>
      </c>
      <c r="C23" s="841" t="s">
        <v>493</v>
      </c>
      <c r="D23" s="823">
        <f>'[16]Munka1'!$C$45</f>
        <v>979</v>
      </c>
      <c r="E23" s="823">
        <f>'[16]Munka1'!$C$45</f>
        <v>979</v>
      </c>
      <c r="F23" s="823">
        <f>'[16]Munka1'!$C$45</f>
        <v>979</v>
      </c>
      <c r="G23" s="823">
        <v>979000</v>
      </c>
      <c r="H23" s="823">
        <v>200000</v>
      </c>
    </row>
    <row r="24" spans="1:8" ht="12.75">
      <c r="A24" s="824"/>
      <c r="B24" s="825" t="s">
        <v>495</v>
      </c>
      <c r="C24" s="841" t="s">
        <v>231</v>
      </c>
      <c r="D24" s="823">
        <f>'[16]Munka1'!$H$45</f>
        <v>500</v>
      </c>
      <c r="E24" s="823">
        <f>'[16]Munka1'!$H$45</f>
        <v>500</v>
      </c>
      <c r="F24" s="823">
        <f>'[16]Munka1'!$H$45</f>
        <v>500</v>
      </c>
      <c r="G24" s="823">
        <v>500000</v>
      </c>
      <c r="H24" s="823">
        <v>500000</v>
      </c>
    </row>
    <row r="25" spans="1:8" ht="12.75">
      <c r="A25" s="824"/>
      <c r="B25" s="1372" t="s">
        <v>473</v>
      </c>
      <c r="C25" s="841" t="s">
        <v>231</v>
      </c>
      <c r="D25" s="823"/>
      <c r="E25" s="823"/>
      <c r="F25" s="823"/>
      <c r="G25" s="823"/>
      <c r="H25" s="823"/>
    </row>
    <row r="26" spans="1:8" ht="12.75">
      <c r="A26" s="824"/>
      <c r="B26" s="1372"/>
      <c r="C26" s="842" t="s">
        <v>213</v>
      </c>
      <c r="D26" s="823">
        <f>'[15]Munka1'!$J$99</f>
        <v>2565</v>
      </c>
      <c r="E26" s="823">
        <f>'[15]Munka1'!$J$99</f>
        <v>2565</v>
      </c>
      <c r="F26" s="823">
        <f>'[15]Munka1'!$J$99</f>
        <v>2565</v>
      </c>
      <c r="G26" s="823">
        <v>2565000</v>
      </c>
      <c r="H26" s="823">
        <v>2945000</v>
      </c>
    </row>
    <row r="27" spans="1:8" ht="12.75">
      <c r="A27" s="824"/>
      <c r="B27" s="825" t="s">
        <v>445</v>
      </c>
      <c r="C27" s="842" t="s">
        <v>231</v>
      </c>
      <c r="D27" s="823">
        <f>'[16]Munka1'!$D$45</f>
        <v>1757</v>
      </c>
      <c r="E27" s="823">
        <f>'[16]Munka1'!$D$45</f>
        <v>1757</v>
      </c>
      <c r="F27" s="823">
        <f>'[16]Munka1'!$D$45</f>
        <v>1757</v>
      </c>
      <c r="G27" s="823">
        <v>1757000</v>
      </c>
      <c r="H27" s="823">
        <v>257000</v>
      </c>
    </row>
    <row r="28" spans="1:8" ht="12.75">
      <c r="A28" s="824"/>
      <c r="B28" s="825" t="s">
        <v>286</v>
      </c>
      <c r="C28" s="842" t="s">
        <v>231</v>
      </c>
      <c r="D28" s="823"/>
      <c r="E28" s="823"/>
      <c r="F28" s="823"/>
      <c r="G28" s="823"/>
      <c r="H28" s="823"/>
    </row>
    <row r="29" spans="1:8" ht="12.75" customHeight="1">
      <c r="A29" s="824"/>
      <c r="B29" s="1373" t="s">
        <v>496</v>
      </c>
      <c r="C29" s="841" t="s">
        <v>233</v>
      </c>
      <c r="D29" s="823">
        <f>'[16]Munka1'!$I$45</f>
        <v>1500</v>
      </c>
      <c r="E29" s="823">
        <f>'[16]Munka1'!$I$45</f>
        <v>1500</v>
      </c>
      <c r="F29" s="823">
        <f>'[16]Munka1'!$I$45</f>
        <v>1500</v>
      </c>
      <c r="G29" s="823">
        <v>1500000</v>
      </c>
      <c r="H29" s="823">
        <v>3780000</v>
      </c>
    </row>
    <row r="30" spans="1:8" ht="12.75">
      <c r="A30" s="843"/>
      <c r="B30" s="1374"/>
      <c r="C30" s="844" t="s">
        <v>213</v>
      </c>
      <c r="D30" s="845"/>
      <c r="E30" s="845"/>
      <c r="F30" s="845"/>
      <c r="G30" s="845"/>
      <c r="H30" s="845"/>
    </row>
    <row r="31" spans="1:8" ht="25.5">
      <c r="A31" s="843"/>
      <c r="B31" s="1229" t="s">
        <v>13</v>
      </c>
      <c r="C31" s="844" t="s">
        <v>213</v>
      </c>
      <c r="D31" s="845"/>
      <c r="E31" s="845"/>
      <c r="F31" s="845"/>
      <c r="G31" s="845"/>
      <c r="H31" s="845">
        <v>710000</v>
      </c>
    </row>
    <row r="32" spans="1:8" ht="12.75">
      <c r="A32" s="843"/>
      <c r="B32" s="846" t="s">
        <v>446</v>
      </c>
      <c r="C32" s="844" t="s">
        <v>233</v>
      </c>
      <c r="D32" s="845"/>
      <c r="E32" s="845"/>
      <c r="F32" s="845"/>
      <c r="G32" s="845"/>
      <c r="H32" s="845"/>
    </row>
    <row r="33" spans="1:8" ht="13.5" thickBot="1">
      <c r="A33" s="847"/>
      <c r="B33" s="848" t="s">
        <v>232</v>
      </c>
      <c r="C33" s="841" t="s">
        <v>233</v>
      </c>
      <c r="D33" s="849"/>
      <c r="E33" s="849"/>
      <c r="F33" s="849"/>
      <c r="G33" s="849"/>
      <c r="H33" s="849"/>
    </row>
    <row r="34" spans="1:8" ht="13.5" thickBot="1">
      <c r="A34" s="850" t="s">
        <v>474</v>
      </c>
      <c r="B34" s="1362" t="s">
        <v>476</v>
      </c>
      <c r="C34" s="1363"/>
      <c r="D34" s="851">
        <f>SUM(D20:D33)</f>
        <v>12176</v>
      </c>
      <c r="E34" s="851">
        <f>SUM(E20:E33)</f>
        <v>12176</v>
      </c>
      <c r="F34" s="851">
        <f>SUM(F20:F33)</f>
        <v>12176</v>
      </c>
      <c r="G34" s="851">
        <f>SUM(G20:G33)</f>
        <v>12176000</v>
      </c>
      <c r="H34" s="851">
        <f>SUM(H20:H33)</f>
        <v>14346000</v>
      </c>
    </row>
    <row r="35" spans="1:8" ht="12.75">
      <c r="A35" s="852"/>
      <c r="B35" s="853" t="s">
        <v>483</v>
      </c>
      <c r="C35" s="854" t="s">
        <v>213</v>
      </c>
      <c r="D35" s="823">
        <f>'[14]Munka1'!$J$99</f>
        <v>700</v>
      </c>
      <c r="E35" s="823">
        <f>'[14]Munka1'!$J$99</f>
        <v>700</v>
      </c>
      <c r="F35" s="823">
        <f>'[14]Munka1'!$J$99</f>
        <v>700</v>
      </c>
      <c r="G35" s="823">
        <v>700000</v>
      </c>
      <c r="H35" s="823">
        <v>541000</v>
      </c>
    </row>
    <row r="36" spans="1:8" ht="12.75">
      <c r="A36" s="824"/>
      <c r="B36" s="1364" t="s">
        <v>484</v>
      </c>
      <c r="C36" s="1365"/>
      <c r="D36" s="855">
        <f>D35</f>
        <v>700</v>
      </c>
      <c r="E36" s="855">
        <f>E35</f>
        <v>700</v>
      </c>
      <c r="F36" s="855">
        <f>F35</f>
        <v>700</v>
      </c>
      <c r="G36" s="1212">
        <f>G35</f>
        <v>700000</v>
      </c>
      <c r="H36" s="1212">
        <f>H35</f>
        <v>541000</v>
      </c>
    </row>
    <row r="37" spans="1:8" ht="12.75">
      <c r="A37" s="824"/>
      <c r="B37" s="856" t="s">
        <v>485</v>
      </c>
      <c r="C37" s="857" t="s">
        <v>213</v>
      </c>
      <c r="D37" s="823">
        <f>'[15]Munka1'!$B$99</f>
        <v>335</v>
      </c>
      <c r="E37" s="823">
        <f>'[15]Munka1'!$B$99</f>
        <v>335</v>
      </c>
      <c r="F37" s="823">
        <f>'[15]Munka1'!$B$99</f>
        <v>335</v>
      </c>
      <c r="G37" s="823">
        <v>335000</v>
      </c>
      <c r="H37" s="823">
        <v>175000</v>
      </c>
    </row>
    <row r="38" spans="1:8" ht="12.75">
      <c r="A38" s="824"/>
      <c r="B38" s="1364" t="s">
        <v>486</v>
      </c>
      <c r="C38" s="1365"/>
      <c r="D38" s="855">
        <f>D37</f>
        <v>335</v>
      </c>
      <c r="E38" s="855">
        <f>E37</f>
        <v>335</v>
      </c>
      <c r="F38" s="855">
        <f>F37</f>
        <v>335</v>
      </c>
      <c r="G38" s="1212">
        <f>G37</f>
        <v>335000</v>
      </c>
      <c r="H38" s="1212">
        <f>H37</f>
        <v>175000</v>
      </c>
    </row>
    <row r="39" spans="1:8" ht="12.75">
      <c r="A39" s="824"/>
      <c r="B39" s="1378" t="s">
        <v>236</v>
      </c>
      <c r="C39" s="841" t="s">
        <v>229</v>
      </c>
      <c r="D39" s="823">
        <f>'[13]Munka1'!$G$47</f>
        <v>5432</v>
      </c>
      <c r="E39" s="823">
        <f>5432+112+192</f>
        <v>5736</v>
      </c>
      <c r="F39" s="823">
        <f>5432+112+192+90</f>
        <v>5826</v>
      </c>
      <c r="G39" s="823">
        <f>5826000+44800+745180+40000</f>
        <v>6655980</v>
      </c>
      <c r="H39" s="823">
        <f>5056600+1325000</f>
        <v>6381600</v>
      </c>
    </row>
    <row r="40" spans="1:8" ht="12.75">
      <c r="A40" s="824"/>
      <c r="B40" s="1378"/>
      <c r="C40" s="842" t="s">
        <v>466</v>
      </c>
      <c r="D40" s="823">
        <f>'[13]Munka1'!$G$66</f>
        <v>1630</v>
      </c>
      <c r="E40" s="823">
        <f>1630+30+65</f>
        <v>1725</v>
      </c>
      <c r="F40" s="823">
        <f>1630+30+65+24</f>
        <v>1749</v>
      </c>
      <c r="G40" s="823">
        <f>1749000+12096+275614+10800</f>
        <v>2047510</v>
      </c>
      <c r="H40" s="823">
        <f>1541902+358000</f>
        <v>1899902</v>
      </c>
    </row>
    <row r="41" spans="1:8" ht="12.75">
      <c r="A41" s="824"/>
      <c r="B41" s="1378"/>
      <c r="C41" s="858" t="s">
        <v>213</v>
      </c>
      <c r="D41" s="823">
        <f>'[15]Munka1'!$C$99</f>
        <v>2200</v>
      </c>
      <c r="E41" s="823">
        <f>'[15]Munka1'!$C$99</f>
        <v>2200</v>
      </c>
      <c r="F41" s="823">
        <f>'[15]Munka1'!$C$99</f>
        <v>2200</v>
      </c>
      <c r="G41" s="823">
        <v>2200000</v>
      </c>
      <c r="H41" s="823">
        <v>2126000</v>
      </c>
    </row>
    <row r="42" spans="1:8" ht="13.5" thickBot="1">
      <c r="A42" s="827"/>
      <c r="B42" s="1384" t="s">
        <v>237</v>
      </c>
      <c r="C42" s="1385"/>
      <c r="D42" s="859">
        <f>SUM(D39:D41)</f>
        <v>9262</v>
      </c>
      <c r="E42" s="859">
        <f>SUM(E39:E41)</f>
        <v>9661</v>
      </c>
      <c r="F42" s="859">
        <f>SUM(F39:F41)</f>
        <v>9775</v>
      </c>
      <c r="G42" s="859">
        <f>SUM(G39:G41)</f>
        <v>10903490</v>
      </c>
      <c r="H42" s="859">
        <f>SUM(H39:H41)</f>
        <v>10407502</v>
      </c>
    </row>
    <row r="43" spans="1:8" ht="13.5" thickBot="1">
      <c r="A43" s="835" t="s">
        <v>475</v>
      </c>
      <c r="B43" s="1370" t="s">
        <v>238</v>
      </c>
      <c r="C43" s="1386"/>
      <c r="D43" s="837">
        <f>SUM(D36+D38+D42)</f>
        <v>10297</v>
      </c>
      <c r="E43" s="837">
        <f>SUM(E36+E38+E42)</f>
        <v>10696</v>
      </c>
      <c r="F43" s="837">
        <f>SUM(F36+F38+F42)</f>
        <v>10810</v>
      </c>
      <c r="G43" s="837">
        <f>SUM(G36+G38+G42)</f>
        <v>11938490</v>
      </c>
      <c r="H43" s="837">
        <f>SUM(H36+H38+H42)</f>
        <v>11123502</v>
      </c>
    </row>
    <row r="44" spans="1:8" ht="12.75" customHeight="1">
      <c r="A44" s="820"/>
      <c r="B44" s="1387" t="s">
        <v>490</v>
      </c>
      <c r="C44" s="840" t="s">
        <v>229</v>
      </c>
      <c r="D44" s="861">
        <f>'[13]Munka1'!$D$47</f>
        <v>14888</v>
      </c>
      <c r="E44" s="861">
        <f>14888+151+225</f>
        <v>15264</v>
      </c>
      <c r="F44" s="861">
        <f>14888+151+225+120</f>
        <v>15384</v>
      </c>
      <c r="G44" s="861">
        <f>15384000+62200</f>
        <v>15446200</v>
      </c>
      <c r="H44" s="861">
        <v>16718198</v>
      </c>
    </row>
    <row r="45" spans="1:8" ht="12.75">
      <c r="A45" s="824"/>
      <c r="B45" s="1368"/>
      <c r="C45" s="842" t="s">
        <v>466</v>
      </c>
      <c r="D45" s="823">
        <f>'[13]Munka1'!$D$66</f>
        <v>4132</v>
      </c>
      <c r="E45" s="823">
        <f>4132+41+61</f>
        <v>4234</v>
      </c>
      <c r="F45" s="823">
        <f>4132+41+61+32</f>
        <v>4266</v>
      </c>
      <c r="G45" s="823">
        <f>4266000+16794</f>
        <v>4282794</v>
      </c>
      <c r="H45" s="823">
        <v>4407800</v>
      </c>
    </row>
    <row r="46" spans="1:8" ht="12.75">
      <c r="A46" s="824"/>
      <c r="B46" s="1368"/>
      <c r="C46" s="842" t="s">
        <v>213</v>
      </c>
      <c r="D46" s="823">
        <f>'[14]Munka1'!$B$99</f>
        <v>25400</v>
      </c>
      <c r="E46" s="823">
        <f>25400</f>
        <v>25400</v>
      </c>
      <c r="F46" s="823">
        <f>25400</f>
        <v>25400</v>
      </c>
      <c r="G46" s="823">
        <v>25400000</v>
      </c>
      <c r="H46" s="823">
        <v>20659000</v>
      </c>
    </row>
    <row r="47" spans="1:8" ht="12.75">
      <c r="A47" s="824"/>
      <c r="B47" s="1368"/>
      <c r="C47" s="1116" t="s">
        <v>894</v>
      </c>
      <c r="D47" s="823"/>
      <c r="E47" s="823">
        <v>1194</v>
      </c>
      <c r="F47" s="823">
        <v>1194</v>
      </c>
      <c r="G47" s="823">
        <v>1194000</v>
      </c>
      <c r="H47" s="823">
        <v>1194000</v>
      </c>
    </row>
    <row r="48" spans="1:8" ht="12.75">
      <c r="A48" s="824"/>
      <c r="B48" s="1369"/>
      <c r="C48" s="862" t="s">
        <v>235</v>
      </c>
      <c r="D48" s="863">
        <f>'[17]Munka1'!$E$5</f>
        <v>2000</v>
      </c>
      <c r="E48" s="863">
        <f>'[17]Munka1'!$E$5</f>
        <v>2000</v>
      </c>
      <c r="F48" s="863">
        <v>2000</v>
      </c>
      <c r="G48" s="863">
        <v>2000000</v>
      </c>
      <c r="H48" s="863">
        <v>2000000</v>
      </c>
    </row>
    <row r="49" spans="1:8" ht="13.5" thickBot="1">
      <c r="A49" s="864"/>
      <c r="B49" s="865" t="s">
        <v>198</v>
      </c>
      <c r="C49" s="866"/>
      <c r="D49" s="867">
        <f>SUM(D44:D48)</f>
        <v>46420</v>
      </c>
      <c r="E49" s="867">
        <f>SUM(E44:E48)</f>
        <v>48092</v>
      </c>
      <c r="F49" s="867">
        <f>SUM(F44:F48)</f>
        <v>48244</v>
      </c>
      <c r="G49" s="871">
        <f>SUM(G44:G48)</f>
        <v>48322994</v>
      </c>
      <c r="H49" s="871">
        <f>SUM(H44:H48)</f>
        <v>44978998</v>
      </c>
    </row>
    <row r="50" spans="1:8" ht="13.5" thickBot="1">
      <c r="A50" s="868" t="s">
        <v>477</v>
      </c>
      <c r="B50" s="869" t="s">
        <v>479</v>
      </c>
      <c r="C50" s="870"/>
      <c r="D50" s="860">
        <f>SUM(D49)</f>
        <v>46420</v>
      </c>
      <c r="E50" s="860">
        <f>SUM(E49)</f>
        <v>48092</v>
      </c>
      <c r="F50" s="860">
        <f>SUM(F49)</f>
        <v>48244</v>
      </c>
      <c r="G50" s="837">
        <f>SUM(G49)</f>
        <v>48322994</v>
      </c>
      <c r="H50" s="837">
        <f>SUM(H49)</f>
        <v>44978998</v>
      </c>
    </row>
    <row r="51" spans="1:8" ht="13.5" thickBot="1">
      <c r="A51" s="554"/>
      <c r="B51" s="555"/>
      <c r="C51" s="556"/>
      <c r="D51" s="557"/>
      <c r="E51" s="557"/>
      <c r="F51" s="557"/>
      <c r="G51" s="1213"/>
      <c r="H51" s="1213"/>
    </row>
    <row r="52" spans="1:8" ht="13.5" thickBot="1">
      <c r="A52" s="838"/>
      <c r="B52" s="1388" t="s">
        <v>447</v>
      </c>
      <c r="C52" s="840" t="s">
        <v>229</v>
      </c>
      <c r="D52" s="861">
        <f>'[13]Munka1'!$C$47</f>
        <v>6514</v>
      </c>
      <c r="E52" s="861">
        <f>6514+96+24+288+168</f>
        <v>7090</v>
      </c>
      <c r="F52" s="861">
        <f>6514+96+24+288+168+19+77</f>
        <v>7186</v>
      </c>
      <c r="G52" s="823">
        <f>7186000+25800+35200+20000+60000</f>
        <v>7327000</v>
      </c>
      <c r="H52" s="823">
        <v>7444000</v>
      </c>
    </row>
    <row r="53" spans="1:8" ht="13.5" thickBot="1">
      <c r="A53" s="824"/>
      <c r="B53" s="1389"/>
      <c r="C53" s="842" t="s">
        <v>466</v>
      </c>
      <c r="D53" s="823">
        <f>'[13]Munka1'!$C$66</f>
        <v>1734</v>
      </c>
      <c r="E53" s="823">
        <f>1734+26+6+98+57</f>
        <v>1921</v>
      </c>
      <c r="F53" s="823">
        <f>1734+26+6+98+57+5+21</f>
        <v>1947</v>
      </c>
      <c r="G53" s="823">
        <f>1947000+6966+9504+5400+16200</f>
        <v>1985070</v>
      </c>
      <c r="H53" s="823">
        <v>2064120</v>
      </c>
    </row>
    <row r="54" spans="1:8" ht="12.75">
      <c r="A54" s="824"/>
      <c r="B54" s="1389"/>
      <c r="C54" s="842" t="s">
        <v>213</v>
      </c>
      <c r="D54" s="823">
        <f>'[15]Munka1'!$H$99</f>
        <v>50000</v>
      </c>
      <c r="E54" s="823">
        <f>'[15]Munka1'!$H$99</f>
        <v>50000</v>
      </c>
      <c r="F54" s="823">
        <f>'[15]Munka1'!$H$99</f>
        <v>50000</v>
      </c>
      <c r="G54" s="823">
        <v>50000000</v>
      </c>
      <c r="H54" s="823">
        <v>52003165</v>
      </c>
    </row>
    <row r="55" spans="1:8" ht="12.75">
      <c r="A55" s="864"/>
      <c r="B55" s="865" t="s">
        <v>448</v>
      </c>
      <c r="C55" s="866"/>
      <c r="D55" s="871">
        <f>SUM(D52:D54)</f>
        <v>58248</v>
      </c>
      <c r="E55" s="871">
        <f>SUM(E52:E54)</f>
        <v>59011</v>
      </c>
      <c r="F55" s="871">
        <f>SUM(F52:F54)</f>
        <v>59133</v>
      </c>
      <c r="G55" s="871">
        <f>SUM(G52:G54)</f>
        <v>59312070</v>
      </c>
      <c r="H55" s="871">
        <f>SUM(H52:H54)</f>
        <v>61511285</v>
      </c>
    </row>
    <row r="56" spans="1:8" ht="12.75">
      <c r="A56" s="820"/>
      <c r="B56" s="1375" t="s">
        <v>480</v>
      </c>
      <c r="C56" s="841" t="s">
        <v>229</v>
      </c>
      <c r="D56" s="872">
        <f>'[13]Munka1'!$E$47</f>
        <v>1326</v>
      </c>
      <c r="E56" s="872">
        <f>1326+17+96</f>
        <v>1439</v>
      </c>
      <c r="F56" s="1214">
        <f>1326+17+96+16</f>
        <v>1455</v>
      </c>
      <c r="G56" s="1214">
        <f>1455000+7800+40000</f>
        <v>1502800</v>
      </c>
      <c r="H56" s="1214">
        <v>1531400</v>
      </c>
    </row>
    <row r="57" spans="1:8" ht="12.75">
      <c r="A57" s="824"/>
      <c r="B57" s="1376"/>
      <c r="C57" s="842" t="s">
        <v>466</v>
      </c>
      <c r="D57" s="873">
        <f>'[13]Munka1'!$E$66</f>
        <v>358</v>
      </c>
      <c r="E57" s="873">
        <f>358+5+33</f>
        <v>396</v>
      </c>
      <c r="F57" s="1215">
        <f>358+5+33+4</f>
        <v>400</v>
      </c>
      <c r="G57" s="1215">
        <f>400000+2106+10800</f>
        <v>412906</v>
      </c>
      <c r="H57" s="1215">
        <v>433318</v>
      </c>
    </row>
    <row r="58" spans="1:8" ht="12.75">
      <c r="A58" s="824"/>
      <c r="B58" s="1376"/>
      <c r="C58" s="842" t="s">
        <v>213</v>
      </c>
      <c r="D58" s="873">
        <f>'[15]Munka1'!$F$99</f>
        <v>5079</v>
      </c>
      <c r="E58" s="873">
        <f>'[15]Munka1'!$F$99</f>
        <v>5079</v>
      </c>
      <c r="F58" s="1215">
        <f>'[15]Munka1'!$F$99</f>
        <v>5079</v>
      </c>
      <c r="G58" s="1215">
        <v>5079000</v>
      </c>
      <c r="H58" s="1215">
        <v>3634000</v>
      </c>
    </row>
    <row r="59" spans="1:8" ht="12.75">
      <c r="A59" s="874"/>
      <c r="B59" s="875" t="s">
        <v>199</v>
      </c>
      <c r="C59" s="876"/>
      <c r="D59" s="877">
        <f>SUM(D56:D58)</f>
        <v>6763</v>
      </c>
      <c r="E59" s="877">
        <f>SUM(E56:E58)</f>
        <v>6914</v>
      </c>
      <c r="F59" s="830">
        <f>SUM(F56:F58)</f>
        <v>6934</v>
      </c>
      <c r="G59" s="830">
        <f>SUM(G56:G58)</f>
        <v>6994706</v>
      </c>
      <c r="H59" s="830">
        <f>SUM(H56:H58)</f>
        <v>5598718</v>
      </c>
    </row>
    <row r="60" spans="1:8" ht="12.75">
      <c r="A60" s="878"/>
      <c r="B60" s="1377" t="s">
        <v>481</v>
      </c>
      <c r="C60" s="879" t="s">
        <v>229</v>
      </c>
      <c r="D60" s="873">
        <f>'[13]Munka1'!$F$47</f>
        <v>5538</v>
      </c>
      <c r="E60" s="873">
        <f>5538+163+384</f>
        <v>6085</v>
      </c>
      <c r="F60" s="1215">
        <f>5538+163+384+142</f>
        <v>6227</v>
      </c>
      <c r="G60" s="1215">
        <f>6227000+52900+80000</f>
        <v>6359900</v>
      </c>
      <c r="H60" s="1215">
        <v>6564300</v>
      </c>
    </row>
    <row r="61" spans="1:8" ht="12.75">
      <c r="A61" s="824"/>
      <c r="B61" s="1378"/>
      <c r="C61" s="842" t="s">
        <v>466</v>
      </c>
      <c r="D61" s="873">
        <f>'[13]Munka1'!$F$66</f>
        <v>1495</v>
      </c>
      <c r="E61" s="873">
        <f>1495+44+131</f>
        <v>1670</v>
      </c>
      <c r="F61" s="1215">
        <f>1495+44+131+38</f>
        <v>1708</v>
      </c>
      <c r="G61" s="1215">
        <f>1708000+14283+21600</f>
        <v>1743883</v>
      </c>
      <c r="H61" s="1215">
        <v>1672831</v>
      </c>
    </row>
    <row r="62" spans="1:8" ht="12.75">
      <c r="A62" s="880"/>
      <c r="B62" s="1378"/>
      <c r="C62" s="881" t="s">
        <v>213</v>
      </c>
      <c r="D62" s="873">
        <f>'[15]Munka1'!$G$99</f>
        <v>5675</v>
      </c>
      <c r="E62" s="873">
        <f>'[15]Munka1'!$G$99</f>
        <v>5675</v>
      </c>
      <c r="F62" s="1215">
        <f>'[15]Munka1'!$G$99</f>
        <v>5675</v>
      </c>
      <c r="G62" s="1215">
        <v>5675000</v>
      </c>
      <c r="H62" s="1215">
        <v>6142400</v>
      </c>
    </row>
    <row r="63" spans="1:8" ht="12.75">
      <c r="A63" s="829"/>
      <c r="B63" s="882" t="s">
        <v>200</v>
      </c>
      <c r="C63" s="883"/>
      <c r="D63" s="877">
        <f>SUM(D60:D62)</f>
        <v>12708</v>
      </c>
      <c r="E63" s="877">
        <f>SUM(E60:E62)</f>
        <v>13430</v>
      </c>
      <c r="F63" s="830">
        <f>SUM(F60:F62)</f>
        <v>13610</v>
      </c>
      <c r="G63" s="830">
        <f>SUM(G60:G62)</f>
        <v>13778783</v>
      </c>
      <c r="H63" s="830">
        <f>SUM(H60:H62)</f>
        <v>14379531</v>
      </c>
    </row>
    <row r="64" spans="1:8" ht="38.25">
      <c r="A64" s="880"/>
      <c r="B64" s="831" t="s">
        <v>482</v>
      </c>
      <c r="C64" s="881" t="s">
        <v>213</v>
      </c>
      <c r="D64" s="823">
        <v>330</v>
      </c>
      <c r="E64" s="823">
        <v>330</v>
      </c>
      <c r="F64" s="823">
        <v>330</v>
      </c>
      <c r="G64" s="823">
        <v>330000</v>
      </c>
      <c r="H64" s="823">
        <v>330000</v>
      </c>
    </row>
    <row r="65" spans="1:8" ht="12.75">
      <c r="A65" s="843"/>
      <c r="B65" s="1379" t="s">
        <v>201</v>
      </c>
      <c r="C65" s="1380"/>
      <c r="D65" s="884">
        <f>D64</f>
        <v>330</v>
      </c>
      <c r="E65" s="884">
        <f>E64</f>
        <v>330</v>
      </c>
      <c r="F65" s="1216">
        <f>F64</f>
        <v>330</v>
      </c>
      <c r="G65" s="1216">
        <f>G64</f>
        <v>330000</v>
      </c>
      <c r="H65" s="1216">
        <f>H64</f>
        <v>330000</v>
      </c>
    </row>
    <row r="66" spans="1:8" ht="25.5">
      <c r="A66" s="885"/>
      <c r="B66" s="886" t="s">
        <v>449</v>
      </c>
      <c r="C66" s="887" t="s">
        <v>213</v>
      </c>
      <c r="D66" s="888">
        <f>'[15]Munka1'!$I$99</f>
        <v>2032</v>
      </c>
      <c r="E66" s="888">
        <f>'[15]Munka1'!$I$99</f>
        <v>2032</v>
      </c>
      <c r="F66" s="1217">
        <f>'[15]Munka1'!$I$99</f>
        <v>2032</v>
      </c>
      <c r="G66" s="1217">
        <v>2032000</v>
      </c>
      <c r="H66" s="1217">
        <v>2294000</v>
      </c>
    </row>
    <row r="67" spans="1:8" ht="39" thickBot="1">
      <c r="A67" s="889"/>
      <c r="B67" s="890" t="s">
        <v>450</v>
      </c>
      <c r="C67" s="891"/>
      <c r="D67" s="892">
        <f>D66</f>
        <v>2032</v>
      </c>
      <c r="E67" s="892">
        <f>E66</f>
        <v>2032</v>
      </c>
      <c r="F67" s="1218">
        <f>F66</f>
        <v>2032</v>
      </c>
      <c r="G67" s="1218">
        <f>G66</f>
        <v>2032000</v>
      </c>
      <c r="H67" s="1218">
        <f>H66</f>
        <v>2294000</v>
      </c>
    </row>
    <row r="68" spans="1:8" ht="13.5" thickBot="1">
      <c r="A68" s="868" t="s">
        <v>205</v>
      </c>
      <c r="B68" s="869" t="s">
        <v>203</v>
      </c>
      <c r="C68" s="870"/>
      <c r="D68" s="860">
        <f>SUM(D55+D59+D63+D65)</f>
        <v>78049</v>
      </c>
      <c r="E68" s="860">
        <f>SUM(E55+E59+E63+E65)</f>
        <v>79685</v>
      </c>
      <c r="F68" s="837">
        <f>SUM(F55+F59+F63+F65)</f>
        <v>80007</v>
      </c>
      <c r="G68" s="837">
        <f>SUM(G55+G59+G63+G65)</f>
        <v>80415559</v>
      </c>
      <c r="H68" s="837">
        <f>SUM(H55+H59+H63+H65)</f>
        <v>81819534</v>
      </c>
    </row>
    <row r="69" spans="1:8" ht="13.5" thickBot="1">
      <c r="A69" s="868" t="s">
        <v>194</v>
      </c>
      <c r="B69" s="893" t="s">
        <v>195</v>
      </c>
      <c r="C69" s="894" t="s">
        <v>235</v>
      </c>
      <c r="D69" s="895">
        <f>'[17]Munka1'!$E$9</f>
        <v>126149</v>
      </c>
      <c r="E69" s="895">
        <v>126609</v>
      </c>
      <c r="F69" s="1219">
        <v>126609</v>
      </c>
      <c r="G69" s="1219">
        <f>126609000+1174498</f>
        <v>127783498</v>
      </c>
      <c r="H69" s="1219">
        <f>126609000+1174498</f>
        <v>127783498</v>
      </c>
    </row>
    <row r="70" spans="1:8" ht="13.5" thickBot="1">
      <c r="A70" s="835" t="s">
        <v>196</v>
      </c>
      <c r="B70" s="836" t="s">
        <v>202</v>
      </c>
      <c r="C70" s="896" t="s">
        <v>240</v>
      </c>
      <c r="D70" s="837">
        <f>'[17]Munka1'!$E$15+'[17]Munka1'!$E$17</f>
        <v>3200</v>
      </c>
      <c r="E70" s="837">
        <f>'[17]Munka1'!$E$15+'[17]Munka1'!$E$17</f>
        <v>3200</v>
      </c>
      <c r="F70" s="837">
        <f>'[17]Munka1'!$E$15+'[17]Munka1'!$E$17</f>
        <v>3200</v>
      </c>
      <c r="G70" s="837">
        <v>3200000</v>
      </c>
      <c r="H70" s="837">
        <v>3200000</v>
      </c>
    </row>
    <row r="71" spans="1:8" ht="13.5" thickBot="1">
      <c r="A71" s="838"/>
      <c r="B71" s="1381" t="s">
        <v>241</v>
      </c>
      <c r="C71" s="840" t="s">
        <v>229</v>
      </c>
      <c r="D71" s="897">
        <f aca="true" t="shared" si="0" ref="D71:H72">SUM(D10+D14+D39+D44+D52+D56+D60)</f>
        <v>38015</v>
      </c>
      <c r="E71" s="897">
        <f t="shared" si="0"/>
        <v>47447</v>
      </c>
      <c r="F71" s="1220">
        <f t="shared" si="0"/>
        <v>51694</v>
      </c>
      <c r="G71" s="1220">
        <f t="shared" si="0"/>
        <v>54011459</v>
      </c>
      <c r="H71" s="1220">
        <f t="shared" si="0"/>
        <v>57939883</v>
      </c>
    </row>
    <row r="72" spans="1:8" ht="13.5" thickBot="1">
      <c r="A72" s="824"/>
      <c r="B72" s="1382"/>
      <c r="C72" s="842" t="s">
        <v>466</v>
      </c>
      <c r="D72" s="898">
        <f t="shared" si="0"/>
        <v>10486</v>
      </c>
      <c r="E72" s="898">
        <f t="shared" si="0"/>
        <v>13125</v>
      </c>
      <c r="F72" s="1221">
        <f t="shared" si="0"/>
        <v>14270</v>
      </c>
      <c r="G72" s="1221">
        <f t="shared" si="0"/>
        <v>14970130</v>
      </c>
      <c r="H72" s="1221">
        <f t="shared" si="0"/>
        <v>14103295</v>
      </c>
    </row>
    <row r="73" spans="1:8" ht="13.5" thickBot="1">
      <c r="A73" s="824"/>
      <c r="B73" s="1382"/>
      <c r="C73" s="842" t="s">
        <v>213</v>
      </c>
      <c r="D73" s="899">
        <f>SUM(D3+D5+D6+D7+D8+D9+D12+D16+D18+D26+D35+D37+D41+D46+D54+D58+D62+D64+D66)</f>
        <v>136249</v>
      </c>
      <c r="E73" s="899">
        <f>SUM(E3+E5+E6+E7+E8+E9+E12+E16+E18+E26+E35+E37+E41+E46+E54+E58+E62+E64+E66)</f>
        <v>150249</v>
      </c>
      <c r="F73" s="1222">
        <f>SUM(F3+F5+F6+F7+F8+F9+F12+F16+F18+F26+F35+F37+F41+F46+F54+F58+F62+F64+F66)</f>
        <v>150249</v>
      </c>
      <c r="G73" s="1222">
        <f>SUM(G3+G5+G6+G7+G8+G9+G12+G16+G18+G26+G35+G37+G41+G46+G54+G58+G62+G64+G66)+25922000-6400000</f>
        <v>169771000</v>
      </c>
      <c r="H73" s="1222">
        <f>SUM(H3+H5+H6+H7+H8+H9+H12+H16+H18+H26+H35+H37+H41+H46+H54+H58+H62+H64+H66+H4+H31)+25922000+381001</f>
        <v>171795701</v>
      </c>
    </row>
    <row r="74" spans="1:8" ht="13.5" thickBot="1">
      <c r="A74" s="824"/>
      <c r="B74" s="1382"/>
      <c r="C74" s="842" t="s">
        <v>233</v>
      </c>
      <c r="D74" s="898">
        <f>SUM(D20+D21+D22+D23+D24+D25+D27+D29+D32+D33)</f>
        <v>9611</v>
      </c>
      <c r="E74" s="898">
        <f>SUM(E20+E21+E22+E23+E24+E25+E27+E29+E32+E33)</f>
        <v>9611</v>
      </c>
      <c r="F74" s="1221">
        <f>SUM(F20+F21+F22+F23+F24+F25+F27+F29+F32+F33)</f>
        <v>9611</v>
      </c>
      <c r="G74" s="1221">
        <f>SUM(G20+G21+G22+G23+G24+G25+G27+G29+G32+G33)</f>
        <v>9611000</v>
      </c>
      <c r="H74" s="1221">
        <f>SUM(H20+H21+H22+H23+H24+H25+H27+H29+H32+H33)</f>
        <v>10691000</v>
      </c>
    </row>
    <row r="75" spans="1:8" ht="13.5" thickBot="1">
      <c r="A75" s="827"/>
      <c r="B75" s="1382"/>
      <c r="C75" s="1116" t="s">
        <v>894</v>
      </c>
      <c r="D75" s="898"/>
      <c r="E75" s="898">
        <f>E47</f>
        <v>1194</v>
      </c>
      <c r="F75" s="1221">
        <f>F47</f>
        <v>1194</v>
      </c>
      <c r="G75" s="1221">
        <f>G47</f>
        <v>1194000</v>
      </c>
      <c r="H75" s="1221">
        <v>1193850</v>
      </c>
    </row>
    <row r="76" spans="1:8" ht="13.5" thickBot="1">
      <c r="A76" s="827"/>
      <c r="B76" s="1382"/>
      <c r="C76" s="900" t="s">
        <v>235</v>
      </c>
      <c r="D76" s="901">
        <f>SUM(D48+D69)</f>
        <v>128149</v>
      </c>
      <c r="E76" s="901">
        <f>SUM(E48+E69)</f>
        <v>128609</v>
      </c>
      <c r="F76" s="1223">
        <f>SUM(F48+F69)</f>
        <v>128609</v>
      </c>
      <c r="G76" s="1223">
        <v>131330498</v>
      </c>
      <c r="H76" s="1223">
        <v>135172498</v>
      </c>
    </row>
    <row r="77" spans="1:8" ht="13.5" thickBot="1">
      <c r="A77" s="902"/>
      <c r="B77" s="1383"/>
      <c r="C77" s="903" t="s">
        <v>240</v>
      </c>
      <c r="D77" s="904">
        <f>D70</f>
        <v>3200</v>
      </c>
      <c r="E77" s="904">
        <f>E70</f>
        <v>3200</v>
      </c>
      <c r="F77" s="904">
        <f>F70</f>
        <v>3200</v>
      </c>
      <c r="G77" s="904">
        <f>G70</f>
        <v>3200000</v>
      </c>
      <c r="H77" s="904">
        <v>3560000</v>
      </c>
    </row>
    <row r="78" spans="1:8" ht="13.5" thickBot="1">
      <c r="A78" s="905"/>
      <c r="B78" s="906" t="s">
        <v>242</v>
      </c>
      <c r="C78" s="907"/>
      <c r="D78" s="837">
        <f>SUM(D71:D77)</f>
        <v>325710</v>
      </c>
      <c r="E78" s="837">
        <f>SUM(E71:E77)</f>
        <v>353435</v>
      </c>
      <c r="F78" s="837">
        <f>SUM(F71:F77)</f>
        <v>358827</v>
      </c>
      <c r="G78" s="837">
        <f>SUM(G71:G77)</f>
        <v>384088087</v>
      </c>
      <c r="H78" s="837">
        <f>SUM(H71:H77)</f>
        <v>394456227</v>
      </c>
    </row>
    <row r="79" spans="1:8" ht="12.75">
      <c r="A79" s="558"/>
      <c r="B79" s="559"/>
      <c r="C79" s="559"/>
      <c r="D79" s="559"/>
      <c r="E79" s="559"/>
      <c r="F79" s="559"/>
      <c r="G79" s="559"/>
      <c r="H79" s="559"/>
    </row>
    <row r="80" spans="1:8" ht="15.75" customHeight="1" hidden="1">
      <c r="A80" s="368"/>
      <c r="B80" s="368"/>
      <c r="C80" s="182"/>
      <c r="D80" s="559"/>
      <c r="E80" s="559"/>
      <c r="F80" s="559"/>
      <c r="G80" s="559"/>
      <c r="H80" s="559"/>
    </row>
  </sheetData>
  <sheetProtection selectLockedCells="1" selectUnlockedCells="1"/>
  <mergeCells count="19">
    <mergeCell ref="B44:B48"/>
    <mergeCell ref="B52:B54"/>
    <mergeCell ref="B38:C38"/>
    <mergeCell ref="B39:B41"/>
    <mergeCell ref="B42:C42"/>
    <mergeCell ref="B43:C43"/>
    <mergeCell ref="B56:B58"/>
    <mergeCell ref="B60:B62"/>
    <mergeCell ref="B65:C65"/>
    <mergeCell ref="B71:B77"/>
    <mergeCell ref="B34:C34"/>
    <mergeCell ref="B36:C36"/>
    <mergeCell ref="B10:B12"/>
    <mergeCell ref="B13:C13"/>
    <mergeCell ref="B14:B16"/>
    <mergeCell ref="B17:C17"/>
    <mergeCell ref="B19:C19"/>
    <mergeCell ref="B25:B26"/>
    <mergeCell ref="B29:B30"/>
  </mergeCells>
  <printOptions/>
  <pageMargins left="0.3937007874015748" right="0.1968503937007874" top="0.984251968503937" bottom="0" header="0.5118110236220472" footer="0.5118110236220472"/>
  <pageSetup horizontalDpi="600" verticalDpi="600" orientation="portrait" paperSize="9" scale="73" r:id="rId1"/>
  <headerFooter alignWithMargins="0">
    <oddHeader>&amp;C&amp;"Times New Roman CE,Félkövér"&amp;12Önkormányzati működési kiadások kormányzati funkciónként&amp;R
2. tájékoztató tábla</oddHeader>
  </headerFooter>
  <rowBreaks count="1" manualBreakCount="1">
    <brk id="48" max="255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60" workbookViewId="0" topLeftCell="A4">
      <selection activeCell="G2" sqref="G2"/>
    </sheetView>
  </sheetViews>
  <sheetFormatPr defaultColWidth="9.00390625" defaultRowHeight="12.75"/>
  <cols>
    <col min="1" max="1" width="41.375" style="0" customWidth="1"/>
    <col min="3" max="3" width="11.375" style="0" customWidth="1"/>
    <col min="4" max="4" width="10.375" style="0" customWidth="1"/>
    <col min="5" max="5" width="10.00390625" style="0" customWidth="1"/>
    <col min="6" max="6" width="12.375" style="0" customWidth="1"/>
    <col min="7" max="7" width="12.50390625" style="0" customWidth="1"/>
  </cols>
  <sheetData>
    <row r="1" spans="1:7" ht="14.25">
      <c r="A1" s="1390" t="s">
        <v>255</v>
      </c>
      <c r="B1" s="1390"/>
      <c r="C1" s="1390"/>
      <c r="D1" s="1390"/>
      <c r="E1" s="1390"/>
      <c r="F1" s="1390"/>
      <c r="G1" s="1390"/>
    </row>
    <row r="2" spans="1:7" ht="14.25">
      <c r="A2" s="624"/>
      <c r="B2" s="624"/>
      <c r="C2" s="624"/>
      <c r="D2" s="624"/>
      <c r="E2" s="624"/>
      <c r="F2" s="624"/>
      <c r="G2" s="1027" t="s">
        <v>130</v>
      </c>
    </row>
    <row r="3" spans="1:7" ht="15.75" thickBot="1">
      <c r="A3" s="588"/>
      <c r="B3" s="588"/>
      <c r="C3" s="588"/>
      <c r="D3" s="588"/>
      <c r="E3" s="588"/>
      <c r="F3" s="588"/>
      <c r="G3" s="589" t="s">
        <v>670</v>
      </c>
    </row>
    <row r="4" spans="1:7" ht="12.75">
      <c r="A4" s="1391" t="s">
        <v>734</v>
      </c>
      <c r="B4" s="1394" t="s">
        <v>314</v>
      </c>
      <c r="C4" s="1397" t="s">
        <v>256</v>
      </c>
      <c r="D4" s="1398"/>
      <c r="E4" s="1398"/>
      <c r="F4" s="1398"/>
      <c r="G4" s="1401" t="s">
        <v>257</v>
      </c>
    </row>
    <row r="5" spans="1:7" ht="30.75" customHeight="1">
      <c r="A5" s="1392"/>
      <c r="B5" s="1395"/>
      <c r="C5" s="1399"/>
      <c r="D5" s="1400"/>
      <c r="E5" s="1400"/>
      <c r="F5" s="1400"/>
      <c r="G5" s="1402"/>
    </row>
    <row r="6" spans="1:7" ht="34.5" customHeight="1" thickBot="1">
      <c r="A6" s="1393"/>
      <c r="B6" s="1396"/>
      <c r="C6" s="590" t="s">
        <v>258</v>
      </c>
      <c r="D6" s="590" t="s">
        <v>313</v>
      </c>
      <c r="E6" s="590" t="s">
        <v>355</v>
      </c>
      <c r="F6" s="591" t="s">
        <v>356</v>
      </c>
      <c r="G6" s="1403"/>
    </row>
    <row r="7" spans="1:7" ht="12.75">
      <c r="A7" s="592">
        <v>1</v>
      </c>
      <c r="B7" s="593">
        <v>2</v>
      </c>
      <c r="C7" s="593">
        <v>3</v>
      </c>
      <c r="D7" s="593">
        <v>4</v>
      </c>
      <c r="E7" s="593">
        <v>5</v>
      </c>
      <c r="F7" s="594">
        <v>6</v>
      </c>
      <c r="G7" s="595">
        <v>7</v>
      </c>
    </row>
    <row r="8" spans="1:7" ht="15" customHeight="1">
      <c r="A8" s="596" t="s">
        <v>594</v>
      </c>
      <c r="B8" s="597" t="s">
        <v>589</v>
      </c>
      <c r="C8" s="598">
        <v>95800</v>
      </c>
      <c r="D8" s="598">
        <v>97716</v>
      </c>
      <c r="E8" s="598">
        <v>99632</v>
      </c>
      <c r="F8" s="599">
        <v>101548</v>
      </c>
      <c r="G8" s="600">
        <f>+C8+D8+E8+F8</f>
        <v>394696</v>
      </c>
    </row>
    <row r="9" spans="1:7" ht="12.75" customHeight="1">
      <c r="A9" s="596" t="s">
        <v>260</v>
      </c>
      <c r="B9" s="597" t="s">
        <v>599</v>
      </c>
      <c r="C9" s="598">
        <v>0</v>
      </c>
      <c r="D9" s="598">
        <v>0</v>
      </c>
      <c r="E9" s="598">
        <v>0</v>
      </c>
      <c r="F9" s="599">
        <v>0</v>
      </c>
      <c r="G9" s="600">
        <f aca="true" t="shared" si="0" ref="G9:G34">+C9+D9+E9+F9</f>
        <v>0</v>
      </c>
    </row>
    <row r="10" spans="1:7" ht="12.75" customHeight="1">
      <c r="A10" s="596" t="s">
        <v>261</v>
      </c>
      <c r="B10" s="597" t="s">
        <v>600</v>
      </c>
      <c r="C10" s="598">
        <v>1000</v>
      </c>
      <c r="D10" s="598">
        <v>1020</v>
      </c>
      <c r="E10" s="598">
        <v>1040</v>
      </c>
      <c r="F10" s="599">
        <v>1060</v>
      </c>
      <c r="G10" s="600">
        <f t="shared" si="0"/>
        <v>4120</v>
      </c>
    </row>
    <row r="11" spans="1:7" ht="36" customHeight="1">
      <c r="A11" s="596" t="s">
        <v>262</v>
      </c>
      <c r="B11" s="597" t="s">
        <v>182</v>
      </c>
      <c r="C11" s="598">
        <f>-D11</f>
        <v>0</v>
      </c>
      <c r="D11" s="598">
        <f>-E11</f>
        <v>0</v>
      </c>
      <c r="E11" s="598">
        <f>-F11</f>
        <v>0</v>
      </c>
      <c r="F11" s="598">
        <f>-G11</f>
        <v>0</v>
      </c>
      <c r="G11" s="600">
        <f t="shared" si="0"/>
        <v>0</v>
      </c>
    </row>
    <row r="12" spans="1:7" ht="15.75" customHeight="1">
      <c r="A12" s="596" t="s">
        <v>263</v>
      </c>
      <c r="B12" s="597" t="s">
        <v>264</v>
      </c>
      <c r="C12" s="598">
        <v>0</v>
      </c>
      <c r="D12" s="598">
        <v>0</v>
      </c>
      <c r="E12" s="598">
        <v>0</v>
      </c>
      <c r="F12" s="599">
        <v>0</v>
      </c>
      <c r="G12" s="600">
        <f t="shared" si="0"/>
        <v>0</v>
      </c>
    </row>
    <row r="13" spans="1:7" ht="24" customHeight="1">
      <c r="A13" s="596" t="s">
        <v>265</v>
      </c>
      <c r="B13" s="597" t="s">
        <v>266</v>
      </c>
      <c r="C13" s="598">
        <v>0</v>
      </c>
      <c r="D13" s="598">
        <v>0</v>
      </c>
      <c r="E13" s="598">
        <v>0</v>
      </c>
      <c r="F13" s="599">
        <v>0</v>
      </c>
      <c r="G13" s="600">
        <f t="shared" si="0"/>
        <v>0</v>
      </c>
    </row>
    <row r="14" spans="1:7" ht="15" customHeight="1" thickBot="1">
      <c r="A14" s="601" t="s">
        <v>733</v>
      </c>
      <c r="B14" s="602" t="s">
        <v>267</v>
      </c>
      <c r="C14" s="603">
        <v>0</v>
      </c>
      <c r="D14" s="603">
        <v>0</v>
      </c>
      <c r="E14" s="603">
        <v>0</v>
      </c>
      <c r="F14" s="604">
        <v>0</v>
      </c>
      <c r="G14" s="605">
        <f t="shared" si="0"/>
        <v>0</v>
      </c>
    </row>
    <row r="15" spans="1:7" ht="14.25" customHeight="1" thickBot="1">
      <c r="A15" s="606" t="s">
        <v>268</v>
      </c>
      <c r="B15" s="607" t="s">
        <v>269</v>
      </c>
      <c r="C15" s="608">
        <f>SUM(C8:C14)</f>
        <v>96800</v>
      </c>
      <c r="D15" s="608">
        <f>D8+D10</f>
        <v>98736</v>
      </c>
      <c r="E15" s="608">
        <f>E8+E10</f>
        <v>100672</v>
      </c>
      <c r="F15" s="608">
        <f>F8+F10</f>
        <v>102608</v>
      </c>
      <c r="G15" s="610">
        <f>G8+G10</f>
        <v>398816</v>
      </c>
    </row>
    <row r="16" spans="1:7" ht="15" customHeight="1" thickBot="1">
      <c r="A16" s="611" t="s">
        <v>270</v>
      </c>
      <c r="B16" s="612" t="s">
        <v>271</v>
      </c>
      <c r="C16" s="613">
        <f>+C15*0.5</f>
        <v>48400</v>
      </c>
      <c r="D16" s="613">
        <f>+D15*0.5</f>
        <v>49368</v>
      </c>
      <c r="E16" s="613">
        <f>+E15*0.5</f>
        <v>50336</v>
      </c>
      <c r="F16" s="613">
        <f>+F15*0.5</f>
        <v>51304</v>
      </c>
      <c r="G16" s="610">
        <f t="shared" si="0"/>
        <v>196800</v>
      </c>
    </row>
    <row r="17" spans="1:7" ht="26.25" customHeight="1" thickBot="1">
      <c r="A17" s="606" t="s">
        <v>272</v>
      </c>
      <c r="B17" s="614">
        <v>10</v>
      </c>
      <c r="C17" s="608">
        <f>SUM(C18:C24)</f>
        <v>0</v>
      </c>
      <c r="D17" s="608">
        <f>SUM(D18:D24)</f>
        <v>0</v>
      </c>
      <c r="E17" s="608">
        <f>SUM(E18:E24)</f>
        <v>0</v>
      </c>
      <c r="F17" s="609">
        <f>SUM(F18:F24)</f>
        <v>0</v>
      </c>
      <c r="G17" s="610">
        <f t="shared" si="0"/>
        <v>0</v>
      </c>
    </row>
    <row r="18" spans="1:7" ht="18" customHeight="1">
      <c r="A18" s="615" t="s">
        <v>273</v>
      </c>
      <c r="B18" s="616">
        <v>11</v>
      </c>
      <c r="C18" s="617">
        <v>0</v>
      </c>
      <c r="D18" s="617">
        <v>0</v>
      </c>
      <c r="E18" s="617">
        <v>0</v>
      </c>
      <c r="F18" s="618">
        <v>0</v>
      </c>
      <c r="G18" s="619">
        <f t="shared" si="0"/>
        <v>0</v>
      </c>
    </row>
    <row r="19" spans="1:7" ht="15" customHeight="1">
      <c r="A19" s="596" t="s">
        <v>274</v>
      </c>
      <c r="B19" s="620">
        <v>12</v>
      </c>
      <c r="C19" s="598">
        <v>0</v>
      </c>
      <c r="D19" s="598">
        <v>0</v>
      </c>
      <c r="E19" s="598">
        <v>0</v>
      </c>
      <c r="F19" s="599">
        <v>0</v>
      </c>
      <c r="G19" s="600">
        <f t="shared" si="0"/>
        <v>0</v>
      </c>
    </row>
    <row r="20" spans="1:7" ht="14.25" customHeight="1">
      <c r="A20" s="596" t="s">
        <v>275</v>
      </c>
      <c r="B20" s="620">
        <v>13</v>
      </c>
      <c r="C20" s="598">
        <v>0</v>
      </c>
      <c r="D20" s="598">
        <v>0</v>
      </c>
      <c r="E20" s="598">
        <v>0</v>
      </c>
      <c r="F20" s="599">
        <v>0</v>
      </c>
      <c r="G20" s="600">
        <f t="shared" si="0"/>
        <v>0</v>
      </c>
    </row>
    <row r="21" spans="1:7" ht="14.25" customHeight="1">
      <c r="A21" s="596" t="s">
        <v>276</v>
      </c>
      <c r="B21" s="620">
        <v>14</v>
      </c>
      <c r="C21" s="598">
        <v>0</v>
      </c>
      <c r="D21" s="598">
        <v>0</v>
      </c>
      <c r="E21" s="598">
        <v>0</v>
      </c>
      <c r="F21" s="599">
        <v>0</v>
      </c>
      <c r="G21" s="600">
        <f t="shared" si="0"/>
        <v>0</v>
      </c>
    </row>
    <row r="22" spans="1:7" ht="15" customHeight="1">
      <c r="A22" s="596" t="s">
        <v>277</v>
      </c>
      <c r="B22" s="620">
        <v>15</v>
      </c>
      <c r="C22" s="598">
        <v>0</v>
      </c>
      <c r="D22" s="598">
        <v>0</v>
      </c>
      <c r="E22" s="598">
        <v>0</v>
      </c>
      <c r="F22" s="599">
        <v>0</v>
      </c>
      <c r="G22" s="600">
        <f t="shared" si="0"/>
        <v>0</v>
      </c>
    </row>
    <row r="23" spans="1:7" ht="15" customHeight="1">
      <c r="A23" s="596" t="s">
        <v>278</v>
      </c>
      <c r="B23" s="620">
        <v>16</v>
      </c>
      <c r="C23" s="598">
        <v>0</v>
      </c>
      <c r="D23" s="598">
        <v>0</v>
      </c>
      <c r="E23" s="598">
        <v>0</v>
      </c>
      <c r="F23" s="599">
        <v>0</v>
      </c>
      <c r="G23" s="600">
        <f t="shared" si="0"/>
        <v>0</v>
      </c>
    </row>
    <row r="24" spans="1:7" ht="15" customHeight="1" thickBot="1">
      <c r="A24" s="601" t="s">
        <v>279</v>
      </c>
      <c r="B24" s="621">
        <v>17</v>
      </c>
      <c r="C24" s="603">
        <v>0</v>
      </c>
      <c r="D24" s="603">
        <v>0</v>
      </c>
      <c r="E24" s="603">
        <v>0</v>
      </c>
      <c r="F24" s="604">
        <v>0</v>
      </c>
      <c r="G24" s="605">
        <f t="shared" si="0"/>
        <v>0</v>
      </c>
    </row>
    <row r="25" spans="1:7" ht="35.25" customHeight="1" thickBot="1">
      <c r="A25" s="606" t="s">
        <v>280</v>
      </c>
      <c r="B25" s="614">
        <v>18</v>
      </c>
      <c r="C25" s="608">
        <f>SUM(C26:C32)</f>
        <v>0</v>
      </c>
      <c r="D25" s="608">
        <f>SUM(D26:D32)</f>
        <v>0</v>
      </c>
      <c r="E25" s="608">
        <f>SUM(E26:E32)</f>
        <v>0</v>
      </c>
      <c r="F25" s="609">
        <f>SUM(F26:F32)</f>
        <v>0</v>
      </c>
      <c r="G25" s="610">
        <f t="shared" si="0"/>
        <v>0</v>
      </c>
    </row>
    <row r="26" spans="1:7" ht="16.5" customHeight="1">
      <c r="A26" s="615" t="s">
        <v>273</v>
      </c>
      <c r="B26" s="616">
        <v>19</v>
      </c>
      <c r="C26" s="617">
        <v>0</v>
      </c>
      <c r="D26" s="617">
        <v>0</v>
      </c>
      <c r="E26" s="617">
        <v>0</v>
      </c>
      <c r="F26" s="618">
        <v>0</v>
      </c>
      <c r="G26" s="619">
        <f t="shared" si="0"/>
        <v>0</v>
      </c>
    </row>
    <row r="27" spans="1:7" ht="15.75" customHeight="1">
      <c r="A27" s="596" t="s">
        <v>274</v>
      </c>
      <c r="B27" s="620">
        <v>20</v>
      </c>
      <c r="C27" s="598">
        <v>0</v>
      </c>
      <c r="D27" s="598">
        <v>0</v>
      </c>
      <c r="E27" s="598">
        <v>0</v>
      </c>
      <c r="F27" s="599">
        <v>0</v>
      </c>
      <c r="G27" s="600">
        <f t="shared" si="0"/>
        <v>0</v>
      </c>
    </row>
    <row r="28" spans="1:7" ht="15.75" customHeight="1">
      <c r="A28" s="596" t="s">
        <v>275</v>
      </c>
      <c r="B28" s="620">
        <v>21</v>
      </c>
      <c r="C28" s="598">
        <v>0</v>
      </c>
      <c r="D28" s="598">
        <v>0</v>
      </c>
      <c r="E28" s="598">
        <v>0</v>
      </c>
      <c r="F28" s="599">
        <v>0</v>
      </c>
      <c r="G28" s="600">
        <f t="shared" si="0"/>
        <v>0</v>
      </c>
    </row>
    <row r="29" spans="1:7" ht="12.75">
      <c r="A29" s="596" t="s">
        <v>276</v>
      </c>
      <c r="B29" s="620">
        <v>22</v>
      </c>
      <c r="C29" s="598">
        <v>0</v>
      </c>
      <c r="D29" s="598">
        <v>0</v>
      </c>
      <c r="E29" s="598">
        <v>0</v>
      </c>
      <c r="F29" s="599">
        <v>0</v>
      </c>
      <c r="G29" s="600">
        <f t="shared" si="0"/>
        <v>0</v>
      </c>
    </row>
    <row r="30" spans="1:7" ht="12.75">
      <c r="A30" s="596" t="s">
        <v>277</v>
      </c>
      <c r="B30" s="620">
        <v>23</v>
      </c>
      <c r="C30" s="598">
        <v>0</v>
      </c>
      <c r="D30" s="598">
        <v>0</v>
      </c>
      <c r="E30" s="598">
        <v>0</v>
      </c>
      <c r="F30" s="599">
        <v>0</v>
      </c>
      <c r="G30" s="600">
        <f t="shared" si="0"/>
        <v>0</v>
      </c>
    </row>
    <row r="31" spans="1:7" ht="12.75">
      <c r="A31" s="596" t="s">
        <v>278</v>
      </c>
      <c r="B31" s="620">
        <v>24</v>
      </c>
      <c r="C31" s="598">
        <v>0</v>
      </c>
      <c r="D31" s="598">
        <v>0</v>
      </c>
      <c r="E31" s="598">
        <v>0</v>
      </c>
      <c r="F31" s="599">
        <v>0</v>
      </c>
      <c r="G31" s="600">
        <f t="shared" si="0"/>
        <v>0</v>
      </c>
    </row>
    <row r="32" spans="1:7" ht="18" customHeight="1" thickBot="1">
      <c r="A32" s="601" t="s">
        <v>279</v>
      </c>
      <c r="B32" s="621">
        <v>25</v>
      </c>
      <c r="C32" s="603">
        <v>0</v>
      </c>
      <c r="D32" s="603">
        <v>0</v>
      </c>
      <c r="E32" s="603">
        <v>0</v>
      </c>
      <c r="F32" s="604">
        <v>0</v>
      </c>
      <c r="G32" s="605">
        <f t="shared" si="0"/>
        <v>0</v>
      </c>
    </row>
    <row r="33" spans="1:7" ht="17.25" customHeight="1" thickBot="1">
      <c r="A33" s="606" t="s">
        <v>281</v>
      </c>
      <c r="B33" s="614">
        <v>26</v>
      </c>
      <c r="C33" s="608">
        <f>+C17+C25</f>
        <v>0</v>
      </c>
      <c r="D33" s="608">
        <f>+D17+D25</f>
        <v>0</v>
      </c>
      <c r="E33" s="608">
        <f>+E17+E25</f>
        <v>0</v>
      </c>
      <c r="F33" s="609">
        <f>+F17+F25</f>
        <v>0</v>
      </c>
      <c r="G33" s="610">
        <f t="shared" si="0"/>
        <v>0</v>
      </c>
    </row>
    <row r="34" spans="1:7" ht="21" customHeight="1" thickBot="1">
      <c r="A34" s="611" t="s">
        <v>282</v>
      </c>
      <c r="B34" s="622">
        <v>27</v>
      </c>
      <c r="C34" s="613">
        <f>+C16-C33</f>
        <v>48400</v>
      </c>
      <c r="D34" s="613">
        <f>+D16-D33</f>
        <v>49368</v>
      </c>
      <c r="E34" s="613">
        <f>+E16-E33</f>
        <v>50336</v>
      </c>
      <c r="F34" s="613">
        <f>+F16-F33</f>
        <v>51304</v>
      </c>
      <c r="G34" s="623">
        <f t="shared" si="0"/>
        <v>196800</v>
      </c>
    </row>
    <row r="35" spans="1:7" ht="15">
      <c r="A35" s="588"/>
      <c r="B35" s="588"/>
      <c r="C35" s="588"/>
      <c r="D35" s="588"/>
      <c r="E35" s="588"/>
      <c r="F35" s="588"/>
      <c r="G35" s="588"/>
    </row>
  </sheetData>
  <sheetProtection/>
  <mergeCells count="5">
    <mergeCell ref="A1:G1"/>
    <mergeCell ref="A4:A6"/>
    <mergeCell ref="B4:B6"/>
    <mergeCell ref="C4:F5"/>
    <mergeCell ref="G4:G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BreakPreview" zoomScaleSheetLayoutView="100" zoomScalePageLayoutView="0" workbookViewId="0" topLeftCell="A76">
      <selection activeCell="C27" sqref="C27"/>
    </sheetView>
  </sheetViews>
  <sheetFormatPr defaultColWidth="9.00390625" defaultRowHeight="12.75"/>
  <cols>
    <col min="1" max="1" width="9.50390625" style="368" customWidth="1"/>
    <col min="2" max="2" width="91.625" style="368" customWidth="1"/>
    <col min="3" max="3" width="21.625" style="369" customWidth="1"/>
    <col min="4" max="4" width="19.50390625" style="392" bestFit="1" customWidth="1"/>
    <col min="5" max="5" width="20.00390625" style="392" customWidth="1"/>
    <col min="6" max="6" width="20.50390625" style="392" customWidth="1"/>
    <col min="7" max="16384" width="9.375" style="392" customWidth="1"/>
  </cols>
  <sheetData>
    <row r="1" spans="1:3" ht="15.75" customHeight="1">
      <c r="A1" s="1249" t="s">
        <v>552</v>
      </c>
      <c r="B1" s="1249"/>
      <c r="C1" s="1249"/>
    </row>
    <row r="2" spans="1:6" ht="15.75" customHeight="1" thickBot="1">
      <c r="A2" s="1248" t="s">
        <v>689</v>
      </c>
      <c r="B2" s="1248"/>
      <c r="C2" s="294"/>
      <c r="F2" s="294" t="s">
        <v>770</v>
      </c>
    </row>
    <row r="3" spans="1:6" ht="37.5" customHeight="1" thickBot="1">
      <c r="A3" s="21" t="s">
        <v>610</v>
      </c>
      <c r="B3" s="22" t="s">
        <v>554</v>
      </c>
      <c r="C3" s="37" t="s">
        <v>451</v>
      </c>
      <c r="D3" s="37" t="s">
        <v>452</v>
      </c>
      <c r="E3" s="37" t="s">
        <v>457</v>
      </c>
      <c r="F3" s="37" t="s">
        <v>458</v>
      </c>
    </row>
    <row r="4" spans="1:6" s="393" customFormat="1" ht="12" customHeight="1" thickBot="1">
      <c r="A4" s="387">
        <v>1</v>
      </c>
      <c r="B4" s="388">
        <v>2</v>
      </c>
      <c r="C4" s="389">
        <v>3</v>
      </c>
      <c r="D4" s="389">
        <v>4</v>
      </c>
      <c r="E4" s="389">
        <v>5</v>
      </c>
      <c r="F4" s="389">
        <v>6</v>
      </c>
    </row>
    <row r="5" spans="1:6" s="394" customFormat="1" ht="12" customHeight="1" thickBot="1">
      <c r="A5" s="18" t="s">
        <v>555</v>
      </c>
      <c r="B5" s="19" t="s">
        <v>798</v>
      </c>
      <c r="C5" s="285">
        <f>+C6+C7+C8+C9+C10+C11</f>
        <v>388467</v>
      </c>
      <c r="D5" s="285">
        <f>C5*102%</f>
        <v>396236.34</v>
      </c>
      <c r="E5" s="285">
        <f>C5*104%</f>
        <v>404005.68</v>
      </c>
      <c r="F5" s="285">
        <f>C5*106%</f>
        <v>411775.02</v>
      </c>
    </row>
    <row r="6" spans="1:6" s="394" customFormat="1" ht="12" customHeight="1">
      <c r="A6" s="13" t="s">
        <v>640</v>
      </c>
      <c r="B6" s="395" t="s">
        <v>799</v>
      </c>
      <c r="C6" s="1015">
        <f>'5. tájékoztató '!I7+'5. tájékoztató '!I8+'5. tájékoztató '!I9+'5. tájékoztató '!I10+'5. tájékoztató '!I11+'5. tájékoztató '!I13+'5. tájékoztató '!I14+'5. tájékoztató '!I15+'5. tájékoztató '!I16</f>
        <v>129128</v>
      </c>
      <c r="D6" s="990">
        <f aca="true" t="shared" si="0" ref="D6:D69">C6*102%</f>
        <v>131710.56</v>
      </c>
      <c r="E6" s="989">
        <f aca="true" t="shared" si="1" ref="E6:E69">C6*104%</f>
        <v>134293.12</v>
      </c>
      <c r="F6" s="989">
        <f aca="true" t="shared" si="2" ref="F6:F69">C6*106%</f>
        <v>136875.68</v>
      </c>
    </row>
    <row r="7" spans="1:6" s="394" customFormat="1" ht="12" customHeight="1">
      <c r="A7" s="12" t="s">
        <v>641</v>
      </c>
      <c r="B7" s="396" t="s">
        <v>800</v>
      </c>
      <c r="C7" s="1012">
        <f>'5. tájékoztató '!I29</f>
        <v>114811</v>
      </c>
      <c r="D7" s="991">
        <f t="shared" si="0"/>
        <v>117107.22</v>
      </c>
      <c r="E7" s="992">
        <f t="shared" si="1"/>
        <v>119403.44</v>
      </c>
      <c r="F7" s="992">
        <f t="shared" si="2"/>
        <v>121699.66</v>
      </c>
    </row>
    <row r="8" spans="1:6" s="394" customFormat="1" ht="12" customHeight="1">
      <c r="A8" s="12" t="s">
        <v>642</v>
      </c>
      <c r="B8" s="396" t="s">
        <v>801</v>
      </c>
      <c r="C8" s="1012">
        <f>'5. tájékoztató '!I44</f>
        <v>138262</v>
      </c>
      <c r="D8" s="991">
        <f t="shared" si="0"/>
        <v>141027.24</v>
      </c>
      <c r="E8" s="992">
        <f t="shared" si="1"/>
        <v>143792.48</v>
      </c>
      <c r="F8" s="992">
        <f t="shared" si="2"/>
        <v>146557.72</v>
      </c>
    </row>
    <row r="9" spans="1:6" s="394" customFormat="1" ht="12" customHeight="1">
      <c r="A9" s="12" t="s">
        <v>643</v>
      </c>
      <c r="B9" s="396" t="s">
        <v>802</v>
      </c>
      <c r="C9" s="1012">
        <f>'5. tájékoztató '!I46</f>
        <v>6266</v>
      </c>
      <c r="D9" s="991">
        <f t="shared" si="0"/>
        <v>6391.32</v>
      </c>
      <c r="E9" s="992">
        <f t="shared" si="1"/>
        <v>6516.64</v>
      </c>
      <c r="F9" s="992">
        <f t="shared" si="2"/>
        <v>6641.96</v>
      </c>
    </row>
    <row r="10" spans="1:6" s="394" customFormat="1" ht="12" customHeight="1">
      <c r="A10" s="12" t="s">
        <v>686</v>
      </c>
      <c r="B10" s="396" t="s">
        <v>803</v>
      </c>
      <c r="C10" s="1012"/>
      <c r="D10" s="991">
        <f t="shared" si="0"/>
        <v>0</v>
      </c>
      <c r="E10" s="992">
        <f t="shared" si="1"/>
        <v>0</v>
      </c>
      <c r="F10" s="992">
        <f t="shared" si="2"/>
        <v>0</v>
      </c>
    </row>
    <row r="11" spans="1:6" s="394" customFormat="1" ht="12" customHeight="1" thickBot="1">
      <c r="A11" s="14" t="s">
        <v>644</v>
      </c>
      <c r="B11" s="397" t="s">
        <v>804</v>
      </c>
      <c r="C11" s="1012"/>
      <c r="D11" s="993">
        <f t="shared" si="0"/>
        <v>0</v>
      </c>
      <c r="E11" s="994">
        <f t="shared" si="1"/>
        <v>0</v>
      </c>
      <c r="F11" s="994">
        <f t="shared" si="2"/>
        <v>0</v>
      </c>
    </row>
    <row r="12" spans="1:6" s="394" customFormat="1" ht="12" customHeight="1" thickBot="1">
      <c r="A12" s="18" t="s">
        <v>556</v>
      </c>
      <c r="B12" s="280" t="s">
        <v>805</v>
      </c>
      <c r="C12" s="291">
        <f>+C13+C14+C15+C16+C17</f>
        <v>9120</v>
      </c>
      <c r="D12" s="285">
        <f t="shared" si="0"/>
        <v>9302.4</v>
      </c>
      <c r="E12" s="285">
        <f t="shared" si="1"/>
        <v>9484.800000000001</v>
      </c>
      <c r="F12" s="285">
        <f t="shared" si="2"/>
        <v>9667.2</v>
      </c>
    </row>
    <row r="13" spans="1:6" s="394" customFormat="1" ht="12" customHeight="1">
      <c r="A13" s="13" t="s">
        <v>646</v>
      </c>
      <c r="B13" s="395" t="s">
        <v>806</v>
      </c>
      <c r="C13" s="1015"/>
      <c r="D13" s="990">
        <f t="shared" si="0"/>
        <v>0</v>
      </c>
      <c r="E13" s="989">
        <f t="shared" si="1"/>
        <v>0</v>
      </c>
      <c r="F13" s="989">
        <f t="shared" si="2"/>
        <v>0</v>
      </c>
    </row>
    <row r="14" spans="1:6" s="394" customFormat="1" ht="12" customHeight="1">
      <c r="A14" s="12" t="s">
        <v>647</v>
      </c>
      <c r="B14" s="396" t="s">
        <v>807</v>
      </c>
      <c r="C14" s="1012"/>
      <c r="D14" s="991">
        <f t="shared" si="0"/>
        <v>0</v>
      </c>
      <c r="E14" s="992">
        <f t="shared" si="1"/>
        <v>0</v>
      </c>
      <c r="F14" s="992">
        <f t="shared" si="2"/>
        <v>0</v>
      </c>
    </row>
    <row r="15" spans="1:6" s="394" customFormat="1" ht="12" customHeight="1">
      <c r="A15" s="12" t="s">
        <v>648</v>
      </c>
      <c r="B15" s="396" t="s">
        <v>246</v>
      </c>
      <c r="C15" s="1012">
        <f>760*12</f>
        <v>9120</v>
      </c>
      <c r="D15" s="991">
        <f t="shared" si="0"/>
        <v>9302.4</v>
      </c>
      <c r="E15" s="992">
        <f t="shared" si="1"/>
        <v>9484.800000000001</v>
      </c>
      <c r="F15" s="992">
        <f t="shared" si="2"/>
        <v>9667.2</v>
      </c>
    </row>
    <row r="16" spans="1:6" s="394" customFormat="1" ht="12" customHeight="1">
      <c r="A16" s="12" t="s">
        <v>649</v>
      </c>
      <c r="B16" s="396" t="s">
        <v>331</v>
      </c>
      <c r="C16" s="287"/>
      <c r="D16" s="991">
        <f t="shared" si="0"/>
        <v>0</v>
      </c>
      <c r="E16" s="992">
        <f t="shared" si="1"/>
        <v>0</v>
      </c>
      <c r="F16" s="992">
        <f t="shared" si="2"/>
        <v>0</v>
      </c>
    </row>
    <row r="17" spans="1:6" s="394" customFormat="1" ht="12" customHeight="1">
      <c r="A17" s="12" t="s">
        <v>650</v>
      </c>
      <c r="B17" s="396" t="s">
        <v>332</v>
      </c>
      <c r="C17" s="287"/>
      <c r="D17" s="991">
        <f t="shared" si="0"/>
        <v>0</v>
      </c>
      <c r="E17" s="992">
        <f t="shared" si="1"/>
        <v>0</v>
      </c>
      <c r="F17" s="992">
        <f t="shared" si="2"/>
        <v>0</v>
      </c>
    </row>
    <row r="18" spans="1:6" s="394" customFormat="1" ht="12" customHeight="1" thickBot="1">
      <c r="A18" s="14" t="s">
        <v>659</v>
      </c>
      <c r="B18" s="397" t="s">
        <v>809</v>
      </c>
      <c r="C18" s="289"/>
      <c r="D18" s="993">
        <f t="shared" si="0"/>
        <v>0</v>
      </c>
      <c r="E18" s="994">
        <f t="shared" si="1"/>
        <v>0</v>
      </c>
      <c r="F18" s="994">
        <f t="shared" si="2"/>
        <v>0</v>
      </c>
    </row>
    <row r="19" spans="1:6" s="394" customFormat="1" ht="12" customHeight="1" thickBot="1">
      <c r="A19" s="18" t="s">
        <v>557</v>
      </c>
      <c r="B19" s="19" t="s">
        <v>810</v>
      </c>
      <c r="C19" s="285">
        <f>+C20+C21+C22+C23+C24</f>
        <v>33407</v>
      </c>
      <c r="D19" s="285">
        <f t="shared" si="0"/>
        <v>34075.14</v>
      </c>
      <c r="E19" s="285">
        <f t="shared" si="1"/>
        <v>34743.28</v>
      </c>
      <c r="F19" s="285">
        <f t="shared" si="2"/>
        <v>35411.42</v>
      </c>
    </row>
    <row r="20" spans="1:6" s="394" customFormat="1" ht="12" customHeight="1">
      <c r="A20" s="13" t="s">
        <v>629</v>
      </c>
      <c r="B20" s="395" t="s">
        <v>534</v>
      </c>
      <c r="C20" s="288"/>
      <c r="D20" s="990">
        <f t="shared" si="0"/>
        <v>0</v>
      </c>
      <c r="E20" s="989">
        <f t="shared" si="1"/>
        <v>0</v>
      </c>
      <c r="F20" s="989">
        <f t="shared" si="2"/>
        <v>0</v>
      </c>
    </row>
    <row r="21" spans="1:6" s="394" customFormat="1" ht="12" customHeight="1">
      <c r="A21" s="12" t="s">
        <v>630</v>
      </c>
      <c r="B21" s="396" t="s">
        <v>812</v>
      </c>
      <c r="C21" s="287"/>
      <c r="D21" s="991">
        <f t="shared" si="0"/>
        <v>0</v>
      </c>
      <c r="E21" s="992">
        <f t="shared" si="1"/>
        <v>0</v>
      </c>
      <c r="F21" s="992">
        <f t="shared" si="2"/>
        <v>0</v>
      </c>
    </row>
    <row r="22" spans="1:6" s="394" customFormat="1" ht="12" customHeight="1">
      <c r="A22" s="12" t="s">
        <v>631</v>
      </c>
      <c r="B22" s="396" t="s">
        <v>174</v>
      </c>
      <c r="C22" s="287"/>
      <c r="D22" s="991">
        <f t="shared" si="0"/>
        <v>0</v>
      </c>
      <c r="E22" s="992">
        <f t="shared" si="1"/>
        <v>0</v>
      </c>
      <c r="F22" s="992">
        <f t="shared" si="2"/>
        <v>0</v>
      </c>
    </row>
    <row r="23" spans="1:6" s="394" customFormat="1" ht="12" customHeight="1">
      <c r="A23" s="12" t="s">
        <v>632</v>
      </c>
      <c r="B23" s="396" t="s">
        <v>813</v>
      </c>
      <c r="C23" s="741"/>
      <c r="D23" s="991">
        <f t="shared" si="0"/>
        <v>0</v>
      </c>
      <c r="E23" s="992">
        <f t="shared" si="1"/>
        <v>0</v>
      </c>
      <c r="F23" s="992">
        <f t="shared" si="2"/>
        <v>0</v>
      </c>
    </row>
    <row r="24" spans="1:6" s="394" customFormat="1" ht="12" customHeight="1">
      <c r="A24" s="12" t="s">
        <v>707</v>
      </c>
      <c r="B24" s="396" t="s">
        <v>395</v>
      </c>
      <c r="C24" s="1012">
        <v>33407</v>
      </c>
      <c r="D24" s="991">
        <f t="shared" si="0"/>
        <v>34075.14</v>
      </c>
      <c r="E24" s="992">
        <f t="shared" si="1"/>
        <v>34743.28</v>
      </c>
      <c r="F24" s="992">
        <f t="shared" si="2"/>
        <v>35411.42</v>
      </c>
    </row>
    <row r="25" spans="1:6" s="394" customFormat="1" ht="12" customHeight="1" thickBot="1">
      <c r="A25" s="14" t="s">
        <v>708</v>
      </c>
      <c r="B25" s="397" t="s">
        <v>814</v>
      </c>
      <c r="C25" s="289"/>
      <c r="D25" s="993">
        <f t="shared" si="0"/>
        <v>0</v>
      </c>
      <c r="E25" s="994">
        <f t="shared" si="1"/>
        <v>0</v>
      </c>
      <c r="F25" s="994">
        <f t="shared" si="2"/>
        <v>0</v>
      </c>
    </row>
    <row r="26" spans="1:6" s="394" customFormat="1" ht="12" customHeight="1" thickBot="1">
      <c r="A26" s="18" t="s">
        <v>709</v>
      </c>
      <c r="B26" s="19" t="s">
        <v>815</v>
      </c>
      <c r="C26" s="291">
        <f>+C27+C30+C31+C33+C32</f>
        <v>114350</v>
      </c>
      <c r="D26" s="285">
        <f t="shared" si="0"/>
        <v>116637</v>
      </c>
      <c r="E26" s="285">
        <f t="shared" si="1"/>
        <v>118924</v>
      </c>
      <c r="F26" s="285">
        <f t="shared" si="2"/>
        <v>121211</v>
      </c>
    </row>
    <row r="27" spans="1:6" s="394" customFormat="1" ht="12" customHeight="1">
      <c r="A27" s="13" t="s">
        <v>816</v>
      </c>
      <c r="B27" s="395" t="s">
        <v>822</v>
      </c>
      <c r="C27" s="1018">
        <f>+C28+C29</f>
        <v>95800</v>
      </c>
      <c r="D27" s="990">
        <f t="shared" si="0"/>
        <v>97716</v>
      </c>
      <c r="E27" s="989">
        <f t="shared" si="1"/>
        <v>99632</v>
      </c>
      <c r="F27" s="989">
        <f t="shared" si="2"/>
        <v>101548</v>
      </c>
    </row>
    <row r="28" spans="1:6" s="394" customFormat="1" ht="12" customHeight="1">
      <c r="A28" s="12" t="s">
        <v>817</v>
      </c>
      <c r="B28" s="654" t="s">
        <v>336</v>
      </c>
      <c r="C28" s="1012">
        <v>5800</v>
      </c>
      <c r="D28" s="991">
        <f t="shared" si="0"/>
        <v>5916</v>
      </c>
      <c r="E28" s="992">
        <f t="shared" si="1"/>
        <v>6032</v>
      </c>
      <c r="F28" s="992">
        <f t="shared" si="2"/>
        <v>6148</v>
      </c>
    </row>
    <row r="29" spans="1:6" s="394" customFormat="1" ht="12" customHeight="1">
      <c r="A29" s="12" t="s">
        <v>818</v>
      </c>
      <c r="B29" s="654" t="s">
        <v>337</v>
      </c>
      <c r="C29" s="1012">
        <v>90000</v>
      </c>
      <c r="D29" s="991">
        <f t="shared" si="0"/>
        <v>91800</v>
      </c>
      <c r="E29" s="992">
        <f t="shared" si="1"/>
        <v>93600</v>
      </c>
      <c r="F29" s="992">
        <f t="shared" si="2"/>
        <v>95400</v>
      </c>
    </row>
    <row r="30" spans="1:6" s="394" customFormat="1" ht="12" customHeight="1">
      <c r="A30" s="12" t="s">
        <v>819</v>
      </c>
      <c r="B30" s="396" t="s">
        <v>825</v>
      </c>
      <c r="C30" s="1012">
        <v>16000</v>
      </c>
      <c r="D30" s="991">
        <f t="shared" si="0"/>
        <v>16320</v>
      </c>
      <c r="E30" s="992">
        <f t="shared" si="1"/>
        <v>16640</v>
      </c>
      <c r="F30" s="992">
        <f t="shared" si="2"/>
        <v>16960</v>
      </c>
    </row>
    <row r="31" spans="1:6" s="394" customFormat="1" ht="12" customHeight="1">
      <c r="A31" s="12" t="s">
        <v>820</v>
      </c>
      <c r="B31" s="396" t="s">
        <v>300</v>
      </c>
      <c r="C31" s="1012">
        <v>250</v>
      </c>
      <c r="D31" s="991">
        <f t="shared" si="0"/>
        <v>255</v>
      </c>
      <c r="E31" s="992">
        <f t="shared" si="1"/>
        <v>260</v>
      </c>
      <c r="F31" s="992">
        <f t="shared" si="2"/>
        <v>265</v>
      </c>
    </row>
    <row r="32" spans="1:6" s="394" customFormat="1" ht="12" customHeight="1">
      <c r="A32" s="14" t="s">
        <v>821</v>
      </c>
      <c r="B32" s="397" t="s">
        <v>303</v>
      </c>
      <c r="C32" s="1013">
        <v>1300</v>
      </c>
      <c r="D32" s="991">
        <f t="shared" si="0"/>
        <v>1326</v>
      </c>
      <c r="E32" s="992">
        <f t="shared" si="1"/>
        <v>1352</v>
      </c>
      <c r="F32" s="992">
        <f t="shared" si="2"/>
        <v>1378</v>
      </c>
    </row>
    <row r="33" spans="1:6" s="394" customFormat="1" ht="12" customHeight="1" thickBot="1">
      <c r="A33" s="14" t="s">
        <v>301</v>
      </c>
      <c r="B33" s="397" t="s">
        <v>302</v>
      </c>
      <c r="C33" s="1013">
        <v>1000</v>
      </c>
      <c r="D33" s="993">
        <f t="shared" si="0"/>
        <v>1020</v>
      </c>
      <c r="E33" s="994">
        <f t="shared" si="1"/>
        <v>1040</v>
      </c>
      <c r="F33" s="994">
        <f t="shared" si="2"/>
        <v>1060</v>
      </c>
    </row>
    <row r="34" spans="1:6" s="394" customFormat="1" ht="12" customHeight="1" thickBot="1">
      <c r="A34" s="18" t="s">
        <v>559</v>
      </c>
      <c r="B34" s="19" t="s">
        <v>828</v>
      </c>
      <c r="C34" s="285">
        <f>SUM(C35:C44)</f>
        <v>105322</v>
      </c>
      <c r="D34" s="285">
        <f t="shared" si="0"/>
        <v>107428.44</v>
      </c>
      <c r="E34" s="285">
        <f t="shared" si="1"/>
        <v>109534.88</v>
      </c>
      <c r="F34" s="285">
        <f t="shared" si="2"/>
        <v>111641.32</v>
      </c>
    </row>
    <row r="35" spans="1:6" s="394" customFormat="1" ht="12" customHeight="1">
      <c r="A35" s="13" t="s">
        <v>633</v>
      </c>
      <c r="B35" s="395" t="s">
        <v>831</v>
      </c>
      <c r="C35" s="288"/>
      <c r="D35" s="990">
        <f t="shared" si="0"/>
        <v>0</v>
      </c>
      <c r="E35" s="989">
        <f t="shared" si="1"/>
        <v>0</v>
      </c>
      <c r="F35" s="989">
        <f t="shared" si="2"/>
        <v>0</v>
      </c>
    </row>
    <row r="36" spans="1:6" s="394" customFormat="1" ht="12" customHeight="1">
      <c r="A36" s="12" t="s">
        <v>634</v>
      </c>
      <c r="B36" s="396" t="s">
        <v>832</v>
      </c>
      <c r="C36" s="1012">
        <v>10200</v>
      </c>
      <c r="D36" s="991">
        <f t="shared" si="0"/>
        <v>10404</v>
      </c>
      <c r="E36" s="992">
        <f t="shared" si="1"/>
        <v>10608</v>
      </c>
      <c r="F36" s="992">
        <f t="shared" si="2"/>
        <v>10812</v>
      </c>
    </row>
    <row r="37" spans="1:6" s="394" customFormat="1" ht="12" customHeight="1">
      <c r="A37" s="12" t="s">
        <v>635</v>
      </c>
      <c r="B37" s="396" t="s">
        <v>833</v>
      </c>
      <c r="C37" s="1012">
        <v>300</v>
      </c>
      <c r="D37" s="991">
        <f t="shared" si="0"/>
        <v>306</v>
      </c>
      <c r="E37" s="992">
        <f t="shared" si="1"/>
        <v>312</v>
      </c>
      <c r="F37" s="992">
        <f t="shared" si="2"/>
        <v>318</v>
      </c>
    </row>
    <row r="38" spans="1:6" s="394" customFormat="1" ht="12" customHeight="1">
      <c r="A38" s="12" t="s">
        <v>711</v>
      </c>
      <c r="B38" s="396" t="s">
        <v>834</v>
      </c>
      <c r="C38" s="1012"/>
      <c r="D38" s="991">
        <f t="shared" si="0"/>
        <v>0</v>
      </c>
      <c r="E38" s="992">
        <f t="shared" si="1"/>
        <v>0</v>
      </c>
      <c r="F38" s="992">
        <f t="shared" si="2"/>
        <v>0</v>
      </c>
    </row>
    <row r="39" spans="1:6" s="394" customFormat="1" ht="12" customHeight="1">
      <c r="A39" s="12" t="s">
        <v>712</v>
      </c>
      <c r="B39" s="396" t="s">
        <v>835</v>
      </c>
      <c r="C39" s="1012">
        <v>83277</v>
      </c>
      <c r="D39" s="991">
        <f t="shared" si="0"/>
        <v>84942.54000000001</v>
      </c>
      <c r="E39" s="992">
        <f t="shared" si="1"/>
        <v>86608.08</v>
      </c>
      <c r="F39" s="992">
        <f t="shared" si="2"/>
        <v>88273.62000000001</v>
      </c>
    </row>
    <row r="40" spans="1:6" s="394" customFormat="1" ht="12" customHeight="1">
      <c r="A40" s="12" t="s">
        <v>713</v>
      </c>
      <c r="B40" s="396" t="s">
        <v>836</v>
      </c>
      <c r="C40" s="1012">
        <v>3045</v>
      </c>
      <c r="D40" s="991">
        <f t="shared" si="0"/>
        <v>3105.9</v>
      </c>
      <c r="E40" s="992">
        <f t="shared" si="1"/>
        <v>3166.8</v>
      </c>
      <c r="F40" s="992">
        <f t="shared" si="2"/>
        <v>3227.7000000000003</v>
      </c>
    </row>
    <row r="41" spans="1:6" s="394" customFormat="1" ht="12" customHeight="1">
      <c r="A41" s="12" t="s">
        <v>714</v>
      </c>
      <c r="B41" s="396" t="s">
        <v>837</v>
      </c>
      <c r="C41" s="1012"/>
      <c r="D41" s="991">
        <f t="shared" si="0"/>
        <v>0</v>
      </c>
      <c r="E41" s="992">
        <f t="shared" si="1"/>
        <v>0</v>
      </c>
      <c r="F41" s="992">
        <f t="shared" si="2"/>
        <v>0</v>
      </c>
    </row>
    <row r="42" spans="1:6" s="394" customFormat="1" ht="12" customHeight="1">
      <c r="A42" s="12" t="s">
        <v>715</v>
      </c>
      <c r="B42" s="396" t="s">
        <v>838</v>
      </c>
      <c r="C42" s="1012">
        <v>1500</v>
      </c>
      <c r="D42" s="991">
        <f t="shared" si="0"/>
        <v>1530</v>
      </c>
      <c r="E42" s="992">
        <f t="shared" si="1"/>
        <v>1560</v>
      </c>
      <c r="F42" s="992">
        <f t="shared" si="2"/>
        <v>1590</v>
      </c>
    </row>
    <row r="43" spans="1:6" s="394" customFormat="1" ht="12" customHeight="1">
      <c r="A43" s="12" t="s">
        <v>829</v>
      </c>
      <c r="B43" s="396" t="s">
        <v>839</v>
      </c>
      <c r="C43" s="1012"/>
      <c r="D43" s="991">
        <f t="shared" si="0"/>
        <v>0</v>
      </c>
      <c r="E43" s="992">
        <f t="shared" si="1"/>
        <v>0</v>
      </c>
      <c r="F43" s="992">
        <f t="shared" si="2"/>
        <v>0</v>
      </c>
    </row>
    <row r="44" spans="1:6" s="394" customFormat="1" ht="12" customHeight="1" thickBot="1">
      <c r="A44" s="14" t="s">
        <v>830</v>
      </c>
      <c r="B44" s="397" t="s">
        <v>840</v>
      </c>
      <c r="C44" s="1013">
        <v>7000</v>
      </c>
      <c r="D44" s="993">
        <f t="shared" si="0"/>
        <v>7140</v>
      </c>
      <c r="E44" s="994">
        <f t="shared" si="1"/>
        <v>7280</v>
      </c>
      <c r="F44" s="994">
        <f t="shared" si="2"/>
        <v>7420</v>
      </c>
    </row>
    <row r="45" spans="1:6" s="394" customFormat="1" ht="12" customHeight="1" thickBot="1">
      <c r="A45" s="18" t="s">
        <v>560</v>
      </c>
      <c r="B45" s="19" t="s">
        <v>841</v>
      </c>
      <c r="C45" s="285">
        <f>SUM(C46:C50)</f>
        <v>0</v>
      </c>
      <c r="D45" s="285">
        <f t="shared" si="0"/>
        <v>0</v>
      </c>
      <c r="E45" s="285">
        <f t="shared" si="1"/>
        <v>0</v>
      </c>
      <c r="F45" s="285">
        <f t="shared" si="2"/>
        <v>0</v>
      </c>
    </row>
    <row r="46" spans="1:6" s="394" customFormat="1" ht="12" customHeight="1">
      <c r="A46" s="13" t="s">
        <v>636</v>
      </c>
      <c r="B46" s="395" t="s">
        <v>845</v>
      </c>
      <c r="C46" s="438"/>
      <c r="D46" s="990">
        <f t="shared" si="0"/>
        <v>0</v>
      </c>
      <c r="E46" s="989">
        <f t="shared" si="1"/>
        <v>0</v>
      </c>
      <c r="F46" s="989">
        <f t="shared" si="2"/>
        <v>0</v>
      </c>
    </row>
    <row r="47" spans="1:6" s="394" customFormat="1" ht="12" customHeight="1">
      <c r="A47" s="12" t="s">
        <v>637</v>
      </c>
      <c r="B47" s="396" t="s">
        <v>846</v>
      </c>
      <c r="C47" s="290"/>
      <c r="D47" s="991">
        <f t="shared" si="0"/>
        <v>0</v>
      </c>
      <c r="E47" s="992">
        <f t="shared" si="1"/>
        <v>0</v>
      </c>
      <c r="F47" s="992">
        <f t="shared" si="2"/>
        <v>0</v>
      </c>
    </row>
    <row r="48" spans="1:6" s="394" customFormat="1" ht="12" customHeight="1">
      <c r="A48" s="12" t="s">
        <v>842</v>
      </c>
      <c r="B48" s="396" t="s">
        <v>847</v>
      </c>
      <c r="C48" s="290"/>
      <c r="D48" s="991">
        <f t="shared" si="0"/>
        <v>0</v>
      </c>
      <c r="E48" s="992">
        <f t="shared" si="1"/>
        <v>0</v>
      </c>
      <c r="F48" s="992">
        <f t="shared" si="2"/>
        <v>0</v>
      </c>
    </row>
    <row r="49" spans="1:6" s="394" customFormat="1" ht="12" customHeight="1">
      <c r="A49" s="12" t="s">
        <v>843</v>
      </c>
      <c r="B49" s="396" t="s">
        <v>848</v>
      </c>
      <c r="C49" s="290"/>
      <c r="D49" s="991">
        <f t="shared" si="0"/>
        <v>0</v>
      </c>
      <c r="E49" s="992">
        <f t="shared" si="1"/>
        <v>0</v>
      </c>
      <c r="F49" s="992">
        <f t="shared" si="2"/>
        <v>0</v>
      </c>
    </row>
    <row r="50" spans="1:6" s="394" customFormat="1" ht="12" customHeight="1">
      <c r="A50" s="12" t="s">
        <v>844</v>
      </c>
      <c r="B50" s="396" t="s">
        <v>849</v>
      </c>
      <c r="C50" s="290"/>
      <c r="D50" s="991">
        <f t="shared" si="0"/>
        <v>0</v>
      </c>
      <c r="E50" s="992">
        <f t="shared" si="1"/>
        <v>0</v>
      </c>
      <c r="F50" s="992">
        <f t="shared" si="2"/>
        <v>0</v>
      </c>
    </row>
    <row r="51" spans="1:6" s="394" customFormat="1" ht="12" customHeight="1" thickBot="1">
      <c r="A51" s="1019" t="s">
        <v>535</v>
      </c>
      <c r="B51" s="1025" t="s">
        <v>190</v>
      </c>
      <c r="C51" s="1026"/>
      <c r="D51" s="993">
        <f t="shared" si="0"/>
        <v>0</v>
      </c>
      <c r="E51" s="994">
        <f t="shared" si="1"/>
        <v>0</v>
      </c>
      <c r="F51" s="994">
        <f t="shared" si="2"/>
        <v>0</v>
      </c>
    </row>
    <row r="52" spans="1:6" s="394" customFormat="1" ht="12" customHeight="1" thickBot="1">
      <c r="A52" s="18" t="s">
        <v>716</v>
      </c>
      <c r="B52" s="19" t="s">
        <v>850</v>
      </c>
      <c r="C52" s="285">
        <f>SUM(C53:C55)</f>
        <v>0</v>
      </c>
      <c r="D52" s="285">
        <f t="shared" si="0"/>
        <v>0</v>
      </c>
      <c r="E52" s="285">
        <f t="shared" si="1"/>
        <v>0</v>
      </c>
      <c r="F52" s="285">
        <f t="shared" si="2"/>
        <v>0</v>
      </c>
    </row>
    <row r="53" spans="1:6" s="394" customFormat="1" ht="12" customHeight="1">
      <c r="A53" s="13" t="s">
        <v>638</v>
      </c>
      <c r="B53" s="395" t="s">
        <v>851</v>
      </c>
      <c r="C53" s="288"/>
      <c r="D53" s="990">
        <f t="shared" si="0"/>
        <v>0</v>
      </c>
      <c r="E53" s="989">
        <f t="shared" si="1"/>
        <v>0</v>
      </c>
      <c r="F53" s="989">
        <f t="shared" si="2"/>
        <v>0</v>
      </c>
    </row>
    <row r="54" spans="1:6" s="394" customFormat="1" ht="12" customHeight="1">
      <c r="A54" s="12" t="s">
        <v>639</v>
      </c>
      <c r="B54" s="396" t="s">
        <v>323</v>
      </c>
      <c r="C54" s="287"/>
      <c r="D54" s="991">
        <f t="shared" si="0"/>
        <v>0</v>
      </c>
      <c r="E54" s="992">
        <f t="shared" si="1"/>
        <v>0</v>
      </c>
      <c r="F54" s="992">
        <f t="shared" si="2"/>
        <v>0</v>
      </c>
    </row>
    <row r="55" spans="1:6" s="394" customFormat="1" ht="12" customHeight="1">
      <c r="A55" s="12" t="s">
        <v>854</v>
      </c>
      <c r="B55" s="396" t="s">
        <v>325</v>
      </c>
      <c r="C55" s="287"/>
      <c r="D55" s="991">
        <f t="shared" si="0"/>
        <v>0</v>
      </c>
      <c r="E55" s="992">
        <f t="shared" si="1"/>
        <v>0</v>
      </c>
      <c r="F55" s="992">
        <f t="shared" si="2"/>
        <v>0</v>
      </c>
    </row>
    <row r="56" spans="1:6" s="394" customFormat="1" ht="12" customHeight="1" thickBot="1">
      <c r="A56" s="14" t="s">
        <v>855</v>
      </c>
      <c r="B56" s="397" t="s">
        <v>853</v>
      </c>
      <c r="C56" s="289"/>
      <c r="D56" s="993">
        <f t="shared" si="0"/>
        <v>0</v>
      </c>
      <c r="E56" s="994">
        <f t="shared" si="1"/>
        <v>0</v>
      </c>
      <c r="F56" s="994">
        <f t="shared" si="2"/>
        <v>0</v>
      </c>
    </row>
    <row r="57" spans="1:6" s="394" customFormat="1" ht="12" customHeight="1" thickBot="1">
      <c r="A57" s="18" t="s">
        <v>562</v>
      </c>
      <c r="B57" s="280" t="s">
        <v>856</v>
      </c>
      <c r="C57" s="285">
        <f>SUM(C58:C60)</f>
        <v>0</v>
      </c>
      <c r="D57" s="285">
        <f t="shared" si="0"/>
        <v>0</v>
      </c>
      <c r="E57" s="285">
        <f t="shared" si="1"/>
        <v>0</v>
      </c>
      <c r="F57" s="285">
        <f t="shared" si="2"/>
        <v>0</v>
      </c>
    </row>
    <row r="58" spans="1:6" s="394" customFormat="1" ht="12" customHeight="1">
      <c r="A58" s="13" t="s">
        <v>717</v>
      </c>
      <c r="B58" s="395" t="s">
        <v>858</v>
      </c>
      <c r="C58" s="290"/>
      <c r="D58" s="990">
        <f t="shared" si="0"/>
        <v>0</v>
      </c>
      <c r="E58" s="989">
        <f t="shared" si="1"/>
        <v>0</v>
      </c>
      <c r="F58" s="989">
        <f t="shared" si="2"/>
        <v>0</v>
      </c>
    </row>
    <row r="59" spans="1:6" s="394" customFormat="1" ht="12" customHeight="1">
      <c r="A59" s="12" t="s">
        <v>718</v>
      </c>
      <c r="B59" s="396" t="s">
        <v>177</v>
      </c>
      <c r="C59" s="290"/>
      <c r="D59" s="991">
        <f t="shared" si="0"/>
        <v>0</v>
      </c>
      <c r="E59" s="992">
        <f t="shared" si="1"/>
        <v>0</v>
      </c>
      <c r="F59" s="992">
        <f t="shared" si="2"/>
        <v>0</v>
      </c>
    </row>
    <row r="60" spans="1:6" s="394" customFormat="1" ht="12" customHeight="1">
      <c r="A60" s="12" t="s">
        <v>771</v>
      </c>
      <c r="B60" s="396" t="s">
        <v>340</v>
      </c>
      <c r="C60" s="290"/>
      <c r="D60" s="991">
        <f t="shared" si="0"/>
        <v>0</v>
      </c>
      <c r="E60" s="992">
        <f t="shared" si="1"/>
        <v>0</v>
      </c>
      <c r="F60" s="992">
        <f t="shared" si="2"/>
        <v>0</v>
      </c>
    </row>
    <row r="61" spans="1:6" s="394" customFormat="1" ht="12" customHeight="1" thickBot="1">
      <c r="A61" s="14" t="s">
        <v>857</v>
      </c>
      <c r="B61" s="397" t="s">
        <v>860</v>
      </c>
      <c r="C61" s="290"/>
      <c r="D61" s="993">
        <f t="shared" si="0"/>
        <v>0</v>
      </c>
      <c r="E61" s="994">
        <f t="shared" si="1"/>
        <v>0</v>
      </c>
      <c r="F61" s="994">
        <f t="shared" si="2"/>
        <v>0</v>
      </c>
    </row>
    <row r="62" spans="1:6" s="394" customFormat="1" ht="12" customHeight="1" thickBot="1">
      <c r="A62" s="18" t="s">
        <v>563</v>
      </c>
      <c r="B62" s="19" t="s">
        <v>861</v>
      </c>
      <c r="C62" s="291">
        <f>+C5+C12+C19+C26+C34+C45+C52+C57</f>
        <v>650666</v>
      </c>
      <c r="D62" s="285">
        <f t="shared" si="0"/>
        <v>663679.3200000001</v>
      </c>
      <c r="E62" s="285">
        <f t="shared" si="1"/>
        <v>676692.64</v>
      </c>
      <c r="F62" s="285">
        <f t="shared" si="2"/>
        <v>689705.9600000001</v>
      </c>
    </row>
    <row r="63" spans="1:6" s="394" customFormat="1" ht="12" customHeight="1" thickBot="1">
      <c r="A63" s="398" t="s">
        <v>862</v>
      </c>
      <c r="B63" s="280" t="s">
        <v>863</v>
      </c>
      <c r="C63" s="285">
        <f>SUM(C64:C66)</f>
        <v>0</v>
      </c>
      <c r="D63" s="285">
        <f t="shared" si="0"/>
        <v>0</v>
      </c>
      <c r="E63" s="285">
        <f t="shared" si="1"/>
        <v>0</v>
      </c>
      <c r="F63" s="285">
        <f t="shared" si="2"/>
        <v>0</v>
      </c>
    </row>
    <row r="64" spans="1:6" s="394" customFormat="1" ht="12" customHeight="1">
      <c r="A64" s="13" t="s">
        <v>41</v>
      </c>
      <c r="B64" s="395" t="s">
        <v>864</v>
      </c>
      <c r="C64" s="290"/>
      <c r="D64" s="990">
        <f t="shared" si="0"/>
        <v>0</v>
      </c>
      <c r="E64" s="989">
        <f t="shared" si="1"/>
        <v>0</v>
      </c>
      <c r="F64" s="989">
        <f t="shared" si="2"/>
        <v>0</v>
      </c>
    </row>
    <row r="65" spans="1:6" s="394" customFormat="1" ht="12" customHeight="1">
      <c r="A65" s="12" t="s">
        <v>50</v>
      </c>
      <c r="B65" s="396" t="s">
        <v>865</v>
      </c>
      <c r="C65" s="290"/>
      <c r="D65" s="991">
        <f t="shared" si="0"/>
        <v>0</v>
      </c>
      <c r="E65" s="992">
        <f t="shared" si="1"/>
        <v>0</v>
      </c>
      <c r="F65" s="992">
        <f t="shared" si="2"/>
        <v>0</v>
      </c>
    </row>
    <row r="66" spans="1:6" s="394" customFormat="1" ht="12" customHeight="1" thickBot="1">
      <c r="A66" s="14" t="s">
        <v>51</v>
      </c>
      <c r="B66" s="399" t="s">
        <v>866</v>
      </c>
      <c r="C66" s="290"/>
      <c r="D66" s="993">
        <f t="shared" si="0"/>
        <v>0</v>
      </c>
      <c r="E66" s="994">
        <f t="shared" si="1"/>
        <v>0</v>
      </c>
      <c r="F66" s="994">
        <f t="shared" si="2"/>
        <v>0</v>
      </c>
    </row>
    <row r="67" spans="1:6" s="394" customFormat="1" ht="12" customHeight="1" thickBot="1">
      <c r="A67" s="398" t="s">
        <v>867</v>
      </c>
      <c r="B67" s="280" t="s">
        <v>868</v>
      </c>
      <c r="C67" s="285">
        <f>SUM(C68:C71)</f>
        <v>0</v>
      </c>
      <c r="D67" s="285">
        <f t="shared" si="0"/>
        <v>0</v>
      </c>
      <c r="E67" s="285">
        <f t="shared" si="1"/>
        <v>0</v>
      </c>
      <c r="F67" s="285">
        <f t="shared" si="2"/>
        <v>0</v>
      </c>
    </row>
    <row r="68" spans="1:6" s="394" customFormat="1" ht="12" customHeight="1">
      <c r="A68" s="13" t="s">
        <v>687</v>
      </c>
      <c r="B68" s="395" t="s">
        <v>869</v>
      </c>
      <c r="C68" s="290"/>
      <c r="D68" s="990">
        <f t="shared" si="0"/>
        <v>0</v>
      </c>
      <c r="E68" s="989">
        <f t="shared" si="1"/>
        <v>0</v>
      </c>
      <c r="F68" s="989">
        <f t="shared" si="2"/>
        <v>0</v>
      </c>
    </row>
    <row r="69" spans="1:6" s="394" customFormat="1" ht="12" customHeight="1">
      <c r="A69" s="12" t="s">
        <v>688</v>
      </c>
      <c r="B69" s="396" t="s">
        <v>870</v>
      </c>
      <c r="C69" s="290"/>
      <c r="D69" s="991">
        <f t="shared" si="0"/>
        <v>0</v>
      </c>
      <c r="E69" s="992">
        <f t="shared" si="1"/>
        <v>0</v>
      </c>
      <c r="F69" s="992">
        <f t="shared" si="2"/>
        <v>0</v>
      </c>
    </row>
    <row r="70" spans="1:6" s="394" customFormat="1" ht="12" customHeight="1">
      <c r="A70" s="12" t="s">
        <v>42</v>
      </c>
      <c r="B70" s="396" t="s">
        <v>871</v>
      </c>
      <c r="C70" s="290"/>
      <c r="D70" s="991">
        <f aca="true" t="shared" si="3" ref="D70:D86">C70*102%</f>
        <v>0</v>
      </c>
      <c r="E70" s="992">
        <f aca="true" t="shared" si="4" ref="E70:E86">C70*104%</f>
        <v>0</v>
      </c>
      <c r="F70" s="992">
        <f aca="true" t="shared" si="5" ref="F70:F86">C70*106%</f>
        <v>0</v>
      </c>
    </row>
    <row r="71" spans="1:6" s="394" customFormat="1" ht="12" customHeight="1" thickBot="1">
      <c r="A71" s="16" t="s">
        <v>43</v>
      </c>
      <c r="B71" s="1022" t="s">
        <v>872</v>
      </c>
      <c r="C71" s="1023"/>
      <c r="D71" s="993">
        <f t="shared" si="3"/>
        <v>0</v>
      </c>
      <c r="E71" s="994">
        <f t="shared" si="4"/>
        <v>0</v>
      </c>
      <c r="F71" s="994">
        <f t="shared" si="5"/>
        <v>0</v>
      </c>
    </row>
    <row r="72" spans="1:6" s="394" customFormat="1" ht="12" customHeight="1" thickBot="1">
      <c r="A72" s="398" t="s">
        <v>873</v>
      </c>
      <c r="B72" s="280" t="s">
        <v>874</v>
      </c>
      <c r="C72" s="285">
        <f>C73</f>
        <v>100000</v>
      </c>
      <c r="D72" s="285">
        <f t="shared" si="3"/>
        <v>102000</v>
      </c>
      <c r="E72" s="285">
        <f t="shared" si="4"/>
        <v>104000</v>
      </c>
      <c r="F72" s="285">
        <f t="shared" si="5"/>
        <v>106000</v>
      </c>
    </row>
    <row r="73" spans="1:6" s="394" customFormat="1" ht="12" customHeight="1">
      <c r="A73" s="13" t="s">
        <v>44</v>
      </c>
      <c r="B73" s="395" t="s">
        <v>875</v>
      </c>
      <c r="C73" s="1012">
        <v>100000</v>
      </c>
      <c r="D73" s="990">
        <f t="shared" si="3"/>
        <v>102000</v>
      </c>
      <c r="E73" s="989">
        <f t="shared" si="4"/>
        <v>104000</v>
      </c>
      <c r="F73" s="989">
        <f t="shared" si="5"/>
        <v>106000</v>
      </c>
    </row>
    <row r="74" spans="1:6" s="394" customFormat="1" ht="12" customHeight="1" thickBot="1">
      <c r="A74" s="14" t="s">
        <v>45</v>
      </c>
      <c r="B74" s="397" t="s">
        <v>876</v>
      </c>
      <c r="C74" s="290"/>
      <c r="D74" s="993">
        <f t="shared" si="3"/>
        <v>0</v>
      </c>
      <c r="E74" s="994">
        <f t="shared" si="4"/>
        <v>0</v>
      </c>
      <c r="F74" s="994">
        <f t="shared" si="5"/>
        <v>0</v>
      </c>
    </row>
    <row r="75" spans="1:6" s="394" customFormat="1" ht="12" customHeight="1" thickBot="1">
      <c r="A75" s="398" t="s">
        <v>877</v>
      </c>
      <c r="B75" s="280" t="s">
        <v>878</v>
      </c>
      <c r="C75" s="285">
        <f>SUM(C76:C78)</f>
        <v>0</v>
      </c>
      <c r="D75" s="285">
        <f t="shared" si="3"/>
        <v>0</v>
      </c>
      <c r="E75" s="285">
        <f t="shared" si="4"/>
        <v>0</v>
      </c>
      <c r="F75" s="285">
        <f t="shared" si="5"/>
        <v>0</v>
      </c>
    </row>
    <row r="76" spans="1:6" s="394" customFormat="1" ht="12" customHeight="1">
      <c r="A76" s="13" t="s">
        <v>46</v>
      </c>
      <c r="B76" s="395" t="s">
        <v>879</v>
      </c>
      <c r="C76" s="290"/>
      <c r="D76" s="1001">
        <f t="shared" si="3"/>
        <v>0</v>
      </c>
      <c r="E76" s="990">
        <f t="shared" si="4"/>
        <v>0</v>
      </c>
      <c r="F76" s="1004">
        <f t="shared" si="5"/>
        <v>0</v>
      </c>
    </row>
    <row r="77" spans="1:6" s="394" customFormat="1" ht="12" customHeight="1">
      <c r="A77" s="12" t="s">
        <v>47</v>
      </c>
      <c r="B77" s="396" t="s">
        <v>880</v>
      </c>
      <c r="C77" s="290"/>
      <c r="D77" s="1002">
        <f t="shared" si="3"/>
        <v>0</v>
      </c>
      <c r="E77" s="991">
        <f t="shared" si="4"/>
        <v>0</v>
      </c>
      <c r="F77" s="1005">
        <f t="shared" si="5"/>
        <v>0</v>
      </c>
    </row>
    <row r="78" spans="1:6" s="394" customFormat="1" ht="12" customHeight="1" thickBot="1">
      <c r="A78" s="14" t="s">
        <v>48</v>
      </c>
      <c r="B78" s="397" t="s">
        <v>881</v>
      </c>
      <c r="C78" s="290"/>
      <c r="D78" s="1003">
        <f t="shared" si="3"/>
        <v>0</v>
      </c>
      <c r="E78" s="993">
        <f t="shared" si="4"/>
        <v>0</v>
      </c>
      <c r="F78" s="1006">
        <f t="shared" si="5"/>
        <v>0</v>
      </c>
    </row>
    <row r="79" spans="1:6" s="394" customFormat="1" ht="12" customHeight="1" thickBot="1">
      <c r="A79" s="398" t="s">
        <v>882</v>
      </c>
      <c r="B79" s="280" t="s">
        <v>49</v>
      </c>
      <c r="C79" s="285">
        <f>SUM(C80:C83)</f>
        <v>0</v>
      </c>
      <c r="D79" s="285">
        <f t="shared" si="3"/>
        <v>0</v>
      </c>
      <c r="E79" s="285">
        <f t="shared" si="4"/>
        <v>0</v>
      </c>
      <c r="F79" s="285">
        <f t="shared" si="5"/>
        <v>0</v>
      </c>
    </row>
    <row r="80" spans="1:6" s="394" customFormat="1" ht="12" customHeight="1">
      <c r="A80" s="400" t="s">
        <v>883</v>
      </c>
      <c r="B80" s="395" t="s">
        <v>29</v>
      </c>
      <c r="C80" s="1007"/>
      <c r="D80" s="990">
        <f t="shared" si="3"/>
        <v>0</v>
      </c>
      <c r="E80" s="990">
        <f t="shared" si="4"/>
        <v>0</v>
      </c>
      <c r="F80" s="1004">
        <f t="shared" si="5"/>
        <v>0</v>
      </c>
    </row>
    <row r="81" spans="1:6" s="394" customFormat="1" ht="12" customHeight="1">
      <c r="A81" s="401" t="s">
        <v>30</v>
      </c>
      <c r="B81" s="396" t="s">
        <v>31</v>
      </c>
      <c r="C81" s="1007"/>
      <c r="D81" s="991">
        <f t="shared" si="3"/>
        <v>0</v>
      </c>
      <c r="E81" s="991">
        <f t="shared" si="4"/>
        <v>0</v>
      </c>
      <c r="F81" s="1005">
        <f t="shared" si="5"/>
        <v>0</v>
      </c>
    </row>
    <row r="82" spans="1:6" s="394" customFormat="1" ht="12" customHeight="1">
      <c r="A82" s="401" t="s">
        <v>32</v>
      </c>
      <c r="B82" s="396" t="s">
        <v>33</v>
      </c>
      <c r="C82" s="1007"/>
      <c r="D82" s="991">
        <f t="shared" si="3"/>
        <v>0</v>
      </c>
      <c r="E82" s="991">
        <f t="shared" si="4"/>
        <v>0</v>
      </c>
      <c r="F82" s="1005">
        <f t="shared" si="5"/>
        <v>0</v>
      </c>
    </row>
    <row r="83" spans="1:6" s="394" customFormat="1" ht="12" customHeight="1" thickBot="1">
      <c r="A83" s="402" t="s">
        <v>34</v>
      </c>
      <c r="B83" s="397" t="s">
        <v>35</v>
      </c>
      <c r="C83" s="1007"/>
      <c r="D83" s="993">
        <f t="shared" si="3"/>
        <v>0</v>
      </c>
      <c r="E83" s="993">
        <f t="shared" si="4"/>
        <v>0</v>
      </c>
      <c r="F83" s="1006">
        <f t="shared" si="5"/>
        <v>0</v>
      </c>
    </row>
    <row r="84" spans="1:6" s="394" customFormat="1" ht="13.5" customHeight="1" thickBot="1">
      <c r="A84" s="398" t="s">
        <v>36</v>
      </c>
      <c r="B84" s="280" t="s">
        <v>37</v>
      </c>
      <c r="C84" s="439"/>
      <c r="D84" s="285">
        <f t="shared" si="3"/>
        <v>0</v>
      </c>
      <c r="E84" s="285">
        <f t="shared" si="4"/>
        <v>0</v>
      </c>
      <c r="F84" s="285">
        <f t="shared" si="5"/>
        <v>0</v>
      </c>
    </row>
    <row r="85" spans="1:6" s="394" customFormat="1" ht="15.75" customHeight="1" thickBot="1">
      <c r="A85" s="398" t="s">
        <v>38</v>
      </c>
      <c r="B85" s="403" t="s">
        <v>39</v>
      </c>
      <c r="C85" s="291">
        <f>+C63+C67+C72+C75+C79+C84</f>
        <v>100000</v>
      </c>
      <c r="D85" s="285">
        <f t="shared" si="3"/>
        <v>102000</v>
      </c>
      <c r="E85" s="285">
        <f t="shared" si="4"/>
        <v>104000</v>
      </c>
      <c r="F85" s="285">
        <f t="shared" si="5"/>
        <v>106000</v>
      </c>
    </row>
    <row r="86" spans="1:6" s="394" customFormat="1" ht="16.5" customHeight="1" thickBot="1">
      <c r="A86" s="404" t="s">
        <v>52</v>
      </c>
      <c r="B86" s="405" t="s">
        <v>40</v>
      </c>
      <c r="C86" s="291">
        <f>+C62+C85</f>
        <v>750666</v>
      </c>
      <c r="D86" s="285">
        <f t="shared" si="3"/>
        <v>765679.3200000001</v>
      </c>
      <c r="E86" s="285">
        <f t="shared" si="4"/>
        <v>780692.64</v>
      </c>
      <c r="F86" s="285">
        <f t="shared" si="5"/>
        <v>795705.9600000001</v>
      </c>
    </row>
    <row r="87" spans="1:6" s="394" customFormat="1" ht="16.5" customHeight="1">
      <c r="A87" s="742"/>
      <c r="B87" s="742"/>
      <c r="C87" s="743"/>
      <c r="D87" s="743"/>
      <c r="E87" s="743"/>
      <c r="F87" s="743"/>
    </row>
    <row r="88" spans="1:3" ht="16.5" customHeight="1">
      <c r="A88" s="1249" t="s">
        <v>583</v>
      </c>
      <c r="B88" s="1249"/>
      <c r="C88" s="1249"/>
    </row>
    <row r="89" spans="1:6" s="406" customFormat="1" ht="16.5" customHeight="1" thickBot="1">
      <c r="A89" s="1250" t="s">
        <v>690</v>
      </c>
      <c r="B89" s="1250"/>
      <c r="C89" s="128"/>
      <c r="D89" s="128"/>
      <c r="E89" s="128"/>
      <c r="F89" s="128" t="s">
        <v>770</v>
      </c>
    </row>
    <row r="90" spans="1:6" ht="37.5" customHeight="1" thickBot="1">
      <c r="A90" s="21" t="s">
        <v>610</v>
      </c>
      <c r="B90" s="22" t="s">
        <v>584</v>
      </c>
      <c r="C90" s="37" t="s">
        <v>451</v>
      </c>
      <c r="D90" s="37" t="s">
        <v>452</v>
      </c>
      <c r="E90" s="37" t="s">
        <v>457</v>
      </c>
      <c r="F90" s="37" t="s">
        <v>458</v>
      </c>
    </row>
    <row r="91" spans="1:6" s="393" customFormat="1" ht="12" customHeight="1" thickBot="1">
      <c r="A91" s="30">
        <v>1</v>
      </c>
      <c r="B91" s="31">
        <v>2</v>
      </c>
      <c r="C91" s="32">
        <v>3</v>
      </c>
      <c r="D91" s="32">
        <v>4</v>
      </c>
      <c r="E91" s="32">
        <v>5</v>
      </c>
      <c r="F91" s="32">
        <v>6</v>
      </c>
    </row>
    <row r="92" spans="1:6" ht="12" customHeight="1" thickBot="1">
      <c r="A92" s="20" t="s">
        <v>555</v>
      </c>
      <c r="B92" s="29" t="s">
        <v>55</v>
      </c>
      <c r="C92" s="284">
        <f>C93+C94+C95+C96+C97</f>
        <v>589799</v>
      </c>
      <c r="D92" s="284">
        <f>C92*102%</f>
        <v>601594.98</v>
      </c>
      <c r="E92" s="284">
        <f>C92*104%</f>
        <v>613390.96</v>
      </c>
      <c r="F92" s="284">
        <f>C92*106%</f>
        <v>625186.9400000001</v>
      </c>
    </row>
    <row r="93" spans="1:6" ht="12" customHeight="1">
      <c r="A93" s="15" t="s">
        <v>640</v>
      </c>
      <c r="B93" s="8" t="s">
        <v>585</v>
      </c>
      <c r="C93" s="1011">
        <v>181117</v>
      </c>
      <c r="D93" s="990">
        <f aca="true" t="shared" si="6" ref="D93:D148">C93*102%</f>
        <v>184739.34</v>
      </c>
      <c r="E93" s="989">
        <f aca="true" t="shared" si="7" ref="E93:E146">C93*104%</f>
        <v>188361.68</v>
      </c>
      <c r="F93" s="989">
        <f aca="true" t="shared" si="8" ref="F93:F146">C93*106%</f>
        <v>191984.02000000002</v>
      </c>
    </row>
    <row r="94" spans="1:6" ht="12" customHeight="1">
      <c r="A94" s="12" t="s">
        <v>641</v>
      </c>
      <c r="B94" s="6" t="s">
        <v>719</v>
      </c>
      <c r="C94" s="1012">
        <v>50297</v>
      </c>
      <c r="D94" s="991">
        <f t="shared" si="6"/>
        <v>51302.94</v>
      </c>
      <c r="E94" s="992">
        <f t="shared" si="7"/>
        <v>52308.880000000005</v>
      </c>
      <c r="F94" s="992">
        <f t="shared" si="8"/>
        <v>53314.82</v>
      </c>
    </row>
    <row r="95" spans="1:6" ht="12" customHeight="1">
      <c r="A95" s="12" t="s">
        <v>642</v>
      </c>
      <c r="B95" s="6" t="s">
        <v>678</v>
      </c>
      <c r="C95" s="1013">
        <v>217425</v>
      </c>
      <c r="D95" s="991">
        <f t="shared" si="6"/>
        <v>221773.5</v>
      </c>
      <c r="E95" s="992">
        <f t="shared" si="7"/>
        <v>226122</v>
      </c>
      <c r="F95" s="992">
        <f t="shared" si="8"/>
        <v>230470.5</v>
      </c>
    </row>
    <row r="96" spans="1:6" ht="12" customHeight="1">
      <c r="A96" s="12" t="s">
        <v>643</v>
      </c>
      <c r="B96" s="9" t="s">
        <v>720</v>
      </c>
      <c r="C96" s="1013">
        <v>9611</v>
      </c>
      <c r="D96" s="991">
        <f t="shared" si="6"/>
        <v>9803.22</v>
      </c>
      <c r="E96" s="992">
        <f t="shared" si="7"/>
        <v>9995.44</v>
      </c>
      <c r="F96" s="992">
        <f t="shared" si="8"/>
        <v>10187.66</v>
      </c>
    </row>
    <row r="97" spans="1:6" ht="12" customHeight="1">
      <c r="A97" s="12" t="s">
        <v>654</v>
      </c>
      <c r="B97" s="17" t="s">
        <v>721</v>
      </c>
      <c r="C97" s="1013">
        <v>131349</v>
      </c>
      <c r="D97" s="991">
        <f t="shared" si="6"/>
        <v>133975.98</v>
      </c>
      <c r="E97" s="992">
        <f t="shared" si="7"/>
        <v>136602.96</v>
      </c>
      <c r="F97" s="992">
        <f t="shared" si="8"/>
        <v>139229.94</v>
      </c>
    </row>
    <row r="98" spans="1:6" ht="12" customHeight="1">
      <c r="A98" s="12" t="s">
        <v>644</v>
      </c>
      <c r="B98" s="6" t="s">
        <v>56</v>
      </c>
      <c r="C98" s="1013"/>
      <c r="D98" s="991">
        <f t="shared" si="6"/>
        <v>0</v>
      </c>
      <c r="E98" s="992">
        <f t="shared" si="7"/>
        <v>0</v>
      </c>
      <c r="F98" s="992">
        <f t="shared" si="8"/>
        <v>0</v>
      </c>
    </row>
    <row r="99" spans="1:6" ht="12" customHeight="1">
      <c r="A99" s="12" t="s">
        <v>645</v>
      </c>
      <c r="B99" s="130" t="s">
        <v>57</v>
      </c>
      <c r="C99" s="1013"/>
      <c r="D99" s="991">
        <f t="shared" si="6"/>
        <v>0</v>
      </c>
      <c r="E99" s="992">
        <f t="shared" si="7"/>
        <v>0</v>
      </c>
      <c r="F99" s="992">
        <f t="shared" si="8"/>
        <v>0</v>
      </c>
    </row>
    <row r="100" spans="1:6" ht="12" customHeight="1">
      <c r="A100" s="12" t="s">
        <v>655</v>
      </c>
      <c r="B100" s="131" t="s">
        <v>58</v>
      </c>
      <c r="C100" s="1013"/>
      <c r="D100" s="991">
        <f t="shared" si="6"/>
        <v>0</v>
      </c>
      <c r="E100" s="992">
        <f t="shared" si="7"/>
        <v>0</v>
      </c>
      <c r="F100" s="992">
        <f t="shared" si="8"/>
        <v>0</v>
      </c>
    </row>
    <row r="101" spans="1:6" ht="12" customHeight="1">
      <c r="A101" s="12" t="s">
        <v>656</v>
      </c>
      <c r="B101" s="131" t="s">
        <v>59</v>
      </c>
      <c r="C101" s="1013"/>
      <c r="D101" s="991">
        <f t="shared" si="6"/>
        <v>0</v>
      </c>
      <c r="E101" s="992">
        <f t="shared" si="7"/>
        <v>0</v>
      </c>
      <c r="F101" s="992">
        <f t="shared" si="8"/>
        <v>0</v>
      </c>
    </row>
    <row r="102" spans="1:6" ht="12" customHeight="1">
      <c r="A102" s="12" t="s">
        <v>657</v>
      </c>
      <c r="B102" s="130" t="s">
        <v>247</v>
      </c>
      <c r="C102" s="1013">
        <v>126149</v>
      </c>
      <c r="D102" s="991">
        <f t="shared" si="6"/>
        <v>128671.98</v>
      </c>
      <c r="E102" s="992">
        <f t="shared" si="7"/>
        <v>131194.96</v>
      </c>
      <c r="F102" s="992">
        <f t="shared" si="8"/>
        <v>133717.94</v>
      </c>
    </row>
    <row r="103" spans="1:6" ht="12" customHeight="1">
      <c r="A103" s="12" t="s">
        <v>658</v>
      </c>
      <c r="B103" s="130" t="s">
        <v>338</v>
      </c>
      <c r="C103" s="1013">
        <v>2000</v>
      </c>
      <c r="D103" s="991">
        <f t="shared" si="6"/>
        <v>2040</v>
      </c>
      <c r="E103" s="992">
        <f t="shared" si="7"/>
        <v>2080</v>
      </c>
      <c r="F103" s="992">
        <f t="shared" si="8"/>
        <v>2120</v>
      </c>
    </row>
    <row r="104" spans="1:6" ht="12" customHeight="1">
      <c r="A104" s="12" t="s">
        <v>660</v>
      </c>
      <c r="B104" s="131" t="s">
        <v>62</v>
      </c>
      <c r="C104" s="1013"/>
      <c r="D104" s="991">
        <f t="shared" si="6"/>
        <v>0</v>
      </c>
      <c r="E104" s="992">
        <f t="shared" si="7"/>
        <v>0</v>
      </c>
      <c r="F104" s="992">
        <f t="shared" si="8"/>
        <v>0</v>
      </c>
    </row>
    <row r="105" spans="1:6" ht="12" customHeight="1">
      <c r="A105" s="11" t="s">
        <v>722</v>
      </c>
      <c r="B105" s="132" t="s">
        <v>63</v>
      </c>
      <c r="C105" s="1013"/>
      <c r="D105" s="991">
        <f t="shared" si="6"/>
        <v>0</v>
      </c>
      <c r="E105" s="992">
        <f t="shared" si="7"/>
        <v>0</v>
      </c>
      <c r="F105" s="992">
        <f t="shared" si="8"/>
        <v>0</v>
      </c>
    </row>
    <row r="106" spans="1:6" ht="12" customHeight="1">
      <c r="A106" s="12" t="s">
        <v>53</v>
      </c>
      <c r="B106" s="131" t="s">
        <v>328</v>
      </c>
      <c r="C106" s="1013"/>
      <c r="D106" s="991">
        <f t="shared" si="6"/>
        <v>0</v>
      </c>
      <c r="E106" s="992">
        <f t="shared" si="7"/>
        <v>0</v>
      </c>
      <c r="F106" s="992">
        <f t="shared" si="8"/>
        <v>0</v>
      </c>
    </row>
    <row r="107" spans="1:6" ht="12" customHeight="1" thickBot="1">
      <c r="A107" s="16" t="s">
        <v>54</v>
      </c>
      <c r="B107" s="691" t="s">
        <v>65</v>
      </c>
      <c r="C107" s="1014">
        <v>3200</v>
      </c>
      <c r="D107" s="993">
        <f t="shared" si="6"/>
        <v>3264</v>
      </c>
      <c r="E107" s="994">
        <f t="shared" si="7"/>
        <v>3328</v>
      </c>
      <c r="F107" s="994">
        <f t="shared" si="8"/>
        <v>3392</v>
      </c>
    </row>
    <row r="108" spans="1:6" ht="12" customHeight="1" thickBot="1">
      <c r="A108" s="18" t="s">
        <v>556</v>
      </c>
      <c r="B108" s="28" t="s">
        <v>66</v>
      </c>
      <c r="C108" s="291">
        <f>+C109+C111+C113</f>
        <v>100000</v>
      </c>
      <c r="D108" s="284">
        <f t="shared" si="6"/>
        <v>102000</v>
      </c>
      <c r="E108" s="284">
        <f t="shared" si="7"/>
        <v>104000</v>
      </c>
      <c r="F108" s="284">
        <f t="shared" si="8"/>
        <v>106000</v>
      </c>
    </row>
    <row r="109" spans="1:6" ht="12" customHeight="1">
      <c r="A109" s="13" t="s">
        <v>646</v>
      </c>
      <c r="B109" s="6" t="s">
        <v>339</v>
      </c>
      <c r="C109" s="1015">
        <v>18354</v>
      </c>
      <c r="D109" s="990">
        <f t="shared" si="6"/>
        <v>18721.08</v>
      </c>
      <c r="E109" s="990">
        <f t="shared" si="7"/>
        <v>19088.16</v>
      </c>
      <c r="F109" s="990">
        <f t="shared" si="8"/>
        <v>19455.24</v>
      </c>
    </row>
    <row r="110" spans="1:6" ht="12" customHeight="1">
      <c r="A110" s="13" t="s">
        <v>647</v>
      </c>
      <c r="B110" s="10" t="s">
        <v>70</v>
      </c>
      <c r="C110" s="1015"/>
      <c r="D110" s="991">
        <f t="shared" si="6"/>
        <v>0</v>
      </c>
      <c r="E110" s="991">
        <f t="shared" si="7"/>
        <v>0</v>
      </c>
      <c r="F110" s="991">
        <f t="shared" si="8"/>
        <v>0</v>
      </c>
    </row>
    <row r="111" spans="1:6" ht="12" customHeight="1">
      <c r="A111" s="13" t="s">
        <v>648</v>
      </c>
      <c r="B111" s="10" t="s">
        <v>723</v>
      </c>
      <c r="C111" s="1012">
        <v>31681</v>
      </c>
      <c r="D111" s="991">
        <f t="shared" si="6"/>
        <v>32314.62</v>
      </c>
      <c r="E111" s="991">
        <f t="shared" si="7"/>
        <v>32948.24</v>
      </c>
      <c r="F111" s="991">
        <f t="shared" si="8"/>
        <v>33581.86</v>
      </c>
    </row>
    <row r="112" spans="1:6" ht="12" customHeight="1">
      <c r="A112" s="13" t="s">
        <v>649</v>
      </c>
      <c r="B112" s="10" t="s">
        <v>71</v>
      </c>
      <c r="C112" s="1016"/>
      <c r="D112" s="991">
        <f t="shared" si="6"/>
        <v>0</v>
      </c>
      <c r="E112" s="991">
        <f t="shared" si="7"/>
        <v>0</v>
      </c>
      <c r="F112" s="991">
        <f t="shared" si="8"/>
        <v>0</v>
      </c>
    </row>
    <row r="113" spans="1:6" ht="12" customHeight="1">
      <c r="A113" s="13" t="s">
        <v>650</v>
      </c>
      <c r="B113" s="282" t="s">
        <v>772</v>
      </c>
      <c r="C113" s="1016">
        <v>49965</v>
      </c>
      <c r="D113" s="991">
        <f t="shared" si="6"/>
        <v>50964.3</v>
      </c>
      <c r="E113" s="991">
        <f t="shared" si="7"/>
        <v>51963.6</v>
      </c>
      <c r="F113" s="991">
        <f t="shared" si="8"/>
        <v>52962.9</v>
      </c>
    </row>
    <row r="114" spans="1:6" ht="12" customHeight="1">
      <c r="A114" s="13" t="s">
        <v>659</v>
      </c>
      <c r="B114" s="281" t="s">
        <v>178</v>
      </c>
      <c r="C114" s="1016"/>
      <c r="D114" s="991">
        <f t="shared" si="6"/>
        <v>0</v>
      </c>
      <c r="E114" s="991">
        <f t="shared" si="7"/>
        <v>0</v>
      </c>
      <c r="F114" s="991">
        <f t="shared" si="8"/>
        <v>0</v>
      </c>
    </row>
    <row r="115" spans="1:6" ht="12" customHeight="1">
      <c r="A115" s="13" t="s">
        <v>661</v>
      </c>
      <c r="B115" s="391" t="s">
        <v>76</v>
      </c>
      <c r="C115" s="1016"/>
      <c r="D115" s="991">
        <f t="shared" si="6"/>
        <v>0</v>
      </c>
      <c r="E115" s="991">
        <f t="shared" si="7"/>
        <v>0</v>
      </c>
      <c r="F115" s="991">
        <f t="shared" si="8"/>
        <v>0</v>
      </c>
    </row>
    <row r="116" spans="1:6" ht="15.75">
      <c r="A116" s="13" t="s">
        <v>724</v>
      </c>
      <c r="B116" s="131" t="s">
        <v>382</v>
      </c>
      <c r="C116" s="1016">
        <v>31646</v>
      </c>
      <c r="D116" s="991">
        <f t="shared" si="6"/>
        <v>32278.920000000002</v>
      </c>
      <c r="E116" s="991">
        <f t="shared" si="7"/>
        <v>32911.840000000004</v>
      </c>
      <c r="F116" s="991">
        <f t="shared" si="8"/>
        <v>33544.76</v>
      </c>
    </row>
    <row r="117" spans="1:6" ht="12" customHeight="1">
      <c r="A117" s="13" t="s">
        <v>725</v>
      </c>
      <c r="B117" s="131" t="s">
        <v>335</v>
      </c>
      <c r="C117" s="1016">
        <v>17119</v>
      </c>
      <c r="D117" s="991">
        <f t="shared" si="6"/>
        <v>17461.38</v>
      </c>
      <c r="E117" s="991">
        <f t="shared" si="7"/>
        <v>17803.760000000002</v>
      </c>
      <c r="F117" s="991">
        <f t="shared" si="8"/>
        <v>18146.14</v>
      </c>
    </row>
    <row r="118" spans="1:6" ht="12" customHeight="1">
      <c r="A118" s="13" t="s">
        <v>726</v>
      </c>
      <c r="B118" s="131" t="s">
        <v>74</v>
      </c>
      <c r="C118" s="1016"/>
      <c r="D118" s="991">
        <f t="shared" si="6"/>
        <v>0</v>
      </c>
      <c r="E118" s="991">
        <f t="shared" si="7"/>
        <v>0</v>
      </c>
      <c r="F118" s="991">
        <f t="shared" si="8"/>
        <v>0</v>
      </c>
    </row>
    <row r="119" spans="1:6" ht="12" customHeight="1">
      <c r="A119" s="13" t="s">
        <v>67</v>
      </c>
      <c r="B119" s="131" t="s">
        <v>62</v>
      </c>
      <c r="C119" s="1016"/>
      <c r="D119" s="991">
        <f t="shared" si="6"/>
        <v>0</v>
      </c>
      <c r="E119" s="991">
        <f t="shared" si="7"/>
        <v>0</v>
      </c>
      <c r="F119" s="991">
        <f t="shared" si="8"/>
        <v>0</v>
      </c>
    </row>
    <row r="120" spans="1:6" ht="12" customHeight="1">
      <c r="A120" s="13" t="s">
        <v>68</v>
      </c>
      <c r="B120" s="131" t="s">
        <v>73</v>
      </c>
      <c r="C120" s="1016"/>
      <c r="D120" s="991">
        <f t="shared" si="6"/>
        <v>0</v>
      </c>
      <c r="E120" s="991">
        <f t="shared" si="7"/>
        <v>0</v>
      </c>
      <c r="F120" s="991">
        <f t="shared" si="8"/>
        <v>0</v>
      </c>
    </row>
    <row r="121" spans="1:6" ht="16.5" thickBot="1">
      <c r="A121" s="11" t="s">
        <v>69</v>
      </c>
      <c r="B121" s="131" t="s">
        <v>248</v>
      </c>
      <c r="C121" s="1017">
        <v>1200</v>
      </c>
      <c r="D121" s="993">
        <f t="shared" si="6"/>
        <v>1224</v>
      </c>
      <c r="E121" s="993">
        <f t="shared" si="7"/>
        <v>1248</v>
      </c>
      <c r="F121" s="993">
        <f t="shared" si="8"/>
        <v>1272</v>
      </c>
    </row>
    <row r="122" spans="1:6" ht="12" customHeight="1" thickBot="1">
      <c r="A122" s="18" t="s">
        <v>557</v>
      </c>
      <c r="B122" s="121" t="s">
        <v>77</v>
      </c>
      <c r="C122" s="291">
        <f>+C123+C124</f>
        <v>60867</v>
      </c>
      <c r="D122" s="284">
        <f t="shared" si="6"/>
        <v>62084.340000000004</v>
      </c>
      <c r="E122" s="284">
        <f t="shared" si="7"/>
        <v>63301.68</v>
      </c>
      <c r="F122" s="284">
        <f t="shared" si="8"/>
        <v>64519.020000000004</v>
      </c>
    </row>
    <row r="123" spans="1:6" ht="12" customHeight="1">
      <c r="A123" s="13" t="s">
        <v>629</v>
      </c>
      <c r="B123" s="7" t="s">
        <v>597</v>
      </c>
      <c r="C123" s="1011">
        <v>27460</v>
      </c>
      <c r="D123" s="989">
        <f t="shared" si="6"/>
        <v>28009.2</v>
      </c>
      <c r="E123" s="989">
        <f t="shared" si="7"/>
        <v>28558.4</v>
      </c>
      <c r="F123" s="989">
        <f t="shared" si="8"/>
        <v>29107.600000000002</v>
      </c>
    </row>
    <row r="124" spans="1:6" ht="12" customHeight="1" thickBot="1">
      <c r="A124" s="14" t="s">
        <v>630</v>
      </c>
      <c r="B124" s="10" t="s">
        <v>598</v>
      </c>
      <c r="C124" s="1014">
        <v>33407</v>
      </c>
      <c r="D124" s="994">
        <f t="shared" si="6"/>
        <v>34075.14</v>
      </c>
      <c r="E124" s="994">
        <f t="shared" si="7"/>
        <v>34743.28</v>
      </c>
      <c r="F124" s="994">
        <f t="shared" si="8"/>
        <v>35411.42</v>
      </c>
    </row>
    <row r="125" spans="1:6" ht="12" customHeight="1" thickBot="1">
      <c r="A125" s="18" t="s">
        <v>558</v>
      </c>
      <c r="B125" s="121" t="s">
        <v>78</v>
      </c>
      <c r="C125" s="285">
        <f>+C92+C108+C122</f>
        <v>750666</v>
      </c>
      <c r="D125" s="284">
        <f t="shared" si="6"/>
        <v>765679.3200000001</v>
      </c>
      <c r="E125" s="284">
        <f t="shared" si="7"/>
        <v>780692.64</v>
      </c>
      <c r="F125" s="284">
        <f t="shared" si="8"/>
        <v>795705.9600000001</v>
      </c>
    </row>
    <row r="126" spans="1:6" ht="12" customHeight="1" thickBot="1">
      <c r="A126" s="18" t="s">
        <v>559</v>
      </c>
      <c r="B126" s="121" t="s">
        <v>79</v>
      </c>
      <c r="C126" s="285">
        <f>+C127+C128+C129</f>
        <v>0</v>
      </c>
      <c r="D126" s="284">
        <f t="shared" si="6"/>
        <v>0</v>
      </c>
      <c r="E126" s="284">
        <f t="shared" si="7"/>
        <v>0</v>
      </c>
      <c r="F126" s="284">
        <f t="shared" si="8"/>
        <v>0</v>
      </c>
    </row>
    <row r="127" spans="1:6" ht="12" customHeight="1">
      <c r="A127" s="13" t="s">
        <v>633</v>
      </c>
      <c r="B127" s="7" t="s">
        <v>80</v>
      </c>
      <c r="C127" s="258"/>
      <c r="D127" s="990">
        <f t="shared" si="6"/>
        <v>0</v>
      </c>
      <c r="E127" s="989">
        <f t="shared" si="7"/>
        <v>0</v>
      </c>
      <c r="F127" s="989">
        <f t="shared" si="8"/>
        <v>0</v>
      </c>
    </row>
    <row r="128" spans="1:6" ht="12" customHeight="1">
      <c r="A128" s="13" t="s">
        <v>634</v>
      </c>
      <c r="B128" s="7" t="s">
        <v>81</v>
      </c>
      <c r="C128" s="258"/>
      <c r="D128" s="991">
        <f t="shared" si="6"/>
        <v>0</v>
      </c>
      <c r="E128" s="992">
        <f t="shared" si="7"/>
        <v>0</v>
      </c>
      <c r="F128" s="992">
        <f t="shared" si="8"/>
        <v>0</v>
      </c>
    </row>
    <row r="129" spans="1:6" ht="12" customHeight="1" thickBot="1">
      <c r="A129" s="11" t="s">
        <v>635</v>
      </c>
      <c r="B129" s="5" t="s">
        <v>82</v>
      </c>
      <c r="C129" s="258"/>
      <c r="D129" s="993">
        <f t="shared" si="6"/>
        <v>0</v>
      </c>
      <c r="E129" s="994">
        <f t="shared" si="7"/>
        <v>0</v>
      </c>
      <c r="F129" s="994">
        <f t="shared" si="8"/>
        <v>0</v>
      </c>
    </row>
    <row r="130" spans="1:6" ht="12" customHeight="1" thickBot="1">
      <c r="A130" s="18" t="s">
        <v>560</v>
      </c>
      <c r="B130" s="121" t="s">
        <v>132</v>
      </c>
      <c r="C130" s="285">
        <f>+C131+C132+C133+C134</f>
        <v>0</v>
      </c>
      <c r="D130" s="284">
        <f t="shared" si="6"/>
        <v>0</v>
      </c>
      <c r="E130" s="284">
        <f t="shared" si="7"/>
        <v>0</v>
      </c>
      <c r="F130" s="284">
        <f t="shared" si="8"/>
        <v>0</v>
      </c>
    </row>
    <row r="131" spans="1:6" ht="12" customHeight="1">
      <c r="A131" s="13" t="s">
        <v>636</v>
      </c>
      <c r="B131" s="7" t="s">
        <v>83</v>
      </c>
      <c r="C131" s="258"/>
      <c r="D131" s="990">
        <f t="shared" si="6"/>
        <v>0</v>
      </c>
      <c r="E131" s="989">
        <f t="shared" si="7"/>
        <v>0</v>
      </c>
      <c r="F131" s="989">
        <f t="shared" si="8"/>
        <v>0</v>
      </c>
    </row>
    <row r="132" spans="1:6" ht="12" customHeight="1">
      <c r="A132" s="13" t="s">
        <v>637</v>
      </c>
      <c r="B132" s="7" t="s">
        <v>84</v>
      </c>
      <c r="C132" s="258"/>
      <c r="D132" s="991">
        <f t="shared" si="6"/>
        <v>0</v>
      </c>
      <c r="E132" s="992">
        <f t="shared" si="7"/>
        <v>0</v>
      </c>
      <c r="F132" s="992">
        <f t="shared" si="8"/>
        <v>0</v>
      </c>
    </row>
    <row r="133" spans="1:6" ht="12" customHeight="1">
      <c r="A133" s="12" t="s">
        <v>842</v>
      </c>
      <c r="B133" s="6" t="s">
        <v>85</v>
      </c>
      <c r="C133" s="258"/>
      <c r="D133" s="991">
        <f t="shared" si="6"/>
        <v>0</v>
      </c>
      <c r="E133" s="992">
        <f t="shared" si="7"/>
        <v>0</v>
      </c>
      <c r="F133" s="992">
        <f t="shared" si="8"/>
        <v>0</v>
      </c>
    </row>
    <row r="134" spans="1:6" ht="12" customHeight="1" thickBot="1">
      <c r="A134" s="1019" t="s">
        <v>843</v>
      </c>
      <c r="B134" s="1020" t="s">
        <v>86</v>
      </c>
      <c r="C134" s="1021"/>
      <c r="D134" s="993">
        <f t="shared" si="6"/>
        <v>0</v>
      </c>
      <c r="E134" s="994">
        <f t="shared" si="7"/>
        <v>0</v>
      </c>
      <c r="F134" s="994">
        <f t="shared" si="8"/>
        <v>0</v>
      </c>
    </row>
    <row r="135" spans="1:6" ht="12" customHeight="1" thickBot="1">
      <c r="A135" s="18" t="s">
        <v>561</v>
      </c>
      <c r="B135" s="121" t="s">
        <v>87</v>
      </c>
      <c r="C135" s="291">
        <f>+C136+C137+C138+C139</f>
        <v>0</v>
      </c>
      <c r="D135" s="284">
        <f t="shared" si="6"/>
        <v>0</v>
      </c>
      <c r="E135" s="284">
        <f t="shared" si="7"/>
        <v>0</v>
      </c>
      <c r="F135" s="284">
        <f t="shared" si="8"/>
        <v>0</v>
      </c>
    </row>
    <row r="136" spans="1:6" ht="12" customHeight="1">
      <c r="A136" s="13" t="s">
        <v>638</v>
      </c>
      <c r="B136" s="7" t="s">
        <v>88</v>
      </c>
      <c r="C136" s="258"/>
      <c r="D136" s="990">
        <f t="shared" si="6"/>
        <v>0</v>
      </c>
      <c r="E136" s="990">
        <f t="shared" si="7"/>
        <v>0</v>
      </c>
      <c r="F136" s="990">
        <f t="shared" si="8"/>
        <v>0</v>
      </c>
    </row>
    <row r="137" spans="1:6" ht="12" customHeight="1">
      <c r="A137" s="13" t="s">
        <v>639</v>
      </c>
      <c r="B137" s="7" t="s">
        <v>98</v>
      </c>
      <c r="C137" s="258"/>
      <c r="D137" s="991">
        <f t="shared" si="6"/>
        <v>0</v>
      </c>
      <c r="E137" s="991">
        <f t="shared" si="7"/>
        <v>0</v>
      </c>
      <c r="F137" s="991">
        <f t="shared" si="8"/>
        <v>0</v>
      </c>
    </row>
    <row r="138" spans="1:6" ht="12" customHeight="1">
      <c r="A138" s="13" t="s">
        <v>854</v>
      </c>
      <c r="B138" s="7" t="s">
        <v>89</v>
      </c>
      <c r="C138" s="258"/>
      <c r="D138" s="991">
        <f t="shared" si="6"/>
        <v>0</v>
      </c>
      <c r="E138" s="991">
        <f t="shared" si="7"/>
        <v>0</v>
      </c>
      <c r="F138" s="991">
        <f t="shared" si="8"/>
        <v>0</v>
      </c>
    </row>
    <row r="139" spans="1:6" ht="12" customHeight="1" thickBot="1">
      <c r="A139" s="11" t="s">
        <v>855</v>
      </c>
      <c r="B139" s="5" t="s">
        <v>90</v>
      </c>
      <c r="C139" s="258"/>
      <c r="D139" s="993">
        <f t="shared" si="6"/>
        <v>0</v>
      </c>
      <c r="E139" s="993">
        <f t="shared" si="7"/>
        <v>0</v>
      </c>
      <c r="F139" s="993">
        <f t="shared" si="8"/>
        <v>0</v>
      </c>
    </row>
    <row r="140" spans="1:6" ht="12" customHeight="1" thickBot="1">
      <c r="A140" s="18" t="s">
        <v>562</v>
      </c>
      <c r="B140" s="121" t="s">
        <v>91</v>
      </c>
      <c r="C140" s="293">
        <f>+C141+C142+C143+C144</f>
        <v>0</v>
      </c>
      <c r="D140" s="284">
        <f t="shared" si="6"/>
        <v>0</v>
      </c>
      <c r="E140" s="284">
        <f t="shared" si="7"/>
        <v>0</v>
      </c>
      <c r="F140" s="284">
        <f t="shared" si="8"/>
        <v>0</v>
      </c>
    </row>
    <row r="141" spans="1:6" ht="12" customHeight="1">
      <c r="A141" s="13" t="s">
        <v>717</v>
      </c>
      <c r="B141" s="7" t="s">
        <v>92</v>
      </c>
      <c r="C141" s="258"/>
      <c r="D141" s="995">
        <f t="shared" si="6"/>
        <v>0</v>
      </c>
      <c r="E141" s="996">
        <f t="shared" si="7"/>
        <v>0</v>
      </c>
      <c r="F141" s="989">
        <f t="shared" si="8"/>
        <v>0</v>
      </c>
    </row>
    <row r="142" spans="1:6" ht="12" customHeight="1">
      <c r="A142" s="13" t="s">
        <v>718</v>
      </c>
      <c r="B142" s="7" t="s">
        <v>93</v>
      </c>
      <c r="C142" s="258"/>
      <c r="D142" s="997">
        <f t="shared" si="6"/>
        <v>0</v>
      </c>
      <c r="E142" s="998">
        <f t="shared" si="7"/>
        <v>0</v>
      </c>
      <c r="F142" s="992">
        <f t="shared" si="8"/>
        <v>0</v>
      </c>
    </row>
    <row r="143" spans="1:6" ht="12" customHeight="1">
      <c r="A143" s="13" t="s">
        <v>771</v>
      </c>
      <c r="B143" s="7" t="s">
        <v>94</v>
      </c>
      <c r="C143" s="258"/>
      <c r="D143" s="997">
        <f t="shared" si="6"/>
        <v>0</v>
      </c>
      <c r="E143" s="998">
        <f t="shared" si="7"/>
        <v>0</v>
      </c>
      <c r="F143" s="992">
        <f t="shared" si="8"/>
        <v>0</v>
      </c>
    </row>
    <row r="144" spans="1:6" ht="12" customHeight="1" thickBot="1">
      <c r="A144" s="13" t="s">
        <v>857</v>
      </c>
      <c r="B144" s="7" t="s">
        <v>95</v>
      </c>
      <c r="C144" s="258"/>
      <c r="D144" s="999">
        <f t="shared" si="6"/>
        <v>0</v>
      </c>
      <c r="E144" s="1000">
        <f t="shared" si="7"/>
        <v>0</v>
      </c>
      <c r="F144" s="994">
        <f t="shared" si="8"/>
        <v>0</v>
      </c>
    </row>
    <row r="145" spans="1:9" ht="15" customHeight="1" thickBot="1">
      <c r="A145" s="18" t="s">
        <v>563</v>
      </c>
      <c r="B145" s="121" t="s">
        <v>96</v>
      </c>
      <c r="C145" s="407">
        <f>+C126+C130+C135+C140</f>
        <v>0</v>
      </c>
      <c r="D145" s="284">
        <f t="shared" si="6"/>
        <v>0</v>
      </c>
      <c r="E145" s="284">
        <f t="shared" si="7"/>
        <v>0</v>
      </c>
      <c r="F145" s="284">
        <f t="shared" si="8"/>
        <v>0</v>
      </c>
      <c r="G145" s="408"/>
      <c r="H145" s="408"/>
      <c r="I145" s="408"/>
    </row>
    <row r="146" spans="1:6" s="394" customFormat="1" ht="12.75" customHeight="1" thickBot="1">
      <c r="A146" s="283" t="s">
        <v>564</v>
      </c>
      <c r="B146" s="367" t="s">
        <v>97</v>
      </c>
      <c r="C146" s="407">
        <f>+C125+C145</f>
        <v>750666</v>
      </c>
      <c r="D146" s="284">
        <f t="shared" si="6"/>
        <v>765679.3200000001</v>
      </c>
      <c r="E146" s="284">
        <f t="shared" si="7"/>
        <v>780692.64</v>
      </c>
      <c r="F146" s="284">
        <f t="shared" si="8"/>
        <v>795705.9600000001</v>
      </c>
    </row>
    <row r="147" spans="4:6" ht="7.5" customHeight="1">
      <c r="D147" s="1008">
        <f t="shared" si="6"/>
        <v>0</v>
      </c>
      <c r="E147" s="1009"/>
      <c r="F147" s="1009"/>
    </row>
    <row r="148" spans="1:6" ht="15.75">
      <c r="A148" s="1251" t="s">
        <v>99</v>
      </c>
      <c r="B148" s="1251"/>
      <c r="C148" s="1251"/>
      <c r="D148" s="1010">
        <f t="shared" si="6"/>
        <v>0</v>
      </c>
      <c r="E148" s="409"/>
      <c r="F148" s="409"/>
    </row>
    <row r="149" spans="1:6" ht="15" customHeight="1" thickBot="1">
      <c r="A149" s="1248" t="s">
        <v>691</v>
      </c>
      <c r="B149" s="1248"/>
      <c r="C149" s="294"/>
      <c r="D149" s="294"/>
      <c r="E149" s="294"/>
      <c r="F149" s="294" t="s">
        <v>770</v>
      </c>
    </row>
    <row r="150" spans="1:6" ht="13.5" customHeight="1" thickBot="1">
      <c r="A150" s="18">
        <v>1</v>
      </c>
      <c r="B150" s="28" t="s">
        <v>100</v>
      </c>
      <c r="C150" s="285">
        <f>+C62-C125</f>
        <v>-100000</v>
      </c>
      <c r="D150" s="285">
        <f>+D62-D125</f>
        <v>-102000</v>
      </c>
      <c r="E150" s="285">
        <f>+E62-E125</f>
        <v>-104000</v>
      </c>
      <c r="F150" s="285">
        <f>+F62-F125</f>
        <v>-106000</v>
      </c>
    </row>
    <row r="151" spans="1:6" ht="18" customHeight="1" thickBot="1">
      <c r="A151" s="18" t="s">
        <v>556</v>
      </c>
      <c r="B151" s="28" t="s">
        <v>101</v>
      </c>
      <c r="C151" s="285">
        <f>+C85-C145</f>
        <v>100000</v>
      </c>
      <c r="D151" s="285">
        <f>+D85-D145</f>
        <v>102000</v>
      </c>
      <c r="E151" s="285">
        <f>+E85-E145</f>
        <v>104000</v>
      </c>
      <c r="F151" s="285">
        <f>+F85-F145</f>
        <v>106000</v>
      </c>
    </row>
  </sheetData>
  <sheetProtection/>
  <mergeCells count="6">
    <mergeCell ref="A149:B149"/>
    <mergeCell ref="A88:C88"/>
    <mergeCell ref="A1:C1"/>
    <mergeCell ref="A2:B2"/>
    <mergeCell ref="A89:B89"/>
    <mergeCell ref="A148:C14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landscape" paperSize="9" scale="39" r:id="rId1"/>
  <headerFooter alignWithMargins="0">
    <oddHeader>&amp;C&amp;"Times New Roman CE,Félkövér"&amp;12
Tát Város Önkormányzat
&amp;10
&amp;R&amp;"Times New Roman CE,Félkövér dőlt"&amp;11 10.tájékoztató tábla</oddHeader>
  </headerFooter>
  <rowBreaks count="1" manualBreakCount="1">
    <brk id="8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8"/>
  <sheetViews>
    <sheetView view="pageBreakPreview" zoomScaleNormal="120" zoomScaleSheetLayoutView="100" workbookViewId="0" topLeftCell="A109">
      <selection activeCell="F88" sqref="F88"/>
    </sheetView>
  </sheetViews>
  <sheetFormatPr defaultColWidth="9.00390625" defaultRowHeight="12.75"/>
  <cols>
    <col min="1" max="1" width="9.50390625" style="368" customWidth="1"/>
    <col min="2" max="2" width="91.625" style="368" customWidth="1"/>
    <col min="3" max="6" width="21.625" style="369" customWidth="1"/>
    <col min="7" max="16384" width="9.375" style="392" customWidth="1"/>
  </cols>
  <sheetData>
    <row r="1" spans="1:6" ht="15.75" customHeight="1">
      <c r="A1" s="1249" t="s">
        <v>552</v>
      </c>
      <c r="B1" s="1249"/>
      <c r="C1" s="1249"/>
      <c r="D1" s="392"/>
      <c r="E1" s="392"/>
      <c r="F1" s="392"/>
    </row>
    <row r="2" spans="1:6" ht="15.75" customHeight="1" thickBot="1">
      <c r="A2" s="1248" t="s">
        <v>689</v>
      </c>
      <c r="B2" s="1248"/>
      <c r="C2" s="294"/>
      <c r="D2" s="294"/>
      <c r="E2" s="294" t="s">
        <v>770</v>
      </c>
      <c r="F2" s="294"/>
    </row>
    <row r="3" spans="1:6" ht="37.5" customHeight="1" thickBot="1">
      <c r="A3" s="21" t="s">
        <v>610</v>
      </c>
      <c r="B3" s="22" t="s">
        <v>554</v>
      </c>
      <c r="C3" s="37" t="s">
        <v>451</v>
      </c>
      <c r="D3" s="37" t="s">
        <v>884</v>
      </c>
      <c r="E3" s="37" t="s">
        <v>906</v>
      </c>
      <c r="F3" s="37" t="s">
        <v>911</v>
      </c>
    </row>
    <row r="4" spans="1:6" s="393" customFormat="1" ht="12" customHeight="1" thickBot="1">
      <c r="A4" s="387">
        <v>1</v>
      </c>
      <c r="B4" s="388">
        <v>2</v>
      </c>
      <c r="C4" s="389">
        <v>3</v>
      </c>
      <c r="D4" s="389">
        <v>4</v>
      </c>
      <c r="E4" s="389">
        <v>5</v>
      </c>
      <c r="F4" s="389">
        <v>6</v>
      </c>
    </row>
    <row r="5" spans="1:6" s="394" customFormat="1" ht="12" customHeight="1" thickBot="1">
      <c r="A5" s="18" t="s">
        <v>555</v>
      </c>
      <c r="B5" s="19" t="s">
        <v>798</v>
      </c>
      <c r="C5" s="285">
        <f>+C6+C7+C8+C9+C10+C11</f>
        <v>99661</v>
      </c>
      <c r="D5" s="285">
        <f>+D6+D7+D8+D9+D10+D11</f>
        <v>99661</v>
      </c>
      <c r="E5" s="285">
        <f>+E6+E7+E8+E9+E10+E11</f>
        <v>99661</v>
      </c>
      <c r="F5" s="285">
        <f>+F6+F7+F8+F9+F10+F11</f>
        <v>99661</v>
      </c>
    </row>
    <row r="6" spans="1:6" s="394" customFormat="1" ht="12" customHeight="1">
      <c r="A6" s="13" t="s">
        <v>640</v>
      </c>
      <c r="B6" s="395" t="s">
        <v>799</v>
      </c>
      <c r="C6" s="288">
        <f>'9.1.3. melléklet '!C9</f>
        <v>99661</v>
      </c>
      <c r="D6" s="288">
        <f>'9.1.3. melléklet '!D9</f>
        <v>99661</v>
      </c>
      <c r="E6" s="288">
        <v>99661</v>
      </c>
      <c r="F6" s="288">
        <v>99661</v>
      </c>
    </row>
    <row r="7" spans="1:6" s="394" customFormat="1" ht="12" customHeight="1">
      <c r="A7" s="12" t="s">
        <v>641</v>
      </c>
      <c r="B7" s="396" t="s">
        <v>800</v>
      </c>
      <c r="C7" s="287"/>
      <c r="D7" s="287"/>
      <c r="E7" s="287"/>
      <c r="F7" s="287"/>
    </row>
    <row r="8" spans="1:6" s="394" customFormat="1" ht="12" customHeight="1">
      <c r="A8" s="12" t="s">
        <v>642</v>
      </c>
      <c r="B8" s="396" t="s">
        <v>801</v>
      </c>
      <c r="C8" s="287"/>
      <c r="D8" s="287"/>
      <c r="E8" s="287"/>
      <c r="F8" s="287"/>
    </row>
    <row r="9" spans="1:6" s="394" customFormat="1" ht="12" customHeight="1">
      <c r="A9" s="12" t="s">
        <v>643</v>
      </c>
      <c r="B9" s="396" t="s">
        <v>802</v>
      </c>
      <c r="C9" s="287"/>
      <c r="D9" s="287"/>
      <c r="E9" s="287"/>
      <c r="F9" s="287"/>
    </row>
    <row r="10" spans="1:6" s="394" customFormat="1" ht="12" customHeight="1">
      <c r="A10" s="12" t="s">
        <v>686</v>
      </c>
      <c r="B10" s="396" t="s">
        <v>803</v>
      </c>
      <c r="C10" s="287"/>
      <c r="D10" s="287"/>
      <c r="E10" s="287"/>
      <c r="F10" s="287"/>
    </row>
    <row r="11" spans="1:6" s="394" customFormat="1" ht="12" customHeight="1" thickBot="1">
      <c r="A11" s="14" t="s">
        <v>644</v>
      </c>
      <c r="B11" s="397" t="s">
        <v>804</v>
      </c>
      <c r="C11" s="287"/>
      <c r="D11" s="287"/>
      <c r="E11" s="287"/>
      <c r="F11" s="287"/>
    </row>
    <row r="12" spans="1:6" s="394" customFormat="1" ht="12" customHeight="1" thickBot="1">
      <c r="A12" s="18" t="s">
        <v>556</v>
      </c>
      <c r="B12" s="280" t="s">
        <v>805</v>
      </c>
      <c r="C12" s="285">
        <f>+C13+C14+C15+C16+C17</f>
        <v>0</v>
      </c>
      <c r="D12" s="285">
        <f>+D13+D14+D15+D16+D17</f>
        <v>0</v>
      </c>
      <c r="E12" s="285">
        <f>+E13+E14+E15+E16+E17</f>
        <v>0</v>
      </c>
      <c r="F12" s="285">
        <f>+F13+F14+F15+F16+F17</f>
        <v>0</v>
      </c>
    </row>
    <row r="13" spans="1:6" s="394" customFormat="1" ht="12" customHeight="1">
      <c r="A13" s="13" t="s">
        <v>646</v>
      </c>
      <c r="B13" s="395" t="s">
        <v>806</v>
      </c>
      <c r="C13" s="288"/>
      <c r="D13" s="288"/>
      <c r="E13" s="288"/>
      <c r="F13" s="288"/>
    </row>
    <row r="14" spans="1:6" s="394" customFormat="1" ht="12" customHeight="1">
      <c r="A14" s="12" t="s">
        <v>647</v>
      </c>
      <c r="B14" s="396" t="s">
        <v>807</v>
      </c>
      <c r="C14" s="287"/>
      <c r="D14" s="287"/>
      <c r="E14" s="287"/>
      <c r="F14" s="287"/>
    </row>
    <row r="15" spans="1:6" s="394" customFormat="1" ht="12" customHeight="1">
      <c r="A15" s="12" t="s">
        <v>648</v>
      </c>
      <c r="B15" s="396" t="s">
        <v>172</v>
      </c>
      <c r="C15" s="287"/>
      <c r="D15" s="287"/>
      <c r="E15" s="287"/>
      <c r="F15" s="287"/>
    </row>
    <row r="16" spans="1:6" s="394" customFormat="1" ht="12" customHeight="1">
      <c r="A16" s="12" t="s">
        <v>649</v>
      </c>
      <c r="B16" s="396" t="s">
        <v>173</v>
      </c>
      <c r="C16" s="287"/>
      <c r="D16" s="287"/>
      <c r="E16" s="287"/>
      <c r="F16" s="287"/>
    </row>
    <row r="17" spans="1:6" s="394" customFormat="1" ht="12" customHeight="1">
      <c r="A17" s="12" t="s">
        <v>650</v>
      </c>
      <c r="B17" s="396" t="s">
        <v>808</v>
      </c>
      <c r="C17" s="287"/>
      <c r="D17" s="287"/>
      <c r="E17" s="287"/>
      <c r="F17" s="287"/>
    </row>
    <row r="18" spans="1:6" s="394" customFormat="1" ht="12" customHeight="1" thickBot="1">
      <c r="A18" s="14" t="s">
        <v>659</v>
      </c>
      <c r="B18" s="397" t="s">
        <v>809</v>
      </c>
      <c r="C18" s="289"/>
      <c r="D18" s="289"/>
      <c r="E18" s="289"/>
      <c r="F18" s="289"/>
    </row>
    <row r="19" spans="1:6" s="394" customFormat="1" ht="12" customHeight="1" thickBot="1">
      <c r="A19" s="18" t="s">
        <v>557</v>
      </c>
      <c r="B19" s="19" t="s">
        <v>810</v>
      </c>
      <c r="C19" s="285">
        <f>+C20+C21+C22+C23+C24</f>
        <v>0</v>
      </c>
      <c r="D19" s="285">
        <f>+D20+D21+D22+D23+D24</f>
        <v>0</v>
      </c>
      <c r="E19" s="285">
        <f>+E20+E21+E22+E23+E24</f>
        <v>0</v>
      </c>
      <c r="F19" s="285">
        <f>+F20+F21+F22+F23+F24</f>
        <v>0</v>
      </c>
    </row>
    <row r="20" spans="1:6" s="394" customFormat="1" ht="12" customHeight="1">
      <c r="A20" s="13" t="s">
        <v>629</v>
      </c>
      <c r="B20" s="395" t="s">
        <v>811</v>
      </c>
      <c r="C20" s="288"/>
      <c r="D20" s="288"/>
      <c r="E20" s="288"/>
      <c r="F20" s="288"/>
    </row>
    <row r="21" spans="1:6" s="394" customFormat="1" ht="12" customHeight="1">
      <c r="A21" s="12" t="s">
        <v>630</v>
      </c>
      <c r="B21" s="396" t="s">
        <v>812</v>
      </c>
      <c r="C21" s="287"/>
      <c r="D21" s="287"/>
      <c r="E21" s="287"/>
      <c r="F21" s="287"/>
    </row>
    <row r="22" spans="1:6" s="394" customFormat="1" ht="12" customHeight="1">
      <c r="A22" s="12" t="s">
        <v>631</v>
      </c>
      <c r="B22" s="396" t="s">
        <v>174</v>
      </c>
      <c r="C22" s="287"/>
      <c r="D22" s="287"/>
      <c r="E22" s="287"/>
      <c r="F22" s="287"/>
    </row>
    <row r="23" spans="1:6" s="394" customFormat="1" ht="12" customHeight="1">
      <c r="A23" s="12" t="s">
        <v>632</v>
      </c>
      <c r="B23" s="396" t="s">
        <v>175</v>
      </c>
      <c r="C23" s="287"/>
      <c r="D23" s="287"/>
      <c r="E23" s="287"/>
      <c r="F23" s="287"/>
    </row>
    <row r="24" spans="1:6" s="394" customFormat="1" ht="12" customHeight="1">
      <c r="A24" s="12" t="s">
        <v>707</v>
      </c>
      <c r="B24" s="396" t="s">
        <v>813</v>
      </c>
      <c r="C24" s="287"/>
      <c r="D24" s="287"/>
      <c r="E24" s="287"/>
      <c r="F24" s="287"/>
    </row>
    <row r="25" spans="1:6" s="394" customFormat="1" ht="12" customHeight="1" thickBot="1">
      <c r="A25" s="14" t="s">
        <v>708</v>
      </c>
      <c r="B25" s="397" t="s">
        <v>814</v>
      </c>
      <c r="C25" s="289"/>
      <c r="D25" s="289"/>
      <c r="E25" s="289"/>
      <c r="F25" s="289"/>
    </row>
    <row r="26" spans="1:6" s="394" customFormat="1" ht="12" customHeight="1" thickBot="1">
      <c r="A26" s="18" t="s">
        <v>709</v>
      </c>
      <c r="B26" s="19" t="s">
        <v>815</v>
      </c>
      <c r="C26" s="291">
        <f>+C27+C30+C31+C32</f>
        <v>0</v>
      </c>
      <c r="D26" s="291">
        <f>+D27+D30+D31+D32</f>
        <v>0</v>
      </c>
      <c r="E26" s="291">
        <f>+E27+E30+E31+E32</f>
        <v>0</v>
      </c>
      <c r="F26" s="291">
        <f>+F27+F30+F31+F32</f>
        <v>0</v>
      </c>
    </row>
    <row r="27" spans="1:6" s="394" customFormat="1" ht="12" customHeight="1">
      <c r="A27" s="13" t="s">
        <v>816</v>
      </c>
      <c r="B27" s="395" t="s">
        <v>822</v>
      </c>
      <c r="C27" s="390">
        <f>+C28+C29</f>
        <v>0</v>
      </c>
      <c r="D27" s="390">
        <f>+D28+D29</f>
        <v>0</v>
      </c>
      <c r="E27" s="390">
        <f>+E28+E29</f>
        <v>0</v>
      </c>
      <c r="F27" s="390">
        <f>+F28+F29</f>
        <v>0</v>
      </c>
    </row>
    <row r="28" spans="1:6" s="394" customFormat="1" ht="12" customHeight="1">
      <c r="A28" s="12" t="s">
        <v>817</v>
      </c>
      <c r="B28" s="396" t="s">
        <v>823</v>
      </c>
      <c r="C28" s="287"/>
      <c r="D28" s="287"/>
      <c r="E28" s="287"/>
      <c r="F28" s="287"/>
    </row>
    <row r="29" spans="1:6" s="394" customFormat="1" ht="12" customHeight="1">
      <c r="A29" s="12" t="s">
        <v>818</v>
      </c>
      <c r="B29" s="396" t="s">
        <v>824</v>
      </c>
      <c r="C29" s="287"/>
      <c r="D29" s="287"/>
      <c r="E29" s="287"/>
      <c r="F29" s="287"/>
    </row>
    <row r="30" spans="1:6" s="394" customFormat="1" ht="12" customHeight="1">
      <c r="A30" s="12" t="s">
        <v>819</v>
      </c>
      <c r="B30" s="396" t="s">
        <v>825</v>
      </c>
      <c r="C30" s="287"/>
      <c r="D30" s="287"/>
      <c r="E30" s="287"/>
      <c r="F30" s="287"/>
    </row>
    <row r="31" spans="1:6" s="394" customFormat="1" ht="12" customHeight="1">
      <c r="A31" s="12" t="s">
        <v>820</v>
      </c>
      <c r="B31" s="396" t="s">
        <v>826</v>
      </c>
      <c r="C31" s="287"/>
      <c r="D31" s="287"/>
      <c r="E31" s="287"/>
      <c r="F31" s="287"/>
    </row>
    <row r="32" spans="1:6" s="394" customFormat="1" ht="12" customHeight="1" thickBot="1">
      <c r="A32" s="14" t="s">
        <v>821</v>
      </c>
      <c r="B32" s="397" t="s">
        <v>827</v>
      </c>
      <c r="C32" s="289"/>
      <c r="D32" s="289"/>
      <c r="E32" s="289"/>
      <c r="F32" s="289"/>
    </row>
    <row r="33" spans="1:6" s="394" customFormat="1" ht="12" customHeight="1" thickBot="1">
      <c r="A33" s="18" t="s">
        <v>559</v>
      </c>
      <c r="B33" s="19" t="s">
        <v>828</v>
      </c>
      <c r="C33" s="285">
        <f>SUM(C34:C43)</f>
        <v>0</v>
      </c>
      <c r="D33" s="285">
        <f>SUM(D34:D43)</f>
        <v>0</v>
      </c>
      <c r="E33" s="285">
        <f>SUM(E34:E43)</f>
        <v>0</v>
      </c>
      <c r="F33" s="285">
        <f>SUM(F34:F43)</f>
        <v>0</v>
      </c>
    </row>
    <row r="34" spans="1:6" s="394" customFormat="1" ht="12" customHeight="1">
      <c r="A34" s="13" t="s">
        <v>633</v>
      </c>
      <c r="B34" s="395" t="s">
        <v>831</v>
      </c>
      <c r="C34" s="288"/>
      <c r="D34" s="288"/>
      <c r="E34" s="288"/>
      <c r="F34" s="288"/>
    </row>
    <row r="35" spans="1:6" s="394" customFormat="1" ht="12" customHeight="1">
      <c r="A35" s="12" t="s">
        <v>634</v>
      </c>
      <c r="B35" s="396" t="s">
        <v>832</v>
      </c>
      <c r="C35" s="287"/>
      <c r="D35" s="287"/>
      <c r="E35" s="287"/>
      <c r="F35" s="287"/>
    </row>
    <row r="36" spans="1:6" s="394" customFormat="1" ht="12" customHeight="1">
      <c r="A36" s="12" t="s">
        <v>635</v>
      </c>
      <c r="B36" s="396" t="s">
        <v>833</v>
      </c>
      <c r="C36" s="287"/>
      <c r="D36" s="287"/>
      <c r="E36" s="287"/>
      <c r="F36" s="287"/>
    </row>
    <row r="37" spans="1:6" s="394" customFormat="1" ht="12" customHeight="1">
      <c r="A37" s="12" t="s">
        <v>711</v>
      </c>
      <c r="B37" s="396" t="s">
        <v>834</v>
      </c>
      <c r="C37" s="287"/>
      <c r="D37" s="287"/>
      <c r="E37" s="287"/>
      <c r="F37" s="287"/>
    </row>
    <row r="38" spans="1:6" s="394" customFormat="1" ht="12" customHeight="1">
      <c r="A38" s="12" t="s">
        <v>712</v>
      </c>
      <c r="B38" s="396" t="s">
        <v>835</v>
      </c>
      <c r="C38" s="287"/>
      <c r="D38" s="287"/>
      <c r="E38" s="287"/>
      <c r="F38" s="287"/>
    </row>
    <row r="39" spans="1:6" s="394" customFormat="1" ht="12" customHeight="1">
      <c r="A39" s="12" t="s">
        <v>713</v>
      </c>
      <c r="B39" s="396" t="s">
        <v>836</v>
      </c>
      <c r="C39" s="287"/>
      <c r="D39" s="287"/>
      <c r="E39" s="287"/>
      <c r="F39" s="287"/>
    </row>
    <row r="40" spans="1:6" s="394" customFormat="1" ht="12" customHeight="1">
      <c r="A40" s="12" t="s">
        <v>714</v>
      </c>
      <c r="B40" s="396" t="s">
        <v>837</v>
      </c>
      <c r="C40" s="287"/>
      <c r="D40" s="287"/>
      <c r="E40" s="287"/>
      <c r="F40" s="287"/>
    </row>
    <row r="41" spans="1:6" s="394" customFormat="1" ht="12" customHeight="1">
      <c r="A41" s="12" t="s">
        <v>715</v>
      </c>
      <c r="B41" s="396" t="s">
        <v>838</v>
      </c>
      <c r="C41" s="287"/>
      <c r="D41" s="287"/>
      <c r="E41" s="287"/>
      <c r="F41" s="287"/>
    </row>
    <row r="42" spans="1:6" s="394" customFormat="1" ht="12" customHeight="1">
      <c r="A42" s="12" t="s">
        <v>829</v>
      </c>
      <c r="B42" s="396" t="s">
        <v>839</v>
      </c>
      <c r="C42" s="290"/>
      <c r="D42" s="290"/>
      <c r="E42" s="290"/>
      <c r="F42" s="290"/>
    </row>
    <row r="43" spans="1:6" s="394" customFormat="1" ht="12" customHeight="1" thickBot="1">
      <c r="A43" s="14" t="s">
        <v>830</v>
      </c>
      <c r="B43" s="397" t="s">
        <v>840</v>
      </c>
      <c r="C43" s="384"/>
      <c r="D43" s="384"/>
      <c r="E43" s="384"/>
      <c r="F43" s="384"/>
    </row>
    <row r="44" spans="1:6" s="394" customFormat="1" ht="12" customHeight="1" thickBot="1">
      <c r="A44" s="18" t="s">
        <v>560</v>
      </c>
      <c r="B44" s="19" t="s">
        <v>841</v>
      </c>
      <c r="C44" s="285">
        <f>SUM(C45:C49)</f>
        <v>0</v>
      </c>
      <c r="D44" s="285">
        <f>SUM(D45:D49)</f>
        <v>0</v>
      </c>
      <c r="E44" s="285">
        <f>SUM(E45:E49)</f>
        <v>0</v>
      </c>
      <c r="F44" s="285">
        <f>SUM(F45:F49)</f>
        <v>0</v>
      </c>
    </row>
    <row r="45" spans="1:6" s="394" customFormat="1" ht="12" customHeight="1">
      <c r="A45" s="13" t="s">
        <v>636</v>
      </c>
      <c r="B45" s="395" t="s">
        <v>845</v>
      </c>
      <c r="C45" s="438"/>
      <c r="D45" s="438"/>
      <c r="E45" s="438"/>
      <c r="F45" s="438"/>
    </row>
    <row r="46" spans="1:6" s="394" customFormat="1" ht="12" customHeight="1">
      <c r="A46" s="12" t="s">
        <v>637</v>
      </c>
      <c r="B46" s="396" t="s">
        <v>846</v>
      </c>
      <c r="C46" s="290"/>
      <c r="D46" s="290"/>
      <c r="E46" s="290"/>
      <c r="F46" s="290"/>
    </row>
    <row r="47" spans="1:6" s="394" customFormat="1" ht="12" customHeight="1">
      <c r="A47" s="12" t="s">
        <v>842</v>
      </c>
      <c r="B47" s="396" t="s">
        <v>847</v>
      </c>
      <c r="C47" s="290"/>
      <c r="D47" s="290"/>
      <c r="E47" s="290"/>
      <c r="F47" s="290"/>
    </row>
    <row r="48" spans="1:6" s="394" customFormat="1" ht="12" customHeight="1">
      <c r="A48" s="12" t="s">
        <v>843</v>
      </c>
      <c r="B48" s="396" t="s">
        <v>848</v>
      </c>
      <c r="C48" s="290"/>
      <c r="D48" s="290"/>
      <c r="E48" s="290"/>
      <c r="F48" s="290"/>
    </row>
    <row r="49" spans="1:6" s="394" customFormat="1" ht="12" customHeight="1" thickBot="1">
      <c r="A49" s="14" t="s">
        <v>844</v>
      </c>
      <c r="B49" s="397" t="s">
        <v>849</v>
      </c>
      <c r="C49" s="384"/>
      <c r="D49" s="384"/>
      <c r="E49" s="384"/>
      <c r="F49" s="384"/>
    </row>
    <row r="50" spans="1:6" s="394" customFormat="1" ht="12" customHeight="1" thickBot="1">
      <c r="A50" s="18" t="s">
        <v>716</v>
      </c>
      <c r="B50" s="19" t="s">
        <v>850</v>
      </c>
      <c r="C50" s="285">
        <f>SUM(C51:C53)</f>
        <v>0</v>
      </c>
      <c r="D50" s="285">
        <f>SUM(D51:D53)</f>
        <v>0</v>
      </c>
      <c r="E50" s="285">
        <f>SUM(E51:E53)</f>
        <v>0</v>
      </c>
      <c r="F50" s="285">
        <f>SUM(F51:F53)</f>
        <v>0</v>
      </c>
    </row>
    <row r="51" spans="1:6" s="394" customFormat="1" ht="12" customHeight="1">
      <c r="A51" s="13" t="s">
        <v>638</v>
      </c>
      <c r="B51" s="395" t="s">
        <v>851</v>
      </c>
      <c r="C51" s="288"/>
      <c r="D51" s="288"/>
      <c r="E51" s="288"/>
      <c r="F51" s="288"/>
    </row>
    <row r="52" spans="1:6" s="394" customFormat="1" ht="12" customHeight="1">
      <c r="A52" s="12" t="s">
        <v>639</v>
      </c>
      <c r="B52" s="396" t="s">
        <v>176</v>
      </c>
      <c r="C52" s="287"/>
      <c r="D52" s="287"/>
      <c r="E52" s="287"/>
      <c r="F52" s="287"/>
    </row>
    <row r="53" spans="1:6" s="394" customFormat="1" ht="12" customHeight="1">
      <c r="A53" s="12" t="s">
        <v>854</v>
      </c>
      <c r="B53" s="396" t="s">
        <v>852</v>
      </c>
      <c r="C53" s="287"/>
      <c r="D53" s="287"/>
      <c r="E53" s="287"/>
      <c r="F53" s="287"/>
    </row>
    <row r="54" spans="1:6" s="394" customFormat="1" ht="12" customHeight="1" thickBot="1">
      <c r="A54" s="14" t="s">
        <v>855</v>
      </c>
      <c r="B54" s="397" t="s">
        <v>853</v>
      </c>
      <c r="C54" s="289"/>
      <c r="D54" s="289"/>
      <c r="E54" s="289"/>
      <c r="F54" s="289"/>
    </row>
    <row r="55" spans="1:6" s="394" customFormat="1" ht="12" customHeight="1" thickBot="1">
      <c r="A55" s="18" t="s">
        <v>562</v>
      </c>
      <c r="B55" s="280" t="s">
        <v>856</v>
      </c>
      <c r="C55" s="285">
        <f>SUM(C56:C58)</f>
        <v>0</v>
      </c>
      <c r="D55" s="285">
        <f>SUM(D56:D58)</f>
        <v>0</v>
      </c>
      <c r="E55" s="285">
        <f>SUM(E56:E58)</f>
        <v>0</v>
      </c>
      <c r="F55" s="285">
        <f>SUM(F56:F58)</f>
        <v>0</v>
      </c>
    </row>
    <row r="56" spans="1:6" s="394" customFormat="1" ht="12" customHeight="1">
      <c r="A56" s="13" t="s">
        <v>717</v>
      </c>
      <c r="B56" s="395" t="s">
        <v>858</v>
      </c>
      <c r="C56" s="290"/>
      <c r="D56" s="290"/>
      <c r="E56" s="290"/>
      <c r="F56" s="290"/>
    </row>
    <row r="57" spans="1:6" s="394" customFormat="1" ht="12" customHeight="1">
      <c r="A57" s="12" t="s">
        <v>718</v>
      </c>
      <c r="B57" s="396" t="s">
        <v>177</v>
      </c>
      <c r="C57" s="290"/>
      <c r="D57" s="290"/>
      <c r="E57" s="290"/>
      <c r="F57" s="290"/>
    </row>
    <row r="58" spans="1:6" s="394" customFormat="1" ht="12" customHeight="1">
      <c r="A58" s="12" t="s">
        <v>771</v>
      </c>
      <c r="B58" s="396" t="s">
        <v>859</v>
      </c>
      <c r="C58" s="290"/>
      <c r="D58" s="290"/>
      <c r="E58" s="290"/>
      <c r="F58" s="290"/>
    </row>
    <row r="59" spans="1:6" s="394" customFormat="1" ht="12" customHeight="1" thickBot="1">
      <c r="A59" s="14" t="s">
        <v>857</v>
      </c>
      <c r="B59" s="397" t="s">
        <v>860</v>
      </c>
      <c r="C59" s="290"/>
      <c r="D59" s="290"/>
      <c r="E59" s="290"/>
      <c r="F59" s="290"/>
    </row>
    <row r="60" spans="1:6" s="394" customFormat="1" ht="12" customHeight="1" thickBot="1">
      <c r="A60" s="18" t="s">
        <v>563</v>
      </c>
      <c r="B60" s="19" t="s">
        <v>861</v>
      </c>
      <c r="C60" s="291">
        <f>+C5+C12+C19+C26+C33+C44+C50+C55</f>
        <v>99661</v>
      </c>
      <c r="D60" s="291">
        <f>+D5+D12+D19+D26+D33+D44+D50+D55</f>
        <v>99661</v>
      </c>
      <c r="E60" s="291">
        <f>+E5+E12+E19+E26+E33+E44+E50+E55</f>
        <v>99661</v>
      </c>
      <c r="F60" s="291">
        <f>+F5+F12+F19+F26+F33+F44+F50+F55</f>
        <v>99661</v>
      </c>
    </row>
    <row r="61" spans="1:6" s="394" customFormat="1" ht="12" customHeight="1" thickBot="1">
      <c r="A61" s="398" t="s">
        <v>862</v>
      </c>
      <c r="B61" s="280" t="s">
        <v>863</v>
      </c>
      <c r="C61" s="285">
        <f>SUM(C62:C64)</f>
        <v>0</v>
      </c>
      <c r="D61" s="285">
        <f>SUM(D62:D64)</f>
        <v>0</v>
      </c>
      <c r="E61" s="285">
        <f>SUM(E62:E64)</f>
        <v>0</v>
      </c>
      <c r="F61" s="285">
        <f>SUM(F62:F64)</f>
        <v>0</v>
      </c>
    </row>
    <row r="62" spans="1:6" s="394" customFormat="1" ht="12" customHeight="1">
      <c r="A62" s="13" t="s">
        <v>41</v>
      </c>
      <c r="B62" s="395" t="s">
        <v>864</v>
      </c>
      <c r="C62" s="290"/>
      <c r="D62" s="290"/>
      <c r="E62" s="290"/>
      <c r="F62" s="290"/>
    </row>
    <row r="63" spans="1:6" s="394" customFormat="1" ht="12" customHeight="1">
      <c r="A63" s="12" t="s">
        <v>50</v>
      </c>
      <c r="B63" s="396" t="s">
        <v>865</v>
      </c>
      <c r="C63" s="290"/>
      <c r="D63" s="290"/>
      <c r="E63" s="290"/>
      <c r="F63" s="290"/>
    </row>
    <row r="64" spans="1:6" s="394" customFormat="1" ht="12" customHeight="1" thickBot="1">
      <c r="A64" s="14" t="s">
        <v>51</v>
      </c>
      <c r="B64" s="399" t="s">
        <v>866</v>
      </c>
      <c r="C64" s="290"/>
      <c r="D64" s="290"/>
      <c r="E64" s="290"/>
      <c r="F64" s="290"/>
    </row>
    <row r="65" spans="1:6" s="394" customFormat="1" ht="12" customHeight="1" thickBot="1">
      <c r="A65" s="398" t="s">
        <v>867</v>
      </c>
      <c r="B65" s="280" t="s">
        <v>868</v>
      </c>
      <c r="C65" s="285">
        <f>SUM(C66:C69)</f>
        <v>0</v>
      </c>
      <c r="D65" s="285">
        <f>SUM(D66:D69)</f>
        <v>0</v>
      </c>
      <c r="E65" s="285">
        <f>SUM(E66:E69)</f>
        <v>0</v>
      </c>
      <c r="F65" s="285">
        <f>SUM(F66:F69)</f>
        <v>0</v>
      </c>
    </row>
    <row r="66" spans="1:6" s="394" customFormat="1" ht="12" customHeight="1">
      <c r="A66" s="13" t="s">
        <v>687</v>
      </c>
      <c r="B66" s="395" t="s">
        <v>869</v>
      </c>
      <c r="C66" s="290"/>
      <c r="D66" s="290"/>
      <c r="E66" s="290"/>
      <c r="F66" s="290"/>
    </row>
    <row r="67" spans="1:6" s="394" customFormat="1" ht="12" customHeight="1">
      <c r="A67" s="12" t="s">
        <v>688</v>
      </c>
      <c r="B67" s="396" t="s">
        <v>870</v>
      </c>
      <c r="C67" s="290"/>
      <c r="D67" s="290"/>
      <c r="E67" s="290"/>
      <c r="F67" s="290"/>
    </row>
    <row r="68" spans="1:6" s="394" customFormat="1" ht="12" customHeight="1">
      <c r="A68" s="12" t="s">
        <v>42</v>
      </c>
      <c r="B68" s="396" t="s">
        <v>871</v>
      </c>
      <c r="C68" s="290"/>
      <c r="D68" s="290"/>
      <c r="E68" s="290"/>
      <c r="F68" s="290"/>
    </row>
    <row r="69" spans="1:6" s="394" customFormat="1" ht="12" customHeight="1" thickBot="1">
      <c r="A69" s="14" t="s">
        <v>43</v>
      </c>
      <c r="B69" s="397" t="s">
        <v>872</v>
      </c>
      <c r="C69" s="290"/>
      <c r="D69" s="290"/>
      <c r="E69" s="290"/>
      <c r="F69" s="290"/>
    </row>
    <row r="70" spans="1:6" s="394" customFormat="1" ht="12" customHeight="1" thickBot="1">
      <c r="A70" s="398" t="s">
        <v>873</v>
      </c>
      <c r="B70" s="280" t="s">
        <v>874</v>
      </c>
      <c r="C70" s="285">
        <f>SUM(C71:C72)</f>
        <v>0</v>
      </c>
      <c r="D70" s="285">
        <f>SUM(D71:D72)</f>
        <v>0</v>
      </c>
      <c r="E70" s="285">
        <f>SUM(E71:E72)</f>
        <v>0</v>
      </c>
      <c r="F70" s="285">
        <f>SUM(F71:F72)</f>
        <v>0</v>
      </c>
    </row>
    <row r="71" spans="1:6" s="394" customFormat="1" ht="12" customHeight="1">
      <c r="A71" s="13" t="s">
        <v>44</v>
      </c>
      <c r="B71" s="395" t="s">
        <v>875</v>
      </c>
      <c r="C71" s="290"/>
      <c r="D71" s="290"/>
      <c r="E71" s="290"/>
      <c r="F71" s="290"/>
    </row>
    <row r="72" spans="1:6" s="394" customFormat="1" ht="12" customHeight="1" thickBot="1">
      <c r="A72" s="14" t="s">
        <v>45</v>
      </c>
      <c r="B72" s="397" t="s">
        <v>876</v>
      </c>
      <c r="C72" s="290"/>
      <c r="D72" s="290"/>
      <c r="E72" s="290"/>
      <c r="F72" s="290"/>
    </row>
    <row r="73" spans="1:6" s="394" customFormat="1" ht="12" customHeight="1" thickBot="1">
      <c r="A73" s="398" t="s">
        <v>877</v>
      </c>
      <c r="B73" s="280" t="s">
        <v>878</v>
      </c>
      <c r="C73" s="285">
        <f>SUM(C74:C76)</f>
        <v>0</v>
      </c>
      <c r="D73" s="285">
        <f>SUM(D74:D76)</f>
        <v>0</v>
      </c>
      <c r="E73" s="285">
        <f>SUM(E74:E76)</f>
        <v>0</v>
      </c>
      <c r="F73" s="285">
        <f>SUM(F74:F76)</f>
        <v>0</v>
      </c>
    </row>
    <row r="74" spans="1:6" s="394" customFormat="1" ht="12" customHeight="1">
      <c r="A74" s="13" t="s">
        <v>46</v>
      </c>
      <c r="B74" s="395" t="s">
        <v>879</v>
      </c>
      <c r="C74" s="290"/>
      <c r="D74" s="290"/>
      <c r="E74" s="290"/>
      <c r="F74" s="290"/>
    </row>
    <row r="75" spans="1:6" s="394" customFormat="1" ht="12" customHeight="1">
      <c r="A75" s="12" t="s">
        <v>47</v>
      </c>
      <c r="B75" s="396" t="s">
        <v>880</v>
      </c>
      <c r="C75" s="290"/>
      <c r="D75" s="290"/>
      <c r="E75" s="290"/>
      <c r="F75" s="290"/>
    </row>
    <row r="76" spans="1:6" s="394" customFormat="1" ht="12" customHeight="1" thickBot="1">
      <c r="A76" s="14" t="s">
        <v>48</v>
      </c>
      <c r="B76" s="397" t="s">
        <v>881</v>
      </c>
      <c r="C76" s="290"/>
      <c r="D76" s="290"/>
      <c r="E76" s="290"/>
      <c r="F76" s="290"/>
    </row>
    <row r="77" spans="1:6" s="394" customFormat="1" ht="12" customHeight="1" thickBot="1">
      <c r="A77" s="398" t="s">
        <v>882</v>
      </c>
      <c r="B77" s="280" t="s">
        <v>49</v>
      </c>
      <c r="C77" s="285">
        <f>SUM(C78:C81)</f>
        <v>0</v>
      </c>
      <c r="D77" s="285">
        <f>SUM(D78:D81)</f>
        <v>0</v>
      </c>
      <c r="E77" s="285">
        <f>SUM(E78:E81)</f>
        <v>0</v>
      </c>
      <c r="F77" s="285">
        <f>SUM(F78:F81)</f>
        <v>0</v>
      </c>
    </row>
    <row r="78" spans="1:6" s="394" customFormat="1" ht="12" customHeight="1">
      <c r="A78" s="400" t="s">
        <v>883</v>
      </c>
      <c r="B78" s="395" t="s">
        <v>29</v>
      </c>
      <c r="C78" s="290"/>
      <c r="D78" s="290"/>
      <c r="E78" s="290"/>
      <c r="F78" s="290"/>
    </row>
    <row r="79" spans="1:6" s="394" customFormat="1" ht="12" customHeight="1">
      <c r="A79" s="401" t="s">
        <v>30</v>
      </c>
      <c r="B79" s="396" t="s">
        <v>31</v>
      </c>
      <c r="C79" s="290"/>
      <c r="D79" s="290"/>
      <c r="E79" s="290"/>
      <c r="F79" s="290"/>
    </row>
    <row r="80" spans="1:6" s="394" customFormat="1" ht="12" customHeight="1">
      <c r="A80" s="401" t="s">
        <v>32</v>
      </c>
      <c r="B80" s="396" t="s">
        <v>33</v>
      </c>
      <c r="C80" s="290"/>
      <c r="D80" s="290"/>
      <c r="E80" s="290"/>
      <c r="F80" s="290"/>
    </row>
    <row r="81" spans="1:6" s="394" customFormat="1" ht="12" customHeight="1" thickBot="1">
      <c r="A81" s="402" t="s">
        <v>34</v>
      </c>
      <c r="B81" s="397" t="s">
        <v>35</v>
      </c>
      <c r="C81" s="290"/>
      <c r="D81" s="290"/>
      <c r="E81" s="290"/>
      <c r="F81" s="290"/>
    </row>
    <row r="82" spans="1:6" s="394" customFormat="1" ht="13.5" customHeight="1" thickBot="1">
      <c r="A82" s="398" t="s">
        <v>36</v>
      </c>
      <c r="B82" s="280" t="s">
        <v>37</v>
      </c>
      <c r="C82" s="439"/>
      <c r="D82" s="439"/>
      <c r="E82" s="439"/>
      <c r="F82" s="439"/>
    </row>
    <row r="83" spans="1:6" s="394" customFormat="1" ht="15.75" customHeight="1" thickBot="1">
      <c r="A83" s="398" t="s">
        <v>38</v>
      </c>
      <c r="B83" s="403" t="s">
        <v>39</v>
      </c>
      <c r="C83" s="291">
        <f>+C61+C65+C70+C73+C77+C82</f>
        <v>0</v>
      </c>
      <c r="D83" s="291">
        <f>+D61+D65+D70+D73+D77+D82</f>
        <v>0</v>
      </c>
      <c r="E83" s="291">
        <f>+E61+E65+E70+E73+E77+E82</f>
        <v>0</v>
      </c>
      <c r="F83" s="291">
        <f>+F61+F65+F70+F73+F77+F82</f>
        <v>0</v>
      </c>
    </row>
    <row r="84" spans="1:6" s="394" customFormat="1" ht="16.5" customHeight="1" thickBot="1">
      <c r="A84" s="404" t="s">
        <v>52</v>
      </c>
      <c r="B84" s="405" t="s">
        <v>40</v>
      </c>
      <c r="C84" s="291">
        <f>+C60+C83</f>
        <v>99661</v>
      </c>
      <c r="D84" s="291">
        <f>+D60+D83</f>
        <v>99661</v>
      </c>
      <c r="E84" s="291">
        <f>+E60+E83</f>
        <v>99661</v>
      </c>
      <c r="F84" s="291">
        <f>+F60+F83</f>
        <v>99661</v>
      </c>
    </row>
    <row r="85" spans="1:6" ht="16.5" customHeight="1">
      <c r="A85" s="1249" t="s">
        <v>583</v>
      </c>
      <c r="B85" s="1249"/>
      <c r="C85" s="1249"/>
      <c r="D85" s="392"/>
      <c r="E85" s="392"/>
      <c r="F85" s="392"/>
    </row>
    <row r="86" spans="1:6" s="406" customFormat="1" ht="16.5" customHeight="1" thickBot="1">
      <c r="A86" s="1250" t="s">
        <v>690</v>
      </c>
      <c r="B86" s="1250"/>
      <c r="C86" s="128"/>
      <c r="D86" s="128"/>
      <c r="E86" s="128" t="s">
        <v>770</v>
      </c>
      <c r="F86" s="128"/>
    </row>
    <row r="87" spans="1:6" ht="37.5" customHeight="1" thickBot="1">
      <c r="A87" s="21" t="s">
        <v>610</v>
      </c>
      <c r="B87" s="22" t="s">
        <v>584</v>
      </c>
      <c r="C87" s="37" t="s">
        <v>451</v>
      </c>
      <c r="D87" s="37" t="s">
        <v>451</v>
      </c>
      <c r="E87" s="37" t="s">
        <v>451</v>
      </c>
      <c r="F87" s="37" t="s">
        <v>451</v>
      </c>
    </row>
    <row r="88" spans="1:6" s="393" customFormat="1" ht="12" customHeight="1" thickBot="1">
      <c r="A88" s="30">
        <v>1</v>
      </c>
      <c r="B88" s="31">
        <v>2</v>
      </c>
      <c r="C88" s="32">
        <v>3</v>
      </c>
      <c r="D88" s="32">
        <v>4</v>
      </c>
      <c r="E88" s="32">
        <v>5</v>
      </c>
      <c r="F88" s="32">
        <v>6</v>
      </c>
    </row>
    <row r="89" spans="1:6" ht="12" customHeight="1" thickBot="1">
      <c r="A89" s="20" t="s">
        <v>555</v>
      </c>
      <c r="B89" s="29" t="s">
        <v>55</v>
      </c>
      <c r="C89" s="284">
        <f>SUM(C90:C94)</f>
        <v>99661</v>
      </c>
      <c r="D89" s="284">
        <f>SUM(D90:D94)</f>
        <v>99661</v>
      </c>
      <c r="E89" s="284">
        <f>SUM(E90:E94)</f>
        <v>99661</v>
      </c>
      <c r="F89" s="284">
        <f>SUM(F90:F94)</f>
        <v>99661</v>
      </c>
    </row>
    <row r="90" spans="1:6" ht="12" customHeight="1">
      <c r="A90" s="15" t="s">
        <v>640</v>
      </c>
      <c r="B90" s="8" t="s">
        <v>585</v>
      </c>
      <c r="C90" s="286">
        <f>'9.2.3.melléklet'!D45</f>
        <v>66232</v>
      </c>
      <c r="D90" s="286">
        <f>'9.2.3.melléklet'!E45</f>
        <v>66232</v>
      </c>
      <c r="E90" s="286">
        <v>66232</v>
      </c>
      <c r="F90" s="286">
        <v>66232</v>
      </c>
    </row>
    <row r="91" spans="1:6" ht="12" customHeight="1">
      <c r="A91" s="12" t="s">
        <v>641</v>
      </c>
      <c r="B91" s="6" t="s">
        <v>719</v>
      </c>
      <c r="C91" s="287">
        <f>'9.2.3.melléklet'!D46</f>
        <v>18125</v>
      </c>
      <c r="D91" s="287">
        <f>'9.2.3.melléklet'!E46</f>
        <v>18125</v>
      </c>
      <c r="E91" s="287">
        <v>18125</v>
      </c>
      <c r="F91" s="287">
        <v>18125</v>
      </c>
    </row>
    <row r="92" spans="1:6" ht="12" customHeight="1">
      <c r="A92" s="12" t="s">
        <v>642</v>
      </c>
      <c r="B92" s="6" t="s">
        <v>678</v>
      </c>
      <c r="C92" s="289">
        <f>'9.2.3.melléklet'!D47</f>
        <v>15304</v>
      </c>
      <c r="D92" s="289">
        <f>'9.2.3.melléklet'!E47</f>
        <v>15304</v>
      </c>
      <c r="E92" s="289">
        <v>15304</v>
      </c>
      <c r="F92" s="289">
        <v>15304</v>
      </c>
    </row>
    <row r="93" spans="1:6" ht="12" customHeight="1">
      <c r="A93" s="12" t="s">
        <v>643</v>
      </c>
      <c r="B93" s="9" t="s">
        <v>720</v>
      </c>
      <c r="C93" s="287"/>
      <c r="D93" s="287"/>
      <c r="E93" s="287"/>
      <c r="F93" s="287"/>
    </row>
    <row r="94" spans="1:6" ht="12" customHeight="1">
      <c r="A94" s="12" t="s">
        <v>654</v>
      </c>
      <c r="B94" s="17" t="s">
        <v>721</v>
      </c>
      <c r="C94" s="289"/>
      <c r="D94" s="289"/>
      <c r="E94" s="289"/>
      <c r="F94" s="289"/>
    </row>
    <row r="95" spans="1:6" ht="12" customHeight="1">
      <c r="A95" s="12" t="s">
        <v>644</v>
      </c>
      <c r="B95" s="6" t="s">
        <v>56</v>
      </c>
      <c r="C95" s="289"/>
      <c r="D95" s="289"/>
      <c r="E95" s="289"/>
      <c r="F95" s="289"/>
    </row>
    <row r="96" spans="1:6" ht="12" customHeight="1">
      <c r="A96" s="12" t="s">
        <v>645</v>
      </c>
      <c r="B96" s="130" t="s">
        <v>57</v>
      </c>
      <c r="C96" s="289"/>
      <c r="D96" s="289"/>
      <c r="E96" s="289"/>
      <c r="F96" s="289"/>
    </row>
    <row r="97" spans="1:6" ht="12" customHeight="1">
      <c r="A97" s="12" t="s">
        <v>655</v>
      </c>
      <c r="B97" s="131" t="s">
        <v>58</v>
      </c>
      <c r="C97" s="289"/>
      <c r="D97" s="289"/>
      <c r="E97" s="289"/>
      <c r="F97" s="289"/>
    </row>
    <row r="98" spans="1:6" ht="12" customHeight="1">
      <c r="A98" s="12" t="s">
        <v>656</v>
      </c>
      <c r="B98" s="131" t="s">
        <v>59</v>
      </c>
      <c r="C98" s="289"/>
      <c r="D98" s="289"/>
      <c r="E98" s="289"/>
      <c r="F98" s="289"/>
    </row>
    <row r="99" spans="1:6" ht="12" customHeight="1">
      <c r="A99" s="12" t="s">
        <v>657</v>
      </c>
      <c r="B99" s="130" t="s">
        <v>60</v>
      </c>
      <c r="C99" s="289"/>
      <c r="D99" s="289"/>
      <c r="E99" s="289"/>
      <c r="F99" s="289"/>
    </row>
    <row r="100" spans="1:6" ht="12" customHeight="1">
      <c r="A100" s="12" t="s">
        <v>658</v>
      </c>
      <c r="B100" s="130" t="s">
        <v>61</v>
      </c>
      <c r="C100" s="289"/>
      <c r="D100" s="289"/>
      <c r="E100" s="289"/>
      <c r="F100" s="289"/>
    </row>
    <row r="101" spans="1:6" ht="12" customHeight="1">
      <c r="A101" s="12" t="s">
        <v>660</v>
      </c>
      <c r="B101" s="131" t="s">
        <v>62</v>
      </c>
      <c r="C101" s="289"/>
      <c r="D101" s="289"/>
      <c r="E101" s="289"/>
      <c r="F101" s="289"/>
    </row>
    <row r="102" spans="1:6" ht="12" customHeight="1">
      <c r="A102" s="11" t="s">
        <v>722</v>
      </c>
      <c r="B102" s="132" t="s">
        <v>63</v>
      </c>
      <c r="C102" s="289"/>
      <c r="D102" s="289"/>
      <c r="E102" s="289"/>
      <c r="F102" s="289"/>
    </row>
    <row r="103" spans="1:6" ht="12" customHeight="1">
      <c r="A103" s="12" t="s">
        <v>53</v>
      </c>
      <c r="B103" s="132" t="s">
        <v>64</v>
      </c>
      <c r="C103" s="289"/>
      <c r="D103" s="289"/>
      <c r="E103" s="289"/>
      <c r="F103" s="289"/>
    </row>
    <row r="104" spans="1:6" ht="12" customHeight="1" thickBot="1">
      <c r="A104" s="16" t="s">
        <v>54</v>
      </c>
      <c r="B104" s="133" t="s">
        <v>65</v>
      </c>
      <c r="C104" s="292"/>
      <c r="D104" s="292"/>
      <c r="E104" s="292"/>
      <c r="F104" s="292"/>
    </row>
    <row r="105" spans="1:6" ht="12" customHeight="1" thickBot="1">
      <c r="A105" s="18" t="s">
        <v>556</v>
      </c>
      <c r="B105" s="28" t="s">
        <v>66</v>
      </c>
      <c r="C105" s="285">
        <f>+C106+C108+C110</f>
        <v>0</v>
      </c>
      <c r="D105" s="285">
        <f>+D106+D108+D110</f>
        <v>0</v>
      </c>
      <c r="E105" s="285">
        <f>+E106+E108+E110</f>
        <v>0</v>
      </c>
      <c r="F105" s="285">
        <f>+F106+F108+F110</f>
        <v>0</v>
      </c>
    </row>
    <row r="106" spans="1:6" ht="12" customHeight="1">
      <c r="A106" s="13" t="s">
        <v>646</v>
      </c>
      <c r="B106" s="6" t="s">
        <v>769</v>
      </c>
      <c r="C106" s="288"/>
      <c r="D106" s="288"/>
      <c r="E106" s="288"/>
      <c r="F106" s="288"/>
    </row>
    <row r="107" spans="1:6" ht="12" customHeight="1">
      <c r="A107" s="13" t="s">
        <v>647</v>
      </c>
      <c r="B107" s="10" t="s">
        <v>70</v>
      </c>
      <c r="C107" s="288"/>
      <c r="D107" s="288"/>
      <c r="E107" s="288"/>
      <c r="F107" s="288"/>
    </row>
    <row r="108" spans="1:6" ht="12" customHeight="1">
      <c r="A108" s="13" t="s">
        <v>648</v>
      </c>
      <c r="B108" s="10" t="s">
        <v>723</v>
      </c>
      <c r="C108" s="287"/>
      <c r="D108" s="287"/>
      <c r="E108" s="287"/>
      <c r="F108" s="287"/>
    </row>
    <row r="109" spans="1:6" ht="12" customHeight="1">
      <c r="A109" s="13" t="s">
        <v>649</v>
      </c>
      <c r="B109" s="10" t="s">
        <v>71</v>
      </c>
      <c r="C109" s="258"/>
      <c r="D109" s="258"/>
      <c r="E109" s="258"/>
      <c r="F109" s="258"/>
    </row>
    <row r="110" spans="1:6" ht="12" customHeight="1">
      <c r="A110" s="13" t="s">
        <v>650</v>
      </c>
      <c r="B110" s="282" t="s">
        <v>772</v>
      </c>
      <c r="C110" s="258"/>
      <c r="D110" s="258"/>
      <c r="E110" s="258"/>
      <c r="F110" s="258"/>
    </row>
    <row r="111" spans="1:6" ht="12" customHeight="1">
      <c r="A111" s="13" t="s">
        <v>659</v>
      </c>
      <c r="B111" s="281" t="s">
        <v>178</v>
      </c>
      <c r="C111" s="258"/>
      <c r="D111" s="258"/>
      <c r="E111" s="258"/>
      <c r="F111" s="258"/>
    </row>
    <row r="112" spans="1:6" ht="12" customHeight="1">
      <c r="A112" s="13" t="s">
        <v>661</v>
      </c>
      <c r="B112" s="391" t="s">
        <v>76</v>
      </c>
      <c r="C112" s="258"/>
      <c r="D112" s="258"/>
      <c r="E112" s="258"/>
      <c r="F112" s="258"/>
    </row>
    <row r="113" spans="1:6" ht="15.75">
      <c r="A113" s="13" t="s">
        <v>724</v>
      </c>
      <c r="B113" s="131" t="s">
        <v>59</v>
      </c>
      <c r="C113" s="258"/>
      <c r="D113" s="258"/>
      <c r="E113" s="258"/>
      <c r="F113" s="258"/>
    </row>
    <row r="114" spans="1:6" ht="12" customHeight="1">
      <c r="A114" s="13" t="s">
        <v>725</v>
      </c>
      <c r="B114" s="131" t="s">
        <v>75</v>
      </c>
      <c r="C114" s="258"/>
      <c r="D114" s="258"/>
      <c r="E114" s="258"/>
      <c r="F114" s="258"/>
    </row>
    <row r="115" spans="1:6" ht="12" customHeight="1">
      <c r="A115" s="13" t="s">
        <v>726</v>
      </c>
      <c r="B115" s="131" t="s">
        <v>74</v>
      </c>
      <c r="C115" s="258"/>
      <c r="D115" s="258"/>
      <c r="E115" s="258"/>
      <c r="F115" s="258"/>
    </row>
    <row r="116" spans="1:6" ht="12" customHeight="1">
      <c r="A116" s="13" t="s">
        <v>67</v>
      </c>
      <c r="B116" s="131" t="s">
        <v>62</v>
      </c>
      <c r="C116" s="258"/>
      <c r="D116" s="258"/>
      <c r="E116" s="258"/>
      <c r="F116" s="258"/>
    </row>
    <row r="117" spans="1:6" ht="12" customHeight="1">
      <c r="A117" s="13" t="s">
        <v>68</v>
      </c>
      <c r="B117" s="131" t="s">
        <v>73</v>
      </c>
      <c r="C117" s="258"/>
      <c r="D117" s="258"/>
      <c r="E117" s="258"/>
      <c r="F117" s="258"/>
    </row>
    <row r="118" spans="1:6" ht="16.5" thickBot="1">
      <c r="A118" s="11" t="s">
        <v>69</v>
      </c>
      <c r="B118" s="131" t="s">
        <v>72</v>
      </c>
      <c r="C118" s="259"/>
      <c r="D118" s="259"/>
      <c r="E118" s="259"/>
      <c r="F118" s="259"/>
    </row>
    <row r="119" spans="1:6" ht="12" customHeight="1" thickBot="1">
      <c r="A119" s="18" t="s">
        <v>557</v>
      </c>
      <c r="B119" s="121" t="s">
        <v>77</v>
      </c>
      <c r="C119" s="285">
        <f>+C120+C121</f>
        <v>0</v>
      </c>
      <c r="D119" s="285">
        <f>+D120+D121</f>
        <v>0</v>
      </c>
      <c r="E119" s="285">
        <f>+E120+E121</f>
        <v>0</v>
      </c>
      <c r="F119" s="285">
        <f>+F120+F121</f>
        <v>0</v>
      </c>
    </row>
    <row r="120" spans="1:6" ht="12" customHeight="1">
      <c r="A120" s="13" t="s">
        <v>629</v>
      </c>
      <c r="B120" s="7" t="s">
        <v>597</v>
      </c>
      <c r="C120" s="288"/>
      <c r="D120" s="288"/>
      <c r="E120" s="288"/>
      <c r="F120" s="288"/>
    </row>
    <row r="121" spans="1:6" ht="12" customHeight="1" thickBot="1">
      <c r="A121" s="14" t="s">
        <v>630</v>
      </c>
      <c r="B121" s="10" t="s">
        <v>598</v>
      </c>
      <c r="C121" s="289"/>
      <c r="D121" s="289"/>
      <c r="E121" s="289"/>
      <c r="F121" s="289"/>
    </row>
    <row r="122" spans="1:6" ht="12" customHeight="1" thickBot="1">
      <c r="A122" s="18" t="s">
        <v>558</v>
      </c>
      <c r="B122" s="121" t="s">
        <v>78</v>
      </c>
      <c r="C122" s="285">
        <f>+C89+C105+C119</f>
        <v>99661</v>
      </c>
      <c r="D122" s="285">
        <f>+D89+D105+D119</f>
        <v>99661</v>
      </c>
      <c r="E122" s="285">
        <f>+E89+E105+E119</f>
        <v>99661</v>
      </c>
      <c r="F122" s="285">
        <f>+F89+F105+F119</f>
        <v>99661</v>
      </c>
    </row>
    <row r="123" spans="1:6" ht="12" customHeight="1" thickBot="1">
      <c r="A123" s="18" t="s">
        <v>559</v>
      </c>
      <c r="B123" s="121" t="s">
        <v>79</v>
      </c>
      <c r="C123" s="285">
        <f>+C124+C125+C126</f>
        <v>0</v>
      </c>
      <c r="D123" s="285">
        <f>+D124+D125+D126</f>
        <v>0</v>
      </c>
      <c r="E123" s="285">
        <f>+E124+E125+E126</f>
        <v>0</v>
      </c>
      <c r="F123" s="285">
        <f>+F124+F125+F126</f>
        <v>0</v>
      </c>
    </row>
    <row r="124" spans="1:6" ht="12" customHeight="1">
      <c r="A124" s="13" t="s">
        <v>633</v>
      </c>
      <c r="B124" s="7" t="s">
        <v>80</v>
      </c>
      <c r="C124" s="258"/>
      <c r="D124" s="258"/>
      <c r="E124" s="258"/>
      <c r="F124" s="258"/>
    </row>
    <row r="125" spans="1:6" ht="12" customHeight="1">
      <c r="A125" s="13" t="s">
        <v>634</v>
      </c>
      <c r="B125" s="7" t="s">
        <v>81</v>
      </c>
      <c r="C125" s="258"/>
      <c r="D125" s="258"/>
      <c r="E125" s="258"/>
      <c r="F125" s="258"/>
    </row>
    <row r="126" spans="1:6" ht="12" customHeight="1" thickBot="1">
      <c r="A126" s="11" t="s">
        <v>635</v>
      </c>
      <c r="B126" s="5" t="s">
        <v>82</v>
      </c>
      <c r="C126" s="258"/>
      <c r="D126" s="258"/>
      <c r="E126" s="258"/>
      <c r="F126" s="258"/>
    </row>
    <row r="127" spans="1:6" ht="12" customHeight="1" thickBot="1">
      <c r="A127" s="18" t="s">
        <v>560</v>
      </c>
      <c r="B127" s="121" t="s">
        <v>132</v>
      </c>
      <c r="C127" s="285">
        <f>+C128+C129+C130+C131</f>
        <v>0</v>
      </c>
      <c r="D127" s="285">
        <f>+D128+D129+D130+D131</f>
        <v>0</v>
      </c>
      <c r="E127" s="285">
        <f>+E128+E129+E130+E131</f>
        <v>0</v>
      </c>
      <c r="F127" s="285">
        <f>+F128+F129+F130+F131</f>
        <v>0</v>
      </c>
    </row>
    <row r="128" spans="1:6" ht="12" customHeight="1">
      <c r="A128" s="13" t="s">
        <v>636</v>
      </c>
      <c r="B128" s="7" t="s">
        <v>83</v>
      </c>
      <c r="C128" s="258"/>
      <c r="D128" s="258"/>
      <c r="E128" s="258"/>
      <c r="F128" s="258"/>
    </row>
    <row r="129" spans="1:6" ht="12" customHeight="1">
      <c r="A129" s="13" t="s">
        <v>637</v>
      </c>
      <c r="B129" s="7" t="s">
        <v>84</v>
      </c>
      <c r="C129" s="258"/>
      <c r="D129" s="258"/>
      <c r="E129" s="258"/>
      <c r="F129" s="258"/>
    </row>
    <row r="130" spans="1:6" ht="12" customHeight="1">
      <c r="A130" s="13" t="s">
        <v>842</v>
      </c>
      <c r="B130" s="7" t="s">
        <v>85</v>
      </c>
      <c r="C130" s="258"/>
      <c r="D130" s="258"/>
      <c r="E130" s="258"/>
      <c r="F130" s="258"/>
    </row>
    <row r="131" spans="1:6" ht="12" customHeight="1" thickBot="1">
      <c r="A131" s="11" t="s">
        <v>843</v>
      </c>
      <c r="B131" s="5" t="s">
        <v>86</v>
      </c>
      <c r="C131" s="258"/>
      <c r="D131" s="258"/>
      <c r="E131" s="258"/>
      <c r="F131" s="258"/>
    </row>
    <row r="132" spans="1:6" ht="12" customHeight="1" thickBot="1">
      <c r="A132" s="18" t="s">
        <v>561</v>
      </c>
      <c r="B132" s="121" t="s">
        <v>87</v>
      </c>
      <c r="C132" s="291">
        <f>+C133+C134+C135+C136</f>
        <v>0</v>
      </c>
      <c r="D132" s="291">
        <f>+D133+D134+D135+D136</f>
        <v>0</v>
      </c>
      <c r="E132" s="291">
        <f>+E133+E134+E135+E136</f>
        <v>0</v>
      </c>
      <c r="F132" s="291">
        <f>+F133+F134+F135+F136</f>
        <v>0</v>
      </c>
    </row>
    <row r="133" spans="1:6" ht="12" customHeight="1">
      <c r="A133" s="13" t="s">
        <v>638</v>
      </c>
      <c r="B133" s="7" t="s">
        <v>88</v>
      </c>
      <c r="C133" s="258"/>
      <c r="D133" s="258"/>
      <c r="E133" s="258"/>
      <c r="F133" s="258"/>
    </row>
    <row r="134" spans="1:6" ht="12" customHeight="1">
      <c r="A134" s="13" t="s">
        <v>639</v>
      </c>
      <c r="B134" s="7" t="s">
        <v>98</v>
      </c>
      <c r="C134" s="258"/>
      <c r="D134" s="258"/>
      <c r="E134" s="258"/>
      <c r="F134" s="258"/>
    </row>
    <row r="135" spans="1:6" ht="12" customHeight="1">
      <c r="A135" s="13" t="s">
        <v>854</v>
      </c>
      <c r="B135" s="7" t="s">
        <v>89</v>
      </c>
      <c r="C135" s="258"/>
      <c r="D135" s="258"/>
      <c r="E135" s="258"/>
      <c r="F135" s="258"/>
    </row>
    <row r="136" spans="1:6" ht="12" customHeight="1" thickBot="1">
      <c r="A136" s="11" t="s">
        <v>855</v>
      </c>
      <c r="B136" s="5" t="s">
        <v>90</v>
      </c>
      <c r="C136" s="258"/>
      <c r="D136" s="258"/>
      <c r="E136" s="258"/>
      <c r="F136" s="258"/>
    </row>
    <row r="137" spans="1:6" ht="12" customHeight="1" thickBot="1">
      <c r="A137" s="18" t="s">
        <v>562</v>
      </c>
      <c r="B137" s="121" t="s">
        <v>91</v>
      </c>
      <c r="C137" s="293">
        <f>+C138+C139+C140+C141</f>
        <v>0</v>
      </c>
      <c r="D137" s="293">
        <f>+D138+D139+D140+D141</f>
        <v>0</v>
      </c>
      <c r="E137" s="293">
        <f>+E138+E139+E140+E141</f>
        <v>0</v>
      </c>
      <c r="F137" s="293">
        <f>+F138+F139+F140+F141</f>
        <v>0</v>
      </c>
    </row>
    <row r="138" spans="1:6" ht="12" customHeight="1">
      <c r="A138" s="13" t="s">
        <v>717</v>
      </c>
      <c r="B138" s="7" t="s">
        <v>92</v>
      </c>
      <c r="C138" s="258"/>
      <c r="D138" s="258"/>
      <c r="E138" s="258"/>
      <c r="F138" s="258"/>
    </row>
    <row r="139" spans="1:6" ht="12" customHeight="1">
      <c r="A139" s="13" t="s">
        <v>718</v>
      </c>
      <c r="B139" s="7" t="s">
        <v>93</v>
      </c>
      <c r="C139" s="258"/>
      <c r="D139" s="258"/>
      <c r="E139" s="258"/>
      <c r="F139" s="258"/>
    </row>
    <row r="140" spans="1:6" ht="12" customHeight="1">
      <c r="A140" s="13" t="s">
        <v>771</v>
      </c>
      <c r="B140" s="7" t="s">
        <v>94</v>
      </c>
      <c r="C140" s="258"/>
      <c r="D140" s="258"/>
      <c r="E140" s="258"/>
      <c r="F140" s="258"/>
    </row>
    <row r="141" spans="1:6" ht="12" customHeight="1" thickBot="1">
      <c r="A141" s="13" t="s">
        <v>857</v>
      </c>
      <c r="B141" s="7" t="s">
        <v>95</v>
      </c>
      <c r="C141" s="258"/>
      <c r="D141" s="258"/>
      <c r="E141" s="258"/>
      <c r="F141" s="258"/>
    </row>
    <row r="142" spans="1:9" ht="15" customHeight="1" thickBot="1">
      <c r="A142" s="18" t="s">
        <v>563</v>
      </c>
      <c r="B142" s="121" t="s">
        <v>96</v>
      </c>
      <c r="C142" s="407">
        <f>+C123+C127+C132+C137</f>
        <v>0</v>
      </c>
      <c r="D142" s="407">
        <f>+D123+D127+D132+D137</f>
        <v>0</v>
      </c>
      <c r="E142" s="407">
        <f>+E123+E127+E132+E137</f>
        <v>0</v>
      </c>
      <c r="F142" s="407">
        <f>+F123+F127+F132+F137</f>
        <v>0</v>
      </c>
      <c r="G142" s="408"/>
      <c r="H142" s="408"/>
      <c r="I142" s="408"/>
    </row>
    <row r="143" spans="1:6" s="394" customFormat="1" ht="12.75" customHeight="1" thickBot="1">
      <c r="A143" s="283" t="s">
        <v>564</v>
      </c>
      <c r="B143" s="367" t="s">
        <v>97</v>
      </c>
      <c r="C143" s="407">
        <f>+C122+C142</f>
        <v>99661</v>
      </c>
      <c r="D143" s="407">
        <f>+D122+D142</f>
        <v>99661</v>
      </c>
      <c r="E143" s="407">
        <f>+E122+E142</f>
        <v>99661</v>
      </c>
      <c r="F143" s="407">
        <f>+F122+F142</f>
        <v>99661</v>
      </c>
    </row>
    <row r="144" ht="7.5" customHeight="1"/>
    <row r="145" spans="1:6" ht="15.75">
      <c r="A145" s="1251" t="s">
        <v>99</v>
      </c>
      <c r="B145" s="1251"/>
      <c r="C145" s="1251"/>
      <c r="D145" s="392"/>
      <c r="E145" s="392"/>
      <c r="F145" s="392"/>
    </row>
    <row r="146" spans="1:6" ht="15" customHeight="1" thickBot="1">
      <c r="A146" s="1248" t="s">
        <v>691</v>
      </c>
      <c r="B146" s="1248"/>
      <c r="C146" s="294"/>
      <c r="D146" s="294"/>
      <c r="E146" s="294" t="s">
        <v>770</v>
      </c>
      <c r="F146" s="294" t="s">
        <v>770</v>
      </c>
    </row>
    <row r="147" spans="1:6" ht="13.5" customHeight="1" thickBot="1">
      <c r="A147" s="18">
        <v>1</v>
      </c>
      <c r="B147" s="28" t="s">
        <v>100</v>
      </c>
      <c r="C147" s="285">
        <f>+C60-C122</f>
        <v>0</v>
      </c>
      <c r="D147" s="285">
        <f>+D60-D122</f>
        <v>0</v>
      </c>
      <c r="E147" s="285">
        <f>+E60-E122</f>
        <v>0</v>
      </c>
      <c r="F147" s="285">
        <f>+F60-F122</f>
        <v>0</v>
      </c>
    </row>
    <row r="148" spans="1:6" ht="27.75" customHeight="1" thickBot="1">
      <c r="A148" s="18" t="s">
        <v>556</v>
      </c>
      <c r="B148" s="28" t="s">
        <v>101</v>
      </c>
      <c r="C148" s="285">
        <f>+C83-C142</f>
        <v>0</v>
      </c>
      <c r="D148" s="285">
        <f>+D83-D142</f>
        <v>0</v>
      </c>
      <c r="E148" s="285">
        <f>+E83-E142</f>
        <v>0</v>
      </c>
      <c r="F148" s="285">
        <f>+F83-F142</f>
        <v>0</v>
      </c>
    </row>
  </sheetData>
  <sheetProtection/>
  <mergeCells count="6">
    <mergeCell ref="A145:C145"/>
    <mergeCell ref="A146:B146"/>
    <mergeCell ref="A1:C1"/>
    <mergeCell ref="A2:B2"/>
    <mergeCell ref="A85:C85"/>
    <mergeCell ref="A86:B8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0" r:id="rId1"/>
  <headerFooter alignWithMargins="0">
    <oddHeader>&amp;C&amp;"Times New Roman CE,Félkövér"&amp;12
Tát Város Önkormányzat
2016. ÉVI KÖLTSÉGVETÉS
ÁLLAMI (ÁLLAMIGAZGATÁSI) FELADATOK MÉRLEGE
&amp;R&amp;"Times New Roman CE,Félkövér dőlt"&amp;11 1.4. melléklet az  1/2016. (I.26.) önkormányzati rendelethez</oddHeader>
  </headerFooter>
  <rowBreaks count="1" manualBreakCount="1">
    <brk id="84" max="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F34"/>
  <sheetViews>
    <sheetView view="pageBreakPreview" zoomScaleNormal="115" zoomScaleSheetLayoutView="100" zoomScalePageLayoutView="0" workbookViewId="0" topLeftCell="A7">
      <selection activeCell="B113" sqref="B113"/>
    </sheetView>
  </sheetViews>
  <sheetFormatPr defaultColWidth="9.00390625" defaultRowHeight="12.75"/>
  <cols>
    <col min="1" max="1" width="6.875" style="54" customWidth="1"/>
    <col min="2" max="2" width="55.125" style="182" customWidth="1"/>
    <col min="3" max="3" width="16.375" style="54" customWidth="1"/>
    <col min="4" max="4" width="55.125" style="54" customWidth="1"/>
    <col min="5" max="5" width="16.375" style="54" customWidth="1"/>
    <col min="6" max="6" width="4.875" style="54" customWidth="1"/>
    <col min="7" max="16384" width="9.375" style="54" customWidth="1"/>
  </cols>
  <sheetData>
    <row r="1" spans="2:6" ht="39.75" customHeight="1">
      <c r="B1" s="306" t="s">
        <v>115</v>
      </c>
      <c r="C1" s="307"/>
      <c r="D1" s="307"/>
      <c r="E1" s="307"/>
      <c r="F1" s="1254"/>
    </row>
    <row r="2" spans="5:6" ht="14.25" thickBot="1">
      <c r="E2" s="308" t="s">
        <v>601</v>
      </c>
      <c r="F2" s="1254"/>
    </row>
    <row r="3" spans="1:6" ht="18" customHeight="1" thickBot="1">
      <c r="A3" s="1252" t="s">
        <v>610</v>
      </c>
      <c r="B3" s="309" t="s">
        <v>593</v>
      </c>
      <c r="C3" s="310"/>
      <c r="D3" s="309" t="s">
        <v>595</v>
      </c>
      <c r="E3" s="311"/>
      <c r="F3" s="1254"/>
    </row>
    <row r="4" spans="1:6" s="312" customFormat="1" ht="35.25" customHeight="1" thickBot="1">
      <c r="A4" s="1253"/>
      <c r="B4" s="183" t="s">
        <v>602</v>
      </c>
      <c r="C4" s="184" t="s">
        <v>451</v>
      </c>
      <c r="D4" s="183" t="s">
        <v>602</v>
      </c>
      <c r="E4" s="50" t="s">
        <v>451</v>
      </c>
      <c r="F4" s="1254"/>
    </row>
    <row r="5" spans="1:6" s="317" customFormat="1" ht="12" customHeight="1" thickBot="1">
      <c r="A5" s="313">
        <v>1</v>
      </c>
      <c r="B5" s="314">
        <v>2</v>
      </c>
      <c r="C5" s="315" t="s">
        <v>557</v>
      </c>
      <c r="D5" s="314" t="s">
        <v>558</v>
      </c>
      <c r="E5" s="316" t="s">
        <v>559</v>
      </c>
      <c r="F5" s="1254"/>
    </row>
    <row r="6" spans="1:6" ht="12.75" customHeight="1">
      <c r="A6" s="318" t="s">
        <v>555</v>
      </c>
      <c r="B6" s="319" t="s">
        <v>102</v>
      </c>
      <c r="C6" s="1028">
        <f>'1.1.melléklet'!C5</f>
        <v>388467</v>
      </c>
      <c r="D6" s="319" t="s">
        <v>603</v>
      </c>
      <c r="E6" s="1030">
        <f>'1.1.melléklet'!C92</f>
        <v>181117</v>
      </c>
      <c r="F6" s="1254"/>
    </row>
    <row r="7" spans="1:6" ht="12.75" customHeight="1">
      <c r="A7" s="320" t="s">
        <v>556</v>
      </c>
      <c r="B7" s="321" t="s">
        <v>103</v>
      </c>
      <c r="C7" s="1029">
        <f>'1.1.melléklet'!C12</f>
        <v>9120</v>
      </c>
      <c r="D7" s="321" t="s">
        <v>719</v>
      </c>
      <c r="E7" s="1031">
        <f>'1.1.melléklet'!C93</f>
        <v>50297</v>
      </c>
      <c r="F7" s="1254"/>
    </row>
    <row r="8" spans="1:6" ht="12.75" customHeight="1">
      <c r="A8" s="320" t="s">
        <v>557</v>
      </c>
      <c r="B8" s="321" t="s">
        <v>134</v>
      </c>
      <c r="C8" s="296">
        <f>'1.1.melléklet'!C18</f>
        <v>0</v>
      </c>
      <c r="D8" s="321" t="s">
        <v>775</v>
      </c>
      <c r="E8" s="1031">
        <f>'1.1.melléklet'!C94</f>
        <v>217425</v>
      </c>
      <c r="F8" s="1254"/>
    </row>
    <row r="9" spans="1:6" ht="12.75" customHeight="1">
      <c r="A9" s="320" t="s">
        <v>558</v>
      </c>
      <c r="B9" s="321" t="s">
        <v>710</v>
      </c>
      <c r="C9" s="1029">
        <f>'1.1.melléklet'!C26</f>
        <v>114350</v>
      </c>
      <c r="D9" s="321" t="s">
        <v>720</v>
      </c>
      <c r="E9" s="1031">
        <f>'1.1.melléklet'!C95</f>
        <v>9611</v>
      </c>
      <c r="F9" s="1254"/>
    </row>
    <row r="10" spans="1:6" ht="12.75" customHeight="1">
      <c r="A10" s="320" t="s">
        <v>559</v>
      </c>
      <c r="B10" s="322" t="s">
        <v>104</v>
      </c>
      <c r="C10" s="296"/>
      <c r="D10" s="321" t="s">
        <v>721</v>
      </c>
      <c r="E10" s="1031">
        <f>'1.1.melléklet'!C96</f>
        <v>131349</v>
      </c>
      <c r="F10" s="1254"/>
    </row>
    <row r="11" spans="1:6" ht="12.75" customHeight="1">
      <c r="A11" s="320" t="s">
        <v>560</v>
      </c>
      <c r="B11" s="321" t="s">
        <v>105</v>
      </c>
      <c r="C11" s="297">
        <f>'1.1.melléklet'!C52</f>
        <v>0</v>
      </c>
      <c r="D11" s="321" t="s">
        <v>586</v>
      </c>
      <c r="E11" s="1031">
        <f>'1.1.melléklet'!C122</f>
        <v>27460</v>
      </c>
      <c r="F11" s="1254"/>
    </row>
    <row r="12" spans="1:6" ht="12.75" customHeight="1">
      <c r="A12" s="320" t="s">
        <v>561</v>
      </c>
      <c r="B12" s="321" t="s">
        <v>840</v>
      </c>
      <c r="C12" s="1029">
        <f>'1.1.melléklet'!C34</f>
        <v>105322</v>
      </c>
      <c r="D12" s="319" t="s">
        <v>769</v>
      </c>
      <c r="E12" s="1030">
        <f>'2.2.melléklet '!I6</f>
        <v>18354</v>
      </c>
      <c r="F12" s="1254"/>
    </row>
    <row r="13" spans="1:6" ht="12.75" customHeight="1">
      <c r="A13" s="320" t="s">
        <v>562</v>
      </c>
      <c r="B13" s="319" t="s">
        <v>114</v>
      </c>
      <c r="C13" s="1028">
        <f>'2.2.melléklet '!C6</f>
        <v>33407</v>
      </c>
      <c r="D13" s="321" t="s">
        <v>123</v>
      </c>
      <c r="E13" s="301">
        <f>'2.2.melléklet '!I7</f>
        <v>0</v>
      </c>
      <c r="F13" s="1254"/>
    </row>
    <row r="14" spans="1:6" ht="12.75" customHeight="1">
      <c r="A14" s="320" t="s">
        <v>563</v>
      </c>
      <c r="B14" s="321" t="s">
        <v>118</v>
      </c>
      <c r="C14" s="296">
        <f>'1.1.melléklet'!C25</f>
        <v>0</v>
      </c>
      <c r="D14" s="321" t="s">
        <v>723</v>
      </c>
      <c r="E14" s="1030">
        <f>'2.2.melléklet '!I8</f>
        <v>31681</v>
      </c>
      <c r="F14" s="1254"/>
    </row>
    <row r="15" spans="1:6" ht="12.75" customHeight="1">
      <c r="A15" s="320" t="s">
        <v>564</v>
      </c>
      <c r="B15" s="321" t="s">
        <v>548</v>
      </c>
      <c r="C15" s="296"/>
      <c r="D15" s="321" t="s">
        <v>124</v>
      </c>
      <c r="E15" s="301"/>
      <c r="F15" s="1254"/>
    </row>
    <row r="16" spans="1:6" ht="12.75" customHeight="1">
      <c r="A16" s="320" t="s">
        <v>565</v>
      </c>
      <c r="B16" s="321" t="s">
        <v>119</v>
      </c>
      <c r="C16" s="296">
        <f>'1.1.melléklet'!C59</f>
        <v>0</v>
      </c>
      <c r="D16" s="321" t="s">
        <v>772</v>
      </c>
      <c r="E16" s="1030">
        <f>'1.1.melléklet'!C112</f>
        <v>49965</v>
      </c>
      <c r="F16" s="1254"/>
    </row>
    <row r="17" spans="1:6" ht="12.75" customHeight="1">
      <c r="A17" s="320" t="s">
        <v>566</v>
      </c>
      <c r="B17" s="321" t="s">
        <v>120</v>
      </c>
      <c r="C17" s="296"/>
      <c r="D17" s="44" t="s">
        <v>597</v>
      </c>
      <c r="E17" s="302"/>
      <c r="F17" s="1254"/>
    </row>
    <row r="18" spans="1:6" ht="12.75" customHeight="1" thickBot="1">
      <c r="A18" s="320" t="s">
        <v>567</v>
      </c>
      <c r="B18" s="321" t="s">
        <v>121</v>
      </c>
      <c r="C18" s="298"/>
      <c r="D18" s="44" t="s">
        <v>598</v>
      </c>
      <c r="E18" s="1031">
        <f>'2.2.melléklet '!I12</f>
        <v>33407</v>
      </c>
      <c r="F18" s="1254"/>
    </row>
    <row r="19" spans="1:6" ht="15.75" customHeight="1" thickBot="1">
      <c r="A19" s="323" t="s">
        <v>568</v>
      </c>
      <c r="B19" s="123" t="s">
        <v>368</v>
      </c>
      <c r="C19" s="299">
        <f>+C6+C7+C9+C10+C12+C13+C14+C15+C16+C17+C18</f>
        <v>650666</v>
      </c>
      <c r="D19" s="123" t="s">
        <v>367</v>
      </c>
      <c r="E19" s="304">
        <f>SUM(E6:E18)</f>
        <v>750666</v>
      </c>
      <c r="F19" s="1254"/>
    </row>
    <row r="20" spans="1:6" ht="15.75" customHeight="1">
      <c r="A20" s="324" t="s">
        <v>569</v>
      </c>
      <c r="B20" s="333" t="s">
        <v>369</v>
      </c>
      <c r="C20" s="745">
        <f>C21</f>
        <v>100000</v>
      </c>
      <c r="D20" s="747" t="s">
        <v>727</v>
      </c>
      <c r="E20" s="746"/>
      <c r="F20" s="1254"/>
    </row>
    <row r="21" spans="1:6" ht="15.75" customHeight="1">
      <c r="A21" s="324" t="s">
        <v>570</v>
      </c>
      <c r="B21" s="334" t="s">
        <v>779</v>
      </c>
      <c r="C21" s="749">
        <f>'2.2.melléklet '!C19</f>
        <v>100000</v>
      </c>
      <c r="D21" s="748" t="s">
        <v>112</v>
      </c>
      <c r="E21" s="750"/>
      <c r="F21" s="1254"/>
    </row>
    <row r="22" spans="1:6" ht="15.75" customHeight="1">
      <c r="A22" s="324" t="s">
        <v>571</v>
      </c>
      <c r="B22" s="334" t="s">
        <v>780</v>
      </c>
      <c r="C22" s="750"/>
      <c r="D22" s="326" t="s">
        <v>692</v>
      </c>
      <c r="E22" s="746"/>
      <c r="F22" s="1254"/>
    </row>
    <row r="23" spans="1:6" ht="15.75" customHeight="1">
      <c r="A23" s="324" t="s">
        <v>572</v>
      </c>
      <c r="B23" s="334" t="s">
        <v>781</v>
      </c>
      <c r="C23" s="750"/>
      <c r="D23" s="326" t="s">
        <v>693</v>
      </c>
      <c r="E23" s="750"/>
      <c r="F23" s="1254"/>
    </row>
    <row r="24" spans="1:6" ht="15.75" customHeight="1">
      <c r="A24" s="324" t="s">
        <v>573</v>
      </c>
      <c r="B24" s="334" t="s">
        <v>782</v>
      </c>
      <c r="C24" s="745"/>
      <c r="D24" s="325" t="s">
        <v>776</v>
      </c>
      <c r="E24" s="750"/>
      <c r="F24" s="1254"/>
    </row>
    <row r="25" spans="1:6" ht="15.75" customHeight="1">
      <c r="A25" s="324" t="s">
        <v>574</v>
      </c>
      <c r="B25" s="335" t="s">
        <v>783</v>
      </c>
      <c r="C25" s="750"/>
      <c r="D25" s="326" t="s">
        <v>728</v>
      </c>
      <c r="E25" s="746"/>
      <c r="F25" s="1254"/>
    </row>
    <row r="26" spans="1:6" ht="15.75" customHeight="1">
      <c r="A26" s="324" t="s">
        <v>575</v>
      </c>
      <c r="B26" s="336" t="s">
        <v>370</v>
      </c>
      <c r="C26" s="750"/>
      <c r="D26" s="319" t="s">
        <v>729</v>
      </c>
      <c r="E26" s="750"/>
      <c r="F26" s="1254"/>
    </row>
    <row r="27" spans="1:6" ht="15.75" customHeight="1">
      <c r="A27" s="324" t="s">
        <v>576</v>
      </c>
      <c r="B27" s="335" t="s">
        <v>785</v>
      </c>
      <c r="C27" s="750"/>
      <c r="D27" s="744"/>
      <c r="E27" s="751"/>
      <c r="F27" s="1254"/>
    </row>
    <row r="28" spans="1:6" ht="12.75" customHeight="1">
      <c r="A28" s="324" t="s">
        <v>577</v>
      </c>
      <c r="B28" s="335" t="s">
        <v>786</v>
      </c>
      <c r="C28" s="340"/>
      <c r="D28" s="326"/>
      <c r="E28" s="76"/>
      <c r="F28" s="1254"/>
    </row>
    <row r="29" spans="1:6" ht="12.75" customHeight="1">
      <c r="A29" s="327" t="s">
        <v>462</v>
      </c>
      <c r="B29" s="334" t="s">
        <v>787</v>
      </c>
      <c r="C29" s="78"/>
      <c r="D29" s="326"/>
      <c r="E29" s="79"/>
      <c r="F29" s="1254"/>
    </row>
    <row r="30" spans="1:6" ht="12.75" customHeight="1">
      <c r="A30" s="327" t="s">
        <v>579</v>
      </c>
      <c r="B30" s="338" t="s">
        <v>788</v>
      </c>
      <c r="C30" s="78"/>
      <c r="D30" s="326"/>
      <c r="E30" s="79"/>
      <c r="F30" s="1254"/>
    </row>
    <row r="31" spans="1:6" ht="12.75" customHeight="1" thickBot="1">
      <c r="A31" s="327" t="s">
        <v>580</v>
      </c>
      <c r="B31" s="339" t="s">
        <v>789</v>
      </c>
      <c r="C31" s="78"/>
      <c r="D31" s="326"/>
      <c r="E31" s="79"/>
      <c r="F31" s="1254"/>
    </row>
    <row r="32" spans="1:6" ht="15.75" customHeight="1" thickBot="1">
      <c r="A32" s="323" t="s">
        <v>581</v>
      </c>
      <c r="B32" s="123" t="s">
        <v>371</v>
      </c>
      <c r="C32" s="299">
        <f>C21</f>
        <v>100000</v>
      </c>
      <c r="D32" s="123" t="s">
        <v>372</v>
      </c>
      <c r="E32" s="304">
        <f>SUM(E28:E31)</f>
        <v>0</v>
      </c>
      <c r="F32" s="1254"/>
    </row>
    <row r="33" spans="1:6" ht="13.5" thickBot="1">
      <c r="A33" s="323" t="s">
        <v>582</v>
      </c>
      <c r="B33" s="329" t="s">
        <v>373</v>
      </c>
      <c r="C33" s="330">
        <f>+C19+C32</f>
        <v>750666</v>
      </c>
      <c r="D33" s="329" t="s">
        <v>374</v>
      </c>
      <c r="E33" s="330">
        <f>+E19+E32</f>
        <v>750666</v>
      </c>
      <c r="F33" s="1254"/>
    </row>
    <row r="34" spans="2:4" ht="18.75">
      <c r="B34" s="1404"/>
      <c r="C34" s="1404"/>
      <c r="D34" s="1404"/>
    </row>
  </sheetData>
  <sheetProtection/>
  <mergeCells count="3">
    <mergeCell ref="A3:A4"/>
    <mergeCell ref="F1:F33"/>
    <mergeCell ref="B34:D3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93" r:id="rId1"/>
  <headerFooter alignWithMargins="0">
    <oddHeader xml:space="preserve">&amp;R&amp;"Times New Roman CE,Félkövér dőlt"&amp;11 11. tájékoztató tábla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N31"/>
  <sheetViews>
    <sheetView view="pageBreakPreview" zoomScaleNormal="115" zoomScaleSheetLayoutView="100" workbookViewId="0" topLeftCell="A1">
      <selection activeCell="B31" sqref="B31:H31"/>
    </sheetView>
  </sheetViews>
  <sheetFormatPr defaultColWidth="9.00390625" defaultRowHeight="12.75"/>
  <cols>
    <col min="1" max="1" width="6.875" style="54" customWidth="1"/>
    <col min="2" max="2" width="55.125" style="182" customWidth="1"/>
    <col min="3" max="7" width="16.375" style="54" customWidth="1"/>
    <col min="8" max="8" width="55.125" style="54" customWidth="1"/>
    <col min="9" max="13" width="16.375" style="54" customWidth="1"/>
    <col min="14" max="14" width="4.875" style="54" customWidth="1"/>
    <col min="15" max="16384" width="9.375" style="54" customWidth="1"/>
  </cols>
  <sheetData>
    <row r="1" spans="2:14" ht="39.75" customHeight="1">
      <c r="B1" s="306" t="s">
        <v>694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1254" t="s">
        <v>9</v>
      </c>
    </row>
    <row r="2" spans="9:14" ht="14.25" thickBot="1">
      <c r="I2" s="308"/>
      <c r="J2" s="308"/>
      <c r="K2" s="308" t="s">
        <v>601</v>
      </c>
      <c r="L2" s="308"/>
      <c r="M2" s="308"/>
      <c r="N2" s="1254"/>
    </row>
    <row r="3" spans="1:14" ht="18" customHeight="1" thickBot="1">
      <c r="A3" s="1252" t="s">
        <v>610</v>
      </c>
      <c r="B3" s="309" t="s">
        <v>593</v>
      </c>
      <c r="C3" s="310"/>
      <c r="D3" s="310"/>
      <c r="E3" s="1032"/>
      <c r="F3" s="1032"/>
      <c r="G3" s="1032"/>
      <c r="H3" s="309" t="s">
        <v>595</v>
      </c>
      <c r="I3" s="311"/>
      <c r="J3" s="311"/>
      <c r="K3" s="311"/>
      <c r="L3" s="311"/>
      <c r="M3" s="311"/>
      <c r="N3" s="1254"/>
    </row>
    <row r="4" spans="1:14" s="312" customFormat="1" ht="35.25" customHeight="1" thickBot="1">
      <c r="A4" s="1253"/>
      <c r="B4" s="183" t="s">
        <v>602</v>
      </c>
      <c r="C4" s="184" t="s">
        <v>451</v>
      </c>
      <c r="D4" s="184" t="s">
        <v>884</v>
      </c>
      <c r="E4" s="575" t="s">
        <v>906</v>
      </c>
      <c r="F4" s="50" t="s">
        <v>911</v>
      </c>
      <c r="G4" s="1225" t="s">
        <v>7</v>
      </c>
      <c r="H4" s="183" t="s">
        <v>602</v>
      </c>
      <c r="I4" s="50" t="s">
        <v>451</v>
      </c>
      <c r="J4" s="50" t="s">
        <v>884</v>
      </c>
      <c r="K4" s="50" t="s">
        <v>906</v>
      </c>
      <c r="L4" s="50" t="s">
        <v>911</v>
      </c>
      <c r="M4" s="1228" t="s">
        <v>7</v>
      </c>
      <c r="N4" s="1254"/>
    </row>
    <row r="5" spans="1:14" s="317" customFormat="1" ht="12" customHeight="1" thickBot="1">
      <c r="A5" s="313">
        <v>1</v>
      </c>
      <c r="B5" s="314">
        <v>2</v>
      </c>
      <c r="C5" s="315">
        <v>3</v>
      </c>
      <c r="D5" s="315">
        <v>4</v>
      </c>
      <c r="E5" s="1193">
        <v>5</v>
      </c>
      <c r="F5" s="316">
        <v>6</v>
      </c>
      <c r="G5" s="1193">
        <v>7</v>
      </c>
      <c r="H5" s="314">
        <v>8</v>
      </c>
      <c r="I5" s="316">
        <v>9</v>
      </c>
      <c r="J5" s="316">
        <v>10</v>
      </c>
      <c r="K5" s="316">
        <v>11</v>
      </c>
      <c r="L5" s="316">
        <v>12</v>
      </c>
      <c r="M5" s="316">
        <v>13</v>
      </c>
      <c r="N5" s="1254"/>
    </row>
    <row r="6" spans="1:14" ht="12.75" customHeight="1">
      <c r="A6" s="318" t="s">
        <v>555</v>
      </c>
      <c r="B6" s="319" t="s">
        <v>102</v>
      </c>
      <c r="C6" s="295">
        <f>'1.1.melléklet'!C5</f>
        <v>388467</v>
      </c>
      <c r="D6" s="295">
        <f>'1.1.melléklet'!D5</f>
        <v>393550</v>
      </c>
      <c r="E6" s="1194">
        <v>396686</v>
      </c>
      <c r="F6" s="301">
        <v>396287778</v>
      </c>
      <c r="G6" s="1194">
        <v>398046285</v>
      </c>
      <c r="H6" s="319" t="s">
        <v>603</v>
      </c>
      <c r="I6" s="1036">
        <f>'1.1.melléklet'!C92</f>
        <v>181117</v>
      </c>
      <c r="J6" s="1145">
        <f>'1.1.melléklet'!D92</f>
        <v>193851</v>
      </c>
      <c r="K6" s="1143">
        <f>'1.1.melléklet'!E92</f>
        <v>199675</v>
      </c>
      <c r="L6" s="1143">
        <f>'1.1.melléklet'!F92</f>
        <v>198687051</v>
      </c>
      <c r="M6" s="1143">
        <f>'1.1.melléklet'!G92</f>
        <v>202900161</v>
      </c>
      <c r="N6" s="1254"/>
    </row>
    <row r="7" spans="1:14" ht="12.75" customHeight="1">
      <c r="A7" s="320" t="s">
        <v>556</v>
      </c>
      <c r="B7" s="321" t="s">
        <v>103</v>
      </c>
      <c r="C7" s="296">
        <f>'1.1.melléklet'!C12</f>
        <v>9120</v>
      </c>
      <c r="D7" s="296">
        <f>'1.1.melléklet'!D12</f>
        <v>18325</v>
      </c>
      <c r="E7" s="1190">
        <v>23053</v>
      </c>
      <c r="F7" s="302">
        <v>25950209</v>
      </c>
      <c r="G7" s="1190">
        <v>28922316</v>
      </c>
      <c r="H7" s="321" t="s">
        <v>719</v>
      </c>
      <c r="I7" s="297">
        <f>'1.1.melléklet'!C93</f>
        <v>50297</v>
      </c>
      <c r="J7" s="296">
        <f>'1.1.melléklet'!D93</f>
        <v>53844</v>
      </c>
      <c r="K7" s="1043">
        <f>'1.1.melléklet'!E93</f>
        <v>55402</v>
      </c>
      <c r="L7" s="1043">
        <f>'1.1.melléklet'!F93</f>
        <v>56646815</v>
      </c>
      <c r="M7" s="1043">
        <f>'1.1.melléklet'!G93</f>
        <v>55612651</v>
      </c>
      <c r="N7" s="1254"/>
    </row>
    <row r="8" spans="1:14" ht="12.75" customHeight="1">
      <c r="A8" s="320" t="s">
        <v>557</v>
      </c>
      <c r="B8" s="321" t="s">
        <v>134</v>
      </c>
      <c r="C8" s="296">
        <f>'1.1.melléklet'!C18</f>
        <v>0</v>
      </c>
      <c r="D8" s="296">
        <f>'1.1.melléklet'!D18</f>
        <v>0</v>
      </c>
      <c r="E8" s="1190"/>
      <c r="F8" s="302"/>
      <c r="G8" s="1190"/>
      <c r="H8" s="321" t="s">
        <v>775</v>
      </c>
      <c r="I8" s="297">
        <f>'1.1.melléklet'!C94</f>
        <v>217425</v>
      </c>
      <c r="J8" s="296">
        <f>'1.1.melléklet'!D94</f>
        <v>236729</v>
      </c>
      <c r="K8" s="1043">
        <f>'1.1.melléklet'!E94</f>
        <v>236729</v>
      </c>
      <c r="L8" s="1043">
        <f>'1.1.melléklet'!F94</f>
        <v>265847537</v>
      </c>
      <c r="M8" s="1043">
        <f>'1.1.melléklet'!G94</f>
        <v>264608659</v>
      </c>
      <c r="N8" s="1254"/>
    </row>
    <row r="9" spans="1:14" ht="12.75" customHeight="1">
      <c r="A9" s="320" t="s">
        <v>558</v>
      </c>
      <c r="B9" s="321" t="s">
        <v>710</v>
      </c>
      <c r="C9" s="296">
        <f>'1.1.melléklet'!C26</f>
        <v>114350</v>
      </c>
      <c r="D9" s="296">
        <f>'1.1.melléklet'!D26</f>
        <v>114350</v>
      </c>
      <c r="E9" s="1190">
        <v>114350</v>
      </c>
      <c r="F9" s="302">
        <v>149350000</v>
      </c>
      <c r="G9" s="1190">
        <v>180840000</v>
      </c>
      <c r="H9" s="321" t="s">
        <v>720</v>
      </c>
      <c r="I9" s="297">
        <f>'1.1.melléklet'!C95</f>
        <v>9611</v>
      </c>
      <c r="J9" s="296">
        <f>'1.1.melléklet'!D95</f>
        <v>9611</v>
      </c>
      <c r="K9" s="1043">
        <f>'1.1.melléklet'!E95</f>
        <v>9611</v>
      </c>
      <c r="L9" s="1043">
        <f>'1.1.melléklet'!F95</f>
        <v>9611000</v>
      </c>
      <c r="M9" s="1043">
        <f>'1.1.melléklet'!G95</f>
        <v>9591000</v>
      </c>
      <c r="N9" s="1254"/>
    </row>
    <row r="10" spans="1:14" ht="12.75" customHeight="1">
      <c r="A10" s="320" t="s">
        <v>559</v>
      </c>
      <c r="B10" s="322" t="s">
        <v>104</v>
      </c>
      <c r="C10" s="296"/>
      <c r="D10" s="297"/>
      <c r="E10" s="1138"/>
      <c r="F10" s="303"/>
      <c r="G10" s="1226">
        <v>844000</v>
      </c>
      <c r="H10" s="321" t="s">
        <v>721</v>
      </c>
      <c r="I10" s="297">
        <f>'1.1.melléklet'!C96</f>
        <v>131349</v>
      </c>
      <c r="J10" s="296">
        <f>'1.1.melléklet'!D96</f>
        <v>133003</v>
      </c>
      <c r="K10" s="1043">
        <f>'1.1.melléklet'!E96</f>
        <v>136550</v>
      </c>
      <c r="L10" s="1043">
        <f>'1.1.melléklet'!F96</f>
        <v>137724498</v>
      </c>
      <c r="M10" s="1043">
        <f>'1.1.melléklet'!G96</f>
        <v>141926348</v>
      </c>
      <c r="N10" s="1254"/>
    </row>
    <row r="11" spans="1:14" ht="12.75" customHeight="1">
      <c r="A11" s="320" t="s">
        <v>560</v>
      </c>
      <c r="B11" s="321" t="s">
        <v>105</v>
      </c>
      <c r="C11" s="297">
        <f>'1.1.melléklet'!C52</f>
        <v>0</v>
      </c>
      <c r="D11" s="297">
        <f>'1.1.melléklet'!D52</f>
        <v>0</v>
      </c>
      <c r="E11" s="297"/>
      <c r="F11" s="302"/>
      <c r="G11" s="1190"/>
      <c r="H11" s="321" t="s">
        <v>586</v>
      </c>
      <c r="I11" s="297">
        <f>'1.1.melléklet'!C122</f>
        <v>27460</v>
      </c>
      <c r="J11" s="296">
        <f>'1.1.melléklet'!D122</f>
        <v>47423</v>
      </c>
      <c r="K11" s="1043">
        <f>'1.1.melléklet'!E122</f>
        <v>44358</v>
      </c>
      <c r="L11" s="1043">
        <f>'1.1.melléklet'!F122</f>
        <v>65985980</v>
      </c>
      <c r="M11" s="1043">
        <f>'1.1.melléklet'!G122</f>
        <v>145297464</v>
      </c>
      <c r="N11" s="1254"/>
    </row>
    <row r="12" spans="1:14" ht="12.75" customHeight="1">
      <c r="A12" s="320" t="s">
        <v>561</v>
      </c>
      <c r="B12" s="321" t="s">
        <v>840</v>
      </c>
      <c r="C12" s="296">
        <f>'1.1.melléklet'!C34</f>
        <v>105322</v>
      </c>
      <c r="D12" s="297">
        <f>'1.1.melléklet'!D34</f>
        <v>107112</v>
      </c>
      <c r="E12" s="297">
        <v>107112</v>
      </c>
      <c r="F12" s="302">
        <v>151851894</v>
      </c>
      <c r="G12" s="1190">
        <v>156118404</v>
      </c>
      <c r="H12" s="44"/>
      <c r="I12" s="297"/>
      <c r="J12" s="296"/>
      <c r="K12" s="1043"/>
      <c r="L12" s="1043"/>
      <c r="M12" s="1043"/>
      <c r="N12" s="1254"/>
    </row>
    <row r="13" spans="1:14" ht="12.75" customHeight="1">
      <c r="A13" s="320" t="s">
        <v>562</v>
      </c>
      <c r="B13" s="44"/>
      <c r="C13" s="296"/>
      <c r="D13" s="297"/>
      <c r="E13" s="297"/>
      <c r="F13" s="302"/>
      <c r="G13" s="1190"/>
      <c r="H13" s="44"/>
      <c r="I13" s="297"/>
      <c r="J13" s="296"/>
      <c r="K13" s="1043"/>
      <c r="L13" s="1043"/>
      <c r="M13" s="1043"/>
      <c r="N13" s="1254"/>
    </row>
    <row r="14" spans="1:14" ht="12.75" customHeight="1">
      <c r="A14" s="320" t="s">
        <v>563</v>
      </c>
      <c r="B14" s="410"/>
      <c r="C14" s="297"/>
      <c r="D14" s="297"/>
      <c r="E14" s="297"/>
      <c r="F14" s="302"/>
      <c r="G14" s="1190"/>
      <c r="H14" s="44"/>
      <c r="I14" s="297"/>
      <c r="J14" s="296"/>
      <c r="K14" s="1043"/>
      <c r="L14" s="1043"/>
      <c r="M14" s="1043"/>
      <c r="N14" s="1254"/>
    </row>
    <row r="15" spans="1:14" ht="12.75" customHeight="1">
      <c r="A15" s="320" t="s">
        <v>564</v>
      </c>
      <c r="B15" s="44"/>
      <c r="C15" s="296"/>
      <c r="D15" s="297"/>
      <c r="E15" s="297"/>
      <c r="F15" s="302"/>
      <c r="G15" s="1190"/>
      <c r="H15" s="44"/>
      <c r="I15" s="297"/>
      <c r="J15" s="296"/>
      <c r="K15" s="1043"/>
      <c r="L15" s="1043"/>
      <c r="M15" s="1043"/>
      <c r="N15" s="1254"/>
    </row>
    <row r="16" spans="1:14" ht="12.75" customHeight="1">
      <c r="A16" s="320" t="s">
        <v>565</v>
      </c>
      <c r="B16" s="44"/>
      <c r="C16" s="296"/>
      <c r="D16" s="297"/>
      <c r="E16" s="297"/>
      <c r="F16" s="302"/>
      <c r="G16" s="1190"/>
      <c r="H16" s="44"/>
      <c r="I16" s="297"/>
      <c r="J16" s="296"/>
      <c r="K16" s="1043"/>
      <c r="L16" s="1043"/>
      <c r="M16" s="1043"/>
      <c r="N16" s="1254"/>
    </row>
    <row r="17" spans="1:14" ht="12.75" customHeight="1" thickBot="1">
      <c r="A17" s="320" t="s">
        <v>566</v>
      </c>
      <c r="B17" s="55"/>
      <c r="C17" s="298"/>
      <c r="D17" s="1138"/>
      <c r="E17" s="1138"/>
      <c r="F17" s="303"/>
      <c r="G17" s="1226"/>
      <c r="H17" s="44"/>
      <c r="I17" s="1138"/>
      <c r="J17" s="298"/>
      <c r="K17" s="1144"/>
      <c r="L17" s="1144"/>
      <c r="M17" s="1144"/>
      <c r="N17" s="1254"/>
    </row>
    <row r="18" spans="1:14" ht="15.75" customHeight="1" thickBot="1">
      <c r="A18" s="323" t="s">
        <v>567</v>
      </c>
      <c r="B18" s="123" t="s">
        <v>135</v>
      </c>
      <c r="C18" s="299">
        <f>+C6+C7+C9+C10+C12+C13+C14+C15+C16+C17</f>
        <v>617259</v>
      </c>
      <c r="D18" s="1037">
        <f>+D6+D7+D9+D10+D12+D13+D14+D15+D16+D17</f>
        <v>633337</v>
      </c>
      <c r="E18" s="1037">
        <f>+E6+E7+E9+E10+E12+E13+E14+E15+E16+E17</f>
        <v>641201</v>
      </c>
      <c r="F18" s="304">
        <f>+F6+F7+F9+F10+F12+F13+F14+F15+F16+F17</f>
        <v>723439881</v>
      </c>
      <c r="G18" s="304">
        <f>+G6+G7+G9+G10+G12+G13+G14+G15+G16+G17</f>
        <v>764771005</v>
      </c>
      <c r="H18" s="123" t="s">
        <v>113</v>
      </c>
      <c r="I18" s="1037">
        <f>SUM(I6:I17)</f>
        <v>617259</v>
      </c>
      <c r="J18" s="299">
        <f>SUM(J6:J17)</f>
        <v>674461</v>
      </c>
      <c r="K18" s="354">
        <f>SUM(K6:K17)</f>
        <v>682325</v>
      </c>
      <c r="L18" s="354">
        <f>SUM(L6:L17)</f>
        <v>734502881</v>
      </c>
      <c r="M18" s="354">
        <f>SUM(M6:M17)</f>
        <v>819936283</v>
      </c>
      <c r="N18" s="1254"/>
    </row>
    <row r="19" spans="1:14" ht="12.75" customHeight="1">
      <c r="A19" s="324" t="s">
        <v>568</v>
      </c>
      <c r="B19" s="325" t="s">
        <v>108</v>
      </c>
      <c r="C19" s="455">
        <f>+C20+C21+C22+C23</f>
        <v>0</v>
      </c>
      <c r="D19" s="1139">
        <v>55135</v>
      </c>
      <c r="E19" s="1038">
        <v>55135</v>
      </c>
      <c r="F19" s="1141">
        <v>55135000</v>
      </c>
      <c r="G19" s="1141">
        <v>69176707</v>
      </c>
      <c r="H19" s="326" t="s">
        <v>727</v>
      </c>
      <c r="I19" s="1142"/>
      <c r="J19" s="300"/>
      <c r="K19" s="1047"/>
      <c r="L19" s="1047"/>
      <c r="M19" s="1047"/>
      <c r="N19" s="1254"/>
    </row>
    <row r="20" spans="1:14" ht="12.75" customHeight="1">
      <c r="A20" s="327" t="s">
        <v>569</v>
      </c>
      <c r="B20" s="326" t="s">
        <v>767</v>
      </c>
      <c r="C20" s="78"/>
      <c r="D20" s="1039">
        <v>55135</v>
      </c>
      <c r="E20" s="1039">
        <v>55135</v>
      </c>
      <c r="F20" s="79">
        <v>55135000</v>
      </c>
      <c r="G20" s="1191">
        <v>55134585</v>
      </c>
      <c r="H20" s="326" t="s">
        <v>112</v>
      </c>
      <c r="I20" s="1039"/>
      <c r="J20" s="78"/>
      <c r="K20" s="1046"/>
      <c r="L20" s="1046"/>
      <c r="M20" s="1046"/>
      <c r="N20" s="1254"/>
    </row>
    <row r="21" spans="1:14" ht="12.75" customHeight="1">
      <c r="A21" s="327" t="s">
        <v>570</v>
      </c>
      <c r="B21" s="326" t="s">
        <v>768</v>
      </c>
      <c r="C21" s="78"/>
      <c r="D21" s="1039"/>
      <c r="E21" s="1039"/>
      <c r="F21" s="79"/>
      <c r="G21" s="1191"/>
      <c r="H21" s="326" t="s">
        <v>692</v>
      </c>
      <c r="I21" s="1039"/>
      <c r="J21" s="78"/>
      <c r="K21" s="1046"/>
      <c r="L21" s="1046"/>
      <c r="M21" s="1046"/>
      <c r="N21" s="1254"/>
    </row>
    <row r="22" spans="1:14" ht="12.75" customHeight="1">
      <c r="A22" s="327" t="s">
        <v>571</v>
      </c>
      <c r="B22" s="326" t="s">
        <v>773</v>
      </c>
      <c r="C22" s="78"/>
      <c r="D22" s="1039"/>
      <c r="E22" s="1039"/>
      <c r="F22" s="79"/>
      <c r="G22" s="1191"/>
      <c r="H22" s="326" t="s">
        <v>693</v>
      </c>
      <c r="I22" s="1039"/>
      <c r="J22" s="78"/>
      <c r="K22" s="1046"/>
      <c r="L22" s="1046"/>
      <c r="M22" s="1046"/>
      <c r="N22" s="1254"/>
    </row>
    <row r="23" spans="1:14" ht="12.75" customHeight="1">
      <c r="A23" s="327" t="s">
        <v>572</v>
      </c>
      <c r="B23" s="326" t="s">
        <v>774</v>
      </c>
      <c r="C23" s="78"/>
      <c r="D23" s="1039"/>
      <c r="E23" s="1039"/>
      <c r="F23" s="79"/>
      <c r="G23" s="1192">
        <v>14042123</v>
      </c>
      <c r="H23" s="325" t="s">
        <v>776</v>
      </c>
      <c r="I23" s="1039"/>
      <c r="J23" s="78"/>
      <c r="K23" s="1046"/>
      <c r="L23" s="1046"/>
      <c r="M23" s="1046"/>
      <c r="N23" s="1254"/>
    </row>
    <row r="24" spans="1:14" ht="12.75" customHeight="1">
      <c r="A24" s="327" t="s">
        <v>573</v>
      </c>
      <c r="B24" s="326" t="s">
        <v>109</v>
      </c>
      <c r="C24" s="328">
        <f>+C25+C26</f>
        <v>0</v>
      </c>
      <c r="D24" s="328">
        <f>+D25+D26</f>
        <v>0</v>
      </c>
      <c r="E24" s="1040"/>
      <c r="F24" s="1140"/>
      <c r="G24" s="1227"/>
      <c r="H24" s="326" t="s">
        <v>728</v>
      </c>
      <c r="I24" s="1039"/>
      <c r="J24" s="78"/>
      <c r="K24" s="1046"/>
      <c r="L24" s="1046"/>
      <c r="M24" s="1046"/>
      <c r="N24" s="1254"/>
    </row>
    <row r="25" spans="1:14" ht="12.75" customHeight="1">
      <c r="A25" s="324" t="s">
        <v>574</v>
      </c>
      <c r="B25" s="325" t="s">
        <v>106</v>
      </c>
      <c r="C25" s="300"/>
      <c r="D25" s="300"/>
      <c r="E25" s="1192"/>
      <c r="F25" s="305"/>
      <c r="G25" s="1192"/>
      <c r="H25" s="319" t="s">
        <v>729</v>
      </c>
      <c r="I25" s="1142"/>
      <c r="J25" s="300"/>
      <c r="K25" s="1047"/>
      <c r="L25" s="1047"/>
      <c r="M25" s="1047"/>
      <c r="N25" s="1254"/>
    </row>
    <row r="26" spans="1:14" ht="12.75" customHeight="1" thickBot="1">
      <c r="A26" s="327" t="s">
        <v>575</v>
      </c>
      <c r="B26" s="326" t="s">
        <v>107</v>
      </c>
      <c r="C26" s="78"/>
      <c r="D26" s="78"/>
      <c r="E26" s="1191"/>
      <c r="F26" s="79"/>
      <c r="G26" s="1191"/>
      <c r="H26" s="44" t="s">
        <v>98</v>
      </c>
      <c r="I26" s="1039"/>
      <c r="J26" s="78">
        <v>14011</v>
      </c>
      <c r="K26" s="1046">
        <v>14011</v>
      </c>
      <c r="L26" s="1046">
        <v>14012000</v>
      </c>
      <c r="M26" s="1046">
        <v>14012000</v>
      </c>
      <c r="N26" s="1254"/>
    </row>
    <row r="27" spans="1:14" ht="15.75" customHeight="1" thickBot="1">
      <c r="A27" s="323" t="s">
        <v>576</v>
      </c>
      <c r="B27" s="123" t="s">
        <v>110</v>
      </c>
      <c r="C27" s="299">
        <f>+C19+C24</f>
        <v>0</v>
      </c>
      <c r="D27" s="299">
        <f>+D19+D24</f>
        <v>55135</v>
      </c>
      <c r="E27" s="299">
        <f>+E19+E24</f>
        <v>55135</v>
      </c>
      <c r="F27" s="299">
        <f>+F19+F24</f>
        <v>55135000</v>
      </c>
      <c r="G27" s="299">
        <f>+G19+G24</f>
        <v>69176707</v>
      </c>
      <c r="H27" s="123" t="s">
        <v>116</v>
      </c>
      <c r="I27" s="1037">
        <f>SUM(I19:I26)</f>
        <v>0</v>
      </c>
      <c r="J27" s="299">
        <f>SUM(J19:J26)</f>
        <v>14011</v>
      </c>
      <c r="K27" s="354">
        <f>SUM(K19:K26)</f>
        <v>14011</v>
      </c>
      <c r="L27" s="354">
        <f>SUM(L19:L26)</f>
        <v>14012000</v>
      </c>
      <c r="M27" s="354">
        <f>SUM(M19:M26)</f>
        <v>14012000</v>
      </c>
      <c r="N27" s="1254"/>
    </row>
    <row r="28" spans="1:14" ht="13.5" thickBot="1">
      <c r="A28" s="323" t="s">
        <v>577</v>
      </c>
      <c r="B28" s="329" t="s">
        <v>111</v>
      </c>
      <c r="C28" s="330">
        <f>+C18+C27</f>
        <v>617259</v>
      </c>
      <c r="D28" s="330">
        <f>+D18+D27</f>
        <v>688472</v>
      </c>
      <c r="E28" s="1035">
        <f>+E18+E27</f>
        <v>696336</v>
      </c>
      <c r="F28" s="1195">
        <f>+F18+F27</f>
        <v>778574881</v>
      </c>
      <c r="G28" s="1195">
        <f>+G18+G27</f>
        <v>833947712</v>
      </c>
      <c r="H28" s="329" t="s">
        <v>117</v>
      </c>
      <c r="I28" s="330">
        <f>+I18+I27</f>
        <v>617259</v>
      </c>
      <c r="J28" s="330">
        <f>+J18+J27</f>
        <v>688472</v>
      </c>
      <c r="K28" s="330">
        <f>+K18+K27</f>
        <v>696336</v>
      </c>
      <c r="L28" s="330">
        <f>+L18+L27</f>
        <v>748514881</v>
      </c>
      <c r="M28" s="330">
        <f>+M18+M27</f>
        <v>833948283</v>
      </c>
      <c r="N28" s="1254"/>
    </row>
    <row r="29" spans="1:14" ht="13.5" thickBot="1">
      <c r="A29" s="323" t="s">
        <v>578</v>
      </c>
      <c r="B29" s="329" t="s">
        <v>705</v>
      </c>
      <c r="C29" s="330" t="str">
        <f>IF(C18-I18&lt;0,I18-C18,"-")</f>
        <v>-</v>
      </c>
      <c r="D29" s="330">
        <f>IF(D18-J18&lt;0,J18-D18,"-")</f>
        <v>41124</v>
      </c>
      <c r="E29" s="330">
        <f>IF(E18-K18&lt;0,K18-E18,"-")</f>
        <v>41124</v>
      </c>
      <c r="F29" s="330">
        <f>IF(F18-L18&lt;0,L18-F18,"-")</f>
        <v>11063000</v>
      </c>
      <c r="G29" s="330">
        <f>IF(G18-M18&lt;0,M18-G18,"-")</f>
        <v>55165278</v>
      </c>
      <c r="H29" s="329" t="s">
        <v>706</v>
      </c>
      <c r="I29" s="330" t="str">
        <f>IF(C18-I18&gt;0,C18-I18,"-")</f>
        <v>-</v>
      </c>
      <c r="J29" s="330" t="str">
        <f>IF(D18-J18&gt;0,D18-J18,"-")</f>
        <v>-</v>
      </c>
      <c r="K29" s="330" t="str">
        <f>IF(E18-K18&gt;0,E18-K18,"-")</f>
        <v>-</v>
      </c>
      <c r="L29" s="330" t="str">
        <f>IF(F18-L18&gt;0,F18-L18,"-")</f>
        <v>-</v>
      </c>
      <c r="M29" s="330" t="str">
        <f>IF(G18-M18&gt;0,G18-M18,"-")</f>
        <v>-</v>
      </c>
      <c r="N29" s="1254"/>
    </row>
    <row r="30" spans="1:14" ht="13.5" thickBot="1">
      <c r="A30" s="323" t="s">
        <v>579</v>
      </c>
      <c r="B30" s="329" t="s">
        <v>777</v>
      </c>
      <c r="C30" s="330" t="str">
        <f>IF(C18+C19-I28&lt;0,I28-(C18+C19),"-")</f>
        <v>-</v>
      </c>
      <c r="D30" s="330" t="str">
        <f>IF(D18+D19-J28&lt;0,J28-(D18+D19),"-")</f>
        <v>-</v>
      </c>
      <c r="E30" s="1035"/>
      <c r="F30" s="1195"/>
      <c r="G30" s="1035"/>
      <c r="H30" s="329" t="s">
        <v>778</v>
      </c>
      <c r="I30" s="330" t="str">
        <f>IF(C18+C19-I28&gt;0,C18+C19-I28,"-")</f>
        <v>-</v>
      </c>
      <c r="J30" s="330" t="str">
        <f>IF(D18+D19-J28&gt;0,D18+D19-J28,"-")</f>
        <v>-</v>
      </c>
      <c r="K30" s="330" t="str">
        <f>IF(E18+E19-K28&gt;0,E18+E19-K28,"-")</f>
        <v>-</v>
      </c>
      <c r="L30" s="330">
        <f>IF(F18+F19-L28&gt;0,F18+F19-L28,"-")</f>
        <v>30060000</v>
      </c>
      <c r="M30" s="330" t="str">
        <f>IF(G18+G19-M28&gt;0,G18+G19-M28,"-")</f>
        <v>-</v>
      </c>
      <c r="N30" s="1254"/>
    </row>
    <row r="31" spans="2:8" ht="15">
      <c r="B31" s="1255" t="s">
        <v>19</v>
      </c>
      <c r="C31" s="1255"/>
      <c r="D31" s="1255"/>
      <c r="E31" s="1255"/>
      <c r="F31" s="1255"/>
      <c r="G31" s="1255"/>
      <c r="H31" s="1255"/>
    </row>
  </sheetData>
  <sheetProtection/>
  <mergeCells count="3">
    <mergeCell ref="A3:A4"/>
    <mergeCell ref="N1:N30"/>
    <mergeCell ref="B31:H31"/>
  </mergeCells>
  <printOptions horizontalCentered="1"/>
  <pageMargins left="0.33" right="0.48" top="0.9055118110236221" bottom="0.5" header="0.6692913385826772" footer="0.28"/>
  <pageSetup horizontalDpi="600" verticalDpi="600" orientation="landscape" paperSize="9" scale="54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N34"/>
  <sheetViews>
    <sheetView view="pageBreakPreview" zoomScale="115" zoomScaleSheetLayoutView="115" workbookViewId="0" topLeftCell="A16">
      <selection activeCell="B34" sqref="B34:H34"/>
    </sheetView>
  </sheetViews>
  <sheetFormatPr defaultColWidth="9.00390625" defaultRowHeight="12.75"/>
  <cols>
    <col min="1" max="1" width="6.875" style="54" customWidth="1"/>
    <col min="2" max="2" width="55.125" style="182" customWidth="1"/>
    <col min="3" max="7" width="16.375" style="54" customWidth="1"/>
    <col min="8" max="8" width="55.125" style="54" customWidth="1"/>
    <col min="9" max="13" width="16.375" style="54" customWidth="1"/>
    <col min="14" max="14" width="4.875" style="54" customWidth="1"/>
    <col min="15" max="16384" width="9.375" style="54" customWidth="1"/>
  </cols>
  <sheetData>
    <row r="1" spans="2:14" ht="31.5">
      <c r="B1" s="306" t="s">
        <v>695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1254" t="s">
        <v>10</v>
      </c>
    </row>
    <row r="2" spans="9:14" ht="14.25" thickBot="1">
      <c r="I2" s="308" t="s">
        <v>601</v>
      </c>
      <c r="N2" s="1254"/>
    </row>
    <row r="3" spans="1:14" ht="13.5" thickBot="1">
      <c r="A3" s="1256" t="s">
        <v>610</v>
      </c>
      <c r="B3" s="309" t="s">
        <v>593</v>
      </c>
      <c r="C3" s="310"/>
      <c r="D3" s="1032"/>
      <c r="E3" s="1032"/>
      <c r="F3" s="1032"/>
      <c r="G3" s="1032"/>
      <c r="H3" s="309" t="s">
        <v>595</v>
      </c>
      <c r="I3" s="311"/>
      <c r="J3" s="1032"/>
      <c r="K3" s="1155"/>
      <c r="L3" s="1155"/>
      <c r="M3" s="1155"/>
      <c r="N3" s="1254"/>
    </row>
    <row r="4" spans="1:14" s="312" customFormat="1" ht="24.75" thickBot="1">
      <c r="A4" s="1257"/>
      <c r="B4" s="183" t="s">
        <v>602</v>
      </c>
      <c r="C4" s="184" t="s">
        <v>451</v>
      </c>
      <c r="D4" s="1033" t="s">
        <v>885</v>
      </c>
      <c r="E4" s="1033" t="s">
        <v>907</v>
      </c>
      <c r="F4" s="1033" t="s">
        <v>912</v>
      </c>
      <c r="G4" s="1033" t="s">
        <v>7</v>
      </c>
      <c r="H4" s="183" t="s">
        <v>602</v>
      </c>
      <c r="I4" s="184" t="s">
        <v>451</v>
      </c>
      <c r="J4" s="1033" t="s">
        <v>885</v>
      </c>
      <c r="K4" s="1033" t="s">
        <v>907</v>
      </c>
      <c r="L4" s="1033" t="s">
        <v>912</v>
      </c>
      <c r="M4" s="1033" t="s">
        <v>7</v>
      </c>
      <c r="N4" s="1254"/>
    </row>
    <row r="5" spans="1:14" s="312" customFormat="1" ht="13.5" thickBot="1">
      <c r="A5" s="313">
        <v>1</v>
      </c>
      <c r="B5" s="314">
        <v>2</v>
      </c>
      <c r="C5" s="1117">
        <v>3</v>
      </c>
      <c r="D5" s="313">
        <v>4</v>
      </c>
      <c r="E5" s="1146">
        <v>5</v>
      </c>
      <c r="F5" s="1146">
        <v>6</v>
      </c>
      <c r="G5" s="1146">
        <v>7</v>
      </c>
      <c r="H5" s="314">
        <v>8</v>
      </c>
      <c r="I5" s="316">
        <v>9</v>
      </c>
      <c r="J5" s="1034">
        <v>10</v>
      </c>
      <c r="K5" s="313">
        <v>11</v>
      </c>
      <c r="L5" s="313">
        <v>12</v>
      </c>
      <c r="M5" s="313">
        <v>13</v>
      </c>
      <c r="N5" s="1254"/>
    </row>
    <row r="6" spans="1:14" ht="25.5" customHeight="1">
      <c r="A6" s="318" t="s">
        <v>555</v>
      </c>
      <c r="B6" s="319" t="s">
        <v>896</v>
      </c>
      <c r="C6" s="1036">
        <f>'1.1.melléklet'!C19</f>
        <v>33407</v>
      </c>
      <c r="D6" s="1118">
        <v>33407</v>
      </c>
      <c r="E6" s="1147">
        <v>33407</v>
      </c>
      <c r="F6" s="1147">
        <v>214407000</v>
      </c>
      <c r="G6" s="1147">
        <v>191800000</v>
      </c>
      <c r="H6" s="1041" t="s">
        <v>769</v>
      </c>
      <c r="I6" s="351">
        <f>'1.1.melléklet'!C108</f>
        <v>18354</v>
      </c>
      <c r="J6" s="1042">
        <v>18354</v>
      </c>
      <c r="K6" s="1118">
        <v>18354</v>
      </c>
      <c r="L6" s="1118">
        <v>39412000</v>
      </c>
      <c r="M6" s="1118">
        <v>33498500</v>
      </c>
      <c r="N6" s="1254"/>
    </row>
    <row r="7" spans="1:14" ht="12.75">
      <c r="A7" s="320" t="s">
        <v>556</v>
      </c>
      <c r="B7" s="321" t="s">
        <v>118</v>
      </c>
      <c r="C7" s="297">
        <f>'1.1.melléklet'!C18</f>
        <v>0</v>
      </c>
      <c r="D7" s="1119"/>
      <c r="E7" s="1148"/>
      <c r="F7" s="1148"/>
      <c r="G7" s="1148"/>
      <c r="H7" s="321" t="s">
        <v>123</v>
      </c>
      <c r="I7" s="302">
        <f>'1.1.melléklet'!C109</f>
        <v>0</v>
      </c>
      <c r="J7" s="1043"/>
      <c r="K7" s="1119"/>
      <c r="L7" s="1119"/>
      <c r="M7" s="1119"/>
      <c r="N7" s="1254"/>
    </row>
    <row r="8" spans="1:14" ht="12.75" customHeight="1">
      <c r="A8" s="320" t="s">
        <v>557</v>
      </c>
      <c r="B8" s="321" t="s">
        <v>548</v>
      </c>
      <c r="C8" s="297"/>
      <c r="D8" s="1119">
        <v>50000</v>
      </c>
      <c r="E8" s="1148">
        <v>50000</v>
      </c>
      <c r="F8" s="1148">
        <v>105000000</v>
      </c>
      <c r="G8" s="1148">
        <v>126240000</v>
      </c>
      <c r="H8" s="321" t="s">
        <v>723</v>
      </c>
      <c r="I8" s="302">
        <f>'1.1.melléklet'!C110</f>
        <v>31681</v>
      </c>
      <c r="J8" s="1043">
        <v>45145</v>
      </c>
      <c r="K8" s="1119">
        <v>45145</v>
      </c>
      <c r="L8" s="1119">
        <v>45147000</v>
      </c>
      <c r="M8" s="1119">
        <v>32851000</v>
      </c>
      <c r="N8" s="1254"/>
    </row>
    <row r="9" spans="1:14" ht="12.75" customHeight="1">
      <c r="A9" s="320" t="s">
        <v>558</v>
      </c>
      <c r="B9" s="321" t="s">
        <v>119</v>
      </c>
      <c r="C9" s="297">
        <f>'1.1.melléklet'!C52</f>
        <v>0</v>
      </c>
      <c r="D9" s="1119"/>
      <c r="E9" s="1148"/>
      <c r="F9" s="1148"/>
      <c r="G9" s="1148">
        <v>40080</v>
      </c>
      <c r="H9" s="321" t="s">
        <v>124</v>
      </c>
      <c r="I9" s="302">
        <f>'1.1.melléklet'!C111</f>
        <v>0</v>
      </c>
      <c r="J9" s="1043"/>
      <c r="K9" s="1119"/>
      <c r="L9" s="1119"/>
      <c r="M9" s="1119"/>
      <c r="N9" s="1254"/>
    </row>
    <row r="10" spans="1:14" ht="12.75" customHeight="1">
      <c r="A10" s="320" t="s">
        <v>559</v>
      </c>
      <c r="B10" s="321" t="s">
        <v>120</v>
      </c>
      <c r="C10" s="297"/>
      <c r="D10" s="1119"/>
      <c r="E10" s="1148"/>
      <c r="F10" s="1148"/>
      <c r="G10" s="1148"/>
      <c r="H10" s="321" t="s">
        <v>772</v>
      </c>
      <c r="I10" s="302">
        <f>'1.1.melléklet'!C112</f>
        <v>49965</v>
      </c>
      <c r="J10" s="1043">
        <v>49965</v>
      </c>
      <c r="K10" s="1119">
        <v>49965</v>
      </c>
      <c r="L10" s="1119">
        <v>49965000</v>
      </c>
      <c r="M10" s="1119">
        <v>31646000</v>
      </c>
      <c r="N10" s="1254"/>
    </row>
    <row r="11" spans="1:14" ht="12.75" customHeight="1">
      <c r="A11" s="320" t="s">
        <v>560</v>
      </c>
      <c r="B11" s="321" t="s">
        <v>121</v>
      </c>
      <c r="C11" s="297"/>
      <c r="D11" s="1119"/>
      <c r="E11" s="1148"/>
      <c r="F11" s="1148"/>
      <c r="G11" s="1148"/>
      <c r="H11" s="44" t="s">
        <v>597</v>
      </c>
      <c r="I11" s="302"/>
      <c r="J11" s="1043"/>
      <c r="K11" s="1119"/>
      <c r="L11" s="1119"/>
      <c r="M11" s="1119"/>
      <c r="N11" s="1254"/>
    </row>
    <row r="12" spans="1:14" ht="12.75" customHeight="1">
      <c r="A12" s="320" t="s">
        <v>561</v>
      </c>
      <c r="B12" s="44"/>
      <c r="C12" s="297"/>
      <c r="D12" s="1119"/>
      <c r="E12" s="1148"/>
      <c r="F12" s="1148"/>
      <c r="G12" s="1148"/>
      <c r="H12" s="44" t="s">
        <v>598</v>
      </c>
      <c r="I12" s="302">
        <f>'1.1.melléklet'!C123</f>
        <v>33407</v>
      </c>
      <c r="J12" s="1043">
        <v>58820</v>
      </c>
      <c r="K12" s="1119">
        <v>58820</v>
      </c>
      <c r="L12" s="1119">
        <v>58820000</v>
      </c>
      <c r="M12" s="1119">
        <v>62795780</v>
      </c>
      <c r="N12" s="1254"/>
    </row>
    <row r="13" spans="1:14" ht="12.75" customHeight="1">
      <c r="A13" s="320" t="s">
        <v>562</v>
      </c>
      <c r="B13" s="44"/>
      <c r="C13" s="297"/>
      <c r="D13" s="1119"/>
      <c r="E13" s="1148"/>
      <c r="F13" s="1148"/>
      <c r="G13" s="1148"/>
      <c r="H13" s="44"/>
      <c r="I13" s="302"/>
      <c r="J13" s="1043"/>
      <c r="K13" s="1119"/>
      <c r="L13" s="1119"/>
      <c r="M13" s="1119"/>
      <c r="N13" s="1254"/>
    </row>
    <row r="14" spans="1:14" ht="12.75" customHeight="1">
      <c r="A14" s="320" t="s">
        <v>563</v>
      </c>
      <c r="B14" s="44"/>
      <c r="C14" s="297"/>
      <c r="D14" s="1119"/>
      <c r="E14" s="1148"/>
      <c r="F14" s="1148"/>
      <c r="G14" s="1148"/>
      <c r="H14" s="44"/>
      <c r="I14" s="302"/>
      <c r="J14" s="1043"/>
      <c r="K14" s="1119"/>
      <c r="L14" s="1119"/>
      <c r="M14" s="1119"/>
      <c r="N14" s="1254"/>
    </row>
    <row r="15" spans="1:14" ht="12.75">
      <c r="A15" s="320" t="s">
        <v>564</v>
      </c>
      <c r="B15" s="44"/>
      <c r="C15" s="297"/>
      <c r="D15" s="1119"/>
      <c r="E15" s="1148"/>
      <c r="F15" s="1148"/>
      <c r="G15" s="1148"/>
      <c r="H15" s="44"/>
      <c r="I15" s="302"/>
      <c r="J15" s="1043"/>
      <c r="K15" s="1119"/>
      <c r="L15" s="1119"/>
      <c r="M15" s="1119"/>
      <c r="N15" s="1254"/>
    </row>
    <row r="16" spans="1:14" ht="12.75" customHeight="1" thickBot="1">
      <c r="A16" s="381" t="s">
        <v>565</v>
      </c>
      <c r="B16" s="411"/>
      <c r="C16" s="383"/>
      <c r="D16" s="1120"/>
      <c r="E16" s="1149"/>
      <c r="F16" s="1149"/>
      <c r="G16" s="1149"/>
      <c r="H16" s="382" t="s">
        <v>586</v>
      </c>
      <c r="I16" s="352"/>
      <c r="J16" s="1044"/>
      <c r="K16" s="1120"/>
      <c r="L16" s="1120"/>
      <c r="M16" s="1120"/>
      <c r="N16" s="1254"/>
    </row>
    <row r="17" spans="1:14" ht="15.75" customHeight="1" thickBot="1">
      <c r="A17" s="323" t="s">
        <v>566</v>
      </c>
      <c r="B17" s="123" t="s">
        <v>136</v>
      </c>
      <c r="C17" s="1037">
        <f>+C6+C8+C9+C11+C12+C13+C14+C15+C16</f>
        <v>33407</v>
      </c>
      <c r="D17" s="648">
        <f>+D6+D8+D9+D11+D12+D13+D14+D15+D16</f>
        <v>83407</v>
      </c>
      <c r="E17" s="648">
        <f>+E6+E8+E9+E11+E12+E13+E14+E15+E16</f>
        <v>83407</v>
      </c>
      <c r="F17" s="648">
        <f>+F6+F8+F9+F11+F12+F13+F14+F15+F16</f>
        <v>319407000</v>
      </c>
      <c r="G17" s="648">
        <f>+G6+G8+G9+G11+G12+G13+G14+G15+G16</f>
        <v>318080080</v>
      </c>
      <c r="H17" s="123" t="s">
        <v>137</v>
      </c>
      <c r="I17" s="304">
        <f>+I6+I8+I10+I11+I12+I13+I14+I15+I16</f>
        <v>133407</v>
      </c>
      <c r="J17" s="304">
        <f>+J6+J8+J10+J11+J12+J13+J14+J15+J16</f>
        <v>172284</v>
      </c>
      <c r="K17" s="304">
        <f>+K6+K8+K10+K11+K12+K13+K14+K15+K16</f>
        <v>172284</v>
      </c>
      <c r="L17" s="304">
        <f>+L6+L8+L10+L11+L12+L13+L14+L15+L16</f>
        <v>193344000</v>
      </c>
      <c r="M17" s="304">
        <f>+M6+M8+M10+M11+M12+M13+M14+M15+M16</f>
        <v>160791280</v>
      </c>
      <c r="N17" s="1254"/>
    </row>
    <row r="18" spans="1:14" ht="12.75" customHeight="1">
      <c r="A18" s="318" t="s">
        <v>567</v>
      </c>
      <c r="B18" s="333" t="s">
        <v>790</v>
      </c>
      <c r="C18" s="1038">
        <f>C19+C20+C21+C22+C23</f>
        <v>100000</v>
      </c>
      <c r="D18" s="1121">
        <v>138877</v>
      </c>
      <c r="E18" s="1150">
        <v>138877</v>
      </c>
      <c r="F18" s="1150">
        <v>138877000</v>
      </c>
      <c r="G18" s="1150">
        <v>138877000</v>
      </c>
      <c r="H18" s="326" t="s">
        <v>727</v>
      </c>
      <c r="I18" s="76"/>
      <c r="J18" s="1045">
        <v>50000</v>
      </c>
      <c r="K18" s="1121">
        <v>50000</v>
      </c>
      <c r="L18" s="1121">
        <v>295000000</v>
      </c>
      <c r="M18" s="1121">
        <v>296165800</v>
      </c>
      <c r="N18" s="1254"/>
    </row>
    <row r="19" spans="1:14" ht="12.75" customHeight="1">
      <c r="A19" s="320" t="s">
        <v>568</v>
      </c>
      <c r="B19" s="334" t="s">
        <v>779</v>
      </c>
      <c r="C19" s="1039">
        <f>'1.1.melléklet'!C73</f>
        <v>100000</v>
      </c>
      <c r="D19" s="1122">
        <v>138877</v>
      </c>
      <c r="E19" s="1151">
        <v>138877</v>
      </c>
      <c r="F19" s="1151">
        <v>138877000</v>
      </c>
      <c r="G19" s="1151">
        <v>138877000</v>
      </c>
      <c r="H19" s="326" t="s">
        <v>730</v>
      </c>
      <c r="I19" s="79"/>
      <c r="J19" s="1046"/>
      <c r="K19" s="1122"/>
      <c r="L19" s="1122"/>
      <c r="M19" s="1122"/>
      <c r="N19" s="1254"/>
    </row>
    <row r="20" spans="1:14" ht="12.75" customHeight="1">
      <c r="A20" s="318" t="s">
        <v>569</v>
      </c>
      <c r="B20" s="334" t="s">
        <v>780</v>
      </c>
      <c r="C20" s="1039"/>
      <c r="D20" s="1122"/>
      <c r="E20" s="1151"/>
      <c r="F20" s="1151"/>
      <c r="G20" s="1151"/>
      <c r="H20" s="326" t="s">
        <v>692</v>
      </c>
      <c r="I20" s="79"/>
      <c r="J20" s="1046"/>
      <c r="K20" s="1122"/>
      <c r="L20" s="1122"/>
      <c r="M20" s="1122"/>
      <c r="N20" s="1254"/>
    </row>
    <row r="21" spans="1:14" ht="12.75" customHeight="1">
      <c r="A21" s="320" t="s">
        <v>570</v>
      </c>
      <c r="B21" s="334" t="s">
        <v>781</v>
      </c>
      <c r="C21" s="1039"/>
      <c r="D21" s="1122"/>
      <c r="E21" s="1151"/>
      <c r="F21" s="1151"/>
      <c r="G21" s="1151"/>
      <c r="H21" s="326" t="s">
        <v>693</v>
      </c>
      <c r="I21" s="79"/>
      <c r="J21" s="1046"/>
      <c r="K21" s="1122"/>
      <c r="L21" s="1122"/>
      <c r="M21" s="1122"/>
      <c r="N21" s="1254"/>
    </row>
    <row r="22" spans="1:14" ht="12.75" customHeight="1">
      <c r="A22" s="318" t="s">
        <v>571</v>
      </c>
      <c r="B22" s="334" t="s">
        <v>782</v>
      </c>
      <c r="C22" s="1039"/>
      <c r="D22" s="1123"/>
      <c r="E22" s="1152"/>
      <c r="F22" s="1152"/>
      <c r="G22" s="1152"/>
      <c r="H22" s="325" t="s">
        <v>776</v>
      </c>
      <c r="I22" s="79"/>
      <c r="J22" s="1047"/>
      <c r="K22" s="1123"/>
      <c r="L22" s="1123"/>
      <c r="M22" s="1123"/>
      <c r="N22" s="1254"/>
    </row>
    <row r="23" spans="1:14" ht="12.75" customHeight="1">
      <c r="A23" s="320" t="s">
        <v>572</v>
      </c>
      <c r="B23" s="335" t="s">
        <v>783</v>
      </c>
      <c r="C23" s="1039"/>
      <c r="D23" s="1122"/>
      <c r="E23" s="1151"/>
      <c r="F23" s="1151"/>
      <c r="G23" s="1151"/>
      <c r="H23" s="326" t="s">
        <v>731</v>
      </c>
      <c r="I23" s="79"/>
      <c r="J23" s="1046"/>
      <c r="K23" s="1122"/>
      <c r="L23" s="1122"/>
      <c r="M23" s="1122"/>
      <c r="N23" s="1254"/>
    </row>
    <row r="24" spans="1:14" ht="12.75" customHeight="1">
      <c r="A24" s="318" t="s">
        <v>573</v>
      </c>
      <c r="B24" s="336" t="s">
        <v>784</v>
      </c>
      <c r="C24" s="1040">
        <f>+C25+C26+C27+C28+C29</f>
        <v>0</v>
      </c>
      <c r="D24" s="1121"/>
      <c r="E24" s="1150"/>
      <c r="F24" s="1150"/>
      <c r="G24" s="1150"/>
      <c r="H24" s="337" t="s">
        <v>729</v>
      </c>
      <c r="I24" s="79"/>
      <c r="J24" s="1045"/>
      <c r="K24" s="1121"/>
      <c r="L24" s="1121"/>
      <c r="M24" s="1121"/>
      <c r="N24" s="1254"/>
    </row>
    <row r="25" spans="1:14" ht="12.75" customHeight="1">
      <c r="A25" s="320" t="s">
        <v>574</v>
      </c>
      <c r="B25" s="335" t="s">
        <v>785</v>
      </c>
      <c r="C25" s="1039"/>
      <c r="D25" s="1124"/>
      <c r="E25" s="1153"/>
      <c r="F25" s="1153"/>
      <c r="G25" s="1153"/>
      <c r="H25" s="337" t="s">
        <v>125</v>
      </c>
      <c r="I25" s="79"/>
      <c r="J25" s="1048"/>
      <c r="K25" s="1124"/>
      <c r="L25" s="1124"/>
      <c r="M25" s="1124"/>
      <c r="N25" s="1254"/>
    </row>
    <row r="26" spans="1:14" ht="12.75" customHeight="1">
      <c r="A26" s="318" t="s">
        <v>575</v>
      </c>
      <c r="B26" s="335" t="s">
        <v>786</v>
      </c>
      <c r="C26" s="1039"/>
      <c r="D26" s="1124"/>
      <c r="E26" s="1153"/>
      <c r="F26" s="1153"/>
      <c r="G26" s="1153"/>
      <c r="H26" s="332"/>
      <c r="I26" s="79"/>
      <c r="J26" s="1048"/>
      <c r="K26" s="1124"/>
      <c r="L26" s="1124"/>
      <c r="M26" s="1124"/>
      <c r="N26" s="1254"/>
    </row>
    <row r="27" spans="1:14" ht="12.75" customHeight="1">
      <c r="A27" s="320" t="s">
        <v>576</v>
      </c>
      <c r="B27" s="334" t="s">
        <v>787</v>
      </c>
      <c r="C27" s="1039"/>
      <c r="D27" s="1124"/>
      <c r="E27" s="1153"/>
      <c r="F27" s="1153"/>
      <c r="G27" s="1153"/>
      <c r="H27" s="119"/>
      <c r="I27" s="79"/>
      <c r="J27" s="1048"/>
      <c r="K27" s="1124"/>
      <c r="L27" s="1124"/>
      <c r="M27" s="1124"/>
      <c r="N27" s="1254"/>
    </row>
    <row r="28" spans="1:14" ht="12.75" customHeight="1">
      <c r="A28" s="318" t="s">
        <v>577</v>
      </c>
      <c r="B28" s="338" t="s">
        <v>788</v>
      </c>
      <c r="C28" s="1039"/>
      <c r="D28" s="1122"/>
      <c r="E28" s="1151"/>
      <c r="F28" s="1151"/>
      <c r="G28" s="1151"/>
      <c r="H28" s="44"/>
      <c r="I28" s="79"/>
      <c r="J28" s="1046"/>
      <c r="K28" s="1122"/>
      <c r="L28" s="1122"/>
      <c r="M28" s="1122"/>
      <c r="N28" s="1254"/>
    </row>
    <row r="29" spans="1:14" ht="12.75" customHeight="1" thickBot="1">
      <c r="A29" s="320" t="s">
        <v>578</v>
      </c>
      <c r="B29" s="339" t="s">
        <v>789</v>
      </c>
      <c r="C29" s="1039"/>
      <c r="D29" s="1124"/>
      <c r="E29" s="1153"/>
      <c r="F29" s="1153"/>
      <c r="G29" s="1153"/>
      <c r="H29" s="119"/>
      <c r="I29" s="79"/>
      <c r="J29" s="1048"/>
      <c r="K29" s="1124"/>
      <c r="L29" s="1124"/>
      <c r="M29" s="1124"/>
      <c r="N29" s="1254"/>
    </row>
    <row r="30" spans="1:14" ht="21.75" customHeight="1" thickBot="1">
      <c r="A30" s="323" t="s">
        <v>579</v>
      </c>
      <c r="B30" s="123" t="s">
        <v>122</v>
      </c>
      <c r="C30" s="1037">
        <f>+C18+C24</f>
        <v>100000</v>
      </c>
      <c r="D30" s="648">
        <f>+D18+D24</f>
        <v>138877</v>
      </c>
      <c r="E30" s="648">
        <f>+E18+E24</f>
        <v>138877</v>
      </c>
      <c r="F30" s="648">
        <f>+F18+F24</f>
        <v>138877000</v>
      </c>
      <c r="G30" s="648">
        <f>+G18+G24</f>
        <v>138877000</v>
      </c>
      <c r="H30" s="123" t="s">
        <v>126</v>
      </c>
      <c r="I30" s="304">
        <f>SUM(I18:I29)</f>
        <v>0</v>
      </c>
      <c r="J30" s="648">
        <f>J18</f>
        <v>50000</v>
      </c>
      <c r="K30" s="648">
        <f>K18</f>
        <v>50000</v>
      </c>
      <c r="L30" s="648">
        <f>L18</f>
        <v>295000000</v>
      </c>
      <c r="M30" s="648">
        <f>M18</f>
        <v>296165800</v>
      </c>
      <c r="N30" s="1254"/>
    </row>
    <row r="31" spans="1:14" ht="13.5" thickBot="1">
      <c r="A31" s="323" t="s">
        <v>580</v>
      </c>
      <c r="B31" s="329" t="s">
        <v>127</v>
      </c>
      <c r="C31" s="1035">
        <f>+C17+C30</f>
        <v>133407</v>
      </c>
      <c r="D31" s="1125">
        <f>+D17+D30</f>
        <v>222284</v>
      </c>
      <c r="E31" s="1125">
        <f>+E17+E30</f>
        <v>222284</v>
      </c>
      <c r="F31" s="1125">
        <f>+F17+F30</f>
        <v>458284000</v>
      </c>
      <c r="G31" s="1125">
        <f>+G17+G30</f>
        <v>456957080</v>
      </c>
      <c r="H31" s="329" t="s">
        <v>128</v>
      </c>
      <c r="I31" s="330">
        <f>+I17+I30</f>
        <v>133407</v>
      </c>
      <c r="J31" s="330">
        <f>+J17+J30</f>
        <v>222284</v>
      </c>
      <c r="K31" s="330">
        <f>+K17+K30</f>
        <v>222284</v>
      </c>
      <c r="L31" s="330">
        <f>+L17+L30</f>
        <v>488344000</v>
      </c>
      <c r="M31" s="330">
        <f>+M17+M30</f>
        <v>456957080</v>
      </c>
      <c r="N31" s="1254"/>
    </row>
    <row r="32" spans="1:14" ht="13.5" thickBot="1">
      <c r="A32" s="323" t="s">
        <v>581</v>
      </c>
      <c r="B32" s="329" t="s">
        <v>705</v>
      </c>
      <c r="C32" s="1035">
        <f>IF(C17-I17&lt;0,I17-C17,"-")</f>
        <v>100000</v>
      </c>
      <c r="D32" s="1125">
        <f>IF(D17-J17&lt;0,J17-D17,"-")</f>
        <v>88877</v>
      </c>
      <c r="E32" s="1154"/>
      <c r="F32" s="1154"/>
      <c r="G32" s="1154"/>
      <c r="H32" s="329" t="s">
        <v>706</v>
      </c>
      <c r="I32" s="330" t="str">
        <f>IF(C17-I17&gt;0,C17-I17,"-")</f>
        <v>-</v>
      </c>
      <c r="J32" s="330"/>
      <c r="K32" s="1125"/>
      <c r="L32" s="1125"/>
      <c r="M32" s="1125"/>
      <c r="N32" s="1254"/>
    </row>
    <row r="33" spans="1:14" ht="13.5" thickBot="1">
      <c r="A33" s="323" t="s">
        <v>582</v>
      </c>
      <c r="B33" s="329" t="s">
        <v>777</v>
      </c>
      <c r="C33" s="1035" t="str">
        <f>IF(C17+C18-I31&lt;0,I31-(C17+C18),"-")</f>
        <v>-</v>
      </c>
      <c r="D33" s="1125"/>
      <c r="E33" s="1154"/>
      <c r="F33" s="1154"/>
      <c r="G33" s="1154"/>
      <c r="H33" s="329" t="s">
        <v>778</v>
      </c>
      <c r="I33" s="330" t="str">
        <f>IF(C17+C18-I31&gt;0,C17+C18-I31,"-")</f>
        <v>-</v>
      </c>
      <c r="J33" s="330"/>
      <c r="K33" s="1125"/>
      <c r="L33" s="1125"/>
      <c r="M33" s="1125"/>
      <c r="N33" s="1254"/>
    </row>
    <row r="34" spans="2:8" ht="15">
      <c r="B34" s="1255" t="s">
        <v>20</v>
      </c>
      <c r="C34" s="1255"/>
      <c r="D34" s="1255"/>
      <c r="E34" s="1255"/>
      <c r="F34" s="1255"/>
      <c r="G34" s="1255"/>
      <c r="H34" s="1255"/>
    </row>
  </sheetData>
  <sheetProtection/>
  <mergeCells count="3">
    <mergeCell ref="A3:A4"/>
    <mergeCell ref="N1:N33"/>
    <mergeCell ref="B34:H34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BreakPreview" zoomScale="60" zoomScaleNormal="120" workbookViewId="0" topLeftCell="A1">
      <selection activeCell="B7" sqref="B7"/>
    </sheetView>
  </sheetViews>
  <sheetFormatPr defaultColWidth="9.00390625" defaultRowHeight="12.75"/>
  <cols>
    <col min="1" max="1" width="5.625" style="135" customWidth="1"/>
    <col min="2" max="2" width="35.625" style="135" customWidth="1"/>
    <col min="3" max="6" width="14.00390625" style="135" customWidth="1"/>
    <col min="7" max="16384" width="9.375" style="135" customWidth="1"/>
  </cols>
  <sheetData>
    <row r="1" spans="1:6" ht="33" customHeight="1">
      <c r="A1" s="1258" t="s">
        <v>185</v>
      </c>
      <c r="B1" s="1258"/>
      <c r="C1" s="1258"/>
      <c r="D1" s="1258"/>
      <c r="E1" s="1258"/>
      <c r="F1" s="1258"/>
    </row>
    <row r="2" spans="1:7" ht="15.75" customHeight="1" thickBot="1">
      <c r="A2" s="136"/>
      <c r="B2" s="136"/>
      <c r="C2" s="1259"/>
      <c r="D2" s="1259"/>
      <c r="E2" s="1266" t="s">
        <v>590</v>
      </c>
      <c r="F2" s="1266"/>
      <c r="G2" s="143"/>
    </row>
    <row r="3" spans="1:6" ht="63" customHeight="1">
      <c r="A3" s="1262" t="s">
        <v>553</v>
      </c>
      <c r="B3" s="1264" t="s">
        <v>734</v>
      </c>
      <c r="C3" s="1264" t="s">
        <v>797</v>
      </c>
      <c r="D3" s="1264"/>
      <c r="E3" s="1264"/>
      <c r="F3" s="1260" t="s">
        <v>793</v>
      </c>
    </row>
    <row r="4" spans="1:6" ht="15.75" thickBot="1">
      <c r="A4" s="1263"/>
      <c r="B4" s="1265"/>
      <c r="C4" s="138" t="s">
        <v>792</v>
      </c>
      <c r="D4" s="138" t="s">
        <v>131</v>
      </c>
      <c r="E4" s="138" t="s">
        <v>296</v>
      </c>
      <c r="F4" s="1261"/>
    </row>
    <row r="5" spans="1:6" ht="15.75" thickBot="1">
      <c r="A5" s="140">
        <v>1</v>
      </c>
      <c r="B5" s="141">
        <v>2</v>
      </c>
      <c r="C5" s="141">
        <v>3</v>
      </c>
      <c r="D5" s="141">
        <v>4</v>
      </c>
      <c r="E5" s="141">
        <v>5</v>
      </c>
      <c r="F5" s="142">
        <v>6</v>
      </c>
    </row>
    <row r="6" spans="1:6" ht="15">
      <c r="A6" s="139" t="s">
        <v>555</v>
      </c>
      <c r="B6" s="160" t="s">
        <v>409</v>
      </c>
      <c r="C6" s="161"/>
      <c r="D6" s="161"/>
      <c r="E6" s="161"/>
      <c r="F6" s="146">
        <f>SUM(C6:E6)</f>
        <v>0</v>
      </c>
    </row>
    <row r="7" spans="1:6" ht="15">
      <c r="A7" s="137" t="s">
        <v>556</v>
      </c>
      <c r="B7" s="162"/>
      <c r="C7" s="163"/>
      <c r="D7" s="163"/>
      <c r="E7" s="163"/>
      <c r="F7" s="147">
        <f>SUM(C7:E7)</f>
        <v>0</v>
      </c>
    </row>
    <row r="8" spans="1:6" ht="15">
      <c r="A8" s="137" t="s">
        <v>557</v>
      </c>
      <c r="B8" s="162"/>
      <c r="C8" s="163"/>
      <c r="D8" s="163"/>
      <c r="E8" s="163"/>
      <c r="F8" s="147">
        <f>SUM(C8:E8)</f>
        <v>0</v>
      </c>
    </row>
    <row r="9" spans="1:6" ht="15">
      <c r="A9" s="137" t="s">
        <v>558</v>
      </c>
      <c r="B9" s="162"/>
      <c r="C9" s="163"/>
      <c r="D9" s="163"/>
      <c r="E9" s="163"/>
      <c r="F9" s="147">
        <f>SUM(C9:E9)</f>
        <v>0</v>
      </c>
    </row>
    <row r="10" spans="1:6" ht="15.75" thickBot="1">
      <c r="A10" s="144" t="s">
        <v>559</v>
      </c>
      <c r="B10" s="164"/>
      <c r="C10" s="165"/>
      <c r="D10" s="165"/>
      <c r="E10" s="165"/>
      <c r="F10" s="147">
        <f>SUM(C10:E10)</f>
        <v>0</v>
      </c>
    </row>
    <row r="11" spans="1:6" s="443" customFormat="1" ht="15" thickBot="1">
      <c r="A11" s="440" t="s">
        <v>560</v>
      </c>
      <c r="B11" s="145" t="s">
        <v>735</v>
      </c>
      <c r="C11" s="441">
        <f>SUM(C6:C10)</f>
        <v>0</v>
      </c>
      <c r="D11" s="441">
        <f>SUM(D6:D10)</f>
        <v>0</v>
      </c>
      <c r="E11" s="441">
        <f>SUM(E6:E10)</f>
        <v>0</v>
      </c>
      <c r="F11" s="442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az 1/2016. (I.26.)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BreakPreview" zoomScale="60" zoomScaleNormal="120" workbookViewId="0" topLeftCell="A1">
      <selection activeCell="B25" sqref="B25"/>
    </sheetView>
  </sheetViews>
  <sheetFormatPr defaultColWidth="9.00390625" defaultRowHeight="12.75"/>
  <cols>
    <col min="1" max="1" width="5.625" style="135" customWidth="1"/>
    <col min="2" max="2" width="68.625" style="135" customWidth="1"/>
    <col min="3" max="4" width="19.50390625" style="135" customWidth="1"/>
    <col min="5" max="16384" width="9.375" style="135" customWidth="1"/>
  </cols>
  <sheetData>
    <row r="1" spans="1:3" ht="33" customHeight="1">
      <c r="A1" s="1258" t="s">
        <v>186</v>
      </c>
      <c r="B1" s="1258"/>
      <c r="C1" s="1258"/>
    </row>
    <row r="2" spans="1:4" ht="15.75" customHeight="1" thickBot="1">
      <c r="A2" s="136"/>
      <c r="B2" s="136"/>
      <c r="C2" s="148"/>
      <c r="D2" s="148" t="s">
        <v>590</v>
      </c>
    </row>
    <row r="3" spans="1:4" ht="26.25" customHeight="1" thickBot="1">
      <c r="A3" s="166" t="s">
        <v>553</v>
      </c>
      <c r="B3" s="167" t="s">
        <v>732</v>
      </c>
      <c r="C3" s="168" t="s">
        <v>451</v>
      </c>
      <c r="D3" s="168" t="s">
        <v>885</v>
      </c>
    </row>
    <row r="4" spans="1:4" ht="15.75" thickBot="1">
      <c r="A4" s="169">
        <v>1</v>
      </c>
      <c r="B4" s="170">
        <v>2</v>
      </c>
      <c r="C4" s="171">
        <v>3</v>
      </c>
      <c r="D4" s="171">
        <v>4</v>
      </c>
    </row>
    <row r="5" spans="1:4" ht="15">
      <c r="A5" s="172" t="s">
        <v>555</v>
      </c>
      <c r="B5" s="344" t="s">
        <v>594</v>
      </c>
      <c r="C5" s="341">
        <v>95800</v>
      </c>
      <c r="D5" s="341">
        <v>95800</v>
      </c>
    </row>
    <row r="6" spans="1:4" ht="24.75">
      <c r="A6" s="173" t="s">
        <v>556</v>
      </c>
      <c r="B6" s="372" t="s">
        <v>794</v>
      </c>
      <c r="C6" s="342"/>
      <c r="D6" s="342"/>
    </row>
    <row r="7" spans="1:4" ht="15">
      <c r="A7" s="173" t="s">
        <v>557</v>
      </c>
      <c r="B7" s="373" t="s">
        <v>183</v>
      </c>
      <c r="C7" s="342"/>
      <c r="D7" s="342"/>
    </row>
    <row r="8" spans="1:4" ht="24.75">
      <c r="A8" s="173" t="s">
        <v>558</v>
      </c>
      <c r="B8" s="373" t="s">
        <v>796</v>
      </c>
      <c r="C8" s="342"/>
      <c r="D8" s="342"/>
    </row>
    <row r="9" spans="1:4" ht="15">
      <c r="A9" s="174" t="s">
        <v>559</v>
      </c>
      <c r="B9" s="373" t="s">
        <v>795</v>
      </c>
      <c r="C9" s="343">
        <v>1000</v>
      </c>
      <c r="D9" s="343">
        <v>1000</v>
      </c>
    </row>
    <row r="10" spans="1:4" ht="15.75" thickBot="1">
      <c r="A10" s="173" t="s">
        <v>560</v>
      </c>
      <c r="B10" s="374" t="s">
        <v>733</v>
      </c>
      <c r="C10" s="342"/>
      <c r="D10" s="342"/>
    </row>
    <row r="11" spans="1:4" ht="15.75" thickBot="1">
      <c r="A11" s="1267" t="s">
        <v>736</v>
      </c>
      <c r="B11" s="1268"/>
      <c r="C11" s="175">
        <f>SUM(C5:C10)</f>
        <v>96800</v>
      </c>
      <c r="D11" s="175">
        <f>SUM(D5:D10)</f>
        <v>96800</v>
      </c>
    </row>
    <row r="12" spans="1:3" ht="23.25" customHeight="1">
      <c r="A12" s="1269" t="s">
        <v>766</v>
      </c>
      <c r="B12" s="1269"/>
      <c r="C12" s="1269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84" r:id="rId1"/>
  <headerFooter alignWithMargins="0">
    <oddHeader>&amp;R&amp;"Times New Roman CE,Félkövér dőlt"&amp;11 4. melléklet az 1/2016 (I.26.)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BreakPreview" zoomScale="60" zoomScaleNormal="120" workbookViewId="0" topLeftCell="A1">
      <selection activeCell="S56" sqref="S56"/>
    </sheetView>
  </sheetViews>
  <sheetFormatPr defaultColWidth="9.00390625" defaultRowHeight="12.75"/>
  <cols>
    <col min="1" max="1" width="5.625" style="135" customWidth="1"/>
    <col min="2" max="2" width="66.875" style="135" customWidth="1"/>
    <col min="3" max="3" width="27.00390625" style="135" customWidth="1"/>
    <col min="4" max="16384" width="9.375" style="135" customWidth="1"/>
  </cols>
  <sheetData>
    <row r="1" spans="1:3" ht="33" customHeight="1">
      <c r="A1" s="1258" t="s">
        <v>292</v>
      </c>
      <c r="B1" s="1258"/>
      <c r="C1" s="1258"/>
    </row>
    <row r="2" spans="1:4" ht="15.75" customHeight="1" thickBot="1">
      <c r="A2" s="136"/>
      <c r="B2" s="136"/>
      <c r="C2" s="148" t="s">
        <v>590</v>
      </c>
      <c r="D2" s="143"/>
    </row>
    <row r="3" spans="1:3" ht="26.25" customHeight="1" thickBot="1">
      <c r="A3" s="166" t="s">
        <v>553</v>
      </c>
      <c r="B3" s="167" t="s">
        <v>737</v>
      </c>
      <c r="C3" s="168" t="s">
        <v>764</v>
      </c>
    </row>
    <row r="4" spans="1:3" ht="15.75" thickBot="1">
      <c r="A4" s="169">
        <v>1</v>
      </c>
      <c r="B4" s="170">
        <v>2</v>
      </c>
      <c r="C4" s="171">
        <v>3</v>
      </c>
    </row>
    <row r="5" spans="1:3" ht="15">
      <c r="A5" s="172" t="s">
        <v>555</v>
      </c>
      <c r="B5" s="179" t="s">
        <v>409</v>
      </c>
      <c r="C5" s="176"/>
    </row>
    <row r="6" spans="1:3" ht="15">
      <c r="A6" s="173" t="s">
        <v>556</v>
      </c>
      <c r="B6" s="180"/>
      <c r="C6" s="177"/>
    </row>
    <row r="7" spans="1:3" ht="15.75" thickBot="1">
      <c r="A7" s="174" t="s">
        <v>557</v>
      </c>
      <c r="B7" s="181"/>
      <c r="C7" s="178"/>
    </row>
    <row r="8" spans="1:3" s="443" customFormat="1" ht="17.25" customHeight="1" thickBot="1">
      <c r="A8" s="444" t="s">
        <v>558</v>
      </c>
      <c r="B8" s="124" t="s">
        <v>738</v>
      </c>
      <c r="C8" s="175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az 1/2016. (I.26.)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Vera</cp:lastModifiedBy>
  <cp:lastPrinted>2017-01-02T14:47:11Z</cp:lastPrinted>
  <dcterms:created xsi:type="dcterms:W3CDTF">1999-10-30T10:30:45Z</dcterms:created>
  <dcterms:modified xsi:type="dcterms:W3CDTF">2017-03-02T13:20:31Z</dcterms:modified>
  <cp:category/>
  <cp:version/>
  <cp:contentType/>
  <cp:contentStatus/>
</cp:coreProperties>
</file>