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firstSheet="7" activeTab="9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sz.mell.támogatások" sheetId="7" r:id="rId7"/>
    <sheet name="7.mell. - ellátottak jutt." sheetId="8" r:id="rId8"/>
    <sheet name="8.mell. - beruházások" sheetId="9" r:id="rId9"/>
    <sheet name="9.mell. - közgazd.mérleg" sheetId="10" r:id="rId10"/>
    <sheet name="10.mell. -ei.felh.ütemt." sheetId="11" r:id="rId11"/>
  </sheets>
  <definedNames/>
  <calcPr fullCalcOnLoad="1"/>
</workbook>
</file>

<file path=xl/sharedStrings.xml><?xml version="1.0" encoding="utf-8"?>
<sst xmlns="http://schemas.openxmlformats.org/spreadsheetml/2006/main" count="760" uniqueCount="451">
  <si>
    <t>Megnevezés</t>
  </si>
  <si>
    <t>Összesen:</t>
  </si>
  <si>
    <t>létszám</t>
  </si>
  <si>
    <t>Sitke község Önkormányzata</t>
  </si>
  <si>
    <t>állandó</t>
  </si>
  <si>
    <t>juttatások</t>
  </si>
  <si>
    <t>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</si>
  <si>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</si>
  <si>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</si>
  <si>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</si>
  <si>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</si>
  <si>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</si>
  <si>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</si>
  <si>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</si>
  <si>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</si>
  <si>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</si>
  <si>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</si>
  <si>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</si>
  <si>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</si>
  <si>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</si>
  <si>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</si>
  <si>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ebből: igényel- hető költség- vetési támogatás</t>
  </si>
  <si>
    <t>hető költség-</t>
  </si>
  <si>
    <t>vetési támogatás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</si>
  <si>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</si>
  <si>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</si>
  <si>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</si>
  <si>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</si>
  <si>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</si>
  <si>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</si>
  <si>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</si>
  <si>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</si>
  <si>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</si>
  <si>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</si>
  <si>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</si>
  <si>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</si>
  <si>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</si>
  <si>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</si>
  <si>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</si>
  <si>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</si>
  <si>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</si>
  <si>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</si>
  <si>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</si>
  <si>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</si>
  <si>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</si>
  <si>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</si>
  <si>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</si>
  <si>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</si>
  <si>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</si>
  <si>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</si>
  <si>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</si>
  <si>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KÖZHATALMI BEVÉTELEK ÖSSZESEN:</t>
  </si>
  <si>
    <t>ravatalozó használati díj</t>
  </si>
  <si>
    <t>vendégebéd térítési díja</t>
  </si>
  <si>
    <t>működési kiadások</t>
  </si>
  <si>
    <t>felhalmozási kiadások</t>
  </si>
  <si>
    <t>felújítások</t>
  </si>
  <si>
    <t xml:space="preserve">Tanévkezdési támogatás </t>
  </si>
  <si>
    <t>TÁRGYÉVI KÖLTSÉGVETÉSI HIÁNY: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</si>
  <si>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</si>
  <si>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</si>
  <si>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</si>
  <si>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</si>
  <si>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</si>
  <si>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</si>
  <si>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</si>
  <si>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</si>
  <si>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</si>
  <si>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</si>
  <si>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</si>
  <si>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</si>
  <si>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</si>
  <si>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</si>
  <si>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</si>
  <si>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</si>
  <si>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</si>
  <si>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</si>
  <si>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</si>
  <si>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</si>
  <si>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</si>
  <si>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</si>
  <si>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</si>
  <si>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</si>
  <si>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</si>
  <si>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Kistelepülések szociális feladatainak támogatása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</si>
  <si>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</si>
  <si>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</si>
  <si>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</si>
  <si>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</si>
  <si>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</si>
  <si>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</si>
  <si>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</si>
  <si>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Működési célú központosított előirányzatok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</si>
  <si>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</si>
  <si>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</si>
  <si>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</si>
  <si>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közfoglalkoztatás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</si>
  <si>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</si>
  <si>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</si>
  <si>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</si>
  <si>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</si>
  <si>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Egyéb felhalmozási célú támogatások bevételei államháztartáson belülről összesen:</t>
  </si>
  <si>
    <t>FELHALMOZÁSI CÉLÚ TÁMOGATÁSOK ÁLLAMHÁZ- TARTÁSON BELÜLRŐL ÖSSZESEN: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</si>
  <si>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</si>
  <si>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</si>
  <si>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</si>
  <si>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</si>
  <si>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</si>
  <si>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</si>
  <si>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</si>
  <si>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</si>
  <si>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</si>
  <si>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</si>
  <si>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</si>
  <si>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</si>
  <si>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</si>
  <si>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</si>
  <si>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</si>
  <si>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</si>
  <si>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</si>
  <si>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</si>
  <si>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</si>
  <si>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</si>
  <si>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</si>
  <si>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</si>
  <si>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</si>
  <si>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</si>
  <si>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</si>
  <si>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</si>
  <si>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</si>
  <si>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</si>
  <si>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</si>
  <si>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</si>
  <si>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</si>
  <si>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</si>
  <si>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</si>
  <si>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</si>
  <si>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</si>
  <si>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</si>
  <si>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</si>
  <si>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</si>
  <si>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2015. év</t>
  </si>
  <si>
    <t>Működési célú központosított előirányzatok összesen:</t>
  </si>
  <si>
    <t>lakott külterülettel kapcsolatos feladatok</t>
  </si>
  <si>
    <t>e.</t>
  </si>
  <si>
    <t>2014. évről áthúzódó bérkompenzáció támogatása</t>
  </si>
  <si>
    <t>Pénzbeni szociális ellátások kiegészítése</t>
  </si>
  <si>
    <t>Települési önkormányzatok szociális feladatainak egyéb támogatása</t>
  </si>
  <si>
    <t>Vidéki gazdaság és lakosság számára nyújtott alapszolgáltatások fejlesztése (mikrobusz beszerzése) támogatása</t>
  </si>
  <si>
    <t>Kápolnáért Kulturális és Sport Egyesület művelődési ház kialakításával kacsolatos támogatásának visszatérülése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</si>
  <si>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</si>
  <si>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</si>
  <si>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</si>
  <si>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</si>
  <si>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</si>
  <si>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</si>
  <si>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</si>
  <si>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</si>
  <si>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</si>
  <si>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</si>
  <si>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</si>
  <si>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</si>
  <si>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</si>
  <si>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</si>
  <si>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</si>
  <si>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</si>
  <si>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</si>
  <si>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</si>
  <si>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</si>
  <si>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</si>
  <si>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</si>
  <si>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</si>
  <si>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</si>
  <si>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</si>
  <si>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</si>
  <si>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</si>
  <si>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</si>
  <si>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</si>
  <si>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</si>
  <si>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</si>
  <si>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</si>
  <si>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</si>
  <si>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</si>
  <si>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</si>
  <si>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</si>
  <si>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</si>
  <si>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</si>
  <si>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</si>
  <si>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</si>
  <si>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</si>
  <si>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</si>
  <si>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</si>
  <si>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</si>
  <si>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</si>
  <si>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</si>
  <si>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</si>
  <si>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</si>
  <si>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</si>
  <si>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</si>
  <si>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</si>
  <si>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</si>
  <si>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</si>
  <si>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</si>
  <si>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</si>
  <si>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</si>
  <si>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</si>
  <si>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</si>
  <si>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</si>
  <si>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</si>
  <si>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</si>
  <si>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</si>
  <si>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</si>
  <si>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</si>
  <si>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</si>
  <si>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</si>
  <si>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Lakásfenntartással, lakhatással összefüggő ellátások</t>
  </si>
  <si>
    <t>107051</t>
  </si>
  <si>
    <t>Házi segítségnyújtás</t>
  </si>
  <si>
    <t>Egyéb szociális természetbeni és pénzbeni ellátások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</si>
  <si>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</si>
  <si>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</si>
  <si>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</si>
  <si>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</si>
  <si>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</si>
  <si>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</si>
  <si>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</si>
  <si>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</si>
  <si>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</si>
  <si>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</si>
  <si>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</si>
  <si>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</si>
  <si>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</si>
  <si>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</si>
  <si>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</si>
  <si>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</si>
  <si>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</si>
  <si>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</si>
  <si>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</si>
  <si>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</si>
  <si>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</si>
  <si>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</si>
  <si>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</si>
  <si>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</si>
  <si>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</si>
  <si>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</si>
  <si>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</si>
  <si>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</si>
  <si>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</si>
  <si>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</si>
  <si>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</si>
  <si>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</si>
  <si>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</si>
  <si>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</si>
  <si>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</si>
  <si>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</si>
  <si>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</si>
  <si>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</si>
  <si>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</si>
  <si>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</si>
  <si>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</si>
  <si>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</si>
  <si>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</si>
  <si>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</si>
  <si>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</si>
  <si>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</si>
  <si>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</si>
  <si>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</si>
  <si>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</si>
  <si>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</si>
  <si>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</si>
  <si>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</si>
  <si>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</si>
  <si>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</si>
  <si>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</si>
  <si>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</si>
  <si>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</si>
  <si>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</si>
  <si>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</si>
  <si>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</si>
  <si>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</si>
  <si>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</si>
  <si>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</si>
  <si>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</si>
  <si>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</si>
  <si>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</si>
  <si>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</si>
  <si>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</si>
  <si>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</si>
  <si>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</si>
  <si>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</si>
  <si>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</si>
  <si>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</si>
  <si>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</si>
  <si>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</si>
  <si>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</si>
  <si>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</si>
  <si>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</si>
  <si>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</si>
  <si>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</si>
  <si>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</si>
  <si>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</si>
  <si>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</si>
  <si>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</si>
  <si>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</si>
  <si>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</si>
  <si>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</si>
  <si>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</si>
  <si>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</si>
  <si>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</si>
  <si>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</si>
  <si>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</si>
  <si>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</si>
  <si>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</si>
  <si>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</si>
  <si>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</si>
  <si>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</si>
  <si>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</si>
  <si>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</si>
  <si>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</si>
  <si>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</si>
  <si>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</si>
  <si>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</si>
  <si>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</si>
  <si>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</si>
  <si>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</si>
  <si>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</si>
  <si>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</si>
  <si>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</si>
  <si>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</si>
  <si>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</si>
  <si>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</si>
  <si>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</si>
  <si>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</si>
  <si>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</si>
  <si>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</si>
  <si>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</si>
  <si>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</si>
  <si>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</si>
  <si>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</si>
  <si>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</si>
  <si>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</si>
  <si>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</si>
  <si>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</si>
  <si>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</si>
  <si>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</si>
  <si>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</si>
  <si>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</si>
  <si>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</si>
  <si>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</si>
  <si>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>066020 Városi és községgazdálkodási egyéb szolgáltatások</t>
  </si>
  <si>
    <t xml:space="preserve">2016. évi </t>
  </si>
  <si>
    <t>2016. évre</t>
  </si>
  <si>
    <t>2016. év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</si>
  <si>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</si>
  <si>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</si>
  <si>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</si>
  <si>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</si>
  <si>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</si>
  <si>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</si>
  <si>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</si>
  <si>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</si>
  <si>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</si>
  <si>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Közművelődés - amatőr művészetek</t>
  </si>
  <si>
    <t>Munkahelyi étkeztetés köznevelési int.(562920) (vendég)</t>
  </si>
  <si>
    <t>Egyéb gép, berendezés, felszerelés beszerzése</t>
  </si>
  <si>
    <t>096015 Gyermekétkeztetés köznevelési intézményben</t>
  </si>
  <si>
    <t>Konyhai eszközök pótlására</t>
  </si>
  <si>
    <t>096025 Munkahelyi étkeztetés köznevelési intézményekben</t>
  </si>
  <si>
    <t>096025Munkahelyi étkeztetés köznevelési int.(562920) (vendég)</t>
  </si>
  <si>
    <t>107051 Szociális étkeztetés (889921)</t>
  </si>
  <si>
    <t>Könyvtári infrastruktúra fejlesztés támogatása, eszközbeszerzés</t>
  </si>
  <si>
    <t>Áht-n belüli megelőlegezések viszafizetése</t>
  </si>
  <si>
    <t>2016.év</t>
  </si>
  <si>
    <t xml:space="preserve">          Áht-n belüli megelőlegezések visszafizetése</t>
  </si>
  <si>
    <t>-Áht-n belüli megelőlegezések visszafizetése</t>
  </si>
  <si>
    <t xml:space="preserve"> 013350 Önkormányzati vagyonnal való gazdálkodás</t>
  </si>
  <si>
    <t>Közművesített telek vásárlása</t>
  </si>
  <si>
    <t xml:space="preserve"> 011130 Önkormányzatok és önk. hivatalok jogalkotó és ált. igaztatási tev.</t>
  </si>
  <si>
    <t>( Ft-ban)</t>
  </si>
  <si>
    <t>041233</t>
  </si>
  <si>
    <t>Hosszabb időtartamú közfoglalkoztatás</t>
  </si>
  <si>
    <t>2016.évi bérkompenzáció támogatása</t>
  </si>
  <si>
    <t xml:space="preserve"> -TARTALÉKBA</t>
  </si>
  <si>
    <t>018030</t>
  </si>
  <si>
    <t>Támogatási célú finanszírozási műveletek</t>
  </si>
  <si>
    <t>"1. melléklet  a  3/2016. (II.16.) önkormányzati rendelethez"</t>
  </si>
  <si>
    <t>"2. melléklet  a  3/2016. (II.16.) önkormányzati rendelethez"</t>
  </si>
  <si>
    <t>"3. melléklet  a  3/2016. (II.16.) önkormányzati rendelethez"</t>
  </si>
  <si>
    <t>"4. melléklet  a 3/2016. (II.16.) önkormányzati rendelethez"</t>
  </si>
  <si>
    <t>"5. melléklet  a 3/2016. (II.16.) önkormányzati rendelethez"</t>
  </si>
  <si>
    <t>"7. melléklet  a  3/2016. (II.16.) önkormányzati rendelethez"</t>
  </si>
  <si>
    <t>"8. melléklet a 3/2016. (II.16.) önkormányzati rendelethez"</t>
  </si>
  <si>
    <t>"10. melléklet a 3/2016. (II.16.) önkormányzati rendelethez"</t>
  </si>
  <si>
    <t>"11. melléklet a 3/2016. (II.16.)önkormányzati rendelethez"</t>
  </si>
  <si>
    <t xml:space="preserve"> Ft</t>
  </si>
  <si>
    <t>(  Ft-ban)</t>
  </si>
  <si>
    <t>(  Ft-ban )</t>
  </si>
  <si>
    <t>költségvetési rendelet</t>
  </si>
  <si>
    <t>Beépítetlen terület (telek)</t>
  </si>
  <si>
    <t>045160</t>
  </si>
  <si>
    <t>Közutak,hidak,alagutak üzemeltetése,fenntartása</t>
  </si>
  <si>
    <t>Közutak ,hidak, alagutak üzemeltetése, fenntartása</t>
  </si>
  <si>
    <t>Háztartásoknak felhalmozási célú visszatérítendő támogatás (kamatmentes kölcsön)</t>
  </si>
  <si>
    <t>Nyári diákmunka támogatása</t>
  </si>
  <si>
    <t>időskorúak támogatása</t>
  </si>
  <si>
    <t>Eszközbeszerzés ( fűkaszák)</t>
  </si>
  <si>
    <t>052080 Szennyvízcsatorna építése,  fenntartása, üzemeltetése</t>
  </si>
  <si>
    <t>Mérőrendszer bővítése</t>
  </si>
  <si>
    <t>Településrendezési terv módosítása</t>
  </si>
  <si>
    <t xml:space="preserve"> - A helyi önkormányzatok előző évi elszámolásából származó kiadások</t>
  </si>
  <si>
    <t>2016.évre</t>
  </si>
  <si>
    <t>tervezett előirányzat</t>
  </si>
  <si>
    <t>EGYÉB MŰKÖDÉSI KIADÁSOK</t>
  </si>
  <si>
    <t>EGYÉB MŰKÖDÉSI CÉLÚ TÁMOGATÁSOK ÁLLAMHÁZTARTÁSON BELÜLRE</t>
  </si>
  <si>
    <t>Körjegyzőségi feladatok ellátása</t>
  </si>
  <si>
    <t>Sághegy Leader tagdíj</t>
  </si>
  <si>
    <t>Kistérségi tagsági díj</t>
  </si>
  <si>
    <t>EGYÉB MŰKÖDÉSI CÉLÚ TÁMOGATÁSOK ÁLLAMHÁZTARTÁSON BELÜLRE ÖSSZESEN:</t>
  </si>
  <si>
    <t>EGYÉB MŰKÖDÉSI CÉLÚ TÁMOGATÁSOK ÁLLAMHÁZTARTÁSON KÍVÜLRE</t>
  </si>
  <si>
    <t>Citerazenekar támogatása</t>
  </si>
  <si>
    <t>Hímzőszakkör támogatása</t>
  </si>
  <si>
    <t>Nyugdíjas Klub</t>
  </si>
  <si>
    <t xml:space="preserve">Tekeszakosztály </t>
  </si>
  <si>
    <t>Labdarugó Szakosztály támogatása</t>
  </si>
  <si>
    <t>EGYÉB MŰKÖDÉSI CÉLÚ TÁMOGATÁSOK ÁLLAMHÁZTARTÁSON KÍVÜLRE ÖSSZESEN:</t>
  </si>
  <si>
    <t>EGYÉB MŰKÖDÉSI KIADÁSOK ÖSSZESEN:</t>
  </si>
  <si>
    <t>TÁMOGATÁSOK ÖSSZESEN:</t>
  </si>
  <si>
    <r>
      <rPr>
        <b/>
        <sz val="10"/>
        <rFont val="Arial CE"/>
        <family val="0"/>
      </rPr>
      <t>"</t>
    </r>
    <r>
      <rPr>
        <sz val="10"/>
        <rFont val="Arial CE"/>
        <family val="0"/>
      </rPr>
      <t>6. melléklet  a 3/2016. (II.16.) önkormányzati rendelethez"</t>
    </r>
  </si>
  <si>
    <t xml:space="preserve"> Egyéb működési és felhalmozási kiadásai</t>
  </si>
  <si>
    <t>Ft-ban</t>
  </si>
  <si>
    <t>ELŐZŐ ÉVEK KÖLTSÉGVETÉSI MARADVÁNY IGÉNYBEVÉTELE:                                                                                   - 2015. ÉVRŐL ÁTHÚZÓDÓ FELADATOKRA</t>
  </si>
  <si>
    <t>4. számú módosítása</t>
  </si>
  <si>
    <t>Adósságkonszolidációban nem részesültönkormányzatok fejlesztési támogatása</t>
  </si>
  <si>
    <t>2017. évi nettó előleg folyósítása</t>
  </si>
  <si>
    <t>Bursa Hungarica ösztöndíj pályázat támogatása</t>
  </si>
  <si>
    <t>082044 Könyvtári szolgáltatások</t>
  </si>
  <si>
    <t>072111 Házorvosi alapellátás</t>
  </si>
  <si>
    <t>Függönyök beszerzése</t>
  </si>
  <si>
    <t>Közművelődés - egész életre kiterjedő tanulás</t>
  </si>
  <si>
    <t>felhalmozási célú támogatások államháztartáson belülről</t>
  </si>
  <si>
    <t>- áht-n belüli megelőlegezések teljesítése</t>
  </si>
  <si>
    <t>1. melléklet  a  1/2017. (II.14.) önkormányzati rendelethez</t>
  </si>
  <si>
    <t>2. melléklet  a  1/2017. (II.14.) önkormányzati rendelethez</t>
  </si>
  <si>
    <t>3. melléklet  a 1/2017. (II.14.) önkormányzati rendelethez</t>
  </si>
  <si>
    <t>4. melléklet  a 1/2017. (II.14.) önkormányzati rendelethez</t>
  </si>
  <si>
    <t>5. melléklet  a 1/2017. (II.14.) önkormányzati rendelethez</t>
  </si>
  <si>
    <t>6. melléklet  a 1/2017. (II.14.) önkormányzati rendelethez</t>
  </si>
  <si>
    <t>7. melléklet  a  1/2017. (II.14.) önkormányzati rendelethez</t>
  </si>
  <si>
    <t>8. melléklet a 1/2017. (II.14.) önkormányzati rendelethez</t>
  </si>
  <si>
    <t>9. melléklet a 1/2017. (II.14.) önkormányzati rendelethez</t>
  </si>
  <si>
    <t>10. melléklet a 1/2017. (II.14.)önkormányzati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</si>
</sst>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[$¥€-2]\ #\ ##,000_);[Red]\([$€-2]\ #\ ##,000\)"/>
  </numFmts>
  <fonts count="69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b/>
      <sz val="16"/>
      <name val="Times New Roman"/>
      <family val="1"/>
    </font>
    <font>
      <sz val="16"/>
      <name val="Arial CE"/>
      <family val="0"/>
    </font>
    <font>
      <b/>
      <sz val="11"/>
      <name val="Arial CE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1" borderId="7" applyNumberFormat="0" applyFon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8" applyNumberFormat="0" applyAlignment="0" applyProtection="0"/>
    <xf numFmtId="0" fontId="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29" borderId="1" applyNumberFormat="0" applyAlignment="0" applyProtection="0"/>
    <xf numFmtId="9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6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164" fontId="12" fillId="0" borderId="0" xfId="56" applyNumberFormat="1" applyFont="1">
      <alignment/>
      <protection/>
    </xf>
    <xf numFmtId="0" fontId="4" fillId="0" borderId="0" xfId="59" applyFont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58" applyFont="1">
      <alignment/>
      <protection/>
    </xf>
    <xf numFmtId="0" fontId="12" fillId="0" borderId="0" xfId="59" applyFont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1" fillId="0" borderId="0" xfId="58" applyFont="1">
      <alignment/>
      <protection/>
    </xf>
    <xf numFmtId="0" fontId="11" fillId="0" borderId="0" xfId="58" applyFont="1" applyAlignment="1">
      <alignment horizont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1" xfId="58" applyFont="1" applyBorder="1" applyAlignment="1">
      <alignment horizontal="center"/>
      <protection/>
    </xf>
    <xf numFmtId="0" fontId="10" fillId="0" borderId="12" xfId="58" applyFont="1" applyBorder="1" applyAlignment="1">
      <alignment horizontal="center"/>
      <protection/>
    </xf>
    <xf numFmtId="0" fontId="11" fillId="0" borderId="13" xfId="58" applyFont="1" applyBorder="1">
      <alignment/>
      <protection/>
    </xf>
    <xf numFmtId="0" fontId="10" fillId="0" borderId="14" xfId="58" applyFont="1" applyBorder="1" applyAlignment="1">
      <alignment horizontal="center"/>
      <protection/>
    </xf>
    <xf numFmtId="0" fontId="10" fillId="0" borderId="15" xfId="58" applyFont="1" applyBorder="1" applyAlignment="1">
      <alignment horizontal="center"/>
      <protection/>
    </xf>
    <xf numFmtId="0" fontId="10" fillId="0" borderId="0" xfId="58" applyFont="1">
      <alignment/>
      <protection/>
    </xf>
    <xf numFmtId="0" fontId="13" fillId="0" borderId="0" xfId="58" applyFont="1">
      <alignment/>
      <protection/>
    </xf>
    <xf numFmtId="0" fontId="14" fillId="0" borderId="0" xfId="58" applyFont="1">
      <alignment/>
      <protection/>
    </xf>
    <xf numFmtId="168" fontId="12" fillId="0" borderId="0" xfId="40" applyNumberFormat="1" applyFont="1" applyAlignment="1">
      <alignment horizontal="center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6" fillId="0" borderId="11" xfId="40" applyNumberFormat="1" applyFont="1" applyBorder="1" applyAlignment="1">
      <alignment horizontal="center" wrapText="1"/>
    </xf>
    <xf numFmtId="168" fontId="6" fillId="0" borderId="13" xfId="40" applyNumberFormat="1" applyFont="1" applyBorder="1" applyAlignment="1">
      <alignment horizontal="center" wrapText="1"/>
    </xf>
    <xf numFmtId="168" fontId="6" fillId="0" borderId="15" xfId="40" applyNumberFormat="1" applyFont="1" applyBorder="1" applyAlignment="1">
      <alignment horizontal="center" wrapText="1"/>
    </xf>
    <xf numFmtId="168" fontId="1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56" applyFont="1">
      <alignment/>
      <protection/>
    </xf>
    <xf numFmtId="0" fontId="9" fillId="0" borderId="0" xfId="0" applyFont="1" applyAlignment="1">
      <alignment horizontal="center"/>
    </xf>
    <xf numFmtId="168" fontId="13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4" fontId="6" fillId="0" borderId="0" xfId="0" applyNumberFormat="1" applyFont="1" applyAlignment="1">
      <alignment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/>
      <protection/>
    </xf>
    <xf numFmtId="0" fontId="12" fillId="0" borderId="0" xfId="56" applyFont="1" applyAlignment="1">
      <alignment horizontal="left"/>
      <protection/>
    </xf>
    <xf numFmtId="0" fontId="12" fillId="0" borderId="16" xfId="56" applyFont="1" applyBorder="1" applyAlignment="1">
      <alignment horizontal="left"/>
      <protection/>
    </xf>
    <xf numFmtId="0" fontId="12" fillId="0" borderId="16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2" fillId="0" borderId="13" xfId="56" applyFont="1" applyBorder="1" applyAlignment="1">
      <alignment horizontal="center"/>
      <protection/>
    </xf>
    <xf numFmtId="0" fontId="12" fillId="0" borderId="15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10" fillId="0" borderId="0" xfId="56" applyFont="1" applyAlignment="1">
      <alignment/>
      <protection/>
    </xf>
    <xf numFmtId="0" fontId="4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6" applyNumberFormat="1" applyFont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168" fontId="15" fillId="0" borderId="0" xfId="40" applyNumberFormat="1" applyFont="1" applyAlignment="1">
      <alignment/>
    </xf>
    <xf numFmtId="168" fontId="12" fillId="0" borderId="11" xfId="40" applyNumberFormat="1" applyFont="1" applyBorder="1" applyAlignment="1">
      <alignment horizontal="center"/>
    </xf>
    <xf numFmtId="0" fontId="11" fillId="0" borderId="11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 vertical="center"/>
      <protection/>
    </xf>
    <xf numFmtId="168" fontId="12" fillId="0" borderId="13" xfId="40" applyNumberFormat="1" applyFont="1" applyBorder="1" applyAlignment="1">
      <alignment horizontal="center"/>
    </xf>
    <xf numFmtId="168" fontId="12" fillId="0" borderId="15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6" fillId="0" borderId="0" xfId="56" applyFont="1" applyBorder="1" applyAlignment="1">
      <alignment horizontal="center" vertical="center"/>
      <protection/>
    </xf>
    <xf numFmtId="168" fontId="12" fillId="0" borderId="0" xfId="40" applyNumberFormat="1" applyFont="1" applyBorder="1" applyAlignment="1">
      <alignment horizontal="center"/>
    </xf>
    <xf numFmtId="0" fontId="12" fillId="0" borderId="0" xfId="56" applyFont="1" applyBorder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0" fontId="12" fillId="0" borderId="0" xfId="58" applyFont="1">
      <alignment/>
      <protection/>
    </xf>
    <xf numFmtId="0" fontId="6" fillId="0" borderId="0" xfId="0" applyFont="1" applyAlignment="1">
      <alignment horizontal="left" wrapText="1"/>
    </xf>
    <xf numFmtId="0" fontId="10" fillId="0" borderId="0" xfId="59" applyFont="1" applyAlignment="1">
      <alignment horizontal="center"/>
      <protection/>
    </xf>
    <xf numFmtId="0" fontId="11" fillId="0" borderId="0" xfId="59" applyFont="1">
      <alignment/>
      <protection/>
    </xf>
    <xf numFmtId="0" fontId="11" fillId="0" borderId="0" xfId="56" applyFont="1">
      <alignment/>
      <protection/>
    </xf>
    <xf numFmtId="0" fontId="11" fillId="0" borderId="17" xfId="58" applyFont="1" applyBorder="1" applyAlignment="1" quotePrefix="1">
      <alignment horizontal="center" vertical="center" wrapText="1"/>
      <protection/>
    </xf>
    <xf numFmtId="0" fontId="11" fillId="0" borderId="18" xfId="58" applyFont="1" applyBorder="1" applyAlignment="1">
      <alignment horizontal="left" wrapText="1"/>
      <protection/>
    </xf>
    <xf numFmtId="0" fontId="11" fillId="0" borderId="19" xfId="59" applyFont="1" applyBorder="1">
      <alignment/>
      <protection/>
    </xf>
    <xf numFmtId="0" fontId="11" fillId="0" borderId="20" xfId="59" applyFont="1" applyBorder="1">
      <alignment/>
      <protection/>
    </xf>
    <xf numFmtId="0" fontId="11" fillId="0" borderId="21" xfId="58" applyFont="1" applyBorder="1" applyAlignment="1" quotePrefix="1">
      <alignment horizontal="center" vertical="center" wrapText="1"/>
      <protection/>
    </xf>
    <xf numFmtId="0" fontId="11" fillId="0" borderId="22" xfId="59" applyFont="1" applyBorder="1">
      <alignment/>
      <protection/>
    </xf>
    <xf numFmtId="0" fontId="11" fillId="0" borderId="23" xfId="59" applyFont="1" applyBorder="1">
      <alignment/>
      <protection/>
    </xf>
    <xf numFmtId="0" fontId="11" fillId="0" borderId="24" xfId="59" applyFont="1" applyBorder="1">
      <alignment/>
      <protection/>
    </xf>
    <xf numFmtId="0" fontId="11" fillId="0" borderId="18" xfId="59" applyFont="1" applyBorder="1">
      <alignment/>
      <protection/>
    </xf>
    <xf numFmtId="0" fontId="11" fillId="0" borderId="19" xfId="58" applyFont="1" applyBorder="1" applyAlignment="1">
      <alignment horizontal="right"/>
      <protection/>
    </xf>
    <xf numFmtId="0" fontId="12" fillId="0" borderId="0" xfId="56" applyFont="1">
      <alignment/>
      <protection/>
    </xf>
    <xf numFmtId="0" fontId="15" fillId="0" borderId="0" xfId="56" applyFont="1">
      <alignment/>
      <protection/>
    </xf>
    <xf numFmtId="0" fontId="15" fillId="0" borderId="0" xfId="0" applyFont="1" applyAlignment="1">
      <alignment/>
    </xf>
    <xf numFmtId="0" fontId="6" fillId="0" borderId="11" xfId="56" applyFont="1" applyBorder="1" applyAlignment="1">
      <alignment horizontal="center"/>
      <protection/>
    </xf>
    <xf numFmtId="0" fontId="6" fillId="0" borderId="13" xfId="56" applyFont="1" applyBorder="1">
      <alignment/>
      <protection/>
    </xf>
    <xf numFmtId="0" fontId="6" fillId="0" borderId="13" xfId="56" applyFont="1" applyBorder="1" applyAlignment="1">
      <alignment horizontal="center"/>
      <protection/>
    </xf>
    <xf numFmtId="0" fontId="6" fillId="0" borderId="15" xfId="56" applyFont="1" applyBorder="1">
      <alignment/>
      <protection/>
    </xf>
    <xf numFmtId="168" fontId="15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6" applyFont="1" applyAlignment="1">
      <alignment horizontal="right"/>
      <protection/>
    </xf>
    <xf numFmtId="0" fontId="6" fillId="0" borderId="11" xfId="56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6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6" applyFont="1" applyBorder="1" applyAlignment="1">
      <alignment wrapText="1"/>
      <protection/>
    </xf>
    <xf numFmtId="0" fontId="12" fillId="0" borderId="19" xfId="56" applyFont="1" applyBorder="1" applyAlignment="1">
      <alignment horizontal="right"/>
      <protection/>
    </xf>
    <xf numFmtId="0" fontId="12" fillId="0" borderId="19" xfId="56" applyFont="1" applyBorder="1" applyAlignment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168" fontId="6" fillId="0" borderId="0" xfId="56" applyNumberFormat="1" applyFont="1">
      <alignment/>
      <protection/>
    </xf>
    <xf numFmtId="0" fontId="6" fillId="0" borderId="25" xfId="56" applyFont="1" applyBorder="1" applyAlignment="1">
      <alignment horizontal="right"/>
      <protection/>
    </xf>
    <xf numFmtId="0" fontId="6" fillId="0" borderId="25" xfId="56" applyFont="1" applyBorder="1">
      <alignment/>
      <protection/>
    </xf>
    <xf numFmtId="0" fontId="6" fillId="0" borderId="0" xfId="56" applyFont="1" applyBorder="1" applyAlignment="1">
      <alignment horizontal="right"/>
      <protection/>
    </xf>
    <xf numFmtId="0" fontId="6" fillId="0" borderId="0" xfId="56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7" applyFont="1">
      <alignment/>
      <protection/>
    </xf>
    <xf numFmtId="0" fontId="6" fillId="0" borderId="0" xfId="57" applyFont="1" applyBorder="1" applyAlignment="1">
      <alignment horizontal="center"/>
      <protection/>
    </xf>
    <xf numFmtId="0" fontId="22" fillId="0" borderId="19" xfId="0" applyFont="1" applyBorder="1" applyAlignment="1">
      <alignment/>
    </xf>
    <xf numFmtId="0" fontId="6" fillId="0" borderId="0" xfId="57" applyFont="1">
      <alignment/>
      <protection/>
    </xf>
    <xf numFmtId="0" fontId="6" fillId="0" borderId="25" xfId="57" applyFont="1" applyBorder="1" applyAlignment="1">
      <alignment horizontal="right"/>
      <protection/>
    </xf>
    <xf numFmtId="0" fontId="6" fillId="0" borderId="25" xfId="57" applyFont="1" applyBorder="1">
      <alignment/>
      <protection/>
    </xf>
    <xf numFmtId="168" fontId="6" fillId="0" borderId="0" xfId="57" applyNumberFormat="1" applyFont="1">
      <alignment/>
      <protection/>
    </xf>
    <xf numFmtId="0" fontId="12" fillId="0" borderId="0" xfId="57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1" fillId="0" borderId="0" xfId="58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11" fillId="0" borderId="26" xfId="59" applyFont="1" applyBorder="1">
      <alignment/>
      <protection/>
    </xf>
    <xf numFmtId="0" fontId="20" fillId="0" borderId="25" xfId="56" applyFont="1" applyBorder="1" applyAlignment="1">
      <alignment horizontal="center"/>
      <protection/>
    </xf>
    <xf numFmtId="0" fontId="7" fillId="0" borderId="25" xfId="56" applyFont="1" applyBorder="1" applyAlignment="1">
      <alignment horizontal="center"/>
      <protection/>
    </xf>
    <xf numFmtId="164" fontId="11" fillId="0" borderId="23" xfId="59" applyNumberFormat="1" applyFont="1" applyBorder="1">
      <alignment/>
      <protection/>
    </xf>
    <xf numFmtId="164" fontId="11" fillId="0" borderId="19" xfId="59" applyNumberFormat="1" applyFont="1" applyBorder="1">
      <alignment/>
      <protection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168" fontId="23" fillId="0" borderId="0" xfId="40" applyNumberFormat="1" applyFont="1" applyAlignment="1">
      <alignment/>
    </xf>
    <xf numFmtId="0" fontId="11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0" fillId="0" borderId="0" xfId="56" applyFont="1" applyAlignment="1">
      <alignment horizontal="center"/>
      <protection/>
    </xf>
    <xf numFmtId="168" fontId="20" fillId="0" borderId="0" xfId="40" applyNumberFormat="1" applyFont="1" applyAlignment="1">
      <alignment horizontal="centerContinuous"/>
    </xf>
    <xf numFmtId="168" fontId="20" fillId="0" borderId="27" xfId="40" applyNumberFormat="1" applyFont="1" applyBorder="1" applyAlignment="1">
      <alignment horizontal="center"/>
    </xf>
    <xf numFmtId="168" fontId="20" fillId="0" borderId="11" xfId="40" applyNumberFormat="1" applyFont="1" applyBorder="1" applyAlignment="1">
      <alignment horizontal="center"/>
    </xf>
    <xf numFmtId="168" fontId="20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1" fillId="0" borderId="28" xfId="58" applyFont="1" applyBorder="1" applyAlignment="1" quotePrefix="1">
      <alignment horizontal="center" vertical="center" wrapText="1"/>
      <protection/>
    </xf>
    <xf numFmtId="0" fontId="11" fillId="0" borderId="0" xfId="58" applyFont="1" applyBorder="1" applyAlignment="1">
      <alignment horizontal="left" wrapText="1"/>
      <protection/>
    </xf>
    <xf numFmtId="168" fontId="4" fillId="0" borderId="26" xfId="40" applyNumberFormat="1" applyFont="1" applyBorder="1" applyAlignment="1">
      <alignment/>
    </xf>
    <xf numFmtId="168" fontId="4" fillId="0" borderId="29" xfId="40" applyNumberFormat="1" applyFont="1" applyBorder="1" applyAlignment="1">
      <alignment/>
    </xf>
    <xf numFmtId="168" fontId="4" fillId="0" borderId="19" xfId="40" applyNumberFormat="1" applyFont="1" applyBorder="1" applyAlignment="1">
      <alignment/>
    </xf>
    <xf numFmtId="168" fontId="4" fillId="0" borderId="30" xfId="40" applyNumberFormat="1" applyFont="1" applyBorder="1" applyAlignment="1">
      <alignment/>
    </xf>
    <xf numFmtId="0" fontId="10" fillId="0" borderId="31" xfId="59" applyFont="1" applyBorder="1">
      <alignment/>
      <protection/>
    </xf>
    <xf numFmtId="0" fontId="10" fillId="0" borderId="25" xfId="59" applyFont="1" applyBorder="1">
      <alignment/>
      <protection/>
    </xf>
    <xf numFmtId="168" fontId="4" fillId="0" borderId="25" xfId="40" applyNumberFormat="1" applyFont="1" applyBorder="1" applyAlignment="1">
      <alignment/>
    </xf>
    <xf numFmtId="0" fontId="11" fillId="0" borderId="32" xfId="58" applyFont="1" applyBorder="1" applyAlignment="1" quotePrefix="1">
      <alignment horizontal="center" vertical="center" wrapText="1"/>
      <protection/>
    </xf>
    <xf numFmtId="0" fontId="4" fillId="0" borderId="25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58" applyFont="1">
      <alignment/>
      <protection/>
    </xf>
    <xf numFmtId="0" fontId="6" fillId="0" borderId="0" xfId="59" applyFont="1" applyAlignment="1">
      <alignment horizontal="centerContinuous"/>
      <protection/>
    </xf>
    <xf numFmtId="0" fontId="25" fillId="0" borderId="0" xfId="59" applyFont="1">
      <alignment/>
      <protection/>
    </xf>
    <xf numFmtId="0" fontId="6" fillId="0" borderId="11" xfId="59" applyFont="1" applyBorder="1">
      <alignment/>
      <protection/>
    </xf>
    <xf numFmtId="0" fontId="6" fillId="0" borderId="11" xfId="59" applyFont="1" applyBorder="1" applyAlignment="1">
      <alignment horizontal="center"/>
      <protection/>
    </xf>
    <xf numFmtId="0" fontId="6" fillId="0" borderId="13" xfId="59" applyFont="1" applyBorder="1" applyAlignment="1">
      <alignment horizontal="center"/>
      <protection/>
    </xf>
    <xf numFmtId="0" fontId="6" fillId="0" borderId="15" xfId="59" applyFont="1" applyBorder="1">
      <alignment/>
      <protection/>
    </xf>
    <xf numFmtId="0" fontId="6" fillId="0" borderId="15" xfId="59" applyFont="1" applyBorder="1" applyAlignment="1">
      <alignment horizontal="center"/>
      <protection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horizontal="center"/>
      <protection/>
    </xf>
    <xf numFmtId="44" fontId="12" fillId="0" borderId="0" xfId="61" applyFont="1" applyAlignment="1">
      <alignment horizontal="left" wrapText="1"/>
    </xf>
    <xf numFmtId="0" fontId="12" fillId="0" borderId="0" xfId="59" applyFont="1" applyBorder="1">
      <alignment/>
      <protection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33" xfId="40" applyNumberFormat="1" applyFont="1" applyBorder="1" applyAlignment="1">
      <alignment/>
    </xf>
    <xf numFmtId="168" fontId="6" fillId="0" borderId="34" xfId="40" applyNumberFormat="1" applyFont="1" applyBorder="1" applyAlignment="1">
      <alignment/>
    </xf>
    <xf numFmtId="168" fontId="6" fillId="0" borderId="35" xfId="40" applyNumberFormat="1" applyFont="1" applyBorder="1" applyAlignment="1">
      <alignment/>
    </xf>
    <xf numFmtId="168" fontId="12" fillId="0" borderId="35" xfId="40" applyNumberFormat="1" applyFont="1" applyBorder="1" applyAlignment="1">
      <alignment/>
    </xf>
    <xf numFmtId="168" fontId="12" fillId="0" borderId="34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168" fontId="12" fillId="0" borderId="36" xfId="40" applyNumberFormat="1" applyFont="1" applyBorder="1" applyAlignment="1">
      <alignment horizontal="center"/>
    </xf>
    <xf numFmtId="168" fontId="12" fillId="0" borderId="37" xfId="40" applyNumberFormat="1" applyFont="1" applyBorder="1" applyAlignment="1">
      <alignment horizontal="center"/>
    </xf>
    <xf numFmtId="168" fontId="12" fillId="0" borderId="38" xfId="4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168" fontId="12" fillId="0" borderId="15" xfId="40" applyNumberFormat="1" applyFont="1" applyBorder="1" applyAlignment="1">
      <alignment/>
    </xf>
    <xf numFmtId="168" fontId="12" fillId="0" borderId="39" xfId="40" applyNumberFormat="1" applyFont="1" applyBorder="1" applyAlignment="1">
      <alignment/>
    </xf>
    <xf numFmtId="168" fontId="12" fillId="0" borderId="40" xfId="40" applyNumberFormat="1" applyFont="1" applyBorder="1" applyAlignment="1">
      <alignment/>
    </xf>
    <xf numFmtId="168" fontId="12" fillId="0" borderId="41" xfId="4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19" xfId="0" applyFont="1" applyBorder="1" applyAlignment="1">
      <alignment wrapText="1"/>
    </xf>
    <xf numFmtId="168" fontId="12" fillId="0" borderId="19" xfId="40" applyNumberFormat="1" applyFont="1" applyBorder="1" applyAlignment="1">
      <alignment/>
    </xf>
    <xf numFmtId="168" fontId="12" fillId="0" borderId="30" xfId="40" applyNumberFormat="1" applyFont="1" applyBorder="1" applyAlignment="1">
      <alignment/>
    </xf>
    <xf numFmtId="0" fontId="12" fillId="0" borderId="19" xfId="0" applyFont="1" applyBorder="1" applyAlignment="1">
      <alignment/>
    </xf>
    <xf numFmtId="168" fontId="12" fillId="0" borderId="19" xfId="40" applyNumberFormat="1" applyFont="1" applyBorder="1" applyAlignment="1">
      <alignment/>
    </xf>
    <xf numFmtId="168" fontId="26" fillId="0" borderId="19" xfId="40" applyNumberFormat="1" applyFont="1" applyFill="1" applyBorder="1" applyAlignment="1">
      <alignment/>
    </xf>
    <xf numFmtId="168" fontId="26" fillId="0" borderId="23" xfId="40" applyNumberFormat="1" applyFont="1" applyFill="1" applyBorder="1" applyAlignment="1">
      <alignment/>
    </xf>
    <xf numFmtId="168" fontId="12" fillId="0" borderId="19" xfId="40" applyNumberFormat="1" applyFont="1" applyFill="1" applyBorder="1" applyAlignment="1">
      <alignment/>
    </xf>
    <xf numFmtId="168" fontId="12" fillId="0" borderId="23" xfId="40" applyNumberFormat="1" applyFont="1" applyFill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/>
    </xf>
    <xf numFmtId="0" fontId="6" fillId="0" borderId="25" xfId="0" applyFont="1" applyBorder="1" applyAlignment="1">
      <alignment/>
    </xf>
    <xf numFmtId="168" fontId="6" fillId="0" borderId="44" xfId="40" applyNumberFormat="1" applyFont="1" applyBorder="1" applyAlignment="1">
      <alignment/>
    </xf>
    <xf numFmtId="168" fontId="6" fillId="0" borderId="25" xfId="40" applyNumberFormat="1" applyFont="1" applyBorder="1" applyAlignment="1">
      <alignment/>
    </xf>
    <xf numFmtId="0" fontId="12" fillId="0" borderId="45" xfId="0" applyFont="1" applyBorder="1" applyAlignment="1">
      <alignment horizontal="center"/>
    </xf>
    <xf numFmtId="0" fontId="6" fillId="0" borderId="26" xfId="0" applyFont="1" applyBorder="1" applyAlignment="1">
      <alignment/>
    </xf>
    <xf numFmtId="168" fontId="12" fillId="0" borderId="46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25" xfId="0" applyFont="1" applyBorder="1" applyAlignment="1">
      <alignment/>
    </xf>
    <xf numFmtId="0" fontId="6" fillId="0" borderId="31" xfId="0" applyFont="1" applyBorder="1" applyAlignment="1">
      <alignment/>
    </xf>
    <xf numFmtId="168" fontId="12" fillId="0" borderId="47" xfId="40" applyNumberFormat="1" applyFont="1" applyBorder="1" applyAlignment="1">
      <alignment/>
    </xf>
    <xf numFmtId="168" fontId="12" fillId="0" borderId="48" xfId="40" applyNumberFormat="1" applyFont="1" applyBorder="1" applyAlignment="1">
      <alignment/>
    </xf>
    <xf numFmtId="0" fontId="12" fillId="0" borderId="19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10" fillId="0" borderId="0" xfId="58" applyFont="1" applyBorder="1" applyAlignment="1">
      <alignment horizontal="left" wrapText="1"/>
      <protection/>
    </xf>
    <xf numFmtId="0" fontId="6" fillId="0" borderId="0" xfId="59" applyFont="1" applyBorder="1" quotePrefix="1">
      <alignment/>
      <protection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14" fontId="17" fillId="0" borderId="0" xfId="0" applyNumberFormat="1" applyFont="1" applyAlignment="1">
      <alignment/>
    </xf>
    <xf numFmtId="0" fontId="12" fillId="0" borderId="0" xfId="56" applyFont="1" applyBorder="1" applyAlignment="1">
      <alignment horizontal="center"/>
      <protection/>
    </xf>
    <xf numFmtId="0" fontId="12" fillId="0" borderId="49" xfId="56" applyFont="1" applyBorder="1" applyAlignment="1">
      <alignment horizontal="center" vertical="center"/>
      <protection/>
    </xf>
    <xf numFmtId="0" fontId="12" fillId="0" borderId="27" xfId="56" applyFont="1" applyBorder="1" applyAlignment="1">
      <alignment horizontal="center" vertical="center"/>
      <protection/>
    </xf>
    <xf numFmtId="0" fontId="12" fillId="0" borderId="12" xfId="56" applyFont="1" applyBorder="1" applyAlignment="1">
      <alignment horizontal="center" vertical="center"/>
      <protection/>
    </xf>
    <xf numFmtId="0" fontId="12" fillId="0" borderId="50" xfId="56" applyFont="1" applyBorder="1" applyAlignment="1">
      <alignment horizontal="center" vertical="center"/>
      <protection/>
    </xf>
    <xf numFmtId="0" fontId="12" fillId="0" borderId="16" xfId="56" applyFont="1" applyBorder="1" applyAlignment="1">
      <alignment horizontal="center" vertical="center"/>
      <protection/>
    </xf>
    <xf numFmtId="0" fontId="12" fillId="0" borderId="51" xfId="56" applyFont="1" applyBorder="1" applyAlignment="1">
      <alignment horizontal="center" vertical="center"/>
      <protection/>
    </xf>
    <xf numFmtId="0" fontId="12" fillId="0" borderId="14" xfId="56" applyFont="1" applyBorder="1" applyAlignment="1">
      <alignment horizontal="center" vertical="center"/>
      <protection/>
    </xf>
    <xf numFmtId="168" fontId="4" fillId="0" borderId="24" xfId="58" applyNumberFormat="1" applyFont="1" applyBorder="1" applyAlignment="1">
      <alignment/>
      <protection/>
    </xf>
    <xf numFmtId="168" fontId="4" fillId="0" borderId="24" xfId="58" applyNumberFormat="1" applyFont="1" applyBorder="1" applyAlignment="1">
      <alignment horizontal="right"/>
      <protection/>
    </xf>
    <xf numFmtId="0" fontId="10" fillId="0" borderId="0" xfId="58" applyFont="1" applyBorder="1" applyAlignment="1" quotePrefix="1">
      <alignment horizontal="left" wrapText="1"/>
      <protection/>
    </xf>
    <xf numFmtId="0" fontId="11" fillId="0" borderId="0" xfId="58" applyFont="1" applyBorder="1" applyAlignment="1" quotePrefix="1">
      <alignment horizontal="left" wrapText="1"/>
      <protection/>
    </xf>
    <xf numFmtId="0" fontId="10" fillId="0" borderId="0" xfId="59" applyFont="1" applyBorder="1" quotePrefix="1">
      <alignment/>
      <protection/>
    </xf>
    <xf numFmtId="0" fontId="6" fillId="0" borderId="0" xfId="56" applyFont="1" applyBorder="1" applyAlignment="1">
      <alignment horizontal="center"/>
      <protection/>
    </xf>
    <xf numFmtId="0" fontId="6" fillId="0" borderId="49" xfId="56" applyFont="1" applyBorder="1">
      <alignment/>
      <protection/>
    </xf>
    <xf numFmtId="0" fontId="6" fillId="0" borderId="49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12" fillId="0" borderId="19" xfId="0" applyFont="1" applyBorder="1" applyAlignment="1" quotePrefix="1">
      <alignment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12" fillId="0" borderId="10" xfId="56" applyFont="1" applyBorder="1" applyAlignment="1">
      <alignment horizontal="left" vertical="center"/>
      <protection/>
    </xf>
    <xf numFmtId="0" fontId="4" fillId="0" borderId="0" xfId="0" applyFont="1" applyBorder="1" applyAlignment="1">
      <alignment/>
    </xf>
    <xf numFmtId="0" fontId="11" fillId="0" borderId="0" xfId="58" applyFont="1" applyBorder="1" applyAlignment="1">
      <alignment horizontal="right"/>
      <protection/>
    </xf>
    <xf numFmtId="0" fontId="19" fillId="0" borderId="0" xfId="58" applyFont="1" applyBorder="1">
      <alignment/>
      <protection/>
    </xf>
    <xf numFmtId="0" fontId="11" fillId="0" borderId="0" xfId="58" applyFont="1" applyBorder="1">
      <alignment/>
      <protection/>
    </xf>
    <xf numFmtId="3" fontId="12" fillId="0" borderId="0" xfId="56" applyNumberFormat="1" applyFont="1">
      <alignment/>
      <protection/>
    </xf>
    <xf numFmtId="3" fontId="12" fillId="0" borderId="0" xfId="40" applyNumberFormat="1" applyFont="1" applyAlignment="1">
      <alignment/>
    </xf>
    <xf numFmtId="3" fontId="15" fillId="0" borderId="0" xfId="40" applyNumberFormat="1" applyFont="1" applyAlignment="1">
      <alignment/>
    </xf>
    <xf numFmtId="4" fontId="15" fillId="0" borderId="0" xfId="0" applyNumberFormat="1" applyFont="1" applyAlignment="1">
      <alignment/>
    </xf>
    <xf numFmtId="3" fontId="12" fillId="0" borderId="0" xfId="40" applyNumberFormat="1" applyFont="1" applyAlignment="1">
      <alignment wrapText="1"/>
    </xf>
    <xf numFmtId="3" fontId="12" fillId="0" borderId="0" xfId="0" applyNumberFormat="1" applyFont="1" applyAlignment="1">
      <alignment/>
    </xf>
    <xf numFmtId="170" fontId="10" fillId="0" borderId="0" xfId="40" applyNumberFormat="1" applyFont="1" applyAlignment="1">
      <alignment/>
    </xf>
    <xf numFmtId="3" fontId="7" fillId="0" borderId="0" xfId="40" applyNumberFormat="1" applyFont="1" applyAlignment="1">
      <alignment/>
    </xf>
    <xf numFmtId="3" fontId="10" fillId="0" borderId="0" xfId="40" applyNumberFormat="1" applyFont="1" applyAlignment="1">
      <alignment/>
    </xf>
    <xf numFmtId="3" fontId="7" fillId="0" borderId="0" xfId="40" applyNumberFormat="1" applyFont="1" applyAlignment="1">
      <alignment horizontal="right"/>
    </xf>
    <xf numFmtId="170" fontId="11" fillId="0" borderId="0" xfId="40" applyNumberFormat="1" applyFont="1" applyAlignment="1">
      <alignment/>
    </xf>
    <xf numFmtId="0" fontId="6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10" fillId="0" borderId="31" xfId="58" applyFont="1" applyBorder="1" applyAlignment="1">
      <alignment vertical="center"/>
      <protection/>
    </xf>
    <xf numFmtId="0" fontId="10" fillId="0" borderId="25" xfId="58" applyFont="1" applyBorder="1" applyAlignment="1">
      <alignment vertical="center"/>
      <protection/>
    </xf>
    <xf numFmtId="0" fontId="10" fillId="0" borderId="25" xfId="59" applyFont="1" applyBorder="1" applyAlignment="1">
      <alignment vertical="center"/>
      <protection/>
    </xf>
    <xf numFmtId="0" fontId="4" fillId="0" borderId="0" xfId="59" applyFont="1" applyAlignment="1">
      <alignment vertical="center"/>
      <protection/>
    </xf>
    <xf numFmtId="0" fontId="11" fillId="0" borderId="0" xfId="58" applyFont="1" applyAlignment="1">
      <alignment wrapText="1"/>
      <protection/>
    </xf>
    <xf numFmtId="3" fontId="15" fillId="0" borderId="0" xfId="56" applyNumberFormat="1" applyFont="1">
      <alignment/>
      <protection/>
    </xf>
    <xf numFmtId="3" fontId="12" fillId="0" borderId="0" xfId="40" applyNumberFormat="1" applyFont="1" applyAlignment="1">
      <alignment horizontal="right"/>
    </xf>
    <xf numFmtId="3" fontId="15" fillId="0" borderId="0" xfId="40" applyNumberFormat="1" applyFont="1" applyAlignment="1">
      <alignment wrapText="1"/>
    </xf>
    <xf numFmtId="3" fontId="6" fillId="0" borderId="0" xfId="40" applyNumberFormat="1" applyFont="1" applyAlignment="1">
      <alignment wrapText="1"/>
    </xf>
    <xf numFmtId="3" fontId="12" fillId="0" borderId="0" xfId="40" applyNumberFormat="1" applyFont="1" applyBorder="1" applyAlignment="1">
      <alignment horizontal="center"/>
    </xf>
    <xf numFmtId="3" fontId="6" fillId="0" borderId="0" xfId="40" applyNumberFormat="1" applyFont="1" applyBorder="1" applyAlignment="1">
      <alignment horizontal="center"/>
    </xf>
    <xf numFmtId="3" fontId="6" fillId="0" borderId="0" xfId="0" applyNumberFormat="1" applyFont="1" applyAlignment="1">
      <alignment wrapText="1"/>
    </xf>
    <xf numFmtId="3" fontId="12" fillId="0" borderId="0" xfId="0" applyNumberFormat="1" applyFont="1" applyAlignment="1">
      <alignment wrapText="1"/>
    </xf>
    <xf numFmtId="3" fontId="12" fillId="0" borderId="0" xfId="40" applyNumberFormat="1" applyFont="1" applyBorder="1" applyAlignment="1">
      <alignment horizontal="center"/>
    </xf>
    <xf numFmtId="3" fontId="6" fillId="0" borderId="0" xfId="40" applyNumberFormat="1" applyFont="1" applyAlignment="1">
      <alignment/>
    </xf>
    <xf numFmtId="3" fontId="6" fillId="0" borderId="0" xfId="40" applyNumberFormat="1" applyFont="1" applyBorder="1" applyAlignment="1">
      <alignment horizontal="right"/>
    </xf>
    <xf numFmtId="3" fontId="12" fillId="0" borderId="0" xfId="40" applyNumberFormat="1" applyFont="1" applyBorder="1" applyAlignment="1">
      <alignment/>
    </xf>
    <xf numFmtId="3" fontId="6" fillId="0" borderId="0" xfId="40" applyNumberFormat="1" applyFont="1" applyBorder="1" applyAlignment="1">
      <alignment/>
    </xf>
    <xf numFmtId="3" fontId="12" fillId="0" borderId="0" xfId="40" applyNumberFormat="1" applyFont="1" applyAlignment="1">
      <alignment horizontal="right" wrapText="1"/>
    </xf>
    <xf numFmtId="3" fontId="12" fillId="0" borderId="0" xfId="40" applyNumberFormat="1" applyFont="1" applyBorder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40" applyNumberFormat="1" applyFont="1" applyAlignment="1">
      <alignment/>
    </xf>
    <xf numFmtId="3" fontId="6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70" fontId="7" fillId="0" borderId="0" xfId="40" applyNumberFormat="1" applyFont="1" applyAlignment="1">
      <alignment/>
    </xf>
    <xf numFmtId="3" fontId="5" fillId="0" borderId="0" xfId="40" applyNumberFormat="1" applyFont="1" applyAlignment="1">
      <alignment/>
    </xf>
    <xf numFmtId="3" fontId="7" fillId="0" borderId="0" xfId="0" applyNumberFormat="1" applyFont="1" applyAlignment="1">
      <alignment/>
    </xf>
    <xf numFmtId="170" fontId="11" fillId="0" borderId="0" xfId="40" applyNumberFormat="1" applyFont="1" applyAlignment="1">
      <alignment/>
    </xf>
    <xf numFmtId="3" fontId="4" fillId="0" borderId="0" xfId="4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40" applyNumberFormat="1" applyFont="1" applyAlignment="1">
      <alignment horizontal="right"/>
    </xf>
    <xf numFmtId="3" fontId="11" fillId="0" borderId="20" xfId="58" applyNumberFormat="1" applyFont="1" applyBorder="1" applyAlignment="1">
      <alignment horizontal="right"/>
      <protection/>
    </xf>
    <xf numFmtId="3" fontId="11" fillId="0" borderId="24" xfId="58" applyNumberFormat="1" applyFont="1" applyBorder="1" applyAlignment="1">
      <alignment horizontal="right"/>
      <protection/>
    </xf>
    <xf numFmtId="3" fontId="11" fillId="0" borderId="19" xfId="58" applyNumberFormat="1" applyFont="1" applyBorder="1" applyAlignment="1">
      <alignment horizontal="right"/>
      <protection/>
    </xf>
    <xf numFmtId="3" fontId="19" fillId="0" borderId="19" xfId="58" applyNumberFormat="1" applyFont="1" applyBorder="1">
      <alignment/>
      <protection/>
    </xf>
    <xf numFmtId="3" fontId="11" fillId="0" borderId="19" xfId="58" applyNumberFormat="1" applyFont="1" applyBorder="1">
      <alignment/>
      <protection/>
    </xf>
    <xf numFmtId="3" fontId="19" fillId="0" borderId="23" xfId="58" applyNumberFormat="1" applyFont="1" applyBorder="1">
      <alignment/>
      <protection/>
    </xf>
    <xf numFmtId="3" fontId="11" fillId="0" borderId="23" xfId="58" applyNumberFormat="1" applyFont="1" applyBorder="1">
      <alignment/>
      <protection/>
    </xf>
    <xf numFmtId="3" fontId="11" fillId="0" borderId="30" xfId="58" applyNumberFormat="1" applyFont="1" applyBorder="1">
      <alignment/>
      <protection/>
    </xf>
    <xf numFmtId="3" fontId="10" fillId="0" borderId="31" xfId="58" applyNumberFormat="1" applyFont="1" applyBorder="1" applyAlignment="1">
      <alignment horizontal="right" vertical="center"/>
      <protection/>
    </xf>
    <xf numFmtId="3" fontId="11" fillId="0" borderId="0" xfId="40" applyNumberFormat="1" applyFont="1" applyAlignment="1">
      <alignment/>
    </xf>
    <xf numFmtId="3" fontId="11" fillId="0" borderId="0" xfId="40" applyNumberFormat="1" applyFont="1" applyAlignment="1">
      <alignment/>
    </xf>
    <xf numFmtId="3" fontId="14" fillId="0" borderId="0" xfId="40" applyNumberFormat="1" applyFont="1" applyAlignment="1">
      <alignment/>
    </xf>
    <xf numFmtId="3" fontId="13" fillId="0" borderId="0" xfId="40" applyNumberFormat="1" applyFont="1" applyAlignment="1">
      <alignment/>
    </xf>
    <xf numFmtId="3" fontId="11" fillId="0" borderId="0" xfId="40" applyNumberFormat="1" applyFont="1" applyAlignment="1">
      <alignment horizontal="right"/>
    </xf>
    <xf numFmtId="3" fontId="10" fillId="0" borderId="0" xfId="40" applyNumberFormat="1" applyFont="1" applyAlignment="1">
      <alignment horizontal="right"/>
    </xf>
    <xf numFmtId="170" fontId="12" fillId="0" borderId="0" xfId="40" applyNumberFormat="1" applyFont="1" applyBorder="1" applyAlignment="1">
      <alignment horizontal="right"/>
    </xf>
    <xf numFmtId="3" fontId="12" fillId="0" borderId="52" xfId="59" applyNumberFormat="1" applyFont="1" applyBorder="1" applyAlignment="1">
      <alignment horizontal="right"/>
      <protection/>
    </xf>
    <xf numFmtId="3" fontId="6" fillId="0" borderId="0" xfId="59" applyNumberFormat="1" applyFont="1" applyBorder="1" applyAlignment="1">
      <alignment horizontal="center"/>
      <protection/>
    </xf>
    <xf numFmtId="3" fontId="12" fillId="0" borderId="52" xfId="40" applyNumberFormat="1" applyFont="1" applyBorder="1" applyAlignment="1">
      <alignment horizontal="right"/>
    </xf>
    <xf numFmtId="3" fontId="12" fillId="0" borderId="0" xfId="59" applyNumberFormat="1" applyFont="1">
      <alignment/>
      <protection/>
    </xf>
    <xf numFmtId="3" fontId="12" fillId="0" borderId="0" xfId="59" applyNumberFormat="1" applyFont="1" applyBorder="1" applyAlignment="1">
      <alignment horizontal="right"/>
      <protection/>
    </xf>
    <xf numFmtId="3" fontId="6" fillId="0" borderId="0" xfId="59" applyNumberFormat="1" applyFont="1" applyBorder="1" applyAlignment="1">
      <alignment horizontal="right"/>
      <protection/>
    </xf>
    <xf numFmtId="3" fontId="12" fillId="0" borderId="0" xfId="40" applyNumberFormat="1" applyFont="1" applyAlignment="1">
      <alignment horizontal="right" wrapText="1"/>
    </xf>
    <xf numFmtId="3" fontId="0" fillId="0" borderId="0" xfId="0" applyNumberFormat="1" applyAlignment="1">
      <alignment/>
    </xf>
    <xf numFmtId="170" fontId="12" fillId="0" borderId="0" xfId="40" applyNumberFormat="1" applyFont="1" applyBorder="1" applyAlignment="1">
      <alignment/>
    </xf>
    <xf numFmtId="170" fontId="12" fillId="0" borderId="19" xfId="40" applyNumberFormat="1" applyFont="1" applyBorder="1" applyAlignment="1">
      <alignment/>
    </xf>
    <xf numFmtId="170" fontId="12" fillId="0" borderId="0" xfId="40" applyNumberFormat="1" applyFont="1" applyAlignment="1">
      <alignment/>
    </xf>
    <xf numFmtId="170" fontId="12" fillId="0" borderId="0" xfId="40" applyNumberFormat="1" applyFont="1" applyAlignment="1">
      <alignment horizontal="right"/>
    </xf>
    <xf numFmtId="170" fontId="12" fillId="0" borderId="0" xfId="40" applyNumberFormat="1" applyFont="1" applyAlignment="1">
      <alignment/>
    </xf>
    <xf numFmtId="170" fontId="6" fillId="0" borderId="25" xfId="40" applyNumberFormat="1" applyFont="1" applyBorder="1" applyAlignment="1">
      <alignment/>
    </xf>
    <xf numFmtId="170" fontId="6" fillId="0" borderId="19" xfId="40" applyNumberFormat="1" applyFont="1" applyBorder="1" applyAlignment="1">
      <alignment/>
    </xf>
    <xf numFmtId="170" fontId="6" fillId="0" borderId="25" xfId="57" applyNumberFormat="1" applyFont="1" applyBorder="1" applyAlignment="1">
      <alignment/>
      <protection/>
    </xf>
    <xf numFmtId="0" fontId="4" fillId="0" borderId="0" xfId="58" applyFont="1" applyAlignment="1">
      <alignment horizontal="left"/>
      <protection/>
    </xf>
    <xf numFmtId="3" fontId="34" fillId="0" borderId="52" xfId="40" applyNumberFormat="1" applyFont="1" applyBorder="1" applyAlignment="1">
      <alignment horizontal="right"/>
    </xf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49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168" fontId="23" fillId="0" borderId="0" xfId="40" applyNumberFormat="1" applyFont="1" applyAlignment="1">
      <alignment horizontal="right"/>
    </xf>
    <xf numFmtId="0" fontId="12" fillId="0" borderId="12" xfId="56" applyFont="1" applyBorder="1">
      <alignment/>
      <protection/>
    </xf>
    <xf numFmtId="3" fontId="12" fillId="0" borderId="0" xfId="40" applyNumberFormat="1" applyFont="1" applyAlignment="1">
      <alignment horizontal="center"/>
    </xf>
    <xf numFmtId="0" fontId="12" fillId="0" borderId="43" xfId="0" applyFont="1" applyBorder="1" applyAlignment="1" quotePrefix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56" applyFont="1" applyAlignment="1">
      <alignment horizontal="center"/>
      <protection/>
    </xf>
    <xf numFmtId="0" fontId="6" fillId="0" borderId="0" xfId="0" applyFont="1" applyAlignment="1">
      <alignment horizontal="left" wrapText="1"/>
    </xf>
    <xf numFmtId="0" fontId="12" fillId="0" borderId="10" xfId="56" applyFont="1" applyBorder="1" applyAlignment="1">
      <alignment horizontal="center"/>
      <protection/>
    </xf>
    <xf numFmtId="0" fontId="12" fillId="0" borderId="49" xfId="56" applyFont="1" applyBorder="1" applyAlignment="1">
      <alignment horizontal="center"/>
      <protection/>
    </xf>
    <xf numFmtId="0" fontId="12" fillId="0" borderId="27" xfId="56" applyFont="1" applyBorder="1" applyAlignment="1">
      <alignment horizontal="center"/>
      <protection/>
    </xf>
    <xf numFmtId="0" fontId="12" fillId="0" borderId="12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12" fillId="0" borderId="50" xfId="56" applyFont="1" applyBorder="1" applyAlignment="1">
      <alignment horizontal="center"/>
      <protection/>
    </xf>
    <xf numFmtId="0" fontId="12" fillId="0" borderId="14" xfId="56" applyFont="1" applyBorder="1" applyAlignment="1">
      <alignment horizontal="center"/>
      <protection/>
    </xf>
    <xf numFmtId="0" fontId="12" fillId="0" borderId="16" xfId="56" applyFont="1" applyBorder="1" applyAlignment="1">
      <alignment horizontal="center"/>
      <protection/>
    </xf>
    <xf numFmtId="0" fontId="12" fillId="0" borderId="51" xfId="56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5" fillId="0" borderId="0" xfId="0" applyFont="1" applyAlignment="1">
      <alignment horizontal="left" wrapText="1"/>
    </xf>
    <xf numFmtId="0" fontId="12" fillId="0" borderId="10" xfId="56" applyFont="1" applyBorder="1" applyAlignment="1">
      <alignment horizontal="center" vertical="center"/>
      <protection/>
    </xf>
    <xf numFmtId="0" fontId="12" fillId="0" borderId="49" xfId="56" applyFont="1" applyBorder="1" applyAlignment="1">
      <alignment horizontal="center" vertical="center"/>
      <protection/>
    </xf>
    <xf numFmtId="0" fontId="12" fillId="0" borderId="27" xfId="56" applyFont="1" applyBorder="1" applyAlignment="1">
      <alignment horizontal="center" vertical="center"/>
      <protection/>
    </xf>
    <xf numFmtId="0" fontId="12" fillId="0" borderId="12" xfId="56" applyFont="1" applyBorder="1" applyAlignment="1">
      <alignment horizontal="center" vertical="center"/>
      <protection/>
    </xf>
    <xf numFmtId="0" fontId="12" fillId="0" borderId="0" xfId="56" applyFont="1" applyBorder="1" applyAlignment="1">
      <alignment horizontal="center" vertical="center"/>
      <protection/>
    </xf>
    <xf numFmtId="0" fontId="12" fillId="0" borderId="50" xfId="56" applyFont="1" applyBorder="1" applyAlignment="1">
      <alignment horizontal="center" vertical="center"/>
      <protection/>
    </xf>
    <xf numFmtId="0" fontId="12" fillId="0" borderId="14" xfId="56" applyFont="1" applyBorder="1" applyAlignment="1">
      <alignment horizontal="center" vertical="center"/>
      <protection/>
    </xf>
    <xf numFmtId="0" fontId="12" fillId="0" borderId="16" xfId="56" applyFont="1" applyBorder="1" applyAlignment="1">
      <alignment horizontal="center" vertical="center"/>
      <protection/>
    </xf>
    <xf numFmtId="0" fontId="12" fillId="0" borderId="51" xfId="56" applyFont="1" applyBorder="1" applyAlignment="1">
      <alignment horizontal="center" vertical="center"/>
      <protection/>
    </xf>
    <xf numFmtId="0" fontId="12" fillId="0" borderId="0" xfId="0" applyFont="1" applyAlignment="1">
      <alignment horizontal="left" wrapText="1"/>
    </xf>
    <xf numFmtId="0" fontId="12" fillId="0" borderId="0" xfId="56" applyFont="1" applyAlignment="1">
      <alignment horizontal="left" wrapText="1"/>
      <protection/>
    </xf>
    <xf numFmtId="0" fontId="18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20" fillId="0" borderId="11" xfId="56" applyFont="1" applyBorder="1" applyAlignment="1">
      <alignment horizontal="center" vertical="center" wrapText="1"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15" xfId="56" applyFont="1" applyBorder="1" applyAlignment="1">
      <alignment horizontal="center" vertical="center" wrapText="1"/>
      <protection/>
    </xf>
    <xf numFmtId="168" fontId="20" fillId="0" borderId="53" xfId="40" applyNumberFormat="1" applyFont="1" applyBorder="1" applyAlignment="1">
      <alignment horizontal="center"/>
    </xf>
    <xf numFmtId="168" fontId="20" fillId="0" borderId="54" xfId="40" applyNumberFormat="1" applyFont="1" applyBorder="1" applyAlignment="1">
      <alignment horizontal="center"/>
    </xf>
    <xf numFmtId="168" fontId="20" fillId="0" borderId="10" xfId="40" applyNumberFormat="1" applyFont="1" applyBorder="1" applyAlignment="1">
      <alignment horizontal="center"/>
    </xf>
    <xf numFmtId="168" fontId="20" fillId="0" borderId="49" xfId="40" applyNumberFormat="1" applyFont="1" applyBorder="1" applyAlignment="1">
      <alignment horizontal="center"/>
    </xf>
    <xf numFmtId="168" fontId="20" fillId="0" borderId="27" xfId="40" applyNumberFormat="1" applyFont="1" applyBorder="1" applyAlignment="1">
      <alignment horizontal="center"/>
    </xf>
    <xf numFmtId="168" fontId="20" fillId="0" borderId="12" xfId="40" applyNumberFormat="1" applyFont="1" applyBorder="1" applyAlignment="1">
      <alignment horizontal="center"/>
    </xf>
    <xf numFmtId="168" fontId="20" fillId="0" borderId="0" xfId="40" applyNumberFormat="1" applyFont="1" applyBorder="1" applyAlignment="1">
      <alignment horizontal="center"/>
    </xf>
    <xf numFmtId="168" fontId="20" fillId="0" borderId="50" xfId="40" applyNumberFormat="1" applyFont="1" applyBorder="1" applyAlignment="1">
      <alignment horizontal="center"/>
    </xf>
    <xf numFmtId="168" fontId="20" fillId="0" borderId="14" xfId="40" applyNumberFormat="1" applyFont="1" applyBorder="1" applyAlignment="1">
      <alignment horizontal="center"/>
    </xf>
    <xf numFmtId="168" fontId="20" fillId="0" borderId="16" xfId="40" applyNumberFormat="1" applyFont="1" applyBorder="1" applyAlignment="1">
      <alignment horizontal="center"/>
    </xf>
    <xf numFmtId="168" fontId="20" fillId="0" borderId="51" xfId="40" applyNumberFormat="1" applyFont="1" applyBorder="1" applyAlignment="1">
      <alignment horizontal="center"/>
    </xf>
    <xf numFmtId="0" fontId="7" fillId="0" borderId="0" xfId="56" applyFont="1" applyAlignment="1">
      <alignment horizontal="center"/>
      <protection/>
    </xf>
    <xf numFmtId="0" fontId="10" fillId="0" borderId="0" xfId="56" applyFont="1" applyAlignment="1">
      <alignment horizontal="center" wrapText="1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11" fillId="0" borderId="15" xfId="56" applyFont="1" applyBorder="1" applyAlignment="1">
      <alignment horizontal="center" vertical="center" wrapText="1"/>
      <protection/>
    </xf>
    <xf numFmtId="0" fontId="11" fillId="0" borderId="11" xfId="56" applyFont="1" applyBorder="1" applyAlignment="1">
      <alignment horizontal="center" vertical="center"/>
      <protection/>
    </xf>
    <xf numFmtId="0" fontId="11" fillId="0" borderId="13" xfId="56" applyFont="1" applyBorder="1" applyAlignment="1">
      <alignment horizontal="center" vertical="center"/>
      <protection/>
    </xf>
    <xf numFmtId="0" fontId="11" fillId="0" borderId="15" xfId="56" applyFont="1" applyBorder="1" applyAlignment="1">
      <alignment horizontal="center" vertical="center"/>
      <protection/>
    </xf>
    <xf numFmtId="44" fontId="11" fillId="0" borderId="31" xfId="61" applyFont="1" applyBorder="1" applyAlignment="1">
      <alignment horizontal="center"/>
    </xf>
    <xf numFmtId="44" fontId="11" fillId="0" borderId="53" xfId="61" applyFont="1" applyBorder="1" applyAlignment="1">
      <alignment horizontal="center"/>
    </xf>
    <xf numFmtId="44" fontId="11" fillId="0" borderId="54" xfId="61" applyFont="1" applyBorder="1" applyAlignment="1">
      <alignment horizontal="center"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7" fillId="0" borderId="31" xfId="56" applyFont="1" applyBorder="1" applyAlignment="1">
      <alignment horizontal="center"/>
      <protection/>
    </xf>
    <xf numFmtId="0" fontId="7" fillId="0" borderId="54" xfId="56" applyFont="1" applyBorder="1" applyAlignment="1">
      <alignment horizontal="center"/>
      <protection/>
    </xf>
    <xf numFmtId="0" fontId="11" fillId="0" borderId="31" xfId="56" applyFont="1" applyBorder="1" applyAlignment="1">
      <alignment horizontal="center" wrapText="1"/>
      <protection/>
    </xf>
    <xf numFmtId="0" fontId="11" fillId="0" borderId="53" xfId="56" applyFont="1" applyBorder="1" applyAlignment="1">
      <alignment horizontal="center" wrapText="1"/>
      <protection/>
    </xf>
    <xf numFmtId="0" fontId="11" fillId="0" borderId="54" xfId="56" applyFont="1" applyBorder="1" applyAlignment="1">
      <alignment horizontal="center" wrapText="1"/>
      <protection/>
    </xf>
    <xf numFmtId="0" fontId="11" fillId="0" borderId="31" xfId="56" applyFont="1" applyBorder="1" applyAlignment="1">
      <alignment horizontal="center"/>
      <protection/>
    </xf>
    <xf numFmtId="0" fontId="11" fillId="0" borderId="53" xfId="56" applyFont="1" applyBorder="1" applyAlignment="1">
      <alignment horizontal="center"/>
      <protection/>
    </xf>
    <xf numFmtId="0" fontId="11" fillId="0" borderId="54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50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51" xfId="56" applyFont="1" applyBorder="1" applyAlignment="1">
      <alignment horizontal="center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4" fillId="0" borderId="0" xfId="59" applyFont="1" applyAlignment="1">
      <alignment horizontal="left"/>
      <protection/>
    </xf>
    <xf numFmtId="0" fontId="10" fillId="0" borderId="0" xfId="59" applyFont="1" applyAlignment="1">
      <alignment horizont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3" xfId="56" applyFont="1" applyBorder="1" applyAlignment="1">
      <alignment horizontal="center" vertical="center" wrapText="1"/>
      <protection/>
    </xf>
    <xf numFmtId="0" fontId="24" fillId="0" borderId="15" xfId="56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0" fontId="11" fillId="0" borderId="16" xfId="59" applyFont="1" applyBorder="1" applyAlignment="1">
      <alignment horizontal="right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58" applyFont="1" applyAlignment="1">
      <alignment horizontal="left"/>
      <protection/>
    </xf>
    <xf numFmtId="0" fontId="6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2" fillId="0" borderId="11" xfId="57" applyFont="1" applyBorder="1" applyAlignment="1">
      <alignment horizontal="center" vertical="center"/>
      <protection/>
    </xf>
    <xf numFmtId="0" fontId="12" fillId="0" borderId="13" xfId="57" applyFont="1" applyBorder="1" applyAlignment="1">
      <alignment horizontal="center" vertical="center"/>
      <protection/>
    </xf>
    <xf numFmtId="0" fontId="12" fillId="0" borderId="15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TGV99" xfId="56"/>
    <cellStyle name="Normál_mérleg" xfId="57"/>
    <cellStyle name="Normál_PHKV99" xfId="58"/>
    <cellStyle name="Normál_SIKONC99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C1">
      <selection activeCell="P45" sqref="P45:S45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51"/>
      <c r="J39" s="2"/>
      <c r="N39" s="370" t="s">
        <v>3</v>
      </c>
      <c r="O39" s="370"/>
      <c r="P39" s="370"/>
      <c r="Q39" s="370"/>
      <c r="R39" s="370"/>
      <c r="S39" s="370"/>
      <c r="T39" s="370"/>
      <c r="U39" s="370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45"/>
      <c r="J41" s="2"/>
      <c r="N41" s="370" t="s">
        <v>350</v>
      </c>
      <c r="O41" s="370"/>
      <c r="P41" s="370"/>
      <c r="Q41" s="370"/>
      <c r="R41" s="370"/>
      <c r="S41" s="370"/>
      <c r="T41" s="370"/>
      <c r="U41" s="370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45"/>
      <c r="J43" s="2"/>
      <c r="N43" s="370" t="s">
        <v>397</v>
      </c>
      <c r="O43" s="370"/>
      <c r="P43" s="370"/>
      <c r="Q43" s="370"/>
      <c r="R43" s="370"/>
      <c r="S43" s="370"/>
      <c r="T43" s="370"/>
      <c r="U43" s="370"/>
    </row>
    <row r="44" spans="2:20" ht="27.75">
      <c r="B44" s="2"/>
      <c r="C44" s="3"/>
      <c r="D44" s="3"/>
      <c r="E44" s="3"/>
      <c r="F44" s="3"/>
      <c r="G44" s="3"/>
      <c r="H44" s="3"/>
      <c r="I44" s="3"/>
      <c r="J44" s="2"/>
      <c r="O44" s="373" t="s">
        <v>431</v>
      </c>
      <c r="P44" s="374"/>
      <c r="Q44" s="374"/>
      <c r="R44" s="374"/>
      <c r="S44" s="374"/>
      <c r="T44" s="374"/>
    </row>
    <row r="45" spans="2:19" ht="27.75">
      <c r="B45" s="2"/>
      <c r="C45" s="3"/>
      <c r="D45" s="3"/>
      <c r="E45" s="3"/>
      <c r="F45" s="3"/>
      <c r="G45" s="3"/>
      <c r="H45" s="3"/>
      <c r="I45" s="3"/>
      <c r="J45" s="2"/>
      <c r="P45" s="371"/>
      <c r="Q45" s="372"/>
      <c r="R45" s="372"/>
      <c r="S45" s="372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52"/>
      <c r="M46" s="248"/>
      <c r="N46" s="13"/>
      <c r="O46" s="154"/>
    </row>
    <row r="47" spans="1:10" ht="27.75">
      <c r="A47" s="52"/>
      <c r="B47" s="53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5">
    <mergeCell ref="N39:U39"/>
    <mergeCell ref="N41:U41"/>
    <mergeCell ref="N43:U43"/>
    <mergeCell ref="P45:S45"/>
    <mergeCell ref="O44:T4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23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183" t="s">
        <v>449</v>
      </c>
      <c r="B1" s="183"/>
      <c r="C1" s="70"/>
    </row>
    <row r="2" s="116" customFormat="1" ht="15.75">
      <c r="C2" s="122"/>
    </row>
    <row r="3" spans="1:3" s="104" customFormat="1" ht="15">
      <c r="A3" s="183" t="s">
        <v>392</v>
      </c>
      <c r="B3" s="63"/>
      <c r="C3" s="63"/>
    </row>
    <row r="4" spans="1:3" s="104" customFormat="1" ht="15">
      <c r="A4" s="183"/>
      <c r="B4" s="63"/>
      <c r="C4" s="63"/>
    </row>
    <row r="5" spans="1:3" s="104" customFormat="1" ht="15">
      <c r="A5" s="479"/>
      <c r="B5" s="487"/>
      <c r="C5" s="487"/>
    </row>
    <row r="6" spans="1:3" ht="15.75">
      <c r="A6" s="484" t="s">
        <v>3</v>
      </c>
      <c r="B6" s="484"/>
      <c r="C6" s="484"/>
    </row>
    <row r="7" spans="1:3" ht="15.75">
      <c r="A7" s="390" t="s">
        <v>275</v>
      </c>
      <c r="B7" s="390"/>
      <c r="C7" s="390"/>
    </row>
    <row r="8" spans="1:3" ht="15.75">
      <c r="A8" s="390" t="s">
        <v>219</v>
      </c>
      <c r="B8" s="390"/>
      <c r="C8" s="390"/>
    </row>
    <row r="9" spans="1:3" ht="15.75">
      <c r="A9" s="390" t="s">
        <v>352</v>
      </c>
      <c r="B9" s="390"/>
      <c r="C9" s="390"/>
    </row>
    <row r="10" ht="16.5" thickBot="1"/>
    <row r="11" spans="1:3" ht="15.75">
      <c r="A11" s="125" t="s">
        <v>32</v>
      </c>
      <c r="B11" s="118"/>
      <c r="C11" s="126" t="s">
        <v>10</v>
      </c>
    </row>
    <row r="12" spans="1:3" ht="15.75">
      <c r="A12" s="119"/>
      <c r="B12" s="120" t="s">
        <v>0</v>
      </c>
      <c r="C12" s="127"/>
    </row>
    <row r="13" spans="1:4" ht="34.5" customHeight="1" thickBot="1">
      <c r="A13" s="121" t="s">
        <v>33</v>
      </c>
      <c r="B13" s="128"/>
      <c r="C13" s="129" t="s">
        <v>6</v>
      </c>
      <c r="D13" s="367"/>
    </row>
    <row r="14" spans="2:4" ht="34.5" customHeight="1">
      <c r="B14" s="263"/>
      <c r="C14" s="264"/>
      <c r="D14" s="152"/>
    </row>
    <row r="15" spans="1:3" ht="20.25" customHeight="1">
      <c r="A15" s="492" t="s">
        <v>220</v>
      </c>
      <c r="B15" s="492"/>
      <c r="C15" s="492"/>
    </row>
    <row r="16" spans="1:3" ht="20.25" customHeight="1">
      <c r="A16" s="130" t="s">
        <v>34</v>
      </c>
      <c r="B16" s="131" t="s">
        <v>221</v>
      </c>
      <c r="C16" s="132"/>
    </row>
    <row r="17" spans="1:3" ht="20.25" customHeight="1">
      <c r="A17" s="130"/>
      <c r="B17" s="19" t="s">
        <v>222</v>
      </c>
      <c r="C17" s="346">
        <v>29416624</v>
      </c>
    </row>
    <row r="18" spans="1:5" ht="20.25" customHeight="1">
      <c r="A18" s="130"/>
      <c r="B18" s="76" t="s">
        <v>223</v>
      </c>
      <c r="C18" s="346">
        <v>2035985</v>
      </c>
      <c r="D18" s="73"/>
      <c r="E18" s="73"/>
    </row>
    <row r="19" spans="1:3" ht="20.25" customHeight="1">
      <c r="A19" s="130" t="s">
        <v>15</v>
      </c>
      <c r="B19" s="131" t="s">
        <v>224</v>
      </c>
      <c r="C19" s="346">
        <f>7808000+5000</f>
        <v>7813000</v>
      </c>
    </row>
    <row r="20" spans="1:3" ht="20.25" customHeight="1">
      <c r="A20" s="130" t="s">
        <v>35</v>
      </c>
      <c r="B20" s="131" t="s">
        <v>225</v>
      </c>
      <c r="C20" s="346">
        <v>10908000</v>
      </c>
    </row>
    <row r="21" spans="1:3" ht="20.25" customHeight="1">
      <c r="A21" s="130" t="s">
        <v>83</v>
      </c>
      <c r="B21" s="133" t="s">
        <v>226</v>
      </c>
      <c r="C21" s="346"/>
    </row>
    <row r="22" spans="1:5" ht="36" customHeight="1">
      <c r="A22" s="130"/>
      <c r="B22" s="76" t="s">
        <v>227</v>
      </c>
      <c r="C22" s="346"/>
      <c r="D22" s="76"/>
      <c r="E22" s="76"/>
    </row>
    <row r="23" spans="1:3" ht="20.25" customHeight="1">
      <c r="A23" s="130"/>
      <c r="B23" s="19" t="s">
        <v>228</v>
      </c>
      <c r="C23" s="346"/>
    </row>
    <row r="24" spans="1:3" ht="36" customHeight="1">
      <c r="A24" s="134"/>
      <c r="B24" s="135" t="s">
        <v>229</v>
      </c>
      <c r="C24" s="347">
        <f>SUM(C17:C23)</f>
        <v>50173609</v>
      </c>
    </row>
    <row r="25" spans="1:3" ht="21" customHeight="1">
      <c r="A25" s="124" t="s">
        <v>85</v>
      </c>
      <c r="B25" s="131" t="s">
        <v>230</v>
      </c>
      <c r="C25" s="348">
        <v>19942600</v>
      </c>
    </row>
    <row r="26" spans="1:3" ht="21" customHeight="1">
      <c r="A26" s="124" t="s">
        <v>91</v>
      </c>
      <c r="B26" s="131" t="s">
        <v>231</v>
      </c>
      <c r="C26" s="348">
        <v>4882695</v>
      </c>
    </row>
    <row r="27" spans="1:3" ht="21" customHeight="1">
      <c r="A27" s="124" t="s">
        <v>232</v>
      </c>
      <c r="B27" s="136" t="s">
        <v>233</v>
      </c>
      <c r="C27" s="348">
        <v>21553968</v>
      </c>
    </row>
    <row r="28" spans="1:3" ht="21" customHeight="1">
      <c r="A28" s="124" t="s">
        <v>234</v>
      </c>
      <c r="B28" s="136" t="s">
        <v>235</v>
      </c>
      <c r="C28" s="348">
        <v>3411000</v>
      </c>
    </row>
    <row r="29" spans="1:3" ht="21" customHeight="1">
      <c r="A29" s="124" t="s">
        <v>236</v>
      </c>
      <c r="B29" s="136" t="s">
        <v>237</v>
      </c>
      <c r="C29" s="348"/>
    </row>
    <row r="30" spans="1:3" ht="32.25" customHeight="1">
      <c r="A30" s="124"/>
      <c r="B30" s="76" t="s">
        <v>409</v>
      </c>
      <c r="C30" s="349">
        <v>918299</v>
      </c>
    </row>
    <row r="31" spans="1:3" ht="15.75">
      <c r="A31" s="124"/>
      <c r="B31" s="137" t="s">
        <v>238</v>
      </c>
      <c r="C31" s="349">
        <v>1293030</v>
      </c>
    </row>
    <row r="32" spans="1:5" ht="15.75">
      <c r="A32" s="124"/>
      <c r="B32" s="137" t="s">
        <v>239</v>
      </c>
      <c r="C32" s="350">
        <v>33844448</v>
      </c>
      <c r="E32" s="78"/>
    </row>
    <row r="33" spans="1:6" ht="33.75" customHeight="1">
      <c r="A33" s="134"/>
      <c r="B33" s="135" t="s">
        <v>240</v>
      </c>
      <c r="C33" s="347">
        <f>SUM(C25:C32)</f>
        <v>85846040</v>
      </c>
      <c r="E33" s="78"/>
      <c r="F33" s="78"/>
    </row>
    <row r="34" spans="1:6" ht="33.75" customHeight="1">
      <c r="A34" s="130"/>
      <c r="B34" s="131"/>
      <c r="C34" s="132"/>
      <c r="E34" s="78"/>
      <c r="F34" s="78"/>
    </row>
    <row r="35" spans="1:6" ht="33.75" customHeight="1">
      <c r="A35" s="130"/>
      <c r="B35" s="131"/>
      <c r="C35" s="132"/>
      <c r="E35" s="78"/>
      <c r="F35" s="78"/>
    </row>
    <row r="36" spans="1:3" ht="15.75">
      <c r="A36" s="385">
        <v>2</v>
      </c>
      <c r="B36" s="385"/>
      <c r="C36" s="385"/>
    </row>
    <row r="37" spans="1:3" ht="16.5" thickBot="1">
      <c r="A37" s="249"/>
      <c r="B37" s="249"/>
      <c r="C37" s="249"/>
    </row>
    <row r="38" spans="1:3" ht="15.75">
      <c r="A38" s="125" t="s">
        <v>32</v>
      </c>
      <c r="B38" s="118"/>
      <c r="C38" s="126" t="s">
        <v>10</v>
      </c>
    </row>
    <row r="39" spans="1:3" ht="15.75">
      <c r="A39" s="119"/>
      <c r="B39" s="120" t="s">
        <v>0</v>
      </c>
      <c r="C39" s="127"/>
    </row>
    <row r="40" spans="1:3" ht="31.5" customHeight="1" thickBot="1">
      <c r="A40" s="121" t="s">
        <v>33</v>
      </c>
      <c r="B40" s="128"/>
      <c r="C40" s="129" t="s">
        <v>6</v>
      </c>
    </row>
    <row r="41" spans="1:3" ht="31.5" customHeight="1">
      <c r="A41" s="142"/>
      <c r="B41" s="262"/>
      <c r="C41" s="152"/>
    </row>
    <row r="42" spans="1:3" ht="21" customHeight="1">
      <c r="A42" s="494" t="s">
        <v>241</v>
      </c>
      <c r="B42" s="494"/>
      <c r="C42" s="494"/>
    </row>
    <row r="43" spans="1:3" ht="21" customHeight="1">
      <c r="A43" s="124" t="s">
        <v>242</v>
      </c>
      <c r="B43" s="55" t="s">
        <v>243</v>
      </c>
      <c r="C43" s="123">
        <v>10000000</v>
      </c>
    </row>
    <row r="44" spans="1:2" ht="21" customHeight="1">
      <c r="A44" s="124" t="s">
        <v>244</v>
      </c>
      <c r="B44" s="55" t="s">
        <v>245</v>
      </c>
    </row>
    <row r="45" spans="1:2" ht="21" customHeight="1">
      <c r="A45" s="124" t="s">
        <v>246</v>
      </c>
      <c r="B45" s="133" t="s">
        <v>247</v>
      </c>
    </row>
    <row r="46" spans="1:3" ht="31.5" customHeight="1">
      <c r="A46" s="124"/>
      <c r="B46" s="99" t="s">
        <v>248</v>
      </c>
      <c r="C46" s="350">
        <v>62000</v>
      </c>
    </row>
    <row r="47" spans="1:3" ht="21" customHeight="1">
      <c r="A47" s="124"/>
      <c r="B47" s="43" t="s">
        <v>249</v>
      </c>
      <c r="C47" s="350"/>
    </row>
    <row r="48" spans="1:5" ht="39.75" customHeight="1">
      <c r="A48" s="134"/>
      <c r="B48" s="135" t="s">
        <v>250</v>
      </c>
      <c r="C48" s="347">
        <f>SUM(C43:C47)</f>
        <v>10062000</v>
      </c>
      <c r="E48" s="78"/>
    </row>
    <row r="49" spans="1:3" ht="21" customHeight="1">
      <c r="A49" s="124" t="s">
        <v>251</v>
      </c>
      <c r="B49" s="55" t="s">
        <v>252</v>
      </c>
      <c r="C49" s="350">
        <v>8644810</v>
      </c>
    </row>
    <row r="50" spans="1:3" ht="21" customHeight="1">
      <c r="A50" s="124" t="s">
        <v>253</v>
      </c>
      <c r="B50" s="55" t="s">
        <v>254</v>
      </c>
      <c r="C50" s="350">
        <v>33630000</v>
      </c>
    </row>
    <row r="51" spans="1:3" ht="21" customHeight="1">
      <c r="A51" s="124" t="s">
        <v>255</v>
      </c>
      <c r="B51" s="133" t="s">
        <v>256</v>
      </c>
      <c r="C51" s="350"/>
    </row>
    <row r="52" spans="1:3" ht="21" customHeight="1">
      <c r="A52" s="124"/>
      <c r="B52" s="137" t="s">
        <v>257</v>
      </c>
      <c r="C52" s="350">
        <f>600000+600000</f>
        <v>1200000</v>
      </c>
    </row>
    <row r="53" spans="1:3" ht="21" customHeight="1">
      <c r="A53" s="124"/>
      <c r="B53" s="137" t="s">
        <v>239</v>
      </c>
      <c r="C53" s="350"/>
    </row>
    <row r="54" spans="1:6" s="9" customFormat="1" ht="42" customHeight="1" thickBot="1">
      <c r="A54" s="134"/>
      <c r="B54" s="135" t="s">
        <v>258</v>
      </c>
      <c r="C54" s="347">
        <f>SUM(C49:C53)</f>
        <v>43474810</v>
      </c>
      <c r="F54" s="138"/>
    </row>
    <row r="55" spans="1:3" s="9" customFormat="1" ht="35.25" customHeight="1" thickBot="1">
      <c r="A55" s="139"/>
      <c r="B55" s="140" t="s">
        <v>259</v>
      </c>
      <c r="C55" s="351">
        <f>C24+C48</f>
        <v>60235609</v>
      </c>
    </row>
    <row r="56" spans="1:6" s="9" customFormat="1" ht="35.25" customHeight="1" thickBot="1">
      <c r="A56" s="139"/>
      <c r="B56" s="140" t="s">
        <v>260</v>
      </c>
      <c r="C56" s="351">
        <f>C33+C54</f>
        <v>129320850</v>
      </c>
      <c r="F56" s="138"/>
    </row>
    <row r="57" spans="1:3" s="9" customFormat="1" ht="15.75">
      <c r="A57" s="141"/>
      <c r="B57" s="142"/>
      <c r="C57" s="143"/>
    </row>
    <row r="62" spans="1:3" s="144" customFormat="1" ht="15.75">
      <c r="A62" s="142"/>
      <c r="B62" s="151"/>
      <c r="C62" s="152"/>
    </row>
    <row r="63" spans="1:3" s="144" customFormat="1" ht="15.75">
      <c r="A63" s="142"/>
      <c r="B63" s="151"/>
      <c r="C63" s="152"/>
    </row>
    <row r="64" spans="1:3" s="144" customFormat="1" ht="15.75">
      <c r="A64" s="142"/>
      <c r="B64" s="151"/>
      <c r="C64" s="152"/>
    </row>
    <row r="65" spans="1:3" s="144" customFormat="1" ht="15.75">
      <c r="A65" s="142"/>
      <c r="B65" s="151"/>
      <c r="C65" s="152"/>
    </row>
    <row r="66" spans="1:3" s="144" customFormat="1" ht="15.75">
      <c r="A66" s="493">
        <v>3</v>
      </c>
      <c r="B66" s="493"/>
      <c r="C66" s="493"/>
    </row>
    <row r="67" spans="1:3" s="144" customFormat="1" ht="16.5" thickBot="1">
      <c r="A67" s="265"/>
      <c r="B67" s="265"/>
      <c r="C67" s="265"/>
    </row>
    <row r="68" spans="1:3" s="144" customFormat="1" ht="19.5" customHeight="1">
      <c r="A68" s="125" t="s">
        <v>32</v>
      </c>
      <c r="B68" s="488" t="s">
        <v>0</v>
      </c>
      <c r="C68" s="126" t="s">
        <v>10</v>
      </c>
    </row>
    <row r="69" spans="1:3" s="144" customFormat="1" ht="15.75">
      <c r="A69" s="119"/>
      <c r="B69" s="489"/>
      <c r="C69" s="127"/>
    </row>
    <row r="70" spans="1:3" s="144" customFormat="1" ht="16.5" thickBot="1">
      <c r="A70" s="121" t="s">
        <v>33</v>
      </c>
      <c r="B70" s="490"/>
      <c r="C70" s="129" t="s">
        <v>6</v>
      </c>
    </row>
    <row r="71" spans="1:3" s="144" customFormat="1" ht="15.75">
      <c r="A71" s="142"/>
      <c r="B71" s="151"/>
      <c r="C71" s="152"/>
    </row>
    <row r="72" spans="1:3" ht="20.25" customHeight="1">
      <c r="A72" s="491" t="s">
        <v>261</v>
      </c>
      <c r="B72" s="491"/>
      <c r="C72" s="491"/>
    </row>
    <row r="73" spans="1:3" ht="20.25" customHeight="1">
      <c r="A73" s="145"/>
      <c r="B73" s="145"/>
      <c r="C73" s="145"/>
    </row>
    <row r="74" spans="1:3" ht="20.25" customHeight="1">
      <c r="A74" s="134" t="s">
        <v>262</v>
      </c>
      <c r="B74" s="146" t="s">
        <v>263</v>
      </c>
      <c r="C74" s="347">
        <f>26261000+2000000+42143000</f>
        <v>70404000</v>
      </c>
    </row>
    <row r="75" spans="1:3" ht="20.25" customHeight="1">
      <c r="A75" s="134" t="s">
        <v>265</v>
      </c>
      <c r="B75" s="146" t="s">
        <v>433</v>
      </c>
      <c r="C75" s="347">
        <v>1121209</v>
      </c>
    </row>
    <row r="76" spans="1:3" ht="21" customHeight="1">
      <c r="A76" s="134"/>
      <c r="B76" s="135" t="s">
        <v>264</v>
      </c>
      <c r="C76" s="352">
        <f>SUM(C74:C75)</f>
        <v>71525209</v>
      </c>
    </row>
    <row r="77" spans="1:3" ht="21" customHeight="1">
      <c r="A77" s="130" t="s">
        <v>267</v>
      </c>
      <c r="B77" s="135" t="s">
        <v>371</v>
      </c>
      <c r="C77" s="352">
        <f>1139077+179682</f>
        <v>1318759</v>
      </c>
    </row>
    <row r="78" spans="1:3" ht="15.75">
      <c r="A78" s="130" t="s">
        <v>336</v>
      </c>
      <c r="B78" s="146" t="s">
        <v>266</v>
      </c>
      <c r="C78" s="347"/>
    </row>
    <row r="79" spans="1:3" ht="15.75">
      <c r="A79" s="124" t="s">
        <v>338</v>
      </c>
      <c r="B79" s="146" t="s">
        <v>268</v>
      </c>
      <c r="C79" s="347"/>
    </row>
    <row r="80" spans="1:3" s="147" customFormat="1" ht="30" customHeight="1" thickBot="1">
      <c r="A80" s="134"/>
      <c r="B80" s="135" t="s">
        <v>269</v>
      </c>
      <c r="C80" s="352">
        <v>2439968</v>
      </c>
    </row>
    <row r="81" spans="1:5" s="147" customFormat="1" ht="30" customHeight="1" thickBot="1">
      <c r="A81" s="148"/>
      <c r="B81" s="149" t="s">
        <v>270</v>
      </c>
      <c r="C81" s="353">
        <f>C55+C76</f>
        <v>131760818</v>
      </c>
      <c r="E81" s="150"/>
    </row>
    <row r="82" spans="1:5" ht="35.25" customHeight="1" thickBot="1">
      <c r="A82" s="148"/>
      <c r="B82" s="149" t="s">
        <v>271</v>
      </c>
      <c r="C82" s="353">
        <f>C56+C80</f>
        <v>131760818</v>
      </c>
      <c r="E82" s="150"/>
    </row>
  </sheetData>
  <sheetProtection/>
  <mergeCells count="11">
    <mergeCell ref="A42:C42"/>
    <mergeCell ref="A5:C5"/>
    <mergeCell ref="A6:C6"/>
    <mergeCell ref="B68:B70"/>
    <mergeCell ref="A72:C72"/>
    <mergeCell ref="A7:C7"/>
    <mergeCell ref="A8:C8"/>
    <mergeCell ref="A9:C9"/>
    <mergeCell ref="A15:C15"/>
    <mergeCell ref="A66:C66"/>
    <mergeCell ref="A36:C3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7"/>
  <sheetViews>
    <sheetView zoomScalePageLayoutView="0" workbookViewId="0" topLeftCell="A1">
      <selection activeCell="B6" sqref="B6:O6"/>
    </sheetView>
  </sheetViews>
  <sheetFormatPr defaultColWidth="9.00390625" defaultRowHeight="12.75"/>
  <cols>
    <col min="1" max="1" width="5.125" style="43" customWidth="1"/>
    <col min="2" max="2" width="43.625" style="43" customWidth="1"/>
    <col min="3" max="14" width="15.375" style="20" customWidth="1"/>
    <col min="15" max="15" width="16.625" style="20" customWidth="1"/>
    <col min="16" max="16" width="12.625" style="43" bestFit="1" customWidth="1"/>
    <col min="17" max="16384" width="9.125" style="43" customWidth="1"/>
  </cols>
  <sheetData>
    <row r="2" spans="1:15" s="79" customFormat="1" ht="15.75">
      <c r="A2" s="79" t="s">
        <v>450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4" spans="1:15" ht="15.75">
      <c r="A4" s="467" t="s">
        <v>393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</row>
    <row r="5" spans="2:15" ht="15.75"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</row>
    <row r="6" spans="2:15" ht="15.75">
      <c r="B6" s="377" t="s">
        <v>31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</row>
    <row r="7" spans="2:15" ht="15.75">
      <c r="B7" s="377" t="s">
        <v>301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</row>
    <row r="8" spans="2:15" ht="15.75">
      <c r="B8" s="377" t="s">
        <v>352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</row>
    <row r="9" spans="3:15" ht="16.5" thickBot="1">
      <c r="C9" s="21"/>
      <c r="D9" s="21"/>
      <c r="E9" s="21"/>
      <c r="F9" s="196"/>
      <c r="G9" s="21"/>
      <c r="H9" s="21"/>
      <c r="I9" s="21"/>
      <c r="J9" s="21"/>
      <c r="O9" s="197" t="s">
        <v>378</v>
      </c>
    </row>
    <row r="10" spans="1:15" ht="15.75">
      <c r="A10" s="198" t="s">
        <v>32</v>
      </c>
      <c r="B10" s="199"/>
      <c r="C10" s="200"/>
      <c r="D10" s="201"/>
      <c r="E10" s="202"/>
      <c r="F10" s="203"/>
      <c r="G10" s="203"/>
      <c r="H10" s="203"/>
      <c r="I10" s="203"/>
      <c r="J10" s="203"/>
      <c r="K10" s="204"/>
      <c r="L10" s="204"/>
      <c r="M10" s="204"/>
      <c r="N10" s="205"/>
      <c r="O10" s="206"/>
    </row>
    <row r="11" spans="1:15" ht="15.75">
      <c r="A11" s="207"/>
      <c r="B11" s="208" t="s">
        <v>0</v>
      </c>
      <c r="C11" s="85" t="s">
        <v>302</v>
      </c>
      <c r="D11" s="209" t="s">
        <v>303</v>
      </c>
      <c r="E11" s="210" t="s">
        <v>304</v>
      </c>
      <c r="F11" s="211" t="s">
        <v>305</v>
      </c>
      <c r="G11" s="211" t="s">
        <v>306</v>
      </c>
      <c r="H11" s="211" t="s">
        <v>307</v>
      </c>
      <c r="I11" s="211" t="s">
        <v>308</v>
      </c>
      <c r="J11" s="211" t="s">
        <v>309</v>
      </c>
      <c r="K11" s="211" t="s">
        <v>310</v>
      </c>
      <c r="L11" s="211" t="s">
        <v>311</v>
      </c>
      <c r="M11" s="211" t="s">
        <v>312</v>
      </c>
      <c r="N11" s="210" t="s">
        <v>313</v>
      </c>
      <c r="O11" s="127" t="s">
        <v>293</v>
      </c>
    </row>
    <row r="12" spans="1:15" ht="16.5" thickBot="1">
      <c r="A12" s="212" t="s">
        <v>33</v>
      </c>
      <c r="B12" s="213"/>
      <c r="C12" s="214"/>
      <c r="D12" s="215"/>
      <c r="E12" s="216"/>
      <c r="F12" s="217"/>
      <c r="G12" s="217"/>
      <c r="H12" s="217"/>
      <c r="I12" s="217"/>
      <c r="J12" s="217"/>
      <c r="K12" s="217"/>
      <c r="L12" s="217"/>
      <c r="M12" s="217"/>
      <c r="N12" s="216"/>
      <c r="O12" s="214"/>
    </row>
    <row r="13" spans="1:15" ht="28.5" customHeight="1">
      <c r="A13" s="218"/>
      <c r="B13" s="219" t="s">
        <v>314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1"/>
    </row>
    <row r="14" spans="1:15" ht="28.5" customHeight="1">
      <c r="A14" s="218" t="s">
        <v>34</v>
      </c>
      <c r="B14" s="219" t="s">
        <v>315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1"/>
    </row>
    <row r="15" spans="1:15" ht="28.5" customHeight="1">
      <c r="A15" s="218"/>
      <c r="B15" s="219" t="s">
        <v>316</v>
      </c>
      <c r="C15" s="220">
        <v>3515000</v>
      </c>
      <c r="D15" s="220">
        <v>2273000</v>
      </c>
      <c r="E15" s="220">
        <v>2273000</v>
      </c>
      <c r="F15" s="220">
        <v>2273000</v>
      </c>
      <c r="G15" s="220">
        <f>2273000+112611+21+11684</f>
        <v>2397316</v>
      </c>
      <c r="H15" s="220">
        <f>2273000+11938</f>
        <v>2284938</v>
      </c>
      <c r="I15" s="220">
        <f>2273000+195840+11938</f>
        <v>2480778</v>
      </c>
      <c r="J15" s="220">
        <f>2273000+11938</f>
        <v>2284938</v>
      </c>
      <c r="K15" s="220">
        <f>2272000+11938</f>
        <v>2283938</v>
      </c>
      <c r="L15" s="220">
        <v>2195808</v>
      </c>
      <c r="M15" s="220">
        <v>2882908</v>
      </c>
      <c r="N15" s="220">
        <v>2272000</v>
      </c>
      <c r="O15" s="221">
        <f>SUM(C15:N15)</f>
        <v>29416624</v>
      </c>
    </row>
    <row r="16" spans="1:15" ht="28.5" customHeight="1">
      <c r="A16" s="218"/>
      <c r="B16" s="219" t="s">
        <v>317</v>
      </c>
      <c r="C16" s="220"/>
      <c r="D16" s="220"/>
      <c r="E16" s="220"/>
      <c r="F16" s="220">
        <v>526211</v>
      </c>
      <c r="G16" s="220">
        <f>230460</f>
        <v>230460</v>
      </c>
      <c r="H16" s="220"/>
      <c r="I16" s="220">
        <f>176583</f>
        <v>176583</v>
      </c>
      <c r="J16" s="220">
        <f>23000+183415+189708</f>
        <v>396123</v>
      </c>
      <c r="K16" s="220">
        <v>179682</v>
      </c>
      <c r="L16" s="220">
        <v>179682</v>
      </c>
      <c r="M16" s="220">
        <v>185122</v>
      </c>
      <c r="N16" s="220">
        <v>162122</v>
      </c>
      <c r="O16" s="221">
        <f>SUM(C16:N16)</f>
        <v>2035985</v>
      </c>
    </row>
    <row r="17" spans="1:15" ht="30.75" customHeight="1">
      <c r="A17" s="218" t="s">
        <v>15</v>
      </c>
      <c r="B17" s="219" t="s">
        <v>439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>
        <v>10000000</v>
      </c>
      <c r="O17" s="221">
        <f>SUM(C17:N17)</f>
        <v>10000000</v>
      </c>
    </row>
    <row r="18" spans="1:15" ht="15.75">
      <c r="A18" s="218" t="s">
        <v>35</v>
      </c>
      <c r="B18" s="219" t="s">
        <v>318</v>
      </c>
      <c r="C18" s="220">
        <f>12000+44000+32000+31000</f>
        <v>119000</v>
      </c>
      <c r="D18" s="220">
        <f>19000+12000+118000+253000+31000</f>
        <v>433000</v>
      </c>
      <c r="E18" s="220">
        <f>1127000+11000+620000+382000+31000</f>
        <v>2171000</v>
      </c>
      <c r="F18" s="220">
        <f>9000+12000+76000+34000+31000+200000</f>
        <v>362000</v>
      </c>
      <c r="G18" s="220">
        <f>408000+12000+48000+35000+31000-200000</f>
        <v>334000</v>
      </c>
      <c r="H18" s="220">
        <f>46000+12000+20000+19000+31000</f>
        <v>128000</v>
      </c>
      <c r="I18" s="220">
        <f>12000+2000+2000+31000</f>
        <v>47000</v>
      </c>
      <c r="J18" s="220">
        <f>12000+237000+346000+31000</f>
        <v>626000</v>
      </c>
      <c r="K18" s="220">
        <f>1188000+11000+601000+335000+31000</f>
        <v>2166000</v>
      </c>
      <c r="L18" s="220">
        <f>10000+12000+27000+35000+31000</f>
        <v>115000</v>
      </c>
      <c r="M18" s="220">
        <f>852000+11000+76000+12000+31000</f>
        <v>982000</v>
      </c>
      <c r="N18" s="220">
        <f>241000+11000+34000+15000+29000</f>
        <v>330000</v>
      </c>
      <c r="O18" s="221">
        <f aca="true" t="shared" si="0" ref="O18:O28">SUM(C18:N18)</f>
        <v>7813000</v>
      </c>
    </row>
    <row r="19" spans="1:17" ht="15.75">
      <c r="A19" s="218" t="s">
        <v>83</v>
      </c>
      <c r="B19" s="219" t="s">
        <v>319</v>
      </c>
      <c r="C19" s="220">
        <v>931000</v>
      </c>
      <c r="D19" s="220">
        <v>877000</v>
      </c>
      <c r="E19" s="220">
        <v>958000</v>
      </c>
      <c r="F19" s="220">
        <v>1036000</v>
      </c>
      <c r="G19" s="220">
        <v>890000</v>
      </c>
      <c r="H19" s="220">
        <v>804000</v>
      </c>
      <c r="I19" s="220">
        <v>758000</v>
      </c>
      <c r="J19" s="220">
        <v>704000</v>
      </c>
      <c r="K19" s="220">
        <v>1004000</v>
      </c>
      <c r="L19" s="220">
        <v>1030000</v>
      </c>
      <c r="M19" s="220">
        <v>913000</v>
      </c>
      <c r="N19" s="220">
        <v>1003000</v>
      </c>
      <c r="O19" s="221">
        <f t="shared" si="0"/>
        <v>10908000</v>
      </c>
      <c r="Q19" s="243"/>
    </row>
    <row r="20" spans="1:15" ht="15.75">
      <c r="A20" s="218" t="s">
        <v>85</v>
      </c>
      <c r="B20" s="222" t="s">
        <v>320</v>
      </c>
      <c r="C20" s="223">
        <v>5000</v>
      </c>
      <c r="D20" s="223">
        <v>6000</v>
      </c>
      <c r="E20" s="223">
        <v>5000</v>
      </c>
      <c r="F20" s="223">
        <v>5000</v>
      </c>
      <c r="G20" s="223">
        <v>5000</v>
      </c>
      <c r="H20" s="223">
        <v>5000</v>
      </c>
      <c r="I20" s="223">
        <v>5000</v>
      </c>
      <c r="J20" s="223">
        <v>5000</v>
      </c>
      <c r="K20" s="223">
        <v>5000</v>
      </c>
      <c r="L20" s="223">
        <v>6000</v>
      </c>
      <c r="M20" s="223">
        <v>5000</v>
      </c>
      <c r="N20" s="223">
        <v>5000</v>
      </c>
      <c r="O20" s="221">
        <f t="shared" si="0"/>
        <v>62000</v>
      </c>
    </row>
    <row r="21" spans="1:15" ht="15.75">
      <c r="A21" s="218" t="s">
        <v>91</v>
      </c>
      <c r="B21" s="222" t="s">
        <v>226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5"/>
      <c r="O21" s="221">
        <f t="shared" si="0"/>
        <v>0</v>
      </c>
    </row>
    <row r="22" spans="1:15" ht="31.5">
      <c r="A22" s="218"/>
      <c r="B22" s="219" t="s">
        <v>321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221">
        <f t="shared" si="0"/>
        <v>0</v>
      </c>
    </row>
    <row r="23" spans="1:15" ht="17.25" customHeight="1">
      <c r="A23" s="218"/>
      <c r="B23" s="219" t="s">
        <v>322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  <c r="O23" s="221">
        <f t="shared" si="0"/>
        <v>0</v>
      </c>
    </row>
    <row r="24" spans="1:15" ht="15.75">
      <c r="A24" s="218" t="s">
        <v>232</v>
      </c>
      <c r="B24" s="222" t="s">
        <v>323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  <c r="O24" s="221">
        <f t="shared" si="0"/>
        <v>0</v>
      </c>
    </row>
    <row r="25" spans="1:15" ht="47.25">
      <c r="A25" s="218"/>
      <c r="B25" s="241" t="s">
        <v>324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  <c r="O25" s="221">
        <f t="shared" si="0"/>
        <v>0</v>
      </c>
    </row>
    <row r="26" spans="1:15" ht="15.75">
      <c r="A26" s="218"/>
      <c r="B26" s="219" t="s">
        <v>325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221">
        <f t="shared" si="0"/>
        <v>0</v>
      </c>
    </row>
    <row r="27" spans="1:15" ht="15.75">
      <c r="A27" s="218" t="s">
        <v>234</v>
      </c>
      <c r="B27" s="222" t="s">
        <v>326</v>
      </c>
      <c r="C27" s="226">
        <v>1139077</v>
      </c>
      <c r="D27" s="226">
        <v>1917000</v>
      </c>
      <c r="E27" s="226">
        <v>2000000</v>
      </c>
      <c r="F27" s="226">
        <v>5046000</v>
      </c>
      <c r="G27" s="226">
        <v>42142923</v>
      </c>
      <c r="H27" s="226">
        <v>10260000</v>
      </c>
      <c r="I27" s="226"/>
      <c r="J27" s="226"/>
      <c r="K27" s="226"/>
      <c r="L27" s="226">
        <v>7899000</v>
      </c>
      <c r="M27" s="226"/>
      <c r="N27" s="227"/>
      <c r="O27" s="221">
        <f t="shared" si="0"/>
        <v>70404000</v>
      </c>
    </row>
    <row r="28" spans="1:15" ht="15.75">
      <c r="A28" s="228"/>
      <c r="B28" s="369" t="s">
        <v>440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7">
        <v>1121209</v>
      </c>
      <c r="O28" s="221">
        <f t="shared" si="0"/>
        <v>1121209</v>
      </c>
    </row>
    <row r="29" spans="1:15" ht="16.5" thickBot="1">
      <c r="A29" s="228" t="s">
        <v>236</v>
      </c>
      <c r="B29" s="229" t="s">
        <v>327</v>
      </c>
      <c r="C29" s="226"/>
      <c r="D29" s="226">
        <f>C51</f>
        <v>975000</v>
      </c>
      <c r="E29" s="226">
        <f aca="true" t="shared" si="1" ref="E29:N29">D51</f>
        <v>2941000</v>
      </c>
      <c r="F29" s="226">
        <f t="shared" si="1"/>
        <v>4410128</v>
      </c>
      <c r="G29" s="226">
        <f t="shared" si="1"/>
        <v>8523341</v>
      </c>
      <c r="H29" s="226">
        <f t="shared" si="1"/>
        <v>15001762</v>
      </c>
      <c r="I29" s="226">
        <f t="shared" si="1"/>
        <v>23517821</v>
      </c>
      <c r="J29" s="226">
        <f t="shared" si="1"/>
        <v>22151821</v>
      </c>
      <c r="K29" s="226">
        <f t="shared" si="1"/>
        <v>22901801</v>
      </c>
      <c r="L29" s="226">
        <f t="shared" si="1"/>
        <v>9895473</v>
      </c>
      <c r="M29" s="226">
        <f t="shared" si="1"/>
        <v>6310959</v>
      </c>
      <c r="N29" s="226">
        <f t="shared" si="1"/>
        <v>2191617</v>
      </c>
      <c r="O29" s="221"/>
    </row>
    <row r="30" spans="1:16" s="16" customFormat="1" ht="27.75" customHeight="1" thickBot="1">
      <c r="A30" s="230"/>
      <c r="B30" s="230" t="s">
        <v>328</v>
      </c>
      <c r="C30" s="231">
        <f aca="true" t="shared" si="2" ref="C30:N30">SUM(C15:C29)</f>
        <v>5709077</v>
      </c>
      <c r="D30" s="231">
        <f t="shared" si="2"/>
        <v>6481000</v>
      </c>
      <c r="E30" s="231">
        <f t="shared" si="2"/>
        <v>10348000</v>
      </c>
      <c r="F30" s="231">
        <f t="shared" si="2"/>
        <v>13658339</v>
      </c>
      <c r="G30" s="231">
        <f t="shared" si="2"/>
        <v>54523040</v>
      </c>
      <c r="H30" s="231">
        <f t="shared" si="2"/>
        <v>28483700</v>
      </c>
      <c r="I30" s="231">
        <f t="shared" si="2"/>
        <v>26985182</v>
      </c>
      <c r="J30" s="231">
        <f t="shared" si="2"/>
        <v>26167882</v>
      </c>
      <c r="K30" s="231">
        <f t="shared" si="2"/>
        <v>28540421</v>
      </c>
      <c r="L30" s="231">
        <f t="shared" si="2"/>
        <v>21320963</v>
      </c>
      <c r="M30" s="231">
        <f t="shared" si="2"/>
        <v>11278989</v>
      </c>
      <c r="N30" s="231">
        <f t="shared" si="2"/>
        <v>17084948</v>
      </c>
      <c r="O30" s="232">
        <f>SUM(O14:O29)</f>
        <v>131760818</v>
      </c>
      <c r="P30" s="92"/>
    </row>
    <row r="31" spans="1:15" ht="15.75">
      <c r="A31" s="233"/>
      <c r="B31" s="234" t="s">
        <v>329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35"/>
    </row>
    <row r="32" spans="1:16" ht="15.75">
      <c r="A32" s="218" t="s">
        <v>242</v>
      </c>
      <c r="B32" s="222" t="s">
        <v>179</v>
      </c>
      <c r="C32" s="220">
        <f>1061000+37000</f>
        <v>1098000</v>
      </c>
      <c r="D32" s="220">
        <v>1223000</v>
      </c>
      <c r="E32" s="220">
        <v>1222000</v>
      </c>
      <c r="F32" s="220">
        <f>1416000+414339+181465</f>
        <v>2011804</v>
      </c>
      <c r="G32" s="220">
        <f>1416000+88670+266286+9200</f>
        <v>1780156</v>
      </c>
      <c r="H32" s="220">
        <f>1416000+9400</f>
        <v>1425400</v>
      </c>
      <c r="I32" s="220">
        <f>1416000+9400+154010+22877+154205</f>
        <v>1756492</v>
      </c>
      <c r="J32" s="220">
        <f>1416000+9400+154009+149376</f>
        <v>1728785</v>
      </c>
      <c r="K32" s="220">
        <f>1416000+158310+9400</f>
        <v>1583710</v>
      </c>
      <c r="L32" s="220">
        <f>1416000+158310+9400</f>
        <v>1583710</v>
      </c>
      <c r="M32" s="220">
        <v>2831462</v>
      </c>
      <c r="N32" s="220">
        <v>1698081</v>
      </c>
      <c r="O32" s="221">
        <f aca="true" t="shared" si="3" ref="O32:O49">SUM(C32:N32)</f>
        <v>19942600</v>
      </c>
      <c r="P32" s="243"/>
    </row>
    <row r="33" spans="1:15" ht="31.5">
      <c r="A33" s="218" t="s">
        <v>244</v>
      </c>
      <c r="B33" s="241" t="s">
        <v>330</v>
      </c>
      <c r="C33" s="220">
        <v>302000</v>
      </c>
      <c r="D33" s="220">
        <v>302000</v>
      </c>
      <c r="E33" s="220">
        <f>392000+118872</f>
        <v>510872</v>
      </c>
      <c r="F33" s="220">
        <f>392000+48995-46801</f>
        <v>394194</v>
      </c>
      <c r="G33" s="220">
        <f>392000+2484</f>
        <v>394484</v>
      </c>
      <c r="H33" s="220">
        <f>392000+23941+2538</f>
        <v>418479</v>
      </c>
      <c r="I33" s="220">
        <f>392000+2538+14551+41635</f>
        <v>450724</v>
      </c>
      <c r="J33" s="220">
        <f>392000+2538+14551+40332</f>
        <v>449421</v>
      </c>
      <c r="K33" s="220">
        <f>392000+2538</f>
        <v>394538</v>
      </c>
      <c r="L33" s="220">
        <f>392000+21372+2538</f>
        <v>415910</v>
      </c>
      <c r="M33" s="220">
        <v>415910</v>
      </c>
      <c r="N33" s="220">
        <v>434163</v>
      </c>
      <c r="O33" s="221">
        <f t="shared" si="3"/>
        <v>4882695</v>
      </c>
    </row>
    <row r="34" spans="1:15" ht="15.75">
      <c r="A34" s="218" t="s">
        <v>246</v>
      </c>
      <c r="B34" s="222" t="s">
        <v>181</v>
      </c>
      <c r="C34" s="220">
        <f>1827000+95000</f>
        <v>1922000</v>
      </c>
      <c r="D34" s="220">
        <f>1701000+95000</f>
        <v>1796000</v>
      </c>
      <c r="E34" s="220">
        <f>1890000+95000</f>
        <v>1985000</v>
      </c>
      <c r="F34" s="220">
        <f>1853000+95000</f>
        <v>1948000</v>
      </c>
      <c r="G34" s="220">
        <f>2215000+63508</f>
        <v>2278508</v>
      </c>
      <c r="H34" s="220">
        <f>1533000+95000</f>
        <v>1628000</v>
      </c>
      <c r="I34" s="220">
        <f>1428000+95000</f>
        <v>1523000</v>
      </c>
      <c r="J34" s="220">
        <f>1302000+95000+396875-1000000</f>
        <v>793875</v>
      </c>
      <c r="K34" s="220">
        <v>882000</v>
      </c>
      <c r="L34" s="220">
        <f>1787000+95000-332000</f>
        <v>1550000</v>
      </c>
      <c r="M34" s="220">
        <v>2481000</v>
      </c>
      <c r="N34" s="220">
        <v>2766585</v>
      </c>
      <c r="O34" s="221">
        <f t="shared" si="3"/>
        <v>21553968</v>
      </c>
    </row>
    <row r="35" spans="1:15" ht="15.75">
      <c r="A35" s="218" t="s">
        <v>251</v>
      </c>
      <c r="B35" s="222" t="s">
        <v>182</v>
      </c>
      <c r="C35" s="220">
        <f>219000+4000</f>
        <v>223000</v>
      </c>
      <c r="D35" s="220">
        <f>219000</f>
        <v>219000</v>
      </c>
      <c r="E35" s="220">
        <f>219000+1000</f>
        <v>220000</v>
      </c>
      <c r="F35" s="220">
        <f aca="true" t="shared" si="4" ref="F35:M35">219000</f>
        <v>219000</v>
      </c>
      <c r="G35" s="220">
        <f t="shared" si="4"/>
        <v>219000</v>
      </c>
      <c r="H35" s="220">
        <f t="shared" si="4"/>
        <v>219000</v>
      </c>
      <c r="I35" s="220">
        <f t="shared" si="4"/>
        <v>219000</v>
      </c>
      <c r="J35" s="220">
        <f>219000+50000</f>
        <v>269000</v>
      </c>
      <c r="K35" s="220">
        <f t="shared" si="4"/>
        <v>219000</v>
      </c>
      <c r="L35" s="220">
        <f t="shared" si="4"/>
        <v>219000</v>
      </c>
      <c r="M35" s="220">
        <f t="shared" si="4"/>
        <v>219000</v>
      </c>
      <c r="N35" s="220">
        <v>947000</v>
      </c>
      <c r="O35" s="221">
        <f t="shared" si="3"/>
        <v>3411000</v>
      </c>
    </row>
    <row r="36" spans="1:15" ht="15.75">
      <c r="A36" s="218" t="s">
        <v>253</v>
      </c>
      <c r="B36" s="222" t="s">
        <v>331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1"/>
    </row>
    <row r="37" spans="1:15" ht="15.75">
      <c r="A37" s="218"/>
      <c r="B37" s="222" t="s">
        <v>332</v>
      </c>
      <c r="C37" s="220"/>
      <c r="D37" s="220"/>
      <c r="E37" s="220"/>
      <c r="F37" s="220"/>
      <c r="G37" s="220"/>
      <c r="H37" s="220"/>
      <c r="I37" s="220">
        <v>884145</v>
      </c>
      <c r="J37" s="220"/>
      <c r="K37" s="220"/>
      <c r="L37" s="220">
        <v>34154</v>
      </c>
      <c r="M37" s="220"/>
      <c r="N37" s="220"/>
      <c r="O37" s="221">
        <f t="shared" si="3"/>
        <v>918299</v>
      </c>
    </row>
    <row r="38" spans="1:16" ht="15.75">
      <c r="A38" s="218"/>
      <c r="B38" s="222" t="s">
        <v>333</v>
      </c>
      <c r="C38" s="220">
        <v>50000</v>
      </c>
      <c r="D38" s="220"/>
      <c r="E38" s="220"/>
      <c r="F38" s="220">
        <v>112000</v>
      </c>
      <c r="G38" s="220">
        <v>200000</v>
      </c>
      <c r="H38" s="220">
        <v>675000</v>
      </c>
      <c r="I38" s="220"/>
      <c r="J38" s="220">
        <v>25000</v>
      </c>
      <c r="K38" s="220"/>
      <c r="L38" s="220">
        <f>65000+100000+116030-50000</f>
        <v>231030</v>
      </c>
      <c r="M38" s="220"/>
      <c r="N38" s="220"/>
      <c r="O38" s="221">
        <f t="shared" si="3"/>
        <v>1293030</v>
      </c>
      <c r="P38" s="243"/>
    </row>
    <row r="39" spans="1:15" ht="15.75">
      <c r="A39" s="218" t="s">
        <v>255</v>
      </c>
      <c r="B39" s="222" t="s">
        <v>185</v>
      </c>
      <c r="C39" s="220"/>
      <c r="D39" s="220"/>
      <c r="E39" s="220">
        <v>2000000</v>
      </c>
      <c r="F39" s="220">
        <v>450000</v>
      </c>
      <c r="G39" s="220">
        <v>225000</v>
      </c>
      <c r="H39" s="220"/>
      <c r="I39" s="220"/>
      <c r="J39" s="220"/>
      <c r="K39" s="220">
        <f>173000+11800+530900</f>
        <v>715700</v>
      </c>
      <c r="L39" s="220">
        <v>2596200</v>
      </c>
      <c r="M39" s="220">
        <v>2540000</v>
      </c>
      <c r="N39" s="220">
        <v>117910</v>
      </c>
      <c r="O39" s="221">
        <f t="shared" si="3"/>
        <v>8644810</v>
      </c>
    </row>
    <row r="40" spans="1:15" ht="15.75">
      <c r="A40" s="218" t="s">
        <v>262</v>
      </c>
      <c r="B40" s="222" t="s">
        <v>56</v>
      </c>
      <c r="C40" s="220"/>
      <c r="D40" s="220"/>
      <c r="E40" s="220"/>
      <c r="F40" s="220"/>
      <c r="G40" s="220">
        <v>400000</v>
      </c>
      <c r="H40" s="220"/>
      <c r="I40" s="220"/>
      <c r="J40" s="220"/>
      <c r="K40" s="220">
        <v>14850000</v>
      </c>
      <c r="L40" s="220">
        <f>8355000+25000</f>
        <v>8380000</v>
      </c>
      <c r="M40" s="220"/>
      <c r="N40" s="220">
        <v>10000000</v>
      </c>
      <c r="O40" s="221">
        <f t="shared" si="3"/>
        <v>33630000</v>
      </c>
    </row>
    <row r="41" spans="1:15" ht="20.25" customHeight="1">
      <c r="A41" s="218" t="s">
        <v>265</v>
      </c>
      <c r="B41" s="222" t="s">
        <v>256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1">
        <f t="shared" si="3"/>
        <v>0</v>
      </c>
    </row>
    <row r="42" spans="1:15" ht="20.25" customHeight="1">
      <c r="A42" s="218"/>
      <c r="B42" s="222" t="s">
        <v>332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1">
        <f t="shared" si="3"/>
        <v>0</v>
      </c>
    </row>
    <row r="43" spans="1:15" ht="15.75">
      <c r="A43" s="218"/>
      <c r="B43" s="222" t="s">
        <v>333</v>
      </c>
      <c r="C43" s="220"/>
      <c r="D43" s="220"/>
      <c r="E43" s="220"/>
      <c r="F43" s="220"/>
      <c r="G43" s="220"/>
      <c r="H43" s="220">
        <v>600000</v>
      </c>
      <c r="I43" s="220"/>
      <c r="J43" s="220"/>
      <c r="K43" s="220"/>
      <c r="L43" s="220"/>
      <c r="M43" s="220">
        <v>600000</v>
      </c>
      <c r="N43" s="220"/>
      <c r="O43" s="221">
        <f t="shared" si="3"/>
        <v>1200000</v>
      </c>
    </row>
    <row r="44" spans="1:15" ht="15.75">
      <c r="A44" s="218" t="s">
        <v>267</v>
      </c>
      <c r="B44" s="222" t="s">
        <v>178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1">
        <f t="shared" si="3"/>
        <v>0</v>
      </c>
    </row>
    <row r="45" spans="1:15" ht="15.75">
      <c r="A45" s="218"/>
      <c r="B45" s="266" t="s">
        <v>374</v>
      </c>
      <c r="C45" s="220">
        <v>1139077</v>
      </c>
      <c r="D45" s="220"/>
      <c r="E45" s="220"/>
      <c r="F45" s="220"/>
      <c r="G45" s="220">
        <v>179682</v>
      </c>
      <c r="H45" s="220"/>
      <c r="I45" s="220"/>
      <c r="J45" s="220"/>
      <c r="K45" s="220"/>
      <c r="L45" s="220"/>
      <c r="M45" s="220"/>
      <c r="N45" s="220">
        <v>1121209</v>
      </c>
      <c r="O45" s="221">
        <f t="shared" si="3"/>
        <v>2439968</v>
      </c>
    </row>
    <row r="46" spans="1:15" ht="15.75">
      <c r="A46" s="218"/>
      <c r="B46" s="222" t="s">
        <v>334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1">
        <f t="shared" si="3"/>
        <v>0</v>
      </c>
    </row>
    <row r="47" spans="1:15" ht="15.75">
      <c r="A47" s="218"/>
      <c r="B47" s="222" t="s">
        <v>335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1">
        <f t="shared" si="3"/>
        <v>0</v>
      </c>
    </row>
    <row r="48" spans="1:16" ht="15.75">
      <c r="A48" s="218" t="s">
        <v>336</v>
      </c>
      <c r="B48" s="222" t="s">
        <v>337</v>
      </c>
      <c r="C48" s="220"/>
      <c r="D48" s="220"/>
      <c r="E48" s="220"/>
      <c r="F48" s="220"/>
      <c r="G48" s="220">
        <f>40789124-2596200-425000-11800-396875-100000-381000-600000-116030-149900-2167871</f>
        <v>33844448</v>
      </c>
      <c r="H48" s="220"/>
      <c r="I48" s="220"/>
      <c r="J48" s="220"/>
      <c r="K48" s="220"/>
      <c r="L48" s="220"/>
      <c r="M48" s="220"/>
      <c r="N48" s="220"/>
      <c r="O48" s="221">
        <f t="shared" si="3"/>
        <v>33844448</v>
      </c>
      <c r="P48" s="243"/>
    </row>
    <row r="49" spans="1:15" ht="16.5" thickBot="1">
      <c r="A49" s="228" t="s">
        <v>338</v>
      </c>
      <c r="B49" s="229" t="s">
        <v>339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1">
        <f t="shared" si="3"/>
        <v>0</v>
      </c>
    </row>
    <row r="50" spans="1:19" s="16" customFormat="1" ht="24" customHeight="1" thickBot="1">
      <c r="A50" s="230"/>
      <c r="B50" s="230" t="s">
        <v>340</v>
      </c>
      <c r="C50" s="231">
        <f aca="true" t="shared" si="5" ref="C50:N50">SUM(C32:C49)</f>
        <v>4734077</v>
      </c>
      <c r="D50" s="231">
        <f t="shared" si="5"/>
        <v>3540000</v>
      </c>
      <c r="E50" s="231">
        <f t="shared" si="5"/>
        <v>5937872</v>
      </c>
      <c r="F50" s="231">
        <f t="shared" si="5"/>
        <v>5134998</v>
      </c>
      <c r="G50" s="231">
        <f t="shared" si="5"/>
        <v>39521278</v>
      </c>
      <c r="H50" s="231">
        <f t="shared" si="5"/>
        <v>4965879</v>
      </c>
      <c r="I50" s="231">
        <f t="shared" si="5"/>
        <v>4833361</v>
      </c>
      <c r="J50" s="231">
        <f t="shared" si="5"/>
        <v>3266081</v>
      </c>
      <c r="K50" s="231">
        <f t="shared" si="5"/>
        <v>18644948</v>
      </c>
      <c r="L50" s="231">
        <f t="shared" si="5"/>
        <v>15010004</v>
      </c>
      <c r="M50" s="231">
        <f t="shared" si="5"/>
        <v>9087372</v>
      </c>
      <c r="N50" s="231">
        <f t="shared" si="5"/>
        <v>17084948</v>
      </c>
      <c r="O50" s="232">
        <f>SUM(O32:O49)</f>
        <v>131760818</v>
      </c>
      <c r="S50" s="236"/>
    </row>
    <row r="51" spans="1:15" ht="26.25" customHeight="1" thickBot="1">
      <c r="A51" s="237"/>
      <c r="B51" s="238" t="s">
        <v>341</v>
      </c>
      <c r="C51" s="239">
        <f aca="true" t="shared" si="6" ref="C51:N51">C30-C50</f>
        <v>975000</v>
      </c>
      <c r="D51" s="239">
        <f t="shared" si="6"/>
        <v>2941000</v>
      </c>
      <c r="E51" s="239">
        <f t="shared" si="6"/>
        <v>4410128</v>
      </c>
      <c r="F51" s="239">
        <f t="shared" si="6"/>
        <v>8523341</v>
      </c>
      <c r="G51" s="239">
        <f t="shared" si="6"/>
        <v>15001762</v>
      </c>
      <c r="H51" s="239">
        <f t="shared" si="6"/>
        <v>23517821</v>
      </c>
      <c r="I51" s="239">
        <f t="shared" si="6"/>
        <v>22151821</v>
      </c>
      <c r="J51" s="239">
        <f t="shared" si="6"/>
        <v>22901801</v>
      </c>
      <c r="K51" s="239">
        <f t="shared" si="6"/>
        <v>9895473</v>
      </c>
      <c r="L51" s="239">
        <f t="shared" si="6"/>
        <v>6310959</v>
      </c>
      <c r="M51" s="239">
        <f t="shared" si="6"/>
        <v>2191617</v>
      </c>
      <c r="N51" s="239">
        <f t="shared" si="6"/>
        <v>0</v>
      </c>
      <c r="O51" s="240"/>
    </row>
    <row r="53" spans="3:15" ht="15.75"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</row>
    <row r="54" ht="15.75">
      <c r="O54" s="242"/>
    </row>
    <row r="55" ht="15.75">
      <c r="O55" s="242"/>
    </row>
    <row r="56" ht="15.75">
      <c r="O56" s="242"/>
    </row>
    <row r="57" ht="15.75">
      <c r="O57" s="242"/>
    </row>
  </sheetData>
  <sheetProtection/>
  <mergeCells count="5">
    <mergeCell ref="B8:O8"/>
    <mergeCell ref="B5:O5"/>
    <mergeCell ref="B6:O6"/>
    <mergeCell ref="B7:O7"/>
    <mergeCell ref="A4:O4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A5" sqref="A5:E5"/>
    </sheetView>
  </sheetViews>
  <sheetFormatPr defaultColWidth="9.00390625" defaultRowHeight="12.75"/>
  <cols>
    <col min="1" max="1" width="64.625" style="4" customWidth="1"/>
    <col min="2" max="2" width="14.125" style="47" customWidth="1"/>
    <col min="3" max="3" width="4.875" style="4" customWidth="1"/>
    <col min="4" max="4" width="17.75390625" style="47" customWidth="1"/>
    <col min="5" max="5" width="5.25390625" style="4" customWidth="1"/>
    <col min="6" max="6" width="9.125" style="4" customWidth="1"/>
    <col min="7" max="7" width="14.25390625" style="4" bestFit="1" customWidth="1"/>
    <col min="8" max="16384" width="9.125" style="4" customWidth="1"/>
  </cols>
  <sheetData>
    <row r="1" spans="1:5" ht="15">
      <c r="A1" s="375" t="s">
        <v>441</v>
      </c>
      <c r="B1" s="375"/>
      <c r="C1" s="375"/>
      <c r="D1" s="375"/>
      <c r="E1" s="375"/>
    </row>
    <row r="2" spans="1:5" ht="15">
      <c r="A2" s="286"/>
      <c r="B2" s="286"/>
      <c r="C2" s="286"/>
      <c r="D2" s="286"/>
      <c r="E2" s="286"/>
    </row>
    <row r="3" spans="1:5" ht="15">
      <c r="A3" s="375" t="s">
        <v>385</v>
      </c>
      <c r="B3" s="375"/>
      <c r="C3" s="375"/>
      <c r="D3" s="375"/>
      <c r="E3" s="375"/>
    </row>
    <row r="4" spans="1:5" ht="15">
      <c r="A4" s="286"/>
      <c r="B4" s="286"/>
      <c r="C4" s="286"/>
      <c r="D4" s="286"/>
      <c r="E4" s="286"/>
    </row>
    <row r="5" spans="1:5" s="43" customFormat="1" ht="15.75">
      <c r="A5" s="378"/>
      <c r="B5" s="378"/>
      <c r="C5" s="378"/>
      <c r="D5" s="378"/>
      <c r="E5" s="378"/>
    </row>
    <row r="6" spans="1:5" s="43" customFormat="1" ht="15.75">
      <c r="A6" s="377" t="s">
        <v>31</v>
      </c>
      <c r="B6" s="377"/>
      <c r="C6" s="377"/>
      <c r="D6" s="377"/>
      <c r="E6" s="377"/>
    </row>
    <row r="7" spans="1:5" ht="15.75">
      <c r="A7" s="377" t="s">
        <v>151</v>
      </c>
      <c r="B7" s="377"/>
      <c r="C7" s="377"/>
      <c r="D7" s="377"/>
      <c r="E7" s="377"/>
    </row>
    <row r="8" spans="1:5" ht="12.75" customHeight="1">
      <c r="A8" s="376" t="s">
        <v>351</v>
      </c>
      <c r="B8" s="376"/>
      <c r="C8" s="376"/>
      <c r="D8" s="376"/>
      <c r="E8" s="376"/>
    </row>
    <row r="9" spans="1:5" s="1" customFormat="1" ht="15">
      <c r="A9" s="4"/>
      <c r="B9" s="47"/>
      <c r="C9" s="4"/>
      <c r="D9" s="40"/>
      <c r="E9" s="4"/>
    </row>
    <row r="10" spans="1:4" s="1" customFormat="1" ht="18.75">
      <c r="A10" s="96" t="s">
        <v>152</v>
      </c>
      <c r="B10" s="48"/>
      <c r="D10" s="97"/>
    </row>
    <row r="11" spans="1:5" ht="15.75">
      <c r="A11" s="7" t="s">
        <v>153</v>
      </c>
      <c r="B11" s="48"/>
      <c r="C11" s="1"/>
      <c r="D11" s="315">
        <f>B12+B13</f>
        <v>31452609</v>
      </c>
      <c r="E11" s="1" t="s">
        <v>394</v>
      </c>
    </row>
    <row r="12" spans="1:7" ht="15.75">
      <c r="A12" s="99" t="s">
        <v>154</v>
      </c>
      <c r="B12" s="318">
        <f>'2.mell - bevétel'!H68</f>
        <v>29416624</v>
      </c>
      <c r="C12" s="4" t="s">
        <v>394</v>
      </c>
      <c r="D12" s="40"/>
      <c r="G12" s="65"/>
    </row>
    <row r="13" spans="1:5" s="1" customFormat="1" ht="15.75" customHeight="1">
      <c r="A13" s="99" t="s">
        <v>155</v>
      </c>
      <c r="B13" s="318">
        <f>'2.mell - bevétel'!H74</f>
        <v>2035985</v>
      </c>
      <c r="C13" s="4" t="s">
        <v>394</v>
      </c>
      <c r="D13" s="40"/>
      <c r="E13" s="4"/>
    </row>
    <row r="14" spans="1:4" s="1" customFormat="1" ht="15.75">
      <c r="A14" s="7"/>
      <c r="B14" s="48"/>
      <c r="D14" s="98"/>
    </row>
    <row r="15" spans="1:5" s="1" customFormat="1" ht="15.75">
      <c r="A15" s="7" t="s">
        <v>156</v>
      </c>
      <c r="B15" s="48"/>
      <c r="D15" s="98">
        <f>'2.mell - bevétel'!H86</f>
        <v>10000000</v>
      </c>
      <c r="E15" s="1" t="s">
        <v>394</v>
      </c>
    </row>
    <row r="16" spans="1:4" s="1" customFormat="1" ht="15.75">
      <c r="A16" s="7"/>
      <c r="B16" s="48"/>
      <c r="D16" s="98"/>
    </row>
    <row r="17" spans="1:5" s="1" customFormat="1" ht="15.75">
      <c r="A17" s="7" t="s">
        <v>103</v>
      </c>
      <c r="B17" s="48"/>
      <c r="D17" s="281">
        <f>'2.mell - bevétel'!H113</f>
        <v>7813000</v>
      </c>
      <c r="E17" s="1" t="s">
        <v>394</v>
      </c>
    </row>
    <row r="18" spans="1:7" s="1" customFormat="1" ht="15.75">
      <c r="A18" s="7"/>
      <c r="B18" s="48"/>
      <c r="D18" s="281"/>
      <c r="G18" s="66"/>
    </row>
    <row r="19" spans="1:5" s="1" customFormat="1" ht="15.75">
      <c r="A19" s="7" t="s">
        <v>45</v>
      </c>
      <c r="B19" s="48"/>
      <c r="D19" s="281">
        <f>'2.mell - bevétel'!H137</f>
        <v>10908000</v>
      </c>
      <c r="E19" s="1" t="s">
        <v>394</v>
      </c>
    </row>
    <row r="20" spans="1:4" s="1" customFormat="1" ht="15.75">
      <c r="A20" s="8"/>
      <c r="B20" s="49"/>
      <c r="D20" s="281"/>
    </row>
    <row r="21" spans="1:5" s="1" customFormat="1" ht="15.75">
      <c r="A21" s="7" t="s">
        <v>157</v>
      </c>
      <c r="B21" s="48"/>
      <c r="D21" s="281">
        <v>0</v>
      </c>
      <c r="E21" s="1" t="s">
        <v>394</v>
      </c>
    </row>
    <row r="22" spans="1:4" s="1" customFormat="1" ht="15.75">
      <c r="A22" s="8"/>
      <c r="B22" s="48"/>
      <c r="D22" s="281"/>
    </row>
    <row r="23" spans="1:5" s="1" customFormat="1" ht="15.75">
      <c r="A23" s="7" t="s">
        <v>158</v>
      </c>
      <c r="D23" s="281">
        <f>B24+B25</f>
        <v>0</v>
      </c>
      <c r="E23" s="1" t="s">
        <v>394</v>
      </c>
    </row>
    <row r="24" spans="1:7" s="6" customFormat="1" ht="32.25">
      <c r="A24" s="99" t="s">
        <v>159</v>
      </c>
      <c r="B24" s="49">
        <v>0</v>
      </c>
      <c r="C24" s="1" t="s">
        <v>394</v>
      </c>
      <c r="D24" s="281"/>
      <c r="E24" s="1"/>
      <c r="F24" s="1"/>
      <c r="G24" s="67"/>
    </row>
    <row r="25" spans="1:7" ht="18.75">
      <c r="A25" s="43" t="s">
        <v>160</v>
      </c>
      <c r="B25" s="48">
        <v>0</v>
      </c>
      <c r="C25" s="1" t="s">
        <v>394</v>
      </c>
      <c r="D25" s="281"/>
      <c r="E25" s="1"/>
      <c r="F25" s="6"/>
      <c r="G25" s="68"/>
    </row>
    <row r="26" spans="1:7" s="1" customFormat="1" ht="18.75">
      <c r="A26" s="56"/>
      <c r="B26" s="47"/>
      <c r="C26" s="4"/>
      <c r="D26" s="316"/>
      <c r="E26" s="6"/>
      <c r="G26" s="69"/>
    </row>
    <row r="27" spans="1:5" s="1" customFormat="1" ht="15.75">
      <c r="A27" s="7" t="s">
        <v>131</v>
      </c>
      <c r="B27" s="48"/>
      <c r="D27" s="281">
        <f>B28+B29</f>
        <v>62000</v>
      </c>
      <c r="E27" s="1" t="s">
        <v>394</v>
      </c>
    </row>
    <row r="28" spans="1:4" s="1" customFormat="1" ht="31.5">
      <c r="A28" s="99" t="s">
        <v>161</v>
      </c>
      <c r="B28" s="319">
        <f>'2.mell - bevétel'!H144</f>
        <v>62000</v>
      </c>
      <c r="C28" s="1" t="s">
        <v>394</v>
      </c>
      <c r="D28" s="281"/>
    </row>
    <row r="29" spans="1:4" s="1" customFormat="1" ht="15.75">
      <c r="A29" s="43" t="s">
        <v>162</v>
      </c>
      <c r="B29" s="319">
        <v>0</v>
      </c>
      <c r="C29" s="1" t="s">
        <v>394</v>
      </c>
      <c r="D29" s="281"/>
    </row>
    <row r="30" spans="1:4" s="1" customFormat="1" ht="15.75">
      <c r="A30" s="56"/>
      <c r="B30" s="320"/>
      <c r="D30" s="317"/>
    </row>
    <row r="31" spans="1:5" s="1" customFormat="1" ht="15.75">
      <c r="A31" s="7" t="s">
        <v>36</v>
      </c>
      <c r="B31" s="320"/>
      <c r="D31" s="317">
        <f>SUM(D11:D30)</f>
        <v>60235609</v>
      </c>
      <c r="E31" s="1" t="s">
        <v>394</v>
      </c>
    </row>
    <row r="32" spans="1:4" s="1" customFormat="1" ht="15.75">
      <c r="A32" s="43"/>
      <c r="B32" s="320"/>
      <c r="D32" s="317"/>
    </row>
    <row r="33" spans="1:4" s="1" customFormat="1" ht="18.75">
      <c r="A33" s="96" t="s">
        <v>163</v>
      </c>
      <c r="B33" s="320"/>
      <c r="D33" s="317"/>
    </row>
    <row r="34" spans="1:5" s="1" customFormat="1" ht="15.75">
      <c r="A34" s="9" t="s">
        <v>8</v>
      </c>
      <c r="B34" s="319"/>
      <c r="D34" s="281">
        <f>B36+B37+B38+B39+B40</f>
        <v>85846040</v>
      </c>
      <c r="E34" s="1" t="s">
        <v>394</v>
      </c>
    </row>
    <row r="35" spans="1:4" s="1" customFormat="1" ht="15.75">
      <c r="A35" s="8" t="s">
        <v>7</v>
      </c>
      <c r="B35" s="319"/>
      <c r="D35" s="281"/>
    </row>
    <row r="36" spans="1:4" s="1" customFormat="1" ht="15.75">
      <c r="A36" s="43" t="s">
        <v>164</v>
      </c>
      <c r="B36" s="319">
        <f>'4.mell. - kiadás'!D43</f>
        <v>19942600</v>
      </c>
      <c r="C36" s="1" t="s">
        <v>394</v>
      </c>
      <c r="D36" s="281"/>
    </row>
    <row r="37" spans="1:4" s="1" customFormat="1" ht="15.75">
      <c r="A37" s="43" t="s">
        <v>165</v>
      </c>
      <c r="B37" s="319">
        <f>'4.mell. - kiadás'!E43</f>
        <v>4882695</v>
      </c>
      <c r="C37" s="1" t="s">
        <v>394</v>
      </c>
      <c r="D37" s="281"/>
    </row>
    <row r="38" spans="1:4" s="1" customFormat="1" ht="15.75">
      <c r="A38" s="43" t="s">
        <v>166</v>
      </c>
      <c r="B38" s="319">
        <f>'4.mell. - kiadás'!F43</f>
        <v>21553968</v>
      </c>
      <c r="C38" s="1" t="s">
        <v>394</v>
      </c>
      <c r="D38" s="281"/>
    </row>
    <row r="39" spans="1:4" s="1" customFormat="1" ht="15.75">
      <c r="A39" s="100" t="s">
        <v>167</v>
      </c>
      <c r="B39" s="319">
        <f>'4.mell. - kiadás'!G43</f>
        <v>3411000</v>
      </c>
      <c r="C39" s="1" t="s">
        <v>394</v>
      </c>
      <c r="D39" s="281"/>
    </row>
    <row r="40" spans="1:4" s="1" customFormat="1" ht="15.75">
      <c r="A40" s="43" t="s">
        <v>59</v>
      </c>
      <c r="B40" s="319">
        <f>'4.mell. - kiadás'!H43</f>
        <v>36055777</v>
      </c>
      <c r="C40" s="1" t="s">
        <v>394</v>
      </c>
      <c r="D40" s="281"/>
    </row>
    <row r="41" spans="1:4" s="1" customFormat="1" ht="15.75">
      <c r="A41" s="43"/>
      <c r="B41" s="321"/>
      <c r="D41" s="281"/>
    </row>
    <row r="42" spans="1:5" s="1" customFormat="1" ht="15.75">
      <c r="A42" s="9" t="s">
        <v>9</v>
      </c>
      <c r="B42" s="319"/>
      <c r="D42" s="283">
        <f>B44+B45+B46</f>
        <v>43474810</v>
      </c>
      <c r="E42" s="1" t="s">
        <v>394</v>
      </c>
    </row>
    <row r="43" spans="1:4" s="1" customFormat="1" ht="15.75">
      <c r="A43" s="8" t="s">
        <v>7</v>
      </c>
      <c r="B43" s="319"/>
      <c r="D43" s="281"/>
    </row>
    <row r="44" spans="1:4" s="1" customFormat="1" ht="15.75">
      <c r="A44" s="43" t="s">
        <v>168</v>
      </c>
      <c r="B44" s="321">
        <f>'4.mell. - kiadás'!J43</f>
        <v>8644810</v>
      </c>
      <c r="C44" s="1" t="s">
        <v>394</v>
      </c>
      <c r="D44" s="281"/>
    </row>
    <row r="45" spans="1:4" s="1" customFormat="1" ht="15.75">
      <c r="A45" s="43" t="s">
        <v>169</v>
      </c>
      <c r="B45" s="321">
        <f>'4.mell. - kiadás'!K43</f>
        <v>33630000</v>
      </c>
      <c r="C45" s="1" t="s">
        <v>394</v>
      </c>
      <c r="D45" s="281"/>
    </row>
    <row r="46" spans="1:6" ht="15.75">
      <c r="A46" s="43" t="s">
        <v>60</v>
      </c>
      <c r="B46" s="321">
        <f>'4.mell. - kiadás'!L43</f>
        <v>1200000</v>
      </c>
      <c r="C46" s="1" t="s">
        <v>394</v>
      </c>
      <c r="D46" s="281"/>
      <c r="E46" s="1"/>
      <c r="F46" s="1"/>
    </row>
    <row r="47" spans="1:4" s="1" customFormat="1" ht="15.75">
      <c r="A47" s="43"/>
      <c r="B47" s="321"/>
      <c r="D47" s="281"/>
    </row>
    <row r="48" spans="1:5" s="1" customFormat="1" ht="15.75">
      <c r="A48" s="16" t="s">
        <v>170</v>
      </c>
      <c r="B48" s="321"/>
      <c r="D48" s="281">
        <f>B49+B50+B51</f>
        <v>1318759</v>
      </c>
      <c r="E48" s="1" t="s">
        <v>394</v>
      </c>
    </row>
    <row r="49" spans="1:4" s="1" customFormat="1" ht="15.75">
      <c r="A49" s="43" t="s">
        <v>171</v>
      </c>
      <c r="B49" s="319"/>
      <c r="C49" s="1" t="s">
        <v>394</v>
      </c>
      <c r="D49" s="281"/>
    </row>
    <row r="50" spans="1:6" s="6" customFormat="1" ht="18.75">
      <c r="A50" s="43" t="s">
        <v>172</v>
      </c>
      <c r="B50" s="319"/>
      <c r="C50" s="1" t="s">
        <v>394</v>
      </c>
      <c r="D50" s="281"/>
      <c r="E50" s="1"/>
      <c r="F50" s="4"/>
    </row>
    <row r="51" spans="1:6" ht="15.75">
      <c r="A51" s="43" t="s">
        <v>373</v>
      </c>
      <c r="B51" s="321">
        <v>1318759</v>
      </c>
      <c r="C51" s="1" t="s">
        <v>394</v>
      </c>
      <c r="D51" s="281"/>
      <c r="E51" s="1"/>
      <c r="F51" s="1"/>
    </row>
    <row r="52" spans="1:6" ht="15.75">
      <c r="A52" s="7" t="s">
        <v>37</v>
      </c>
      <c r="B52" s="321"/>
      <c r="C52" s="1"/>
      <c r="D52" s="282">
        <f>SUM(D34:D51)</f>
        <v>130639609</v>
      </c>
      <c r="E52" s="4" t="s">
        <v>394</v>
      </c>
      <c r="F52" s="1"/>
    </row>
    <row r="53" spans="1:6" ht="15.75">
      <c r="A53" s="43"/>
      <c r="B53" s="48"/>
      <c r="C53" s="1"/>
      <c r="D53" s="283"/>
      <c r="E53" s="1"/>
      <c r="F53" s="1"/>
    </row>
    <row r="54" spans="1:6" ht="18.75">
      <c r="A54" s="7" t="s">
        <v>38</v>
      </c>
      <c r="B54" s="48"/>
      <c r="C54" s="1"/>
      <c r="D54" s="282">
        <f>D31-D52</f>
        <v>-70404000</v>
      </c>
      <c r="E54" s="4" t="s">
        <v>394</v>
      </c>
      <c r="F54" s="6"/>
    </row>
    <row r="55" spans="1:4" ht="15.75">
      <c r="A55" s="43"/>
      <c r="B55" s="48"/>
      <c r="C55" s="1"/>
      <c r="D55" s="282"/>
    </row>
    <row r="56" spans="1:5" ht="48">
      <c r="A56" s="101" t="s">
        <v>430</v>
      </c>
      <c r="B56" s="50"/>
      <c r="C56" s="6"/>
      <c r="D56" s="282">
        <v>29614876</v>
      </c>
      <c r="E56" s="4" t="s">
        <v>394</v>
      </c>
    </row>
    <row r="57" spans="1:6" s="1" customFormat="1" ht="15.75">
      <c r="A57" s="285" t="s">
        <v>382</v>
      </c>
      <c r="B57" s="47"/>
      <c r="C57" s="4"/>
      <c r="D57" s="282">
        <v>40789124</v>
      </c>
      <c r="E57" s="4"/>
      <c r="F57" s="4"/>
    </row>
    <row r="58" spans="1:5" ht="15.75">
      <c r="A58" s="7" t="s">
        <v>58</v>
      </c>
      <c r="D58" s="280">
        <f>D54+D56+D57</f>
        <v>0</v>
      </c>
      <c r="E58" s="4" t="s">
        <v>394</v>
      </c>
    </row>
    <row r="59" spans="1:4" s="1" customFormat="1" ht="10.5" customHeight="1">
      <c r="A59" s="5"/>
      <c r="B59" s="48"/>
      <c r="D59" s="20"/>
    </row>
    <row r="60" spans="1:5" ht="15.75">
      <c r="A60" s="5"/>
      <c r="B60" s="48"/>
      <c r="C60" s="1"/>
      <c r="D60" s="20"/>
      <c r="E60" s="7"/>
    </row>
    <row r="61" spans="1:5" ht="15.75">
      <c r="A61" s="7"/>
      <c r="D61" s="21"/>
      <c r="E61" s="7"/>
    </row>
  </sheetData>
  <sheetProtection/>
  <mergeCells count="6">
    <mergeCell ref="A1:E1"/>
    <mergeCell ref="A8:E8"/>
    <mergeCell ref="A6:E6"/>
    <mergeCell ref="A5:E5"/>
    <mergeCell ref="A7:E7"/>
    <mergeCell ref="A3:E3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A7" sqref="A7:I7"/>
    </sheetView>
  </sheetViews>
  <sheetFormatPr defaultColWidth="9.00390625" defaultRowHeight="12.75"/>
  <cols>
    <col min="1" max="1" width="4.25390625" style="55" customWidth="1"/>
    <col min="2" max="5" width="3.125" style="54" customWidth="1"/>
    <col min="6" max="6" width="52.125" style="8" customWidth="1"/>
    <col min="7" max="7" width="14.00390625" style="8" customWidth="1"/>
    <col min="8" max="8" width="16.75390625" style="8" customWidth="1"/>
    <col min="9" max="9" width="9.375" style="8" customWidth="1"/>
    <col min="10" max="16384" width="9.125" style="8" customWidth="1"/>
  </cols>
  <sheetData>
    <row r="1" spans="1:9" ht="15.75">
      <c r="A1" s="183" t="s">
        <v>442</v>
      </c>
      <c r="B1" s="183"/>
      <c r="C1" s="183"/>
      <c r="D1" s="183"/>
      <c r="E1" s="183"/>
      <c r="F1" s="70"/>
      <c r="G1" s="70"/>
      <c r="H1" s="70"/>
      <c r="I1" s="70"/>
    </row>
    <row r="2" spans="1:9" ht="15.75">
      <c r="A2" s="183"/>
      <c r="B2" s="183"/>
      <c r="C2" s="183"/>
      <c r="D2" s="183"/>
      <c r="E2" s="183"/>
      <c r="F2" s="70"/>
      <c r="G2" s="70"/>
      <c r="H2" s="70"/>
      <c r="I2" s="70"/>
    </row>
    <row r="3" spans="1:9" ht="15.75">
      <c r="A3" s="183" t="s">
        <v>386</v>
      </c>
      <c r="B3" s="183"/>
      <c r="C3" s="183"/>
      <c r="D3" s="183"/>
      <c r="E3" s="183"/>
      <c r="F3" s="70"/>
      <c r="G3" s="70"/>
      <c r="H3" s="70"/>
      <c r="I3" s="70"/>
    </row>
    <row r="4" spans="1:9" ht="15.75">
      <c r="A4" s="183"/>
      <c r="B4" s="183"/>
      <c r="C4" s="183"/>
      <c r="D4" s="183"/>
      <c r="E4" s="183"/>
      <c r="F4" s="70"/>
      <c r="G4" s="70"/>
      <c r="H4" s="70"/>
      <c r="I4" s="70"/>
    </row>
    <row r="5" spans="1:9" ht="15.75">
      <c r="A5" s="379"/>
      <c r="B5" s="379"/>
      <c r="C5" s="379"/>
      <c r="D5" s="379"/>
      <c r="E5" s="379"/>
      <c r="F5" s="379"/>
      <c r="G5" s="379"/>
      <c r="H5" s="379"/>
      <c r="I5" s="379"/>
    </row>
    <row r="6" spans="1:9" s="9" customFormat="1" ht="15.75">
      <c r="A6" s="390" t="s">
        <v>3</v>
      </c>
      <c r="B6" s="390"/>
      <c r="C6" s="390"/>
      <c r="D6" s="390"/>
      <c r="E6" s="390"/>
      <c r="F6" s="390"/>
      <c r="G6" s="390"/>
      <c r="H6" s="390"/>
      <c r="I6" s="390"/>
    </row>
    <row r="7" spans="1:9" s="9" customFormat="1" ht="15.75">
      <c r="A7" s="390" t="s">
        <v>28</v>
      </c>
      <c r="B7" s="390"/>
      <c r="C7" s="390"/>
      <c r="D7" s="390"/>
      <c r="E7" s="390"/>
      <c r="F7" s="390"/>
      <c r="G7" s="390"/>
      <c r="H7" s="390"/>
      <c r="I7" s="390"/>
    </row>
    <row r="8" spans="1:9" ht="15.75">
      <c r="A8" s="390" t="s">
        <v>352</v>
      </c>
      <c r="B8" s="390"/>
      <c r="C8" s="390"/>
      <c r="D8" s="390"/>
      <c r="E8" s="390"/>
      <c r="F8" s="390"/>
      <c r="G8" s="390"/>
      <c r="H8" s="390"/>
      <c r="I8" s="390"/>
    </row>
    <row r="9" ht="15.75" hidden="1"/>
    <row r="10" spans="8:9" ht="16.5" thickBot="1">
      <c r="H10" s="57"/>
      <c r="I10" s="58" t="s">
        <v>395</v>
      </c>
    </row>
    <row r="11" spans="1:9" ht="15.75">
      <c r="A11" s="381" t="s">
        <v>12</v>
      </c>
      <c r="B11" s="382"/>
      <c r="C11" s="382"/>
      <c r="D11" s="382"/>
      <c r="E11" s="382"/>
      <c r="F11" s="383"/>
      <c r="G11" s="59" t="s">
        <v>10</v>
      </c>
      <c r="H11" s="59" t="s">
        <v>10</v>
      </c>
      <c r="I11" s="59" t="s">
        <v>11</v>
      </c>
    </row>
    <row r="12" spans="1:9" ht="15.75">
      <c r="A12" s="384"/>
      <c r="B12" s="385"/>
      <c r="C12" s="385"/>
      <c r="D12" s="385"/>
      <c r="E12" s="385"/>
      <c r="F12" s="386"/>
      <c r="G12" s="60" t="s">
        <v>6</v>
      </c>
      <c r="H12" s="60" t="s">
        <v>6</v>
      </c>
      <c r="I12" s="60"/>
    </row>
    <row r="13" spans="1:9" ht="16.5" thickBot="1">
      <c r="A13" s="387"/>
      <c r="B13" s="388"/>
      <c r="C13" s="388"/>
      <c r="D13" s="388"/>
      <c r="E13" s="388"/>
      <c r="F13" s="389"/>
      <c r="G13" s="61" t="s">
        <v>141</v>
      </c>
      <c r="H13" s="61" t="s">
        <v>352</v>
      </c>
      <c r="I13" s="61" t="s">
        <v>13</v>
      </c>
    </row>
    <row r="14" spans="1:9" ht="15.75">
      <c r="A14" s="249"/>
      <c r="B14" s="249"/>
      <c r="C14" s="249"/>
      <c r="D14" s="249"/>
      <c r="E14" s="249"/>
      <c r="F14" s="249"/>
      <c r="G14" s="249"/>
      <c r="H14" s="249"/>
      <c r="I14" s="249"/>
    </row>
    <row r="15" spans="1:9" ht="15.75">
      <c r="A15" s="249"/>
      <c r="B15" s="249"/>
      <c r="C15" s="249"/>
      <c r="D15" s="249"/>
      <c r="E15" s="249"/>
      <c r="F15" s="249"/>
      <c r="G15" s="249"/>
      <c r="H15" s="249"/>
      <c r="I15" s="249"/>
    </row>
    <row r="16" spans="1:9" ht="15.75">
      <c r="A16" s="16" t="s">
        <v>39</v>
      </c>
      <c r="B16" s="380" t="s">
        <v>64</v>
      </c>
      <c r="C16" s="380"/>
      <c r="D16" s="380"/>
      <c r="E16" s="380"/>
      <c r="F16" s="380"/>
      <c r="G16" s="73"/>
      <c r="H16" s="74"/>
      <c r="I16" s="73"/>
    </row>
    <row r="17" spans="1:9" ht="15.75">
      <c r="A17" s="16"/>
      <c r="B17" s="16" t="s">
        <v>39</v>
      </c>
      <c r="C17" s="16" t="s">
        <v>65</v>
      </c>
      <c r="D17" s="16"/>
      <c r="E17" s="16"/>
      <c r="F17" s="16"/>
      <c r="G17" s="35"/>
      <c r="H17" s="35"/>
      <c r="I17" s="16"/>
    </row>
    <row r="18" spans="1:9" ht="33" customHeight="1">
      <c r="A18" s="16"/>
      <c r="B18" s="16"/>
      <c r="C18" s="16" t="s">
        <v>34</v>
      </c>
      <c r="D18" s="380" t="s">
        <v>66</v>
      </c>
      <c r="E18" s="380"/>
      <c r="F18" s="380"/>
      <c r="G18" s="74"/>
      <c r="H18" s="74"/>
      <c r="I18" s="73"/>
    </row>
    <row r="19" spans="1:9" ht="33.75" customHeight="1">
      <c r="A19" s="16"/>
      <c r="B19" s="16"/>
      <c r="C19" s="16"/>
      <c r="D19" s="16" t="s">
        <v>34</v>
      </c>
      <c r="E19" s="380" t="s">
        <v>67</v>
      </c>
      <c r="F19" s="380"/>
      <c r="G19" s="74"/>
      <c r="H19" s="74"/>
      <c r="I19" s="73"/>
    </row>
    <row r="20" spans="1:9" ht="15.75">
      <c r="A20" s="19"/>
      <c r="B20" s="19"/>
      <c r="C20" s="19"/>
      <c r="D20" s="19"/>
      <c r="E20" s="19" t="s">
        <v>46</v>
      </c>
      <c r="F20" s="19" t="s">
        <v>40</v>
      </c>
      <c r="G20" s="34"/>
      <c r="H20" s="34"/>
      <c r="I20" s="75"/>
    </row>
    <row r="21" spans="1:9" ht="15.75">
      <c r="A21" s="19"/>
      <c r="B21" s="19"/>
      <c r="C21" s="19"/>
      <c r="D21" s="19"/>
      <c r="E21" s="19"/>
      <c r="F21" s="19" t="s">
        <v>68</v>
      </c>
      <c r="G21" s="34"/>
      <c r="I21" s="75"/>
    </row>
    <row r="22" spans="1:9" ht="31.5">
      <c r="A22" s="19"/>
      <c r="B22" s="19"/>
      <c r="C22" s="19"/>
      <c r="D22" s="19"/>
      <c r="E22" s="19" t="s">
        <v>47</v>
      </c>
      <c r="F22" s="76" t="s">
        <v>41</v>
      </c>
      <c r="G22" s="77"/>
      <c r="I22" s="75"/>
    </row>
    <row r="23" spans="1:9" ht="31.5">
      <c r="A23" s="19"/>
      <c r="B23" s="19"/>
      <c r="C23" s="19"/>
      <c r="D23" s="19"/>
      <c r="E23" s="19" t="s">
        <v>69</v>
      </c>
      <c r="F23" s="76" t="s">
        <v>70</v>
      </c>
      <c r="G23" s="275">
        <v>2553000</v>
      </c>
      <c r="H23" s="274">
        <v>2553350</v>
      </c>
      <c r="I23" s="75">
        <f>H23/G23*100</f>
        <v>100.01370936153545</v>
      </c>
    </row>
    <row r="24" spans="1:9" ht="15.75">
      <c r="A24" s="19"/>
      <c r="B24" s="19"/>
      <c r="C24" s="19"/>
      <c r="D24" s="19"/>
      <c r="E24" s="19"/>
      <c r="F24" s="19" t="s">
        <v>68</v>
      </c>
      <c r="G24" s="275"/>
      <c r="H24" s="274"/>
      <c r="I24" s="75"/>
    </row>
    <row r="25" spans="1:9" ht="15.75">
      <c r="A25" s="19"/>
      <c r="B25" s="19"/>
      <c r="C25" s="19"/>
      <c r="D25" s="19"/>
      <c r="E25" s="19" t="s">
        <v>71</v>
      </c>
      <c r="F25" s="76" t="s">
        <v>72</v>
      </c>
      <c r="G25" s="275">
        <v>3392000</v>
      </c>
      <c r="H25" s="274">
        <v>3648000</v>
      </c>
      <c r="I25" s="75">
        <f aca="true" t="shared" si="0" ref="I25:I31">H25/G25*100</f>
        <v>107.54716981132076</v>
      </c>
    </row>
    <row r="26" spans="1:9" ht="15.75">
      <c r="A26" s="19"/>
      <c r="B26" s="19"/>
      <c r="C26" s="19"/>
      <c r="D26" s="19"/>
      <c r="E26" s="19"/>
      <c r="F26" s="19" t="s">
        <v>68</v>
      </c>
      <c r="G26" s="275"/>
      <c r="H26" s="274"/>
      <c r="I26" s="75"/>
    </row>
    <row r="27" spans="1:9" ht="33" customHeight="1">
      <c r="A27" s="19"/>
      <c r="B27" s="19"/>
      <c r="C27" s="19"/>
      <c r="D27" s="19"/>
      <c r="E27" s="19" t="s">
        <v>73</v>
      </c>
      <c r="F27" s="76" t="s">
        <v>74</v>
      </c>
      <c r="G27" s="275">
        <v>100000</v>
      </c>
      <c r="H27" s="274">
        <v>100000</v>
      </c>
      <c r="I27" s="75">
        <f t="shared" si="0"/>
        <v>100</v>
      </c>
    </row>
    <row r="28" spans="1:9" ht="15.75">
      <c r="A28" s="19"/>
      <c r="B28" s="19"/>
      <c r="C28" s="19"/>
      <c r="D28" s="19"/>
      <c r="E28" s="19"/>
      <c r="F28" s="19" t="s">
        <v>68</v>
      </c>
      <c r="G28" s="275"/>
      <c r="H28" s="274"/>
      <c r="I28" s="75"/>
    </row>
    <row r="29" spans="1:9" ht="15.75">
      <c r="A29" s="19"/>
      <c r="B29" s="19"/>
      <c r="C29" s="19"/>
      <c r="D29" s="19"/>
      <c r="E29" s="19" t="s">
        <v>75</v>
      </c>
      <c r="F29" s="76" t="s">
        <v>76</v>
      </c>
      <c r="G29" s="275">
        <v>7507000</v>
      </c>
      <c r="H29" s="274">
        <v>7506890</v>
      </c>
      <c r="I29" s="75">
        <f t="shared" si="0"/>
        <v>99.99853470094578</v>
      </c>
    </row>
    <row r="30" spans="1:9" s="44" customFormat="1" ht="15.75">
      <c r="A30" s="19"/>
      <c r="B30" s="19"/>
      <c r="C30" s="19"/>
      <c r="D30" s="19"/>
      <c r="E30" s="19"/>
      <c r="F30" s="19" t="s">
        <v>68</v>
      </c>
      <c r="G30" s="275"/>
      <c r="H30" s="292"/>
      <c r="I30" s="75"/>
    </row>
    <row r="31" spans="1:9" ht="15.75">
      <c r="A31" s="19"/>
      <c r="B31" s="19"/>
      <c r="C31" s="19"/>
      <c r="D31" s="19" t="s">
        <v>48</v>
      </c>
      <c r="E31" s="19" t="s">
        <v>77</v>
      </c>
      <c r="F31" s="19"/>
      <c r="G31" s="275">
        <v>4000000</v>
      </c>
      <c r="H31" s="274">
        <v>5000000</v>
      </c>
      <c r="I31" s="75">
        <f t="shared" si="0"/>
        <v>125</v>
      </c>
    </row>
    <row r="32" spans="1:9" ht="15.75">
      <c r="A32" s="19"/>
      <c r="B32" s="19"/>
      <c r="C32" s="19"/>
      <c r="D32" s="19"/>
      <c r="E32" s="19"/>
      <c r="F32" s="19" t="s">
        <v>68</v>
      </c>
      <c r="G32" s="293">
        <v>-239000</v>
      </c>
      <c r="H32" s="274">
        <v>-267242</v>
      </c>
      <c r="I32" s="75">
        <f>H32/G32*100</f>
        <v>111.81673640167364</v>
      </c>
    </row>
    <row r="33" spans="1:9" ht="15.75">
      <c r="A33" s="19"/>
      <c r="B33" s="19"/>
      <c r="C33" s="19"/>
      <c r="D33" s="19" t="s">
        <v>49</v>
      </c>
      <c r="E33" s="19" t="s">
        <v>143</v>
      </c>
      <c r="F33" s="19"/>
      <c r="G33" s="275">
        <v>20000</v>
      </c>
      <c r="H33" s="274">
        <v>20400</v>
      </c>
      <c r="I33" s="75">
        <f>H33/G33*100</f>
        <v>102</v>
      </c>
    </row>
    <row r="34" spans="1:9" ht="15.75">
      <c r="A34" s="19"/>
      <c r="B34" s="19"/>
      <c r="C34" s="19"/>
      <c r="D34" s="19" t="s">
        <v>144</v>
      </c>
      <c r="E34" s="19" t="s">
        <v>93</v>
      </c>
      <c r="F34" s="19"/>
      <c r="G34" s="275">
        <v>682000</v>
      </c>
      <c r="H34" s="274">
        <v>206150</v>
      </c>
      <c r="I34" s="75">
        <f>H34/G34*100</f>
        <v>30.227272727272727</v>
      </c>
    </row>
    <row r="35" spans="1:9" ht="15.75">
      <c r="A35" s="19"/>
      <c r="B35" s="19"/>
      <c r="C35" s="19" t="s">
        <v>15</v>
      </c>
      <c r="D35" s="401" t="s">
        <v>79</v>
      </c>
      <c r="E35" s="401"/>
      <c r="F35" s="401"/>
      <c r="G35" s="275">
        <v>6000</v>
      </c>
      <c r="H35" s="274">
        <v>3200</v>
      </c>
      <c r="I35" s="75">
        <f>H35/G35*100</f>
        <v>53.333333333333336</v>
      </c>
    </row>
    <row r="36" spans="1:9" ht="15.75">
      <c r="A36" s="19"/>
      <c r="B36" s="19"/>
      <c r="C36" s="19" t="s">
        <v>91</v>
      </c>
      <c r="D36" s="19" t="s">
        <v>145</v>
      </c>
      <c r="E36" s="19"/>
      <c r="F36" s="19"/>
      <c r="G36" s="275">
        <v>48000</v>
      </c>
      <c r="H36" s="274">
        <v>33909</v>
      </c>
      <c r="I36" s="75">
        <f>H36/G36*100</f>
        <v>70.64375000000001</v>
      </c>
    </row>
    <row r="37" spans="1:9" s="44" customFormat="1" ht="15.75">
      <c r="A37" s="19"/>
      <c r="B37" s="19"/>
      <c r="C37" s="19"/>
      <c r="D37" s="19" t="s">
        <v>15</v>
      </c>
      <c r="E37" s="19" t="s">
        <v>78</v>
      </c>
      <c r="F37" s="19"/>
      <c r="G37" s="275"/>
      <c r="H37" s="292"/>
      <c r="I37" s="75"/>
    </row>
    <row r="38" spans="1:9" ht="15.75">
      <c r="A38" s="19"/>
      <c r="B38" s="19"/>
      <c r="C38" s="19"/>
      <c r="D38" s="19"/>
      <c r="E38" s="19"/>
      <c r="F38" s="19" t="s">
        <v>68</v>
      </c>
      <c r="G38" s="275"/>
      <c r="H38" s="274"/>
      <c r="I38" s="75"/>
    </row>
    <row r="39" spans="1:9" ht="15.75">
      <c r="A39" s="19"/>
      <c r="B39" s="19"/>
      <c r="C39" s="19"/>
      <c r="D39" s="19"/>
      <c r="E39" s="19"/>
      <c r="F39" s="19"/>
      <c r="G39" s="275"/>
      <c r="H39" s="274"/>
      <c r="I39" s="75"/>
    </row>
    <row r="40" spans="1:9" ht="31.5" customHeight="1">
      <c r="A40" s="79"/>
      <c r="B40" s="79"/>
      <c r="C40" s="80"/>
      <c r="D40" s="391" t="s">
        <v>80</v>
      </c>
      <c r="E40" s="391"/>
      <c r="F40" s="391"/>
      <c r="G40" s="294">
        <f>SUM(G20:G39)</f>
        <v>18069000</v>
      </c>
      <c r="H40" s="294">
        <f>SUM(H20:H39)</f>
        <v>18804657</v>
      </c>
      <c r="I40" s="95">
        <f>H40/G40*100</f>
        <v>104.07137639050308</v>
      </c>
    </row>
    <row r="41" spans="1:9" s="44" customFormat="1" ht="15.75">
      <c r="A41" s="16"/>
      <c r="B41" s="16"/>
      <c r="C41" s="16"/>
      <c r="D41" s="72"/>
      <c r="E41" s="72"/>
      <c r="F41" s="72"/>
      <c r="G41" s="295"/>
      <c r="H41" s="292"/>
      <c r="I41" s="75"/>
    </row>
    <row r="42" spans="1:9" ht="15.75">
      <c r="A42" s="19"/>
      <c r="B42" s="19"/>
      <c r="C42" s="16" t="s">
        <v>35</v>
      </c>
      <c r="D42" s="380" t="s">
        <v>81</v>
      </c>
      <c r="E42" s="380"/>
      <c r="F42" s="380"/>
      <c r="G42" s="295"/>
      <c r="H42" s="274"/>
      <c r="I42" s="75"/>
    </row>
    <row r="43" spans="1:9" ht="15.75">
      <c r="A43" s="19"/>
      <c r="B43" s="19"/>
      <c r="C43" s="19"/>
      <c r="D43" s="19" t="s">
        <v>34</v>
      </c>
      <c r="E43" s="19" t="s">
        <v>146</v>
      </c>
      <c r="F43" s="19"/>
      <c r="G43" s="275">
        <v>327000</v>
      </c>
      <c r="H43" s="274"/>
      <c r="I43" s="75">
        <f>H43/G43*100</f>
        <v>0</v>
      </c>
    </row>
    <row r="44" spans="1:9" ht="30.75" customHeight="1">
      <c r="A44" s="19"/>
      <c r="B44" s="19"/>
      <c r="C44" s="19"/>
      <c r="D44" s="19" t="s">
        <v>15</v>
      </c>
      <c r="E44" s="401" t="s">
        <v>147</v>
      </c>
      <c r="F44" s="401"/>
      <c r="G44" s="275">
        <v>1990000</v>
      </c>
      <c r="H44" s="274">
        <v>3855289</v>
      </c>
      <c r="I44" s="75"/>
    </row>
    <row r="45" spans="1:9" ht="15.75">
      <c r="A45" s="19"/>
      <c r="B45" s="19"/>
      <c r="C45" s="19"/>
      <c r="D45" s="19" t="s">
        <v>35</v>
      </c>
      <c r="E45" s="19" t="s">
        <v>82</v>
      </c>
      <c r="F45" s="19"/>
      <c r="G45" s="275">
        <v>1052000</v>
      </c>
      <c r="H45" s="274">
        <v>830400</v>
      </c>
      <c r="I45" s="75">
        <f>H45/G45*100</f>
        <v>78.93536121673004</v>
      </c>
    </row>
    <row r="46" spans="1:9" ht="15.75">
      <c r="A46" s="19"/>
      <c r="B46" s="19"/>
      <c r="C46" s="19"/>
      <c r="D46" s="19" t="s">
        <v>83</v>
      </c>
      <c r="E46" s="19" t="s">
        <v>84</v>
      </c>
      <c r="F46" s="19"/>
      <c r="G46" s="275"/>
      <c r="H46" s="274"/>
      <c r="I46" s="75"/>
    </row>
    <row r="47" spans="1:9" ht="15.75">
      <c r="A47" s="19"/>
      <c r="B47" s="19"/>
      <c r="C47" s="19"/>
      <c r="D47" s="19" t="s">
        <v>85</v>
      </c>
      <c r="E47" s="19" t="s">
        <v>86</v>
      </c>
      <c r="F47" s="19"/>
      <c r="G47" s="275">
        <v>3128000</v>
      </c>
      <c r="H47" s="274">
        <f>195840+3823675-88130</f>
        <v>3931385</v>
      </c>
      <c r="I47" s="75">
        <f>H47/G47*100</f>
        <v>125.68366368286445</v>
      </c>
    </row>
    <row r="48" spans="1:9" ht="15.75">
      <c r="A48" s="19"/>
      <c r="B48" s="19"/>
      <c r="C48" s="19"/>
      <c r="D48" s="19"/>
      <c r="E48" s="19"/>
      <c r="F48" s="19"/>
      <c r="G48" s="275"/>
      <c r="H48" s="274"/>
      <c r="I48" s="75"/>
    </row>
    <row r="49" spans="1:9" ht="33.75" customHeight="1">
      <c r="A49" s="79"/>
      <c r="B49" s="79"/>
      <c r="C49" s="391" t="s">
        <v>87</v>
      </c>
      <c r="D49" s="391"/>
      <c r="E49" s="391"/>
      <c r="F49" s="391"/>
      <c r="G49" s="276">
        <f>SUM(G43:G48)</f>
        <v>6497000</v>
      </c>
      <c r="H49" s="276">
        <f>SUM(H43:H48)</f>
        <v>8617074</v>
      </c>
      <c r="I49" s="95">
        <f>H49/G49*100</f>
        <v>132.63158380791134</v>
      </c>
    </row>
    <row r="50" spans="1:9" ht="33.75" customHeight="1">
      <c r="A50" s="79"/>
      <c r="B50" s="79"/>
      <c r="C50" s="247"/>
      <c r="D50" s="247"/>
      <c r="E50" s="247"/>
      <c r="F50" s="247"/>
      <c r="G50" s="276"/>
      <c r="H50" s="276"/>
      <c r="I50" s="95"/>
    </row>
    <row r="51" spans="1:9" ht="33.75" customHeight="1">
      <c r="A51" s="79"/>
      <c r="B51" s="79"/>
      <c r="C51" s="247"/>
      <c r="D51" s="247"/>
      <c r="E51" s="247"/>
      <c r="F51" s="247"/>
      <c r="G51" s="276"/>
      <c r="H51" s="276"/>
      <c r="I51" s="95"/>
    </row>
    <row r="52" spans="1:9" ht="16.5" thickBot="1">
      <c r="A52" s="79"/>
      <c r="B52" s="79"/>
      <c r="C52" s="247"/>
      <c r="D52" s="247"/>
      <c r="E52" s="247"/>
      <c r="F52" s="247"/>
      <c r="G52" s="81"/>
      <c r="H52" s="81"/>
      <c r="I52" s="95"/>
    </row>
    <row r="53" spans="1:9" ht="15.75">
      <c r="A53" s="392" t="s">
        <v>12</v>
      </c>
      <c r="B53" s="393"/>
      <c r="C53" s="393"/>
      <c r="D53" s="393"/>
      <c r="E53" s="393"/>
      <c r="F53" s="394"/>
      <c r="G53" s="59" t="s">
        <v>10</v>
      </c>
      <c r="H53" s="59" t="s">
        <v>10</v>
      </c>
      <c r="I53" s="59" t="s">
        <v>11</v>
      </c>
    </row>
    <row r="54" spans="1:9" ht="15.75">
      <c r="A54" s="395"/>
      <c r="B54" s="396"/>
      <c r="C54" s="396"/>
      <c r="D54" s="396"/>
      <c r="E54" s="396"/>
      <c r="F54" s="397"/>
      <c r="G54" s="60" t="s">
        <v>6</v>
      </c>
      <c r="H54" s="60" t="s">
        <v>6</v>
      </c>
      <c r="I54" s="60"/>
    </row>
    <row r="55" spans="1:9" ht="16.5" thickBot="1">
      <c r="A55" s="398"/>
      <c r="B55" s="399"/>
      <c r="C55" s="399"/>
      <c r="D55" s="399"/>
      <c r="E55" s="399"/>
      <c r="F55" s="400"/>
      <c r="G55" s="61" t="s">
        <v>141</v>
      </c>
      <c r="H55" s="61" t="s">
        <v>352</v>
      </c>
      <c r="I55" s="61" t="s">
        <v>13</v>
      </c>
    </row>
    <row r="56" spans="1:9" ht="12" customHeight="1">
      <c r="A56" s="19"/>
      <c r="B56" s="19"/>
      <c r="C56" s="19"/>
      <c r="D56" s="19"/>
      <c r="E56" s="19"/>
      <c r="F56" s="19"/>
      <c r="G56" s="34"/>
      <c r="H56" s="34"/>
      <c r="I56" s="75"/>
    </row>
    <row r="57" spans="1:9" ht="31.5" customHeight="1">
      <c r="A57" s="19"/>
      <c r="B57" s="19"/>
      <c r="C57" s="16" t="s">
        <v>83</v>
      </c>
      <c r="D57" s="380" t="s">
        <v>88</v>
      </c>
      <c r="E57" s="380"/>
      <c r="F57" s="380"/>
      <c r="G57" s="74"/>
      <c r="H57" s="74"/>
      <c r="I57" s="73"/>
    </row>
    <row r="58" spans="1:9" ht="15.75">
      <c r="A58" s="19"/>
      <c r="B58" s="19"/>
      <c r="C58" s="19"/>
      <c r="D58" s="19" t="s">
        <v>34</v>
      </c>
      <c r="E58" s="401" t="s">
        <v>44</v>
      </c>
      <c r="F58" s="401"/>
      <c r="G58" s="77"/>
      <c r="H58" s="77"/>
      <c r="I58" s="76"/>
    </row>
    <row r="59" spans="1:9" ht="31.5">
      <c r="A59" s="19"/>
      <c r="B59" s="19"/>
      <c r="C59" s="19"/>
      <c r="D59" s="19"/>
      <c r="E59" s="19" t="s">
        <v>49</v>
      </c>
      <c r="F59" s="76" t="s">
        <v>89</v>
      </c>
      <c r="G59" s="293">
        <v>1200000</v>
      </c>
      <c r="H59" s="305">
        <v>1200000</v>
      </c>
      <c r="I59" s="75">
        <f>H59/G59*100</f>
        <v>100</v>
      </c>
    </row>
    <row r="60" spans="1:9" ht="12" customHeight="1">
      <c r="A60" s="19"/>
      <c r="B60" s="19"/>
      <c r="C60" s="19"/>
      <c r="D60" s="19"/>
      <c r="E60" s="19"/>
      <c r="F60" s="19"/>
      <c r="G60" s="275"/>
      <c r="H60" s="275"/>
      <c r="I60" s="75"/>
    </row>
    <row r="61" spans="1:9" ht="15.75">
      <c r="A61" s="79"/>
      <c r="B61" s="79"/>
      <c r="C61" s="403" t="s">
        <v>90</v>
      </c>
      <c r="D61" s="403"/>
      <c r="E61" s="403"/>
      <c r="F61" s="403"/>
      <c r="G61" s="276">
        <f>SUM(G59:G60)</f>
        <v>1200000</v>
      </c>
      <c r="H61" s="276">
        <f>SUM(H59:H60)</f>
        <v>1200000</v>
      </c>
      <c r="I61" s="277">
        <f>H61/G61*100</f>
        <v>100</v>
      </c>
    </row>
    <row r="62" spans="1:9" ht="12" customHeight="1">
      <c r="A62" s="19"/>
      <c r="B62" s="19"/>
      <c r="C62" s="19"/>
      <c r="D62" s="19"/>
      <c r="E62" s="19"/>
      <c r="F62" s="19"/>
      <c r="G62" s="275"/>
      <c r="H62" s="275"/>
      <c r="I62" s="75"/>
    </row>
    <row r="63" spans="1:9" ht="15.75">
      <c r="A63" s="84"/>
      <c r="B63" s="84"/>
      <c r="C63" s="88" t="s">
        <v>91</v>
      </c>
      <c r="D63" s="16" t="s">
        <v>92</v>
      </c>
      <c r="E63" s="84"/>
      <c r="F63" s="84"/>
      <c r="G63" s="296"/>
      <c r="H63" s="296"/>
      <c r="I63" s="75"/>
    </row>
    <row r="64" spans="1:9" ht="15.75">
      <c r="A64" s="84"/>
      <c r="B64" s="84"/>
      <c r="C64" s="84"/>
      <c r="D64" s="84" t="s">
        <v>34</v>
      </c>
      <c r="E64" s="404" t="s">
        <v>381</v>
      </c>
      <c r="F64" s="404"/>
      <c r="G64" s="296"/>
      <c r="H64" s="303">
        <f>112611+47498+23876+11938-5550+604520</f>
        <v>794893</v>
      </c>
      <c r="I64" s="75"/>
    </row>
    <row r="65" spans="1:9" ht="12" customHeight="1">
      <c r="A65" s="19"/>
      <c r="B65" s="19"/>
      <c r="C65" s="19"/>
      <c r="D65" s="19"/>
      <c r="E65" s="19"/>
      <c r="F65" s="19"/>
      <c r="G65" s="275"/>
      <c r="H65" s="275"/>
      <c r="I65" s="75"/>
    </row>
    <row r="66" spans="1:9" ht="15.75">
      <c r="A66" s="19"/>
      <c r="B66" s="19"/>
      <c r="C66" s="79" t="s">
        <v>142</v>
      </c>
      <c r="D66" s="19"/>
      <c r="E66" s="19"/>
      <c r="F66" s="19"/>
      <c r="G66" s="276"/>
      <c r="H66" s="276"/>
      <c r="I66" s="75"/>
    </row>
    <row r="67" spans="1:9" ht="12" customHeight="1">
      <c r="A67" s="19"/>
      <c r="B67" s="19"/>
      <c r="C67" s="16"/>
      <c r="D67" s="19"/>
      <c r="E67" s="19"/>
      <c r="F67" s="19"/>
      <c r="G67" s="275"/>
      <c r="H67" s="275"/>
      <c r="I67" s="75"/>
    </row>
    <row r="68" spans="1:9" ht="15.75">
      <c r="A68" s="84"/>
      <c r="B68" s="380" t="s">
        <v>94</v>
      </c>
      <c r="C68" s="380"/>
      <c r="D68" s="380"/>
      <c r="E68" s="380"/>
      <c r="F68" s="380"/>
      <c r="G68" s="302">
        <f>G40+G49+G61+G66</f>
        <v>25766000</v>
      </c>
      <c r="H68" s="302">
        <f>H40+H49+H61+H64</f>
        <v>29416624</v>
      </c>
      <c r="I68" s="91">
        <f>H68/G68*100</f>
        <v>114.1683769308391</v>
      </c>
    </row>
    <row r="69" spans="1:9" ht="12" customHeight="1">
      <c r="A69" s="19"/>
      <c r="B69" s="19"/>
      <c r="C69" s="19"/>
      <c r="D69" s="19"/>
      <c r="E69" s="19"/>
      <c r="F69" s="19"/>
      <c r="G69" s="275"/>
      <c r="H69" s="275"/>
      <c r="I69" s="75"/>
    </row>
    <row r="70" spans="1:9" ht="15.75">
      <c r="A70" s="84"/>
      <c r="B70" s="16" t="s">
        <v>42</v>
      </c>
      <c r="C70" s="380" t="s">
        <v>95</v>
      </c>
      <c r="D70" s="380"/>
      <c r="E70" s="380"/>
      <c r="F70" s="380"/>
      <c r="G70" s="298"/>
      <c r="H70" s="295"/>
      <c r="I70" s="75"/>
    </row>
    <row r="71" spans="1:9" ht="15.75">
      <c r="A71" s="19"/>
      <c r="B71" s="19"/>
      <c r="C71" s="19" t="s">
        <v>34</v>
      </c>
      <c r="D71" s="19" t="s">
        <v>96</v>
      </c>
      <c r="E71" s="19"/>
      <c r="F71" s="19"/>
      <c r="G71" s="296"/>
      <c r="H71" s="275">
        <f>756671+359998+359364+324244</f>
        <v>1800277</v>
      </c>
      <c r="I71" s="75"/>
    </row>
    <row r="72" spans="1:9" ht="30" customHeight="1">
      <c r="A72" s="19"/>
      <c r="B72" s="19"/>
      <c r="C72" s="19" t="s">
        <v>15</v>
      </c>
      <c r="D72" s="402" t="s">
        <v>348</v>
      </c>
      <c r="E72" s="402"/>
      <c r="F72" s="402"/>
      <c r="G72" s="306">
        <v>46000</v>
      </c>
      <c r="H72" s="275">
        <v>46000</v>
      </c>
      <c r="I72" s="75"/>
    </row>
    <row r="73" spans="1:9" ht="15.75" customHeight="1">
      <c r="A73" s="19"/>
      <c r="B73" s="19"/>
      <c r="C73" s="19" t="s">
        <v>35</v>
      </c>
      <c r="D73" s="19" t="s">
        <v>403</v>
      </c>
      <c r="E73" s="19"/>
      <c r="F73" s="19"/>
      <c r="G73" s="293"/>
      <c r="H73" s="275">
        <v>189708</v>
      </c>
      <c r="I73" s="75"/>
    </row>
    <row r="74" spans="1:9" ht="15.75" customHeight="1">
      <c r="A74" s="84"/>
      <c r="B74" s="380" t="s">
        <v>97</v>
      </c>
      <c r="C74" s="380"/>
      <c r="D74" s="380"/>
      <c r="E74" s="380"/>
      <c r="F74" s="380"/>
      <c r="G74" s="302">
        <f>SUM(G71:G73)</f>
        <v>46000</v>
      </c>
      <c r="H74" s="304">
        <f>SUM(H71:H73)</f>
        <v>2035985</v>
      </c>
      <c r="I74" s="91"/>
    </row>
    <row r="75" spans="1:9" ht="12" customHeight="1">
      <c r="A75" s="19"/>
      <c r="B75" s="19"/>
      <c r="C75" s="19"/>
      <c r="D75" s="19"/>
      <c r="E75" s="19"/>
      <c r="F75" s="19"/>
      <c r="G75" s="275"/>
      <c r="H75" s="275"/>
      <c r="I75" s="75"/>
    </row>
    <row r="76" spans="1:9" ht="36" customHeight="1">
      <c r="A76" s="380" t="s">
        <v>98</v>
      </c>
      <c r="B76" s="380"/>
      <c r="C76" s="380"/>
      <c r="D76" s="380"/>
      <c r="E76" s="380"/>
      <c r="F76" s="380"/>
      <c r="G76" s="298">
        <f>G74+G68</f>
        <v>25812000</v>
      </c>
      <c r="H76" s="298">
        <f>H74+H68</f>
        <v>31452609</v>
      </c>
      <c r="I76" s="75">
        <f>H76/G76*100</f>
        <v>121.85266155276615</v>
      </c>
    </row>
    <row r="77" spans="1:9" ht="36" customHeight="1">
      <c r="A77" s="72"/>
      <c r="B77" s="72"/>
      <c r="C77" s="72"/>
      <c r="D77" s="72"/>
      <c r="E77" s="72"/>
      <c r="F77" s="72"/>
      <c r="G77" s="298"/>
      <c r="H77" s="298"/>
      <c r="I77" s="75"/>
    </row>
    <row r="78" spans="1:9" ht="12" customHeight="1">
      <c r="A78" s="19"/>
      <c r="B78" s="19"/>
      <c r="C78" s="19"/>
      <c r="D78" s="19"/>
      <c r="E78" s="19"/>
      <c r="F78" s="19"/>
      <c r="G78" s="275"/>
      <c r="H78" s="275"/>
      <c r="I78" s="75"/>
    </row>
    <row r="79" spans="1:9" s="62" customFormat="1" ht="15.75" customHeight="1">
      <c r="A79" s="16" t="s">
        <v>42</v>
      </c>
      <c r="B79" s="380" t="s">
        <v>99</v>
      </c>
      <c r="C79" s="380"/>
      <c r="D79" s="380"/>
      <c r="E79" s="380"/>
      <c r="F79" s="380"/>
      <c r="G79" s="298"/>
      <c r="H79" s="295"/>
      <c r="I79" s="75"/>
    </row>
    <row r="80" spans="1:9" ht="12" customHeight="1">
      <c r="A80" s="19"/>
      <c r="B80" s="19"/>
      <c r="C80" s="19"/>
      <c r="D80" s="19"/>
      <c r="E80" s="19"/>
      <c r="F80" s="19"/>
      <c r="G80" s="275"/>
      <c r="H80" s="275"/>
      <c r="I80" s="75"/>
    </row>
    <row r="81" spans="1:9" s="62" customFormat="1" ht="27.75" customHeight="1">
      <c r="A81" s="19"/>
      <c r="B81" s="16" t="s">
        <v>34</v>
      </c>
      <c r="C81" s="380" t="s">
        <v>100</v>
      </c>
      <c r="D81" s="380"/>
      <c r="E81" s="380"/>
      <c r="F81" s="380"/>
      <c r="G81" s="298"/>
      <c r="H81" s="295"/>
      <c r="I81" s="75"/>
    </row>
    <row r="82" spans="3:9" ht="35.25" customHeight="1">
      <c r="C82" s="54" t="s">
        <v>34</v>
      </c>
      <c r="D82" s="402" t="s">
        <v>148</v>
      </c>
      <c r="E82" s="402"/>
      <c r="F82" s="402"/>
      <c r="G82" s="299">
        <v>9743000</v>
      </c>
      <c r="H82" s="299"/>
      <c r="I82" s="10"/>
    </row>
    <row r="83" spans="1:9" ht="33.75" customHeight="1">
      <c r="A83" s="19"/>
      <c r="B83" s="19"/>
      <c r="C83" s="19" t="s">
        <v>15</v>
      </c>
      <c r="D83" s="405" t="s">
        <v>432</v>
      </c>
      <c r="E83" s="406"/>
      <c r="F83" s="406"/>
      <c r="G83" s="275"/>
      <c r="H83" s="368">
        <v>10000000</v>
      </c>
      <c r="I83" s="75"/>
    </row>
    <row r="84" spans="1:9" ht="15.75" customHeight="1">
      <c r="A84" s="84"/>
      <c r="B84" s="380" t="s">
        <v>101</v>
      </c>
      <c r="C84" s="380"/>
      <c r="D84" s="380"/>
      <c r="E84" s="380"/>
      <c r="F84" s="380"/>
      <c r="G84" s="307">
        <f>SUM(G82:G83)</f>
        <v>9743000</v>
      </c>
      <c r="H84" s="300">
        <f>SUM(H82:H83)</f>
        <v>10000000</v>
      </c>
      <c r="I84" s="75">
        <f>H84/G84*100</f>
        <v>102.63779123473262</v>
      </c>
    </row>
    <row r="85" spans="1:9" ht="12" customHeight="1">
      <c r="A85" s="19"/>
      <c r="B85" s="19"/>
      <c r="C85" s="19"/>
      <c r="D85" s="19"/>
      <c r="E85" s="19"/>
      <c r="F85" s="19"/>
      <c r="G85" s="275"/>
      <c r="H85" s="275"/>
      <c r="I85" s="75"/>
    </row>
    <row r="86" spans="1:9" ht="34.5" customHeight="1">
      <c r="A86" s="380" t="s">
        <v>102</v>
      </c>
      <c r="B86" s="380"/>
      <c r="C86" s="380"/>
      <c r="D86" s="380"/>
      <c r="E86" s="380"/>
      <c r="F86" s="380"/>
      <c r="G86" s="302">
        <f>G84</f>
        <v>9743000</v>
      </c>
      <c r="H86" s="297">
        <f>H84</f>
        <v>10000000</v>
      </c>
      <c r="I86" s="91">
        <f>H86/G86*100</f>
        <v>102.63779123473262</v>
      </c>
    </row>
    <row r="87" spans="1:9" ht="11.25" customHeight="1">
      <c r="A87" s="72"/>
      <c r="B87" s="72"/>
      <c r="C87" s="72"/>
      <c r="D87" s="72"/>
      <c r="E87" s="72"/>
      <c r="F87" s="72"/>
      <c r="G87" s="297"/>
      <c r="H87" s="297"/>
      <c r="I87" s="91"/>
    </row>
    <row r="88" spans="1:9" ht="12" customHeight="1">
      <c r="A88" s="19"/>
      <c r="B88" s="19"/>
      <c r="C88" s="19"/>
      <c r="D88" s="19"/>
      <c r="E88" s="19"/>
      <c r="F88" s="19"/>
      <c r="G88" s="275"/>
      <c r="H88" s="275"/>
      <c r="I88" s="75"/>
    </row>
    <row r="89" spans="1:9" ht="15.75">
      <c r="A89" s="16" t="s">
        <v>43</v>
      </c>
      <c r="B89" s="16" t="s">
        <v>103</v>
      </c>
      <c r="C89" s="16"/>
      <c r="D89" s="16"/>
      <c r="E89" s="16"/>
      <c r="F89" s="16"/>
      <c r="G89" s="17"/>
      <c r="H89" s="301"/>
      <c r="I89" s="75"/>
    </row>
    <row r="90" spans="1:9" ht="12" customHeight="1">
      <c r="A90" s="19"/>
      <c r="B90" s="19"/>
      <c r="C90" s="19"/>
      <c r="D90" s="19"/>
      <c r="E90" s="19"/>
      <c r="F90" s="19"/>
      <c r="G90" s="275"/>
      <c r="H90" s="275"/>
      <c r="I90" s="75"/>
    </row>
    <row r="91" spans="1:9" ht="15.75">
      <c r="A91" s="19"/>
      <c r="B91" s="19" t="s">
        <v>34</v>
      </c>
      <c r="C91" s="19" t="s">
        <v>104</v>
      </c>
      <c r="D91" s="19"/>
      <c r="E91" s="19"/>
      <c r="F91" s="19"/>
      <c r="G91" s="279"/>
      <c r="H91" s="275"/>
      <c r="I91" s="75"/>
    </row>
    <row r="92" spans="1:9" ht="15.75">
      <c r="A92" s="19"/>
      <c r="B92" s="19"/>
      <c r="C92" s="19" t="s">
        <v>34</v>
      </c>
      <c r="D92" s="19" t="s">
        <v>105</v>
      </c>
      <c r="E92" s="19"/>
      <c r="F92" s="19"/>
      <c r="G92" s="306">
        <v>1500000</v>
      </c>
      <c r="H92" s="275">
        <v>1500000</v>
      </c>
      <c r="I92" s="75">
        <f>H92/G92*100</f>
        <v>100</v>
      </c>
    </row>
    <row r="93" spans="1:9" ht="15.75">
      <c r="A93" s="16"/>
      <c r="B93" s="16" t="s">
        <v>15</v>
      </c>
      <c r="C93" s="16" t="s">
        <v>106</v>
      </c>
      <c r="D93" s="16"/>
      <c r="E93" s="16"/>
      <c r="F93" s="16"/>
      <c r="G93" s="308"/>
      <c r="H93" s="301"/>
      <c r="I93" s="75"/>
    </row>
    <row r="94" spans="1:9" s="9" customFormat="1" ht="15.75">
      <c r="A94" s="19"/>
      <c r="B94" s="19"/>
      <c r="C94" s="19" t="s">
        <v>34</v>
      </c>
      <c r="D94" s="19" t="s">
        <v>107</v>
      </c>
      <c r="E94" s="19"/>
      <c r="F94" s="19"/>
      <c r="G94" s="306">
        <v>3900000</v>
      </c>
      <c r="H94" s="275">
        <v>3900000</v>
      </c>
      <c r="I94" s="75">
        <f>H94/G94*100</f>
        <v>100</v>
      </c>
    </row>
    <row r="95" spans="1:9" ht="15.75">
      <c r="A95" s="16"/>
      <c r="B95" s="16" t="s">
        <v>35</v>
      </c>
      <c r="C95" s="16" t="s">
        <v>108</v>
      </c>
      <c r="D95" s="16"/>
      <c r="E95" s="16"/>
      <c r="F95" s="16"/>
      <c r="G95" s="306"/>
      <c r="H95" s="301"/>
      <c r="I95" s="75"/>
    </row>
    <row r="96" spans="1:9" ht="15.75">
      <c r="A96" s="19"/>
      <c r="B96" s="19"/>
      <c r="C96" s="19" t="s">
        <v>34</v>
      </c>
      <c r="D96" s="19" t="s">
        <v>109</v>
      </c>
      <c r="E96" s="19"/>
      <c r="F96" s="19"/>
      <c r="G96" s="306">
        <v>1913000</v>
      </c>
      <c r="H96" s="275">
        <v>1913000</v>
      </c>
      <c r="I96" s="75">
        <f>H96/G96*100</f>
        <v>100</v>
      </c>
    </row>
    <row r="97" spans="1:9" ht="15.75">
      <c r="A97" s="19"/>
      <c r="B97" s="16" t="s">
        <v>83</v>
      </c>
      <c r="C97" s="16" t="s">
        <v>110</v>
      </c>
      <c r="D97" s="19"/>
      <c r="E97" s="19"/>
      <c r="F97" s="19"/>
      <c r="G97" s="306"/>
      <c r="H97" s="275"/>
      <c r="I97" s="75"/>
    </row>
    <row r="98" spans="1:9" ht="15.75">
      <c r="A98" s="19"/>
      <c r="B98" s="19"/>
      <c r="C98" s="19" t="s">
        <v>34</v>
      </c>
      <c r="D98" s="19" t="s">
        <v>111</v>
      </c>
      <c r="E98" s="19"/>
      <c r="F98" s="19"/>
      <c r="G98" s="306">
        <v>140000</v>
      </c>
      <c r="H98" s="275">
        <v>140000</v>
      </c>
      <c r="I98" s="75">
        <f>H98/G98*100</f>
        <v>100</v>
      </c>
    </row>
    <row r="99" spans="1:9" ht="15.75">
      <c r="A99" s="19"/>
      <c r="B99" s="19"/>
      <c r="C99" s="19"/>
      <c r="D99" s="19"/>
      <c r="E99" s="19"/>
      <c r="F99" s="19"/>
      <c r="G99" s="296"/>
      <c r="H99" s="275"/>
      <c r="I99" s="75"/>
    </row>
    <row r="100" spans="1:9" ht="15.75">
      <c r="A100" s="19"/>
      <c r="B100" s="19"/>
      <c r="C100" s="19"/>
      <c r="D100" s="19"/>
      <c r="E100" s="19"/>
      <c r="F100" s="19"/>
      <c r="G100" s="296"/>
      <c r="H100" s="275"/>
      <c r="I100" s="75"/>
    </row>
    <row r="101" spans="1:9" ht="15.75">
      <c r="A101" s="19"/>
      <c r="B101" s="19"/>
      <c r="C101" s="19"/>
      <c r="D101" s="19"/>
      <c r="E101" s="19"/>
      <c r="F101" s="19"/>
      <c r="G101" s="296"/>
      <c r="H101" s="275"/>
      <c r="I101" s="75"/>
    </row>
    <row r="102" spans="1:9" ht="15.75">
      <c r="A102" s="19"/>
      <c r="B102" s="19"/>
      <c r="C102" s="19"/>
      <c r="D102" s="19"/>
      <c r="E102" s="19"/>
      <c r="F102" s="19"/>
      <c r="G102" s="296"/>
      <c r="H102" s="275"/>
      <c r="I102" s="75"/>
    </row>
    <row r="103" spans="1:9" ht="16.5" thickBot="1">
      <c r="A103" s="19"/>
      <c r="B103" s="19"/>
      <c r="C103" s="19"/>
      <c r="D103" s="19"/>
      <c r="E103" s="19"/>
      <c r="F103" s="19"/>
      <c r="G103" s="89"/>
      <c r="H103" s="34"/>
      <c r="I103" s="75"/>
    </row>
    <row r="104" spans="1:9" ht="15.75" customHeight="1">
      <c r="A104" s="269" t="s">
        <v>12</v>
      </c>
      <c r="B104" s="250"/>
      <c r="C104" s="250"/>
      <c r="D104" s="250"/>
      <c r="E104" s="250"/>
      <c r="F104" s="251"/>
      <c r="G104" s="82" t="s">
        <v>10</v>
      </c>
      <c r="H104" s="82" t="s">
        <v>10</v>
      </c>
      <c r="I104" s="83" t="s">
        <v>11</v>
      </c>
    </row>
    <row r="105" spans="1:9" ht="15.75">
      <c r="A105" s="252"/>
      <c r="B105" s="84"/>
      <c r="C105" s="84"/>
      <c r="D105" s="84"/>
      <c r="E105" s="84"/>
      <c r="F105" s="253"/>
      <c r="G105" s="85" t="s">
        <v>6</v>
      </c>
      <c r="H105" s="85" t="s">
        <v>6</v>
      </c>
      <c r="I105" s="60"/>
    </row>
    <row r="106" spans="1:9" s="62" customFormat="1" ht="15.75" customHeight="1" thickBot="1">
      <c r="A106" s="256"/>
      <c r="B106" s="254"/>
      <c r="C106" s="254"/>
      <c r="D106" s="254"/>
      <c r="E106" s="254"/>
      <c r="F106" s="255"/>
      <c r="G106" s="86" t="s">
        <v>141</v>
      </c>
      <c r="H106" s="86" t="s">
        <v>372</v>
      </c>
      <c r="I106" s="61" t="s">
        <v>13</v>
      </c>
    </row>
    <row r="107" spans="1:9" ht="15.75">
      <c r="A107" s="19"/>
      <c r="B107" s="19"/>
      <c r="C107" s="16" t="s">
        <v>15</v>
      </c>
      <c r="D107" s="19" t="s">
        <v>63</v>
      </c>
      <c r="E107" s="19"/>
      <c r="F107" s="19"/>
      <c r="G107" s="303">
        <v>280000</v>
      </c>
      <c r="H107" s="275">
        <v>280000</v>
      </c>
      <c r="I107" s="75">
        <f>H107/G107*100</f>
        <v>100</v>
      </c>
    </row>
    <row r="108" spans="1:9" ht="15.75">
      <c r="A108" s="16"/>
      <c r="B108" s="16" t="s">
        <v>85</v>
      </c>
      <c r="C108" s="16" t="s">
        <v>112</v>
      </c>
      <c r="D108" s="16"/>
      <c r="E108" s="16"/>
      <c r="F108" s="16"/>
      <c r="G108" s="303"/>
      <c r="H108" s="301"/>
      <c r="I108" s="75"/>
    </row>
    <row r="109" spans="1:9" ht="15.75">
      <c r="A109" s="19"/>
      <c r="B109" s="19"/>
      <c r="C109" s="16" t="s">
        <v>34</v>
      </c>
      <c r="D109" s="19" t="s">
        <v>113</v>
      </c>
      <c r="E109" s="19"/>
      <c r="F109" s="19"/>
      <c r="G109" s="303">
        <v>5000</v>
      </c>
      <c r="H109" s="275">
        <v>5000</v>
      </c>
      <c r="I109" s="75">
        <f>H109/G109*100</f>
        <v>100</v>
      </c>
    </row>
    <row r="110" spans="1:9" ht="15.75" customHeight="1">
      <c r="A110" s="84"/>
      <c r="B110" s="84"/>
      <c r="C110" s="84" t="s">
        <v>35</v>
      </c>
      <c r="D110" s="90" t="s">
        <v>112</v>
      </c>
      <c r="E110" s="84"/>
      <c r="F110" s="84"/>
      <c r="G110" s="303"/>
      <c r="H110" s="296"/>
      <c r="I110" s="75"/>
    </row>
    <row r="111" spans="1:9" ht="15.75">
      <c r="A111" s="19"/>
      <c r="B111" s="19"/>
      <c r="C111" s="16" t="s">
        <v>83</v>
      </c>
      <c r="D111" s="19" t="s">
        <v>114</v>
      </c>
      <c r="E111" s="19"/>
      <c r="F111" s="19"/>
      <c r="G111" s="303">
        <v>75000</v>
      </c>
      <c r="H111" s="275">
        <v>75000</v>
      </c>
      <c r="I111" s="75">
        <f>H111/G111*100</f>
        <v>100</v>
      </c>
    </row>
    <row r="112" spans="1:9" ht="9" customHeight="1">
      <c r="A112" s="84"/>
      <c r="B112" s="84"/>
      <c r="C112" s="84"/>
      <c r="D112" s="84"/>
      <c r="E112" s="84"/>
      <c r="F112" s="84"/>
      <c r="G112" s="303"/>
      <c r="H112" s="296"/>
      <c r="I112" s="75"/>
    </row>
    <row r="113" spans="1:9" s="9" customFormat="1" ht="15.75">
      <c r="A113" s="16" t="s">
        <v>51</v>
      </c>
      <c r="B113" s="84"/>
      <c r="C113" s="84"/>
      <c r="D113" s="84"/>
      <c r="E113" s="84"/>
      <c r="F113" s="84"/>
      <c r="G113" s="304">
        <f>G92+G94+G96+G98+G107+G109+G110+G111</f>
        <v>7813000</v>
      </c>
      <c r="H113" s="302">
        <f>H92+H94+H96+H98+H107+H109+H110+H111</f>
        <v>7813000</v>
      </c>
      <c r="I113" s="91">
        <f>H113/G113*100</f>
        <v>100</v>
      </c>
    </row>
    <row r="114" spans="1:9" ht="9" customHeight="1">
      <c r="A114" s="84"/>
      <c r="B114" s="84"/>
      <c r="C114" s="84"/>
      <c r="D114" s="84"/>
      <c r="E114" s="84"/>
      <c r="F114" s="84"/>
      <c r="G114" s="296"/>
      <c r="H114" s="296"/>
      <c r="I114" s="75"/>
    </row>
    <row r="115" spans="1:9" ht="15.75">
      <c r="A115" s="16" t="s">
        <v>115</v>
      </c>
      <c r="B115" s="16" t="s">
        <v>45</v>
      </c>
      <c r="C115" s="16"/>
      <c r="D115" s="16"/>
      <c r="E115" s="16"/>
      <c r="F115" s="16"/>
      <c r="G115" s="17"/>
      <c r="H115" s="301"/>
      <c r="I115" s="75"/>
    </row>
    <row r="116" spans="1:9" ht="9" customHeight="1">
      <c r="A116" s="84"/>
      <c r="B116" s="84"/>
      <c r="C116" s="84"/>
      <c r="D116" s="84"/>
      <c r="E116" s="84"/>
      <c r="F116" s="84"/>
      <c r="G116" s="296"/>
      <c r="H116" s="296"/>
      <c r="I116" s="75"/>
    </row>
    <row r="117" spans="1:9" ht="15.75">
      <c r="A117" s="84"/>
      <c r="B117" s="84" t="s">
        <v>34</v>
      </c>
      <c r="C117" s="404" t="s">
        <v>116</v>
      </c>
      <c r="D117" s="404"/>
      <c r="E117" s="404"/>
      <c r="F117" s="404"/>
      <c r="G117" s="296"/>
      <c r="H117" s="296"/>
      <c r="I117" s="75"/>
    </row>
    <row r="118" spans="1:9" ht="15.75">
      <c r="A118" s="84"/>
      <c r="B118" s="84"/>
      <c r="C118" s="84" t="s">
        <v>34</v>
      </c>
      <c r="D118" s="90" t="s">
        <v>127</v>
      </c>
      <c r="E118" s="90"/>
      <c r="F118" s="90"/>
      <c r="G118" s="306">
        <v>180000</v>
      </c>
      <c r="H118" s="306">
        <v>187000</v>
      </c>
      <c r="I118" s="75">
        <f>H118/G118*100</f>
        <v>103.8888888888889</v>
      </c>
    </row>
    <row r="119" spans="1:9" ht="15.75">
      <c r="A119" s="84"/>
      <c r="B119" s="84"/>
      <c r="C119" s="84" t="s">
        <v>15</v>
      </c>
      <c r="D119" s="90" t="s">
        <v>119</v>
      </c>
      <c r="E119" s="90"/>
      <c r="F119" s="90"/>
      <c r="G119" s="296"/>
      <c r="H119" s="306"/>
      <c r="I119" s="75"/>
    </row>
    <row r="120" spans="1:9" ht="15.75">
      <c r="A120" s="84"/>
      <c r="B120" s="84"/>
      <c r="C120" s="84"/>
      <c r="D120" s="90" t="s">
        <v>34</v>
      </c>
      <c r="E120" s="90" t="s">
        <v>120</v>
      </c>
      <c r="F120" s="90"/>
      <c r="G120" s="306">
        <v>20000</v>
      </c>
      <c r="H120" s="306">
        <v>20000</v>
      </c>
      <c r="I120" s="75">
        <f>H120/G120*100</f>
        <v>100</v>
      </c>
    </row>
    <row r="121" spans="1:9" ht="15.75">
      <c r="A121" s="84"/>
      <c r="B121" s="84"/>
      <c r="C121" s="84"/>
      <c r="D121" s="90" t="s">
        <v>15</v>
      </c>
      <c r="E121" s="90" t="s">
        <v>121</v>
      </c>
      <c r="F121" s="90"/>
      <c r="G121" s="306">
        <v>820000</v>
      </c>
      <c r="H121" s="306">
        <v>820000</v>
      </c>
      <c r="I121" s="75">
        <f>H121/G121*100</f>
        <v>100</v>
      </c>
    </row>
    <row r="122" spans="1:9" ht="15.75">
      <c r="A122" s="84"/>
      <c r="B122" s="84"/>
      <c r="C122" s="84"/>
      <c r="D122" s="90" t="s">
        <v>35</v>
      </c>
      <c r="E122" s="90" t="s">
        <v>122</v>
      </c>
      <c r="F122" s="90"/>
      <c r="G122" s="306">
        <v>2000</v>
      </c>
      <c r="H122" s="306">
        <v>2000</v>
      </c>
      <c r="I122" s="75">
        <f>H122/G122*100</f>
        <v>100</v>
      </c>
    </row>
    <row r="123" spans="1:9" ht="15.75">
      <c r="A123" s="84"/>
      <c r="B123" s="84"/>
      <c r="C123" s="84"/>
      <c r="D123" s="90" t="s">
        <v>83</v>
      </c>
      <c r="E123" s="90" t="s">
        <v>52</v>
      </c>
      <c r="F123" s="90"/>
      <c r="G123" s="306">
        <v>1000</v>
      </c>
      <c r="H123" s="306">
        <v>1000</v>
      </c>
      <c r="I123" s="75">
        <f>H123/G123*100</f>
        <v>100</v>
      </c>
    </row>
    <row r="124" spans="1:9" ht="15.75">
      <c r="A124" s="84"/>
      <c r="B124" s="84"/>
      <c r="C124" s="84"/>
      <c r="D124" s="90" t="s">
        <v>85</v>
      </c>
      <c r="E124" s="90" t="s">
        <v>123</v>
      </c>
      <c r="F124" s="90"/>
      <c r="G124" s="306">
        <v>85000</v>
      </c>
      <c r="H124" s="306">
        <v>85000</v>
      </c>
      <c r="I124" s="75">
        <f>H124/G124*100</f>
        <v>100</v>
      </c>
    </row>
    <row r="125" spans="1:9" ht="15.75">
      <c r="A125" s="84"/>
      <c r="B125" s="84"/>
      <c r="C125" s="84" t="s">
        <v>35</v>
      </c>
      <c r="D125" s="90" t="s">
        <v>150</v>
      </c>
      <c r="E125" s="90"/>
      <c r="F125" s="90"/>
      <c r="G125" s="306"/>
      <c r="H125" s="306"/>
      <c r="I125" s="75"/>
    </row>
    <row r="126" spans="1:9" ht="15.75">
      <c r="A126" s="84"/>
      <c r="B126" s="84"/>
      <c r="D126" s="84" t="s">
        <v>34</v>
      </c>
      <c r="E126" s="90" t="s">
        <v>117</v>
      </c>
      <c r="F126" s="84"/>
      <c r="G126" s="306">
        <v>40000</v>
      </c>
      <c r="H126" s="306">
        <v>40000</v>
      </c>
      <c r="I126" s="75">
        <f>H126/G126*100</f>
        <v>100</v>
      </c>
    </row>
    <row r="127" spans="1:9" ht="15.75">
      <c r="A127" s="84"/>
      <c r="B127" s="84"/>
      <c r="D127" s="84" t="s">
        <v>15</v>
      </c>
      <c r="E127" s="90" t="s">
        <v>118</v>
      </c>
      <c r="F127" s="90"/>
      <c r="G127" s="306">
        <v>1149000</v>
      </c>
      <c r="H127" s="306">
        <v>385000</v>
      </c>
      <c r="I127" s="75">
        <f>H127/G127*100</f>
        <v>33.507397737162755</v>
      </c>
    </row>
    <row r="128" spans="4:9" ht="15.75">
      <c r="D128" s="54" t="s">
        <v>35</v>
      </c>
      <c r="E128" s="90" t="s">
        <v>53</v>
      </c>
      <c r="G128" s="306">
        <v>340000</v>
      </c>
      <c r="H128" s="306">
        <v>661000</v>
      </c>
      <c r="I128" s="75">
        <f>H128/G128*100</f>
        <v>194.41176470588235</v>
      </c>
    </row>
    <row r="129" spans="1:9" ht="15.75">
      <c r="A129" s="84"/>
      <c r="B129" s="84" t="s">
        <v>15</v>
      </c>
      <c r="C129" s="90" t="s">
        <v>124</v>
      </c>
      <c r="D129" s="90"/>
      <c r="E129" s="90"/>
      <c r="F129" s="90"/>
      <c r="G129" s="306"/>
      <c r="H129" s="306"/>
      <c r="I129" s="75"/>
    </row>
    <row r="130" spans="1:9" ht="15.75">
      <c r="A130" s="84"/>
      <c r="B130" s="84"/>
      <c r="C130" s="84" t="s">
        <v>34</v>
      </c>
      <c r="D130" s="90" t="s">
        <v>125</v>
      </c>
      <c r="E130" s="90"/>
      <c r="F130" s="90"/>
      <c r="G130" s="306">
        <v>2593000</v>
      </c>
      <c r="H130" s="306">
        <v>4099000</v>
      </c>
      <c r="I130" s="75">
        <f>H130/G130*100</f>
        <v>158.0794446586965</v>
      </c>
    </row>
    <row r="131" spans="1:9" ht="15.75">
      <c r="A131" s="84"/>
      <c r="B131" s="84" t="s">
        <v>35</v>
      </c>
      <c r="C131" s="90" t="s">
        <v>126</v>
      </c>
      <c r="D131" s="90"/>
      <c r="E131" s="90"/>
      <c r="F131" s="90"/>
      <c r="G131" s="306"/>
      <c r="H131" s="306"/>
      <c r="I131" s="75"/>
    </row>
    <row r="132" spans="1:9" ht="15.75">
      <c r="A132" s="84"/>
      <c r="B132" s="84"/>
      <c r="C132" s="84" t="s">
        <v>34</v>
      </c>
      <c r="D132" s="90" t="s">
        <v>61</v>
      </c>
      <c r="E132" s="90"/>
      <c r="F132" s="90"/>
      <c r="G132" s="306">
        <v>1107000</v>
      </c>
      <c r="H132" s="306">
        <v>1249000</v>
      </c>
      <c r="I132" s="75">
        <f>H132/G132*100</f>
        <v>112.8274616079494</v>
      </c>
    </row>
    <row r="133" spans="1:9" ht="15.75">
      <c r="A133" s="84"/>
      <c r="B133" s="84" t="s">
        <v>83</v>
      </c>
      <c r="C133" s="90" t="s">
        <v>128</v>
      </c>
      <c r="D133" s="84"/>
      <c r="E133" s="84"/>
      <c r="F133" s="84"/>
      <c r="G133" s="306">
        <v>1489000</v>
      </c>
      <c r="H133" s="306">
        <f>337000+178000+50000+104000+1107000+11000+29000</f>
        <v>1816000</v>
      </c>
      <c r="I133" s="75">
        <f>H133/G133*100</f>
        <v>121.96104768300873</v>
      </c>
    </row>
    <row r="134" spans="1:9" ht="15.75">
      <c r="A134" s="84"/>
      <c r="B134" s="84" t="s">
        <v>85</v>
      </c>
      <c r="C134" s="90" t="s">
        <v>129</v>
      </c>
      <c r="D134" s="84"/>
      <c r="E134" s="84"/>
      <c r="F134" s="84"/>
      <c r="G134" s="306">
        <v>1409000</v>
      </c>
      <c r="H134" s="306">
        <f>115000+1107000+80000+239000</f>
        <v>1541000</v>
      </c>
      <c r="I134" s="75">
        <f>H134/G134*100</f>
        <v>109.36834634492547</v>
      </c>
    </row>
    <row r="135" spans="1:9" ht="15.75">
      <c r="A135" s="84"/>
      <c r="B135" s="84" t="s">
        <v>91</v>
      </c>
      <c r="C135" s="90" t="s">
        <v>130</v>
      </c>
      <c r="D135" s="84"/>
      <c r="E135" s="84"/>
      <c r="F135" s="84"/>
      <c r="G135" s="306">
        <v>2000</v>
      </c>
      <c r="H135" s="306">
        <v>2000</v>
      </c>
      <c r="I135" s="75">
        <f>H135/G135*100</f>
        <v>100</v>
      </c>
    </row>
    <row r="136" spans="1:9" ht="9" customHeight="1">
      <c r="A136" s="84"/>
      <c r="B136" s="84"/>
      <c r="C136" s="84"/>
      <c r="D136" s="84"/>
      <c r="E136" s="84"/>
      <c r="F136" s="84"/>
      <c r="G136" s="306"/>
      <c r="H136" s="306"/>
      <c r="I136" s="75"/>
    </row>
    <row r="137" spans="1:9" ht="15.75">
      <c r="A137" s="16" t="s">
        <v>14</v>
      </c>
      <c r="B137" s="84"/>
      <c r="C137" s="84"/>
      <c r="D137" s="84"/>
      <c r="E137" s="84"/>
      <c r="F137" s="84"/>
      <c r="G137" s="302">
        <f>SUM(G117:G136)</f>
        <v>9237000</v>
      </c>
      <c r="H137" s="302">
        <f>SUM(H117:H136)</f>
        <v>10908000</v>
      </c>
      <c r="I137" s="91">
        <f>H137/G137*100</f>
        <v>118.09028905488795</v>
      </c>
    </row>
    <row r="138" spans="1:9" ht="9" customHeight="1">
      <c r="A138" s="84"/>
      <c r="B138" s="84"/>
      <c r="C138" s="84"/>
      <c r="D138" s="84"/>
      <c r="E138" s="84"/>
      <c r="F138" s="84"/>
      <c r="G138" s="306"/>
      <c r="H138" s="296"/>
      <c r="I138" s="75"/>
    </row>
    <row r="139" spans="1:9" ht="15.75">
      <c r="A139" s="16" t="s">
        <v>50</v>
      </c>
      <c r="B139" s="16" t="s">
        <v>131</v>
      </c>
      <c r="C139" s="16"/>
      <c r="D139" s="16"/>
      <c r="E139" s="16"/>
      <c r="F139" s="16"/>
      <c r="G139" s="17"/>
      <c r="H139" s="301"/>
      <c r="I139" s="75"/>
    </row>
    <row r="140" spans="1:9" ht="15.75">
      <c r="A140" s="19"/>
      <c r="B140" s="19" t="s">
        <v>34</v>
      </c>
      <c r="C140" s="246" t="s">
        <v>132</v>
      </c>
      <c r="D140" s="87"/>
      <c r="E140" s="87"/>
      <c r="F140" s="87"/>
      <c r="G140" s="76"/>
      <c r="H140" s="77"/>
      <c r="I140" s="75"/>
    </row>
    <row r="141" spans="1:9" ht="30" customHeight="1">
      <c r="A141" s="19"/>
      <c r="B141" s="19"/>
      <c r="C141" s="87" t="s">
        <v>34</v>
      </c>
      <c r="D141" s="401" t="s">
        <v>133</v>
      </c>
      <c r="E141" s="401"/>
      <c r="F141" s="401"/>
      <c r="G141" s="303">
        <v>92000</v>
      </c>
      <c r="H141" s="278">
        <v>62000</v>
      </c>
      <c r="I141" s="75">
        <f>H141/G141*100</f>
        <v>67.3913043478261</v>
      </c>
    </row>
    <row r="142" spans="1:9" ht="30" customHeight="1">
      <c r="A142" s="19"/>
      <c r="B142" s="19"/>
      <c r="C142" s="87" t="s">
        <v>15</v>
      </c>
      <c r="D142" s="401" t="s">
        <v>149</v>
      </c>
      <c r="E142" s="401"/>
      <c r="F142" s="401"/>
      <c r="G142" s="303">
        <v>26215000</v>
      </c>
      <c r="H142" s="278"/>
      <c r="I142" s="75"/>
    </row>
    <row r="143" spans="1:9" ht="9" customHeight="1">
      <c r="A143" s="84"/>
      <c r="B143" s="84"/>
      <c r="C143" s="84"/>
      <c r="D143" s="19"/>
      <c r="E143" s="84"/>
      <c r="F143" s="84"/>
      <c r="G143" s="303"/>
      <c r="H143" s="303"/>
      <c r="I143" s="75"/>
    </row>
    <row r="144" spans="1:9" ht="15.75">
      <c r="A144" s="407" t="s">
        <v>134</v>
      </c>
      <c r="B144" s="407"/>
      <c r="C144" s="407"/>
      <c r="D144" s="407"/>
      <c r="E144" s="407"/>
      <c r="F144" s="407"/>
      <c r="G144" s="309">
        <f>SUM(G141:G143)</f>
        <v>26307000</v>
      </c>
      <c r="H144" s="309">
        <f>SUM(H141:H143)</f>
        <v>62000</v>
      </c>
      <c r="I144" s="91">
        <f>H144/G144*100</f>
        <v>0.2356787166913749</v>
      </c>
    </row>
    <row r="145" spans="1:9" ht="9" customHeight="1">
      <c r="A145" s="84"/>
      <c r="B145" s="84"/>
      <c r="C145" s="84"/>
      <c r="D145" s="84"/>
      <c r="E145" s="84"/>
      <c r="F145" s="84"/>
      <c r="G145" s="303"/>
      <c r="H145" s="303"/>
      <c r="I145" s="75"/>
    </row>
    <row r="146" spans="1:9" ht="16.5">
      <c r="A146" s="93" t="s">
        <v>135</v>
      </c>
      <c r="B146" s="93"/>
      <c r="C146" s="93"/>
      <c r="D146" s="93"/>
      <c r="E146" s="93"/>
      <c r="F146" s="93"/>
      <c r="G146" s="309">
        <f>G144+G137+G113+G86+G76</f>
        <v>78912000</v>
      </c>
      <c r="H146" s="309">
        <f>H144+H137+H113+H86+H76</f>
        <v>60235609</v>
      </c>
      <c r="I146" s="91">
        <f>H146/G146*100</f>
        <v>76.33263508718574</v>
      </c>
    </row>
    <row r="147" spans="1:9" ht="16.5">
      <c r="A147" s="93"/>
      <c r="B147" s="93"/>
      <c r="C147" s="93"/>
      <c r="D147" s="93"/>
      <c r="E147" s="93"/>
      <c r="F147" s="93"/>
      <c r="G147" s="310"/>
      <c r="H147" s="310"/>
      <c r="I147" s="91"/>
    </row>
    <row r="148" spans="1:9" ht="15.75">
      <c r="A148" s="94" t="s">
        <v>136</v>
      </c>
      <c r="B148" s="380" t="s">
        <v>137</v>
      </c>
      <c r="C148" s="380"/>
      <c r="D148" s="380"/>
      <c r="E148" s="380"/>
      <c r="F148" s="380"/>
      <c r="G148" s="309"/>
      <c r="H148" s="278"/>
      <c r="I148" s="75"/>
    </row>
    <row r="149" spans="1:9" ht="15.75">
      <c r="A149" s="16"/>
      <c r="B149" s="72" t="s">
        <v>34</v>
      </c>
      <c r="C149" s="380" t="s">
        <v>138</v>
      </c>
      <c r="D149" s="380"/>
      <c r="E149" s="380"/>
      <c r="F149" s="380"/>
      <c r="G149" s="303"/>
      <c r="H149" s="278"/>
      <c r="I149" s="75"/>
    </row>
    <row r="150" spans="1:9" ht="15.75">
      <c r="A150" s="16"/>
      <c r="B150" s="72"/>
      <c r="C150" s="87" t="s">
        <v>34</v>
      </c>
      <c r="D150" s="401" t="s">
        <v>139</v>
      </c>
      <c r="E150" s="401"/>
      <c r="F150" s="401"/>
      <c r="G150" s="303">
        <v>1115000</v>
      </c>
      <c r="H150" s="278">
        <v>70404000</v>
      </c>
      <c r="I150" s="75">
        <f>H150/G150*100</f>
        <v>6314.260089686099</v>
      </c>
    </row>
    <row r="151" spans="1:9" ht="15.75">
      <c r="A151" s="19"/>
      <c r="B151" s="19"/>
      <c r="C151" s="19" t="s">
        <v>15</v>
      </c>
      <c r="D151" s="19" t="s">
        <v>433</v>
      </c>
      <c r="E151" s="19"/>
      <c r="F151" s="19"/>
      <c r="G151" s="311"/>
      <c r="H151" s="312">
        <v>1121209</v>
      </c>
      <c r="I151" s="75"/>
    </row>
    <row r="152" spans="1:9" ht="16.5">
      <c r="A152" s="93" t="s">
        <v>137</v>
      </c>
      <c r="B152" s="93"/>
      <c r="C152" s="93"/>
      <c r="D152" s="93"/>
      <c r="E152" s="93"/>
      <c r="F152" s="93"/>
      <c r="G152" s="313">
        <f>G150</f>
        <v>1115000</v>
      </c>
      <c r="H152" s="309">
        <f>H150+H151</f>
        <v>71525209</v>
      </c>
      <c r="I152" s="75">
        <f>H152/G152*100</f>
        <v>6414.816950672646</v>
      </c>
    </row>
    <row r="153" spans="1:9" ht="15.75">
      <c r="A153" s="19"/>
      <c r="B153" s="19"/>
      <c r="C153" s="19"/>
      <c r="D153" s="19"/>
      <c r="E153" s="19"/>
      <c r="F153" s="19"/>
      <c r="G153" s="311"/>
      <c r="H153" s="314"/>
      <c r="I153" s="75"/>
    </row>
    <row r="154" spans="1:9" ht="18.75">
      <c r="A154" s="18" t="s">
        <v>140</v>
      </c>
      <c r="B154" s="18"/>
      <c r="C154" s="18"/>
      <c r="D154" s="18"/>
      <c r="E154" s="18"/>
      <c r="F154" s="18"/>
      <c r="G154" s="313">
        <f>G146+G152</f>
        <v>80027000</v>
      </c>
      <c r="H154" s="309">
        <f>H146+H152</f>
        <v>131760818</v>
      </c>
      <c r="I154" s="91">
        <f>H154/G154*100</f>
        <v>164.64545465905255</v>
      </c>
    </row>
  </sheetData>
  <sheetProtection/>
  <mergeCells count="38">
    <mergeCell ref="C149:F149"/>
    <mergeCell ref="D150:F150"/>
    <mergeCell ref="E44:F44"/>
    <mergeCell ref="D142:F142"/>
    <mergeCell ref="D141:F141"/>
    <mergeCell ref="A144:F144"/>
    <mergeCell ref="B148:F148"/>
    <mergeCell ref="A76:F76"/>
    <mergeCell ref="C117:F117"/>
    <mergeCell ref="A86:F86"/>
    <mergeCell ref="B84:F84"/>
    <mergeCell ref="D82:F82"/>
    <mergeCell ref="C81:F81"/>
    <mergeCell ref="B79:F79"/>
    <mergeCell ref="D83:F83"/>
    <mergeCell ref="B74:F74"/>
    <mergeCell ref="B68:F68"/>
    <mergeCell ref="C70:F70"/>
    <mergeCell ref="D72:F72"/>
    <mergeCell ref="D57:F57"/>
    <mergeCell ref="E58:F58"/>
    <mergeCell ref="C61:F61"/>
    <mergeCell ref="E64:F64"/>
    <mergeCell ref="D18:F18"/>
    <mergeCell ref="C49:F49"/>
    <mergeCell ref="A53:F55"/>
    <mergeCell ref="E19:F19"/>
    <mergeCell ref="D35:F35"/>
    <mergeCell ref="D40:F40"/>
    <mergeCell ref="D42:F42"/>
    <mergeCell ref="A5:I5"/>
    <mergeCell ref="B16:F16"/>
    <mergeCell ref="A11:F13"/>
    <mergeCell ref="A6:I6"/>
    <mergeCell ref="A7:I7"/>
    <mergeCell ref="A8:I8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71" customWidth="1"/>
    <col min="2" max="2" width="61.125" style="171" customWidth="1"/>
    <col min="3" max="6" width="26.25390625" style="171" customWidth="1"/>
    <col min="7" max="16384" width="9.125" style="171" customWidth="1"/>
  </cols>
  <sheetData>
    <row r="2" spans="1:6" s="160" customFormat="1" ht="15.75">
      <c r="A2" s="117" t="s">
        <v>443</v>
      </c>
      <c r="C2" s="161"/>
      <c r="D2" s="162"/>
      <c r="E2" s="162"/>
      <c r="F2" s="162"/>
    </row>
    <row r="3" spans="1:6" s="160" customFormat="1" ht="15.75">
      <c r="A3" s="117"/>
      <c r="C3" s="161"/>
      <c r="D3" s="162"/>
      <c r="E3" s="162"/>
      <c r="F3" s="162"/>
    </row>
    <row r="4" spans="1:6" s="160" customFormat="1" ht="15.75">
      <c r="A4" s="117" t="s">
        <v>387</v>
      </c>
      <c r="C4" s="161"/>
      <c r="D4" s="162"/>
      <c r="E4" s="162"/>
      <c r="F4" s="162"/>
    </row>
    <row r="5" spans="2:6" s="64" customFormat="1" ht="15" customHeight="1">
      <c r="B5" s="428"/>
      <c r="C5" s="428"/>
      <c r="D5" s="428"/>
      <c r="E5" s="428"/>
      <c r="F5" s="428"/>
    </row>
    <row r="6" spans="3:6" s="163" customFormat="1" ht="15" customHeight="1">
      <c r="C6" s="164"/>
      <c r="D6" s="165"/>
      <c r="E6" s="165"/>
      <c r="F6" s="165"/>
    </row>
    <row r="7" spans="2:6" s="115" customFormat="1" ht="15" customHeight="1">
      <c r="B7" s="379" t="s">
        <v>31</v>
      </c>
      <c r="C7" s="379"/>
      <c r="D7" s="379"/>
      <c r="E7" s="379"/>
      <c r="F7" s="379"/>
    </row>
    <row r="8" spans="2:6" s="115" customFormat="1" ht="15.75">
      <c r="B8" s="429" t="s">
        <v>276</v>
      </c>
      <c r="C8" s="429"/>
      <c r="D8" s="429"/>
      <c r="E8" s="429"/>
      <c r="F8" s="429"/>
    </row>
    <row r="9" spans="2:6" s="115" customFormat="1" ht="15" customHeight="1">
      <c r="B9" s="379" t="s">
        <v>352</v>
      </c>
      <c r="C9" s="379"/>
      <c r="D9" s="379"/>
      <c r="E9" s="379"/>
      <c r="F9" s="379"/>
    </row>
    <row r="10" spans="2:6" s="160" customFormat="1" ht="12" customHeight="1" thickBot="1">
      <c r="B10" s="161"/>
      <c r="C10" s="166"/>
      <c r="D10" s="167"/>
      <c r="E10" s="167"/>
      <c r="F10" s="366" t="s">
        <v>429</v>
      </c>
    </row>
    <row r="11" spans="1:6" s="160" customFormat="1" ht="16.5" customHeight="1" thickBot="1">
      <c r="A11" s="408" t="s">
        <v>174</v>
      </c>
      <c r="B11" s="411" t="s">
        <v>175</v>
      </c>
      <c r="C11" s="414" t="s">
        <v>277</v>
      </c>
      <c r="D11" s="417" t="s">
        <v>278</v>
      </c>
      <c r="E11" s="417"/>
      <c r="F11" s="418"/>
    </row>
    <row r="12" spans="1:6" s="160" customFormat="1" ht="33" customHeight="1" thickBot="1">
      <c r="A12" s="409"/>
      <c r="B12" s="412"/>
      <c r="C12" s="415"/>
      <c r="D12" s="168" t="s">
        <v>279</v>
      </c>
      <c r="E12" s="169" t="s">
        <v>280</v>
      </c>
      <c r="F12" s="170" t="s">
        <v>281</v>
      </c>
    </row>
    <row r="13" spans="1:6" s="160" customFormat="1" ht="22.5" customHeight="1">
      <c r="A13" s="409"/>
      <c r="B13" s="412"/>
      <c r="C13" s="415"/>
      <c r="D13" s="419" t="s">
        <v>282</v>
      </c>
      <c r="E13" s="420"/>
      <c r="F13" s="421"/>
    </row>
    <row r="14" spans="1:6" ht="12.75">
      <c r="A14" s="409"/>
      <c r="B14" s="412"/>
      <c r="C14" s="415"/>
      <c r="D14" s="422"/>
      <c r="E14" s="423"/>
      <c r="F14" s="424"/>
    </row>
    <row r="15" spans="1:6" ht="3" customHeight="1" thickBot="1">
      <c r="A15" s="410"/>
      <c r="B15" s="413"/>
      <c r="C15" s="416"/>
      <c r="D15" s="425"/>
      <c r="E15" s="426"/>
      <c r="F15" s="427"/>
    </row>
    <row r="16" spans="1:6" ht="30">
      <c r="A16" s="172" t="s">
        <v>191</v>
      </c>
      <c r="B16" s="173" t="s">
        <v>192</v>
      </c>
      <c r="C16" s="174">
        <f>SUM(D16:F16)</f>
        <v>258708</v>
      </c>
      <c r="D16" s="174">
        <f>3125000-3056000+189708</f>
        <v>258708</v>
      </c>
      <c r="E16" s="174"/>
      <c r="F16" s="175"/>
    </row>
    <row r="17" spans="1:6" ht="15">
      <c r="A17" s="109" t="s">
        <v>193</v>
      </c>
      <c r="B17" s="106" t="s">
        <v>26</v>
      </c>
      <c r="C17" s="176">
        <f aca="true" t="shared" si="0" ref="C17:C29">SUM(D17:F17)</f>
        <v>52000</v>
      </c>
      <c r="D17" s="176">
        <v>52000</v>
      </c>
      <c r="E17" s="176"/>
      <c r="F17" s="177"/>
    </row>
    <row r="18" spans="1:6" ht="15">
      <c r="A18" s="109" t="s">
        <v>194</v>
      </c>
      <c r="B18" s="106" t="s">
        <v>195</v>
      </c>
      <c r="C18" s="176">
        <f t="shared" si="0"/>
        <v>956000</v>
      </c>
      <c r="D18" s="176">
        <f>820000+2000000-2000000</f>
        <v>820000</v>
      </c>
      <c r="E18" s="176">
        <v>136000</v>
      </c>
      <c r="F18" s="177"/>
    </row>
    <row r="19" spans="1:6" ht="15">
      <c r="A19" s="109" t="s">
        <v>283</v>
      </c>
      <c r="B19" s="106" t="s">
        <v>284</v>
      </c>
      <c r="C19" s="176">
        <f t="shared" si="0"/>
        <v>40537624</v>
      </c>
      <c r="D19" s="176">
        <f>28514021+112611+195840+47498+23876-88130+11938-5550+604520+10000000+1121000</f>
        <v>40537624</v>
      </c>
      <c r="E19" s="176"/>
      <c r="F19" s="177"/>
    </row>
    <row r="20" spans="1:6" ht="15">
      <c r="A20" s="109" t="s">
        <v>383</v>
      </c>
      <c r="B20" s="106" t="s">
        <v>384</v>
      </c>
      <c r="C20" s="176">
        <f t="shared" si="0"/>
        <v>70404000</v>
      </c>
      <c r="D20" s="176">
        <f>3059000+2000000+23205000+42061196+78727+77</f>
        <v>70404000</v>
      </c>
      <c r="E20" s="176"/>
      <c r="F20" s="177"/>
    </row>
    <row r="21" spans="1:6" ht="15">
      <c r="A21" s="109" t="s">
        <v>379</v>
      </c>
      <c r="B21" s="106" t="s">
        <v>380</v>
      </c>
      <c r="C21" s="176">
        <f t="shared" si="0"/>
        <v>1800277</v>
      </c>
      <c r="D21" s="176">
        <f>1116669+359364+324244</f>
        <v>1800277</v>
      </c>
      <c r="E21" s="176"/>
      <c r="F21" s="177"/>
    </row>
    <row r="22" spans="1:6" ht="15">
      <c r="A22" s="109" t="s">
        <v>198</v>
      </c>
      <c r="B22" s="106" t="s">
        <v>199</v>
      </c>
      <c r="C22" s="176">
        <f t="shared" si="0"/>
        <v>6313000</v>
      </c>
      <c r="D22" s="176">
        <v>6313000</v>
      </c>
      <c r="E22" s="176"/>
      <c r="F22" s="177"/>
    </row>
    <row r="23" spans="1:6" ht="15">
      <c r="A23" s="109" t="s">
        <v>208</v>
      </c>
      <c r="B23" s="106" t="s">
        <v>24</v>
      </c>
      <c r="C23" s="176">
        <f t="shared" si="0"/>
        <v>0</v>
      </c>
      <c r="D23" s="176">
        <f>23205000-23205000</f>
        <v>0</v>
      </c>
      <c r="E23" s="176"/>
      <c r="F23" s="177"/>
    </row>
    <row r="24" spans="1:6" ht="15">
      <c r="A24" s="109" t="s">
        <v>285</v>
      </c>
      <c r="B24" s="106" t="s">
        <v>286</v>
      </c>
      <c r="C24" s="176">
        <f t="shared" si="0"/>
        <v>489000</v>
      </c>
      <c r="D24" s="176">
        <v>489000</v>
      </c>
      <c r="E24" s="176"/>
      <c r="F24" s="177"/>
    </row>
    <row r="25" spans="1:6" ht="15">
      <c r="A25" s="109" t="s">
        <v>287</v>
      </c>
      <c r="B25" s="106" t="s">
        <v>288</v>
      </c>
      <c r="C25" s="176">
        <f t="shared" si="0"/>
        <v>317000</v>
      </c>
      <c r="D25" s="176"/>
      <c r="E25" s="176">
        <v>317000</v>
      </c>
      <c r="F25" s="177"/>
    </row>
    <row r="26" spans="1:6" ht="15">
      <c r="A26" s="109" t="s">
        <v>287</v>
      </c>
      <c r="B26" s="112" t="s">
        <v>353</v>
      </c>
      <c r="C26" s="176">
        <f>SUM(D26:F26)</f>
        <v>954000</v>
      </c>
      <c r="D26" s="176"/>
      <c r="E26" s="176">
        <v>954000</v>
      </c>
      <c r="F26" s="177"/>
    </row>
    <row r="27" spans="1:6" ht="15">
      <c r="A27" s="181">
        <v>104051</v>
      </c>
      <c r="B27" s="106" t="s">
        <v>343</v>
      </c>
      <c r="C27" s="176">
        <f t="shared" si="0"/>
        <v>46000</v>
      </c>
      <c r="D27" s="176"/>
      <c r="E27" s="176"/>
      <c r="F27" s="177">
        <v>46000</v>
      </c>
    </row>
    <row r="28" spans="1:6" ht="15">
      <c r="A28" s="109" t="s">
        <v>216</v>
      </c>
      <c r="B28" s="112" t="s">
        <v>342</v>
      </c>
      <c r="C28" s="176">
        <f t="shared" si="0"/>
        <v>1825000</v>
      </c>
      <c r="D28" s="176">
        <v>1825000</v>
      </c>
      <c r="E28" s="176"/>
      <c r="F28" s="177"/>
    </row>
    <row r="29" spans="1:6" ht="30.75" thickBot="1">
      <c r="A29" s="181">
        <v>900020</v>
      </c>
      <c r="B29" s="106" t="s">
        <v>289</v>
      </c>
      <c r="C29" s="176">
        <f t="shared" si="0"/>
        <v>7808000</v>
      </c>
      <c r="D29" s="176">
        <v>7808000</v>
      </c>
      <c r="E29" s="176"/>
      <c r="F29" s="177"/>
    </row>
    <row r="30" spans="1:6" ht="30" customHeight="1" thickBot="1">
      <c r="A30" s="182"/>
      <c r="B30" s="182" t="s">
        <v>1</v>
      </c>
      <c r="C30" s="180">
        <f>SUM(C16:C29)</f>
        <v>131760609</v>
      </c>
      <c r="D30" s="180">
        <f>SUM(D16:D29)</f>
        <v>130307609</v>
      </c>
      <c r="E30" s="180">
        <f>SUM(E16:E29)</f>
        <v>1407000</v>
      </c>
      <c r="F30" s="180">
        <f>SUM(F16:F29)</f>
        <v>46000</v>
      </c>
    </row>
  </sheetData>
  <sheetProtection/>
  <mergeCells count="9">
    <mergeCell ref="A11:A15"/>
    <mergeCell ref="B11:B15"/>
    <mergeCell ref="C11:C15"/>
    <mergeCell ref="D11:F11"/>
    <mergeCell ref="D13:F15"/>
    <mergeCell ref="B5:F5"/>
    <mergeCell ref="B7:F7"/>
    <mergeCell ref="B8:F8"/>
    <mergeCell ref="B9:F9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1" customWidth="1"/>
    <col min="2" max="2" width="44.125" style="11" customWidth="1"/>
    <col min="3" max="3" width="13.00390625" style="11" customWidth="1"/>
    <col min="4" max="4" width="12.625" style="11" customWidth="1"/>
    <col min="5" max="5" width="10.375" style="11" customWidth="1"/>
    <col min="6" max="6" width="12.125" style="11" customWidth="1"/>
    <col min="7" max="7" width="10.375" style="11" customWidth="1"/>
    <col min="8" max="8" width="11.375" style="11" customWidth="1"/>
    <col min="9" max="9" width="11.75390625" style="11" customWidth="1"/>
    <col min="10" max="10" width="10.25390625" style="11" customWidth="1"/>
    <col min="11" max="11" width="11.875" style="11" customWidth="1"/>
    <col min="12" max="12" width="10.625" style="11" customWidth="1"/>
    <col min="13" max="13" width="12.125" style="11" customWidth="1"/>
    <col min="14" max="14" width="15.25390625" style="11" customWidth="1"/>
    <col min="15" max="15" width="9.875" style="11" customWidth="1"/>
    <col min="16" max="16" width="10.625" style="11" customWidth="1"/>
    <col min="17" max="17" width="11.625" style="11" customWidth="1"/>
    <col min="18" max="16384" width="9.125" style="11" customWidth="1"/>
  </cols>
  <sheetData>
    <row r="1" spans="1:19" ht="15.75">
      <c r="A1" s="117" t="s">
        <v>444</v>
      </c>
      <c r="K1" s="462"/>
      <c r="L1" s="462"/>
      <c r="M1" s="462"/>
      <c r="N1" s="462"/>
      <c r="O1" s="462"/>
      <c r="P1" s="462"/>
      <c r="Q1" s="462"/>
      <c r="R1" s="462"/>
      <c r="S1" s="462"/>
    </row>
    <row r="2" spans="1:19" ht="15.75">
      <c r="A2" s="117"/>
      <c r="K2" s="71"/>
      <c r="L2" s="71"/>
      <c r="M2" s="71"/>
      <c r="N2" s="71"/>
      <c r="O2" s="71"/>
      <c r="P2" s="71"/>
      <c r="Q2" s="71"/>
      <c r="R2" s="71"/>
      <c r="S2" s="71"/>
    </row>
    <row r="3" spans="1:16" ht="15.75" customHeight="1">
      <c r="A3" s="457" t="s">
        <v>388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1:19" s="103" customFormat="1" ht="15.7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</row>
    <row r="5" spans="1:16" s="103" customFormat="1" ht="15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9" s="103" customFormat="1" ht="15.75" customHeight="1">
      <c r="A6" s="458" t="s">
        <v>31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</row>
    <row r="7" spans="1:19" s="103" customFormat="1" ht="15.75" customHeight="1">
      <c r="A7" s="458" t="s">
        <v>173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</row>
    <row r="8" spans="1:19" s="103" customFormat="1" ht="15.75" customHeight="1">
      <c r="A8" s="458" t="s">
        <v>351</v>
      </c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</row>
    <row r="9" spans="18:19" s="103" customFormat="1" ht="15.75" thickBot="1">
      <c r="R9" s="463" t="s">
        <v>378</v>
      </c>
      <c r="S9" s="463"/>
    </row>
    <row r="10" spans="1:19" s="104" customFormat="1" ht="20.25" customHeight="1" thickBot="1">
      <c r="A10" s="439" t="s">
        <v>174</v>
      </c>
      <c r="B10" s="464" t="s">
        <v>175</v>
      </c>
      <c r="C10" s="430" t="s">
        <v>176</v>
      </c>
      <c r="D10" s="447" t="s">
        <v>177</v>
      </c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9"/>
      <c r="R10" s="442" t="s">
        <v>2</v>
      </c>
      <c r="S10" s="443"/>
    </row>
    <row r="11" spans="1:19" s="104" customFormat="1" ht="38.25" customHeight="1" thickBot="1">
      <c r="A11" s="440"/>
      <c r="B11" s="465"/>
      <c r="C11" s="431"/>
      <c r="D11" s="436" t="s">
        <v>54</v>
      </c>
      <c r="E11" s="437"/>
      <c r="F11" s="437"/>
      <c r="G11" s="437"/>
      <c r="H11" s="437"/>
      <c r="I11" s="438"/>
      <c r="J11" s="447" t="s">
        <v>55</v>
      </c>
      <c r="K11" s="448"/>
      <c r="L11" s="448"/>
      <c r="M11" s="449"/>
      <c r="N11" s="444" t="s">
        <v>178</v>
      </c>
      <c r="O11" s="445"/>
      <c r="P11" s="445"/>
      <c r="Q11" s="446"/>
      <c r="R11" s="452" t="s">
        <v>4</v>
      </c>
      <c r="S11" s="453"/>
    </row>
    <row r="12" spans="1:19" s="104" customFormat="1" ht="21" customHeight="1" thickBot="1">
      <c r="A12" s="440"/>
      <c r="B12" s="465"/>
      <c r="C12" s="431"/>
      <c r="D12" s="430" t="s">
        <v>179</v>
      </c>
      <c r="E12" s="430" t="s">
        <v>180</v>
      </c>
      <c r="F12" s="430" t="s">
        <v>181</v>
      </c>
      <c r="G12" s="430" t="s">
        <v>182</v>
      </c>
      <c r="H12" s="430" t="s">
        <v>183</v>
      </c>
      <c r="I12" s="454" t="s">
        <v>184</v>
      </c>
      <c r="J12" s="433" t="s">
        <v>185</v>
      </c>
      <c r="K12" s="433" t="s">
        <v>56</v>
      </c>
      <c r="L12" s="430" t="s">
        <v>290</v>
      </c>
      <c r="M12" s="459" t="s">
        <v>291</v>
      </c>
      <c r="N12" s="430" t="s">
        <v>354</v>
      </c>
      <c r="O12" s="430" t="s">
        <v>186</v>
      </c>
      <c r="P12" s="430" t="s">
        <v>187</v>
      </c>
      <c r="Q12" s="459" t="s">
        <v>292</v>
      </c>
      <c r="R12" s="156" t="s">
        <v>188</v>
      </c>
      <c r="S12" s="157" t="s">
        <v>189</v>
      </c>
    </row>
    <row r="13" spans="1:19" s="104" customFormat="1" ht="18.75" customHeight="1">
      <c r="A13" s="440"/>
      <c r="B13" s="465"/>
      <c r="C13" s="431"/>
      <c r="D13" s="431"/>
      <c r="E13" s="431"/>
      <c r="F13" s="431"/>
      <c r="G13" s="431"/>
      <c r="H13" s="431"/>
      <c r="I13" s="455"/>
      <c r="J13" s="434"/>
      <c r="K13" s="434"/>
      <c r="L13" s="431"/>
      <c r="M13" s="460"/>
      <c r="N13" s="431"/>
      <c r="O13" s="431"/>
      <c r="P13" s="431"/>
      <c r="Q13" s="460"/>
      <c r="R13" s="450" t="s">
        <v>190</v>
      </c>
      <c r="S13" s="451"/>
    </row>
    <row r="14" spans="1:19" s="104" customFormat="1" ht="20.25" customHeight="1" thickBot="1">
      <c r="A14" s="441"/>
      <c r="B14" s="466"/>
      <c r="C14" s="432"/>
      <c r="D14" s="432"/>
      <c r="E14" s="432"/>
      <c r="F14" s="432"/>
      <c r="G14" s="432"/>
      <c r="H14" s="432"/>
      <c r="I14" s="456"/>
      <c r="J14" s="435"/>
      <c r="K14" s="435"/>
      <c r="L14" s="432"/>
      <c r="M14" s="461"/>
      <c r="N14" s="432"/>
      <c r="O14" s="432"/>
      <c r="P14" s="432"/>
      <c r="Q14" s="461"/>
      <c r="R14" s="452"/>
      <c r="S14" s="453"/>
    </row>
    <row r="15" spans="1:19" s="103" customFormat="1" ht="30">
      <c r="A15" s="105" t="s">
        <v>191</v>
      </c>
      <c r="B15" s="106" t="s">
        <v>192</v>
      </c>
      <c r="C15" s="322">
        <f>I15+M15+O15+P15</f>
        <v>50478119</v>
      </c>
      <c r="D15" s="323">
        <f>8073000+24970+17000+12250+13032+6700+149376+3350+1406062+24500</f>
        <v>9730240</v>
      </c>
      <c r="E15" s="324">
        <f>904+2350319-66078</f>
        <v>2285145</v>
      </c>
      <c r="F15" s="324">
        <f>3938000+63487-43180+10755</f>
        <v>3969062</v>
      </c>
      <c r="G15" s="324"/>
      <c r="H15" s="324">
        <f>162000+40789124-2596200-425000-396875-11800-381000-100000-600000+116030-116030-149900-88130-5550-1406062-668129+34154</f>
        <v>34156632</v>
      </c>
      <c r="I15" s="325">
        <f aca="true" t="shared" si="0" ref="I15:I42">SUM(D15:H15)</f>
        <v>50141079</v>
      </c>
      <c r="J15" s="326">
        <f>102000-4960</f>
        <v>97040</v>
      </c>
      <c r="K15" s="326"/>
      <c r="L15" s="326">
        <v>240000</v>
      </c>
      <c r="M15" s="327">
        <f>SUM(J15:L15)</f>
        <v>337040</v>
      </c>
      <c r="N15" s="327"/>
      <c r="O15" s="328"/>
      <c r="P15" s="329"/>
      <c r="Q15" s="329"/>
      <c r="R15" s="108">
        <f>0.5+0.1+0.2-0.3</f>
        <v>0.5</v>
      </c>
      <c r="S15" s="155">
        <v>0.5</v>
      </c>
    </row>
    <row r="16" spans="1:19" s="103" customFormat="1" ht="15">
      <c r="A16" s="109" t="s">
        <v>193</v>
      </c>
      <c r="B16" s="106" t="s">
        <v>26</v>
      </c>
      <c r="C16" s="322">
        <f aca="true" t="shared" si="1" ref="C16:C42">I16+M16+O16+P16</f>
        <v>64000</v>
      </c>
      <c r="D16" s="323"/>
      <c r="E16" s="324"/>
      <c r="F16" s="324">
        <v>64000</v>
      </c>
      <c r="G16" s="324"/>
      <c r="H16" s="324"/>
      <c r="I16" s="325">
        <f t="shared" si="0"/>
        <v>64000</v>
      </c>
      <c r="J16" s="326"/>
      <c r="K16" s="326"/>
      <c r="L16" s="326"/>
      <c r="M16" s="327"/>
      <c r="N16" s="327"/>
      <c r="O16" s="328"/>
      <c r="P16" s="329"/>
      <c r="Q16" s="329"/>
      <c r="R16" s="110"/>
      <c r="S16" s="107"/>
    </row>
    <row r="17" spans="1:19" s="103" customFormat="1" ht="29.25" customHeight="1">
      <c r="A17" s="109" t="s">
        <v>194</v>
      </c>
      <c r="B17" s="106" t="s">
        <v>195</v>
      </c>
      <c r="C17" s="322">
        <f>I17+M17+Q17</f>
        <v>5063450</v>
      </c>
      <c r="D17" s="323"/>
      <c r="E17" s="324"/>
      <c r="F17" s="324">
        <f>245000-158750</f>
        <v>86250</v>
      </c>
      <c r="G17" s="324"/>
      <c r="H17" s="324"/>
      <c r="I17" s="325">
        <f t="shared" si="0"/>
        <v>86250</v>
      </c>
      <c r="J17" s="326">
        <f>2000000+2596200+381000</f>
        <v>4977200</v>
      </c>
      <c r="K17" s="326"/>
      <c r="L17" s="326"/>
      <c r="M17" s="327">
        <f>SUM(J17:L17)</f>
        <v>4977200</v>
      </c>
      <c r="N17" s="327"/>
      <c r="O17" s="328"/>
      <c r="P17" s="329"/>
      <c r="Q17" s="329"/>
      <c r="R17" s="111"/>
      <c r="S17" s="107"/>
    </row>
    <row r="18" spans="1:19" s="103" customFormat="1" ht="30" customHeight="1">
      <c r="A18" s="109" t="s">
        <v>283</v>
      </c>
      <c r="B18" s="106" t="s">
        <v>284</v>
      </c>
      <c r="C18" s="322">
        <f>I18+M18+Q18</f>
        <v>3324113</v>
      </c>
      <c r="D18" s="323"/>
      <c r="E18" s="324"/>
      <c r="F18" s="324"/>
      <c r="G18" s="324"/>
      <c r="H18" s="324">
        <f>15240+4500+864405</f>
        <v>884145</v>
      </c>
      <c r="I18" s="325">
        <f t="shared" si="0"/>
        <v>884145</v>
      </c>
      <c r="J18" s="326"/>
      <c r="K18" s="326"/>
      <c r="L18" s="326"/>
      <c r="M18" s="327"/>
      <c r="N18" s="327">
        <f>1139077+179682+1121209</f>
        <v>2439968</v>
      </c>
      <c r="O18" s="328"/>
      <c r="P18" s="329"/>
      <c r="Q18" s="329">
        <f>N18+O18+P18</f>
        <v>2439968</v>
      </c>
      <c r="R18" s="108"/>
      <c r="S18" s="107"/>
    </row>
    <row r="19" spans="1:19" s="103" customFormat="1" ht="24" customHeight="1">
      <c r="A19" s="109" t="s">
        <v>399</v>
      </c>
      <c r="B19" s="106" t="s">
        <v>401</v>
      </c>
      <c r="C19" s="322">
        <f>I19+M19+Q19</f>
        <v>10396875</v>
      </c>
      <c r="D19" s="323"/>
      <c r="E19" s="324"/>
      <c r="F19" s="324">
        <v>396875</v>
      </c>
      <c r="G19" s="324"/>
      <c r="H19" s="324"/>
      <c r="I19" s="325">
        <f t="shared" si="0"/>
        <v>396875</v>
      </c>
      <c r="J19" s="326"/>
      <c r="K19" s="326">
        <v>10000000</v>
      </c>
      <c r="L19" s="326"/>
      <c r="M19" s="327">
        <f>SUM(J19:L19)</f>
        <v>10000000</v>
      </c>
      <c r="N19" s="327"/>
      <c r="O19" s="328"/>
      <c r="P19" s="329"/>
      <c r="Q19" s="329"/>
      <c r="R19" s="108"/>
      <c r="S19" s="107"/>
    </row>
    <row r="20" spans="1:19" s="103" customFormat="1" ht="14.25" customHeight="1">
      <c r="A20" s="109" t="s">
        <v>379</v>
      </c>
      <c r="B20" s="106" t="s">
        <v>380</v>
      </c>
      <c r="C20" s="322">
        <f>I20+M20+Q20</f>
        <v>1944736</v>
      </c>
      <c r="D20" s="323">
        <f>15000+618705+26385+308019+22877+7867+316620+277044+5037+60000</f>
        <v>1657554</v>
      </c>
      <c r="E20" s="324">
        <f>5354+111581+29102+34595+42744+38079+4084+935+20708</f>
        <v>287182</v>
      </c>
      <c r="F20" s="324"/>
      <c r="G20" s="324"/>
      <c r="H20" s="324"/>
      <c r="I20" s="325">
        <f t="shared" si="0"/>
        <v>1944736</v>
      </c>
      <c r="J20" s="326"/>
      <c r="K20" s="326"/>
      <c r="L20" s="326"/>
      <c r="M20" s="327"/>
      <c r="N20" s="327"/>
      <c r="O20" s="328"/>
      <c r="P20" s="329"/>
      <c r="Q20" s="329"/>
      <c r="R20" s="108">
        <v>2</v>
      </c>
      <c r="S20" s="107">
        <v>2</v>
      </c>
    </row>
    <row r="21" spans="1:19" s="103" customFormat="1" ht="19.5" customHeight="1">
      <c r="A21" s="109" t="s">
        <v>359</v>
      </c>
      <c r="B21" s="106" t="s">
        <v>360</v>
      </c>
      <c r="C21" s="322">
        <f>I21+M21+Q21</f>
        <v>19021</v>
      </c>
      <c r="D21" s="323"/>
      <c r="E21" s="324"/>
      <c r="F21" s="324">
        <v>19021</v>
      </c>
      <c r="G21" s="324"/>
      <c r="H21" s="324"/>
      <c r="I21" s="325">
        <f t="shared" si="0"/>
        <v>19021</v>
      </c>
      <c r="J21" s="326"/>
      <c r="K21" s="326"/>
      <c r="L21" s="326"/>
      <c r="M21" s="327"/>
      <c r="N21" s="327"/>
      <c r="O21" s="328"/>
      <c r="P21" s="329"/>
      <c r="Q21" s="329"/>
      <c r="R21" s="108"/>
      <c r="S21" s="107"/>
    </row>
    <row r="22" spans="1:19" s="103" customFormat="1" ht="30">
      <c r="A22" s="109" t="s">
        <v>196</v>
      </c>
      <c r="B22" s="106" t="s">
        <v>197</v>
      </c>
      <c r="C22" s="322">
        <f>I22+M22+O22+P22</f>
        <v>27000</v>
      </c>
      <c r="D22" s="323"/>
      <c r="E22" s="324"/>
      <c r="F22" s="324">
        <v>27000</v>
      </c>
      <c r="G22" s="324"/>
      <c r="H22" s="324"/>
      <c r="I22" s="325">
        <f t="shared" si="0"/>
        <v>27000</v>
      </c>
      <c r="J22" s="326"/>
      <c r="K22" s="326"/>
      <c r="L22" s="326"/>
      <c r="M22" s="327"/>
      <c r="N22" s="327"/>
      <c r="O22" s="328"/>
      <c r="P22" s="329"/>
      <c r="Q22" s="329"/>
      <c r="R22" s="108"/>
      <c r="S22" s="107"/>
    </row>
    <row r="23" spans="1:19" s="103" customFormat="1" ht="30">
      <c r="A23" s="109" t="s">
        <v>198</v>
      </c>
      <c r="B23" s="106" t="s">
        <v>199</v>
      </c>
      <c r="C23" s="322">
        <f>I23+M23+O23+P23</f>
        <v>6313000</v>
      </c>
      <c r="D23" s="323"/>
      <c r="E23" s="324"/>
      <c r="F23" s="324">
        <f>6313000-2540000</f>
        <v>3773000</v>
      </c>
      <c r="G23" s="324"/>
      <c r="H23" s="324"/>
      <c r="I23" s="325">
        <f t="shared" si="0"/>
        <v>3773000</v>
      </c>
      <c r="J23" s="326">
        <v>2540000</v>
      </c>
      <c r="K23" s="326"/>
      <c r="L23" s="326"/>
      <c r="M23" s="327">
        <f>SUM(J23:L23)</f>
        <v>2540000</v>
      </c>
      <c r="N23" s="327"/>
      <c r="O23" s="328"/>
      <c r="P23" s="329"/>
      <c r="Q23" s="329"/>
      <c r="R23" s="111"/>
      <c r="S23" s="107"/>
    </row>
    <row r="24" spans="1:19" s="103" customFormat="1" ht="15">
      <c r="A24" s="109" t="s">
        <v>200</v>
      </c>
      <c r="B24" s="106" t="s">
        <v>201</v>
      </c>
      <c r="C24" s="322">
        <f>I24+M24+O24+P24</f>
        <v>960000</v>
      </c>
      <c r="D24" s="323"/>
      <c r="E24" s="324"/>
      <c r="F24" s="324"/>
      <c r="G24" s="324"/>
      <c r="H24" s="324"/>
      <c r="I24" s="325"/>
      <c r="J24" s="326"/>
      <c r="K24" s="326"/>
      <c r="L24" s="326">
        <f>600000-240000+600000</f>
        <v>960000</v>
      </c>
      <c r="M24" s="327">
        <f>SUM(J24:L24)</f>
        <v>960000</v>
      </c>
      <c r="N24" s="327"/>
      <c r="O24" s="328"/>
      <c r="P24" s="329"/>
      <c r="Q24" s="329"/>
      <c r="R24" s="111"/>
      <c r="S24" s="107"/>
    </row>
    <row r="25" spans="1:19" s="103" customFormat="1" ht="15">
      <c r="A25" s="109" t="s">
        <v>202</v>
      </c>
      <c r="B25" s="106" t="s">
        <v>203</v>
      </c>
      <c r="C25" s="322">
        <f t="shared" si="1"/>
        <v>1900000</v>
      </c>
      <c r="D25" s="323"/>
      <c r="E25" s="324"/>
      <c r="F25" s="324">
        <v>1900000</v>
      </c>
      <c r="G25" s="326"/>
      <c r="H25" s="324"/>
      <c r="I25" s="325">
        <f t="shared" si="0"/>
        <v>1900000</v>
      </c>
      <c r="J25" s="326"/>
      <c r="K25" s="326"/>
      <c r="L25" s="326"/>
      <c r="M25" s="327"/>
      <c r="N25" s="327"/>
      <c r="O25" s="328"/>
      <c r="P25" s="329"/>
      <c r="Q25" s="329"/>
      <c r="R25" s="111"/>
      <c r="S25" s="107"/>
    </row>
    <row r="26" spans="1:19" s="103" customFormat="1" ht="15">
      <c r="A26" s="109" t="s">
        <v>204</v>
      </c>
      <c r="B26" s="106" t="s">
        <v>205</v>
      </c>
      <c r="C26" s="322">
        <f t="shared" si="1"/>
        <v>635000</v>
      </c>
      <c r="D26" s="323"/>
      <c r="E26" s="324"/>
      <c r="F26" s="324">
        <v>635000</v>
      </c>
      <c r="G26" s="326"/>
      <c r="H26" s="324"/>
      <c r="I26" s="325">
        <f t="shared" si="0"/>
        <v>635000</v>
      </c>
      <c r="J26" s="326"/>
      <c r="K26" s="326"/>
      <c r="L26" s="326"/>
      <c r="M26" s="327"/>
      <c r="N26" s="327"/>
      <c r="O26" s="328"/>
      <c r="P26" s="329"/>
      <c r="Q26" s="329"/>
      <c r="R26" s="111"/>
      <c r="S26" s="107"/>
    </row>
    <row r="27" spans="1:19" s="103" customFormat="1" ht="30">
      <c r="A27" s="109" t="s">
        <v>206</v>
      </c>
      <c r="B27" s="106" t="s">
        <v>207</v>
      </c>
      <c r="C27" s="322">
        <f t="shared" si="1"/>
        <v>2547799</v>
      </c>
      <c r="D27" s="323">
        <f>704000+44400+2100</f>
        <v>750500</v>
      </c>
      <c r="E27" s="324">
        <f>192000+11988+567-986+5070</f>
        <v>208639</v>
      </c>
      <c r="F27" s="324">
        <v>957000</v>
      </c>
      <c r="G27" s="326"/>
      <c r="H27" s="324"/>
      <c r="I27" s="325">
        <f t="shared" si="0"/>
        <v>1916139</v>
      </c>
      <c r="J27" s="326">
        <f>465000+4960+11800+149900</f>
        <v>631660</v>
      </c>
      <c r="K27" s="326"/>
      <c r="L27" s="326"/>
      <c r="M27" s="327">
        <f>SUM(J27:L27)</f>
        <v>631660</v>
      </c>
      <c r="N27" s="327"/>
      <c r="O27" s="328"/>
      <c r="P27" s="329"/>
      <c r="Q27" s="329"/>
      <c r="R27" s="111">
        <v>0.5</v>
      </c>
      <c r="S27" s="107">
        <v>0.5</v>
      </c>
    </row>
    <row r="28" spans="1:19" s="103" customFormat="1" ht="15">
      <c r="A28" s="109" t="s">
        <v>208</v>
      </c>
      <c r="B28" s="106" t="s">
        <v>24</v>
      </c>
      <c r="C28" s="322">
        <f t="shared" si="1"/>
        <v>23919890</v>
      </c>
      <c r="D28" s="323"/>
      <c r="E28" s="324"/>
      <c r="F28" s="324">
        <f>60000+111980</f>
        <v>171980</v>
      </c>
      <c r="G28" s="326"/>
      <c r="H28" s="324"/>
      <c r="I28" s="325">
        <f t="shared" si="0"/>
        <v>171980</v>
      </c>
      <c r="J28" s="326">
        <v>117910</v>
      </c>
      <c r="K28" s="326">
        <f>23205000+425000</f>
        <v>23630000</v>
      </c>
      <c r="L28" s="326"/>
      <c r="M28" s="327">
        <f aca="true" t="shared" si="2" ref="M28:M42">SUM(J28:L28)</f>
        <v>23747910</v>
      </c>
      <c r="N28" s="327"/>
      <c r="O28" s="328"/>
      <c r="P28" s="329"/>
      <c r="Q28" s="329"/>
      <c r="R28" s="111"/>
      <c r="S28" s="107"/>
    </row>
    <row r="29" spans="1:19" s="103" customFormat="1" ht="31.5" customHeight="1">
      <c r="A29" s="109" t="s">
        <v>209</v>
      </c>
      <c r="B29" s="106" t="s">
        <v>210</v>
      </c>
      <c r="C29" s="322">
        <f t="shared" si="1"/>
        <v>675000</v>
      </c>
      <c r="D29" s="323"/>
      <c r="E29" s="324"/>
      <c r="F29" s="324"/>
      <c r="G29" s="324"/>
      <c r="H29" s="324">
        <v>675000</v>
      </c>
      <c r="I29" s="325">
        <f t="shared" si="0"/>
        <v>675000</v>
      </c>
      <c r="J29" s="326"/>
      <c r="K29" s="326"/>
      <c r="L29" s="326"/>
      <c r="M29" s="327">
        <f t="shared" si="2"/>
        <v>0</v>
      </c>
      <c r="N29" s="327"/>
      <c r="O29" s="328"/>
      <c r="P29" s="329"/>
      <c r="Q29" s="329"/>
      <c r="R29" s="111"/>
      <c r="S29" s="107"/>
    </row>
    <row r="30" spans="1:19" s="103" customFormat="1" ht="15">
      <c r="A30" s="109" t="s">
        <v>211</v>
      </c>
      <c r="B30" s="106" t="s">
        <v>27</v>
      </c>
      <c r="C30" s="322">
        <f t="shared" si="1"/>
        <v>877771</v>
      </c>
      <c r="D30" s="323">
        <f>460000+4480+4900+2680+1340+9600</f>
        <v>483000</v>
      </c>
      <c r="E30" s="324">
        <f>128258+362+3151</f>
        <v>131771</v>
      </c>
      <c r="F30" s="324">
        <v>83000</v>
      </c>
      <c r="G30" s="324"/>
      <c r="H30" s="324"/>
      <c r="I30" s="325">
        <f t="shared" si="0"/>
        <v>697771</v>
      </c>
      <c r="J30" s="326">
        <v>180000</v>
      </c>
      <c r="K30" s="326"/>
      <c r="L30" s="326"/>
      <c r="M30" s="327">
        <f t="shared" si="2"/>
        <v>180000</v>
      </c>
      <c r="N30" s="327"/>
      <c r="O30" s="328"/>
      <c r="P30" s="329"/>
      <c r="Q30" s="329"/>
      <c r="R30" s="111">
        <v>0.2</v>
      </c>
      <c r="S30" s="107">
        <v>0.2</v>
      </c>
    </row>
    <row r="31" spans="1:19" s="103" customFormat="1" ht="30">
      <c r="A31" s="109" t="s">
        <v>355</v>
      </c>
      <c r="B31" s="106" t="s">
        <v>356</v>
      </c>
      <c r="C31" s="322">
        <f t="shared" si="1"/>
        <v>2671163</v>
      </c>
      <c r="D31" s="323">
        <f>1726000+14820+18150+11200+9420+4710+47900</f>
        <v>1832200</v>
      </c>
      <c r="E31" s="324">
        <f>482446+1272+12000+245</f>
        <v>495963</v>
      </c>
      <c r="F31" s="324">
        <v>343000</v>
      </c>
      <c r="G31" s="324"/>
      <c r="H31" s="324"/>
      <c r="I31" s="325">
        <f>SUM(D31:H31)</f>
        <v>2671163</v>
      </c>
      <c r="J31" s="326"/>
      <c r="K31" s="326"/>
      <c r="L31" s="326"/>
      <c r="M31" s="327">
        <f t="shared" si="2"/>
        <v>0</v>
      </c>
      <c r="N31" s="327"/>
      <c r="O31" s="328"/>
      <c r="P31" s="329"/>
      <c r="Q31" s="329"/>
      <c r="R31" s="111"/>
      <c r="S31" s="107"/>
    </row>
    <row r="32" spans="1:19" s="103" customFormat="1" ht="15">
      <c r="A32" s="109" t="s">
        <v>357</v>
      </c>
      <c r="B32" s="106" t="s">
        <v>438</v>
      </c>
      <c r="C32" s="322">
        <f t="shared" si="1"/>
        <v>377177</v>
      </c>
      <c r="D32" s="323">
        <f>291000+15177</f>
        <v>306177</v>
      </c>
      <c r="E32" s="324">
        <v>71000</v>
      </c>
      <c r="F32" s="324"/>
      <c r="G32" s="324"/>
      <c r="H32" s="324"/>
      <c r="I32" s="325">
        <f>SUM(D32:H32)</f>
        <v>377177</v>
      </c>
      <c r="J32" s="326"/>
      <c r="K32" s="326"/>
      <c r="L32" s="326"/>
      <c r="M32" s="327">
        <f t="shared" si="2"/>
        <v>0</v>
      </c>
      <c r="N32" s="327"/>
      <c r="O32" s="328"/>
      <c r="P32" s="329"/>
      <c r="Q32" s="329"/>
      <c r="R32" s="111"/>
      <c r="S32" s="107"/>
    </row>
    <row r="33" spans="1:19" s="103" customFormat="1" ht="15">
      <c r="A33" s="109" t="s">
        <v>212</v>
      </c>
      <c r="B33" s="106" t="s">
        <v>25</v>
      </c>
      <c r="C33" s="322">
        <f t="shared" si="1"/>
        <v>340000</v>
      </c>
      <c r="D33" s="323"/>
      <c r="E33" s="324"/>
      <c r="F33" s="324"/>
      <c r="G33" s="324"/>
      <c r="H33" s="324">
        <f>240000+100000</f>
        <v>340000</v>
      </c>
      <c r="I33" s="325">
        <f t="shared" si="0"/>
        <v>340000</v>
      </c>
      <c r="J33" s="326"/>
      <c r="K33" s="326"/>
      <c r="L33" s="326"/>
      <c r="M33" s="327">
        <f t="shared" si="2"/>
        <v>0</v>
      </c>
      <c r="N33" s="327"/>
      <c r="O33" s="328"/>
      <c r="P33" s="329"/>
      <c r="Q33" s="329"/>
      <c r="R33" s="111"/>
      <c r="S33" s="107"/>
    </row>
    <row r="34" spans="1:19" s="103" customFormat="1" ht="15">
      <c r="A34" s="109" t="s">
        <v>213</v>
      </c>
      <c r="B34" s="106" t="s">
        <v>214</v>
      </c>
      <c r="C34" s="322">
        <f t="shared" si="1"/>
        <v>50000</v>
      </c>
      <c r="D34" s="323"/>
      <c r="E34" s="324"/>
      <c r="F34" s="324"/>
      <c r="G34" s="324">
        <v>50000</v>
      </c>
      <c r="H34" s="324"/>
      <c r="I34" s="325">
        <f t="shared" si="0"/>
        <v>50000</v>
      </c>
      <c r="J34" s="326"/>
      <c r="K34" s="326"/>
      <c r="L34" s="326"/>
      <c r="M34" s="327">
        <f t="shared" si="2"/>
        <v>0</v>
      </c>
      <c r="N34" s="327"/>
      <c r="O34" s="328"/>
      <c r="P34" s="329"/>
      <c r="Q34" s="329"/>
      <c r="R34" s="111"/>
      <c r="S34" s="107"/>
    </row>
    <row r="35" spans="1:19" s="103" customFormat="1" ht="15">
      <c r="A35" s="109" t="s">
        <v>285</v>
      </c>
      <c r="B35" s="106" t="s">
        <v>286</v>
      </c>
      <c r="C35" s="322">
        <f t="shared" si="1"/>
        <v>7212920</v>
      </c>
      <c r="D35" s="323">
        <f>2567000+101750-94500+51975+154205+14730</f>
        <v>2795160</v>
      </c>
      <c r="E35" s="324">
        <f>700000+41635+3900</f>
        <v>745535</v>
      </c>
      <c r="F35" s="324">
        <f>3448000+22225+150000</f>
        <v>3620225</v>
      </c>
      <c r="G35" s="324"/>
      <c r="H35" s="324"/>
      <c r="I35" s="325">
        <f t="shared" si="0"/>
        <v>7160920</v>
      </c>
      <c r="J35" s="326">
        <v>52000</v>
      </c>
      <c r="K35" s="326"/>
      <c r="L35" s="326"/>
      <c r="M35" s="327">
        <f t="shared" si="2"/>
        <v>52000</v>
      </c>
      <c r="N35" s="327"/>
      <c r="O35" s="328"/>
      <c r="P35" s="329"/>
      <c r="Q35" s="329"/>
      <c r="R35" s="158">
        <v>1</v>
      </c>
      <c r="S35" s="159">
        <v>1</v>
      </c>
    </row>
    <row r="36" spans="1:19" s="103" customFormat="1" ht="30">
      <c r="A36" s="109" t="s">
        <v>287</v>
      </c>
      <c r="B36" s="106" t="s">
        <v>288</v>
      </c>
      <c r="C36" s="322">
        <f t="shared" si="1"/>
        <v>1291771</v>
      </c>
      <c r="D36" s="323">
        <f>453000+20350+10395+2840-40936</f>
        <v>445649</v>
      </c>
      <c r="E36" s="324">
        <f>124000-26592</f>
        <v>97408</v>
      </c>
      <c r="F36" s="324">
        <f>640000+22225+30000+47489</f>
        <v>739714</v>
      </c>
      <c r="G36" s="324"/>
      <c r="H36" s="324"/>
      <c r="I36" s="325">
        <f t="shared" si="0"/>
        <v>1282771</v>
      </c>
      <c r="J36" s="326">
        <v>9000</v>
      </c>
      <c r="K36" s="326"/>
      <c r="L36" s="326"/>
      <c r="M36" s="327">
        <f t="shared" si="2"/>
        <v>9000</v>
      </c>
      <c r="N36" s="327"/>
      <c r="O36" s="328"/>
      <c r="P36" s="329"/>
      <c r="Q36" s="329"/>
      <c r="R36" s="111"/>
      <c r="S36" s="107"/>
    </row>
    <row r="37" spans="1:19" s="103" customFormat="1" ht="15">
      <c r="A37" s="109" t="s">
        <v>287</v>
      </c>
      <c r="B37" s="112" t="s">
        <v>358</v>
      </c>
      <c r="C37" s="322">
        <f>I37+M37+O37+P37</f>
        <v>1803526</v>
      </c>
      <c r="D37" s="323">
        <f>654000+46250+8505-11200-50499-15177-99862</f>
        <v>532017</v>
      </c>
      <c r="E37" s="324">
        <f>179000-37595+31054</f>
        <v>172459</v>
      </c>
      <c r="F37" s="324">
        <f>1031000+19050+36000</f>
        <v>1086050</v>
      </c>
      <c r="G37" s="324"/>
      <c r="H37" s="324"/>
      <c r="I37" s="325">
        <f>SUM(D37:H37)</f>
        <v>1790526</v>
      </c>
      <c r="J37" s="326">
        <v>13000</v>
      </c>
      <c r="K37" s="326"/>
      <c r="L37" s="326"/>
      <c r="M37" s="327">
        <f>SUM(J37:L37)</f>
        <v>13000</v>
      </c>
      <c r="N37" s="327"/>
      <c r="O37" s="328"/>
      <c r="P37" s="329"/>
      <c r="Q37" s="329"/>
      <c r="R37" s="111"/>
      <c r="S37" s="107"/>
    </row>
    <row r="38" spans="1:19" s="103" customFormat="1" ht="30">
      <c r="A38" s="109">
        <v>104051</v>
      </c>
      <c r="B38" s="106" t="s">
        <v>343</v>
      </c>
      <c r="C38" s="322">
        <f t="shared" si="1"/>
        <v>46000</v>
      </c>
      <c r="D38" s="323"/>
      <c r="E38" s="324"/>
      <c r="F38" s="324"/>
      <c r="G38" s="324">
        <v>46000</v>
      </c>
      <c r="H38" s="324"/>
      <c r="I38" s="325">
        <f t="shared" si="0"/>
        <v>46000</v>
      </c>
      <c r="J38" s="326"/>
      <c r="K38" s="326"/>
      <c r="L38" s="326"/>
      <c r="M38" s="327">
        <f t="shared" si="2"/>
        <v>0</v>
      </c>
      <c r="N38" s="327"/>
      <c r="O38" s="328"/>
      <c r="P38" s="329"/>
      <c r="Q38" s="329"/>
      <c r="R38" s="111"/>
      <c r="S38" s="107"/>
    </row>
    <row r="39" spans="1:19" s="103" customFormat="1" ht="30">
      <c r="A39" s="109">
        <v>106020</v>
      </c>
      <c r="B39" s="106" t="s">
        <v>215</v>
      </c>
      <c r="C39" s="322">
        <f t="shared" si="1"/>
        <v>600000</v>
      </c>
      <c r="D39" s="323"/>
      <c r="E39" s="324"/>
      <c r="F39" s="324"/>
      <c r="G39" s="324">
        <v>600000</v>
      </c>
      <c r="H39" s="324"/>
      <c r="I39" s="325">
        <f t="shared" si="0"/>
        <v>600000</v>
      </c>
      <c r="J39" s="326"/>
      <c r="K39" s="326"/>
      <c r="L39" s="326"/>
      <c r="M39" s="327">
        <f t="shared" si="2"/>
        <v>0</v>
      </c>
      <c r="N39" s="327"/>
      <c r="O39" s="328"/>
      <c r="P39" s="329"/>
      <c r="Q39" s="329"/>
      <c r="R39" s="111">
        <v>0.6</v>
      </c>
      <c r="S39" s="107">
        <v>0.6</v>
      </c>
    </row>
    <row r="40" spans="1:19" s="103" customFormat="1" ht="15">
      <c r="A40" s="109" t="s">
        <v>216</v>
      </c>
      <c r="B40" s="112" t="s">
        <v>342</v>
      </c>
      <c r="C40" s="322">
        <f t="shared" si="1"/>
        <v>4157787</v>
      </c>
      <c r="D40" s="323">
        <f>1359000+16650+23625+29600+6978-25750</f>
        <v>1410103</v>
      </c>
      <c r="E40" s="324">
        <f>371000+16593</f>
        <v>387593</v>
      </c>
      <c r="F40" s="324">
        <f>2108000+95250+84000+45841</f>
        <v>2333091</v>
      </c>
      <c r="G40" s="324"/>
      <c r="H40" s="324"/>
      <c r="I40" s="325">
        <f t="shared" si="0"/>
        <v>4130787</v>
      </c>
      <c r="J40" s="326">
        <v>27000</v>
      </c>
      <c r="K40" s="326"/>
      <c r="L40" s="326"/>
      <c r="M40" s="327">
        <f t="shared" si="2"/>
        <v>27000</v>
      </c>
      <c r="N40" s="327"/>
      <c r="O40" s="328"/>
      <c r="P40" s="329"/>
      <c r="Q40" s="329"/>
      <c r="R40" s="111"/>
      <c r="S40" s="107"/>
    </row>
    <row r="41" spans="1:19" s="103" customFormat="1" ht="15">
      <c r="A41" s="109">
        <v>107052</v>
      </c>
      <c r="B41" s="113" t="s">
        <v>217</v>
      </c>
      <c r="C41" s="322">
        <f t="shared" si="1"/>
        <v>702000</v>
      </c>
      <c r="D41" s="323"/>
      <c r="E41" s="324"/>
      <c r="F41" s="324">
        <v>702000</v>
      </c>
      <c r="G41" s="324"/>
      <c r="H41" s="324"/>
      <c r="I41" s="325">
        <f t="shared" si="0"/>
        <v>702000</v>
      </c>
      <c r="J41" s="326"/>
      <c r="K41" s="326"/>
      <c r="L41" s="326"/>
      <c r="M41" s="327">
        <f t="shared" si="2"/>
        <v>0</v>
      </c>
      <c r="N41" s="327"/>
      <c r="O41" s="328"/>
      <c r="P41" s="329"/>
      <c r="Q41" s="329"/>
      <c r="R41" s="111"/>
      <c r="S41" s="107"/>
    </row>
    <row r="42" spans="1:19" s="103" customFormat="1" ht="27.75" customHeight="1" thickBot="1">
      <c r="A42" s="109">
        <v>107060</v>
      </c>
      <c r="B42" s="106" t="s">
        <v>218</v>
      </c>
      <c r="C42" s="322">
        <f t="shared" si="1"/>
        <v>3362700</v>
      </c>
      <c r="D42" s="323"/>
      <c r="E42" s="324"/>
      <c r="F42" s="324">
        <f>604520+43180</f>
        <v>647700</v>
      </c>
      <c r="G42" s="324">
        <v>2715000</v>
      </c>
      <c r="H42" s="324"/>
      <c r="I42" s="325">
        <f t="shared" si="0"/>
        <v>3362700</v>
      </c>
      <c r="J42" s="326"/>
      <c r="K42" s="326"/>
      <c r="L42" s="326"/>
      <c r="M42" s="327">
        <f t="shared" si="2"/>
        <v>0</v>
      </c>
      <c r="N42" s="327"/>
      <c r="O42" s="328"/>
      <c r="P42" s="329"/>
      <c r="Q42" s="329"/>
      <c r="R42" s="108">
        <v>0.4</v>
      </c>
      <c r="S42" s="107">
        <v>0.4</v>
      </c>
    </row>
    <row r="43" spans="1:19" s="290" customFormat="1" ht="18.75" customHeight="1" thickBot="1">
      <c r="A43" s="287"/>
      <c r="B43" s="288" t="s">
        <v>293</v>
      </c>
      <c r="C43" s="330">
        <f aca="true" t="shared" si="3" ref="C43:S43">SUM(C15:C42)</f>
        <v>131760818</v>
      </c>
      <c r="D43" s="330">
        <f t="shared" si="3"/>
        <v>19942600</v>
      </c>
      <c r="E43" s="330">
        <f t="shared" si="3"/>
        <v>4882695</v>
      </c>
      <c r="F43" s="330">
        <f t="shared" si="3"/>
        <v>21553968</v>
      </c>
      <c r="G43" s="330">
        <f t="shared" si="3"/>
        <v>3411000</v>
      </c>
      <c r="H43" s="330">
        <f t="shared" si="3"/>
        <v>36055777</v>
      </c>
      <c r="I43" s="330">
        <f t="shared" si="3"/>
        <v>85846040</v>
      </c>
      <c r="J43" s="330">
        <f>SUM(J15:J42)</f>
        <v>8644810</v>
      </c>
      <c r="K43" s="330">
        <f t="shared" si="3"/>
        <v>33630000</v>
      </c>
      <c r="L43" s="330">
        <f t="shared" si="3"/>
        <v>1200000</v>
      </c>
      <c r="M43" s="330">
        <f t="shared" si="3"/>
        <v>43474810</v>
      </c>
      <c r="N43" s="330">
        <f t="shared" si="3"/>
        <v>2439968</v>
      </c>
      <c r="O43" s="330">
        <f t="shared" si="3"/>
        <v>0</v>
      </c>
      <c r="P43" s="330">
        <f t="shared" si="3"/>
        <v>0</v>
      </c>
      <c r="Q43" s="330">
        <f t="shared" si="3"/>
        <v>2439968</v>
      </c>
      <c r="R43" s="289">
        <f t="shared" si="3"/>
        <v>5.2</v>
      </c>
      <c r="S43" s="289">
        <f t="shared" si="3"/>
        <v>5.2</v>
      </c>
    </row>
  </sheetData>
  <sheetProtection/>
  <mergeCells count="31">
    <mergeCell ref="A8:S8"/>
    <mergeCell ref="C10:C14"/>
    <mergeCell ref="D10:Q10"/>
    <mergeCell ref="B10:B14"/>
    <mergeCell ref="M12:M14"/>
    <mergeCell ref="A3:P3"/>
    <mergeCell ref="A4:S4"/>
    <mergeCell ref="A6:S6"/>
    <mergeCell ref="Q12:Q14"/>
    <mergeCell ref="N12:N14"/>
    <mergeCell ref="K1:S1"/>
    <mergeCell ref="R9:S9"/>
    <mergeCell ref="A7:S7"/>
    <mergeCell ref="K12:K14"/>
    <mergeCell ref="L12:L14"/>
    <mergeCell ref="R10:S10"/>
    <mergeCell ref="F12:F14"/>
    <mergeCell ref="N11:Q11"/>
    <mergeCell ref="G12:G14"/>
    <mergeCell ref="H12:H14"/>
    <mergeCell ref="O12:O14"/>
    <mergeCell ref="J11:M11"/>
    <mergeCell ref="R13:S14"/>
    <mergeCell ref="I12:I14"/>
    <mergeCell ref="R11:S11"/>
    <mergeCell ref="E12:E14"/>
    <mergeCell ref="J12:J14"/>
    <mergeCell ref="D11:I11"/>
    <mergeCell ref="A10:A14"/>
    <mergeCell ref="P12:P14"/>
    <mergeCell ref="D12:D14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71" customWidth="1"/>
    <col min="2" max="2" width="63.125" style="171" customWidth="1"/>
    <col min="3" max="6" width="26.25390625" style="171" customWidth="1"/>
    <col min="7" max="16384" width="9.125" style="171" customWidth="1"/>
  </cols>
  <sheetData>
    <row r="2" spans="1:6" s="160" customFormat="1" ht="15.75">
      <c r="A2" s="117" t="s">
        <v>445</v>
      </c>
      <c r="C2" s="161"/>
      <c r="D2" s="162"/>
      <c r="E2" s="162"/>
      <c r="F2" s="162"/>
    </row>
    <row r="3" spans="1:6" s="160" customFormat="1" ht="15.75">
      <c r="A3" s="117"/>
      <c r="C3" s="161"/>
      <c r="D3" s="162"/>
      <c r="E3" s="162"/>
      <c r="F3" s="162"/>
    </row>
    <row r="4" spans="1:6" s="64" customFormat="1" ht="15" customHeight="1">
      <c r="A4" s="467" t="s">
        <v>389</v>
      </c>
      <c r="B4" s="468"/>
      <c r="C4" s="468"/>
      <c r="D4" s="468"/>
      <c r="E4" s="468"/>
      <c r="F4" s="468"/>
    </row>
    <row r="5" spans="2:6" s="163" customFormat="1" ht="15" customHeight="1">
      <c r="B5" s="379"/>
      <c r="C5" s="469"/>
      <c r="D5" s="469"/>
      <c r="E5" s="469"/>
      <c r="F5" s="469"/>
    </row>
    <row r="6" spans="2:6" s="115" customFormat="1" ht="15" customHeight="1">
      <c r="B6" s="379" t="s">
        <v>31</v>
      </c>
      <c r="C6" s="379"/>
      <c r="D6" s="379"/>
      <c r="E6" s="379"/>
      <c r="F6" s="379"/>
    </row>
    <row r="7" spans="2:6" s="115" customFormat="1" ht="15.75">
      <c r="B7" s="429" t="s">
        <v>294</v>
      </c>
      <c r="C7" s="429"/>
      <c r="D7" s="429"/>
      <c r="E7" s="429"/>
      <c r="F7" s="429"/>
    </row>
    <row r="8" spans="2:6" s="115" customFormat="1" ht="15" customHeight="1">
      <c r="B8" s="379" t="s">
        <v>352</v>
      </c>
      <c r="C8" s="379"/>
      <c r="D8" s="379"/>
      <c r="E8" s="379"/>
      <c r="F8" s="379"/>
    </row>
    <row r="9" spans="2:6" s="160" customFormat="1" ht="12" customHeight="1" thickBot="1">
      <c r="B9" s="161"/>
      <c r="C9" s="166"/>
      <c r="D9" s="167"/>
      <c r="E9" s="167"/>
      <c r="F9" s="366" t="s">
        <v>429</v>
      </c>
    </row>
    <row r="10" spans="1:6" s="160" customFormat="1" ht="16.5" customHeight="1" thickBot="1">
      <c r="A10" s="408" t="s">
        <v>174</v>
      </c>
      <c r="B10" s="411" t="s">
        <v>175</v>
      </c>
      <c r="C10" s="414" t="s">
        <v>295</v>
      </c>
      <c r="D10" s="417" t="s">
        <v>278</v>
      </c>
      <c r="E10" s="417"/>
      <c r="F10" s="418"/>
    </row>
    <row r="11" spans="1:6" s="160" customFormat="1" ht="33" customHeight="1" thickBot="1">
      <c r="A11" s="409"/>
      <c r="B11" s="412"/>
      <c r="C11" s="415"/>
      <c r="D11" s="168" t="s">
        <v>279</v>
      </c>
      <c r="E11" s="169" t="s">
        <v>280</v>
      </c>
      <c r="F11" s="170" t="s">
        <v>281</v>
      </c>
    </row>
    <row r="12" spans="1:6" s="160" customFormat="1" ht="22.5" customHeight="1">
      <c r="A12" s="409"/>
      <c r="B12" s="412"/>
      <c r="C12" s="415"/>
      <c r="D12" s="419" t="s">
        <v>282</v>
      </c>
      <c r="E12" s="420"/>
      <c r="F12" s="421"/>
    </row>
    <row r="13" spans="1:6" ht="12.75">
      <c r="A13" s="409"/>
      <c r="B13" s="412"/>
      <c r="C13" s="415"/>
      <c r="D13" s="422"/>
      <c r="E13" s="423"/>
      <c r="F13" s="424"/>
    </row>
    <row r="14" spans="1:6" ht="3" customHeight="1" thickBot="1">
      <c r="A14" s="410"/>
      <c r="B14" s="413"/>
      <c r="C14" s="416"/>
      <c r="D14" s="425"/>
      <c r="E14" s="426"/>
      <c r="F14" s="427"/>
    </row>
    <row r="15" spans="1:6" ht="30">
      <c r="A15" s="105" t="s">
        <v>191</v>
      </c>
      <c r="B15" s="106" t="s">
        <v>192</v>
      </c>
      <c r="C15" s="174">
        <f>SUM(D15:F15)</f>
        <v>50478119</v>
      </c>
      <c r="D15" s="174">
        <f>13849000+40900494+15556-396875-2596200-425000+13032+3000-381000-600000-116030-149900+116030+6700+1808+149376+40332-11800-100000-797404</f>
        <v>49521119</v>
      </c>
      <c r="E15" s="174">
        <f>717000+240000</f>
        <v>957000</v>
      </c>
      <c r="F15" s="174"/>
    </row>
    <row r="16" spans="1:6" ht="15">
      <c r="A16" s="109" t="s">
        <v>193</v>
      </c>
      <c r="B16" s="106" t="s">
        <v>26</v>
      </c>
      <c r="C16" s="176">
        <f aca="true" t="shared" si="0" ref="C16:C41">SUM(D16:F16)</f>
        <v>64000</v>
      </c>
      <c r="D16" s="176">
        <v>64000</v>
      </c>
      <c r="E16" s="176"/>
      <c r="F16" s="176"/>
    </row>
    <row r="17" spans="1:6" ht="15">
      <c r="A17" s="109" t="s">
        <v>194</v>
      </c>
      <c r="B17" s="106" t="s">
        <v>195</v>
      </c>
      <c r="C17" s="176">
        <f t="shared" si="0"/>
        <v>5063450</v>
      </c>
      <c r="D17" s="176">
        <f>245000+381000-158750</f>
        <v>467250</v>
      </c>
      <c r="E17" s="176">
        <f>2000000+2596200</f>
        <v>4596200</v>
      </c>
      <c r="F17" s="176"/>
    </row>
    <row r="18" spans="1:6" ht="15">
      <c r="A18" s="109" t="s">
        <v>283</v>
      </c>
      <c r="B18" s="106" t="s">
        <v>284</v>
      </c>
      <c r="C18" s="176">
        <f>SUM(D18:F18)</f>
        <v>3324113</v>
      </c>
      <c r="D18" s="176">
        <f>1139000+179759+884145+1121209</f>
        <v>3324113</v>
      </c>
      <c r="E18" s="176"/>
      <c r="F18" s="176"/>
    </row>
    <row r="19" spans="1:6" ht="15">
      <c r="A19" s="109" t="s">
        <v>379</v>
      </c>
      <c r="B19" s="106" t="s">
        <v>380</v>
      </c>
      <c r="C19" s="176">
        <f>SUM(D19:F19)</f>
        <v>1944736</v>
      </c>
      <c r="D19" s="176">
        <f>777025+359998+7867+34595+316620+42744+405887</f>
        <v>1944736</v>
      </c>
      <c r="E19" s="176"/>
      <c r="F19" s="176"/>
    </row>
    <row r="20" spans="1:6" ht="15">
      <c r="A20" s="109" t="s">
        <v>399</v>
      </c>
      <c r="B20" s="106" t="s">
        <v>400</v>
      </c>
      <c r="C20" s="176">
        <f>SUM(D20:F20)</f>
        <v>10396875</v>
      </c>
      <c r="D20" s="176">
        <f>396875+10000000</f>
        <v>10396875</v>
      </c>
      <c r="E20" s="176"/>
      <c r="F20" s="176"/>
    </row>
    <row r="21" spans="1:6" ht="27" customHeight="1">
      <c r="A21" s="109" t="s">
        <v>196</v>
      </c>
      <c r="B21" s="106" t="s">
        <v>197</v>
      </c>
      <c r="C21" s="176">
        <f t="shared" si="0"/>
        <v>27000</v>
      </c>
      <c r="D21" s="176">
        <v>27000</v>
      </c>
      <c r="E21" s="176"/>
      <c r="F21" s="176"/>
    </row>
    <row r="22" spans="1:6" ht="15">
      <c r="A22" s="109" t="s">
        <v>359</v>
      </c>
      <c r="B22" s="106" t="s">
        <v>360</v>
      </c>
      <c r="C22" s="176">
        <f t="shared" si="0"/>
        <v>19021</v>
      </c>
      <c r="D22" s="257">
        <v>19021</v>
      </c>
      <c r="E22" s="114"/>
      <c r="F22" s="114"/>
    </row>
    <row r="23" spans="1:6" ht="15">
      <c r="A23" s="109" t="s">
        <v>198</v>
      </c>
      <c r="B23" s="106" t="s">
        <v>199</v>
      </c>
      <c r="C23" s="176">
        <f t="shared" si="0"/>
        <v>6313000</v>
      </c>
      <c r="D23" s="176">
        <v>6313000</v>
      </c>
      <c r="E23" s="176"/>
      <c r="F23" s="176"/>
    </row>
    <row r="24" spans="1:6" ht="15">
      <c r="A24" s="109" t="s">
        <v>200</v>
      </c>
      <c r="B24" s="106" t="s">
        <v>201</v>
      </c>
      <c r="C24" s="176">
        <f t="shared" si="0"/>
        <v>960000</v>
      </c>
      <c r="D24" s="176"/>
      <c r="E24" s="176">
        <f>600000-240000+600000</f>
        <v>960000</v>
      </c>
      <c r="F24" s="176"/>
    </row>
    <row r="25" spans="1:6" ht="15">
      <c r="A25" s="109" t="s">
        <v>202</v>
      </c>
      <c r="B25" s="106" t="s">
        <v>203</v>
      </c>
      <c r="C25" s="176">
        <f t="shared" si="0"/>
        <v>1900000</v>
      </c>
      <c r="D25" s="176">
        <v>1900000</v>
      </c>
      <c r="E25" s="176"/>
      <c r="F25" s="176"/>
    </row>
    <row r="26" spans="1:6" ht="15">
      <c r="A26" s="109" t="s">
        <v>204</v>
      </c>
      <c r="B26" s="106" t="s">
        <v>205</v>
      </c>
      <c r="C26" s="176">
        <f t="shared" si="0"/>
        <v>635000</v>
      </c>
      <c r="D26" s="176">
        <v>635000</v>
      </c>
      <c r="E26" s="176"/>
      <c r="F26" s="176"/>
    </row>
    <row r="27" spans="1:6" ht="15">
      <c r="A27" s="109" t="s">
        <v>206</v>
      </c>
      <c r="B27" s="106" t="s">
        <v>207</v>
      </c>
      <c r="C27" s="176">
        <f t="shared" si="0"/>
        <v>2547799</v>
      </c>
      <c r="D27" s="176">
        <f>2281000+61348+2667+149900+11800+4084</f>
        <v>2510799</v>
      </c>
      <c r="E27" s="176">
        <v>37000</v>
      </c>
      <c r="F27" s="176"/>
    </row>
    <row r="28" spans="1:6" ht="15">
      <c r="A28" s="109" t="s">
        <v>208</v>
      </c>
      <c r="B28" s="106" t="s">
        <v>24</v>
      </c>
      <c r="C28" s="176">
        <f t="shared" si="0"/>
        <v>23919890</v>
      </c>
      <c r="D28" s="176">
        <f>23265000+425000+229890</f>
        <v>23919890</v>
      </c>
      <c r="E28" s="176"/>
      <c r="F28" s="176"/>
    </row>
    <row r="29" spans="1:6" ht="15">
      <c r="A29" s="109" t="s">
        <v>209</v>
      </c>
      <c r="B29" s="106" t="s">
        <v>210</v>
      </c>
      <c r="C29" s="176">
        <f t="shared" si="0"/>
        <v>675000</v>
      </c>
      <c r="D29" s="176">
        <v>675000</v>
      </c>
      <c r="E29" s="176"/>
      <c r="F29" s="176"/>
    </row>
    <row r="30" spans="1:6" ht="15">
      <c r="A30" s="109" t="s">
        <v>211</v>
      </c>
      <c r="B30" s="106" t="s">
        <v>27</v>
      </c>
      <c r="C30" s="176">
        <f t="shared" si="0"/>
        <v>877771</v>
      </c>
      <c r="D30" s="176">
        <f>833000+5690+6224+2680+724+14453</f>
        <v>862771</v>
      </c>
      <c r="E30" s="176">
        <v>15000</v>
      </c>
      <c r="F30" s="176"/>
    </row>
    <row r="31" spans="1:6" ht="15">
      <c r="A31" s="109" t="s">
        <v>355</v>
      </c>
      <c r="B31" s="106" t="s">
        <v>361</v>
      </c>
      <c r="C31" s="176">
        <f t="shared" si="0"/>
        <v>2671163</v>
      </c>
      <c r="D31" s="176">
        <f>2463000+18821+23051+11200+9420+2544+66127</f>
        <v>2594163</v>
      </c>
      <c r="E31" s="176">
        <v>77000</v>
      </c>
      <c r="F31" s="176"/>
    </row>
    <row r="32" spans="1:6" ht="15">
      <c r="A32" s="109" t="s">
        <v>357</v>
      </c>
      <c r="B32" s="106" t="s">
        <v>362</v>
      </c>
      <c r="C32" s="176">
        <f t="shared" si="0"/>
        <v>377177</v>
      </c>
      <c r="D32" s="176">
        <f>362000+15177</f>
        <v>377177</v>
      </c>
      <c r="E32" s="176"/>
      <c r="F32" s="176"/>
    </row>
    <row r="33" spans="1:6" ht="15">
      <c r="A33" s="109" t="s">
        <v>212</v>
      </c>
      <c r="B33" s="106" t="s">
        <v>25</v>
      </c>
      <c r="C33" s="176">
        <f t="shared" si="0"/>
        <v>340000</v>
      </c>
      <c r="D33" s="176"/>
      <c r="E33" s="176">
        <f>240000+100000</f>
        <v>340000</v>
      </c>
      <c r="F33" s="176"/>
    </row>
    <row r="34" spans="1:6" ht="15">
      <c r="A34" s="109" t="s">
        <v>213</v>
      </c>
      <c r="B34" s="106" t="s">
        <v>214</v>
      </c>
      <c r="C34" s="176">
        <f t="shared" si="0"/>
        <v>50000</v>
      </c>
      <c r="D34" s="176"/>
      <c r="E34" s="176">
        <v>50000</v>
      </c>
      <c r="F34" s="176"/>
    </row>
    <row r="35" spans="1:6" ht="15">
      <c r="A35" s="109" t="s">
        <v>285</v>
      </c>
      <c r="B35" s="106" t="s">
        <v>286</v>
      </c>
      <c r="C35" s="176">
        <f t="shared" si="0"/>
        <v>7212920</v>
      </c>
      <c r="D35" s="176">
        <f>6654000+59225+195840+22225+168630</f>
        <v>7099920</v>
      </c>
      <c r="E35" s="176">
        <v>113000</v>
      </c>
      <c r="F35" s="176"/>
    </row>
    <row r="36" spans="1:6" ht="15">
      <c r="A36" s="109" t="s">
        <v>287</v>
      </c>
      <c r="B36" s="106" t="s">
        <v>288</v>
      </c>
      <c r="C36" s="176">
        <f t="shared" si="0"/>
        <v>1291771</v>
      </c>
      <c r="D36" s="176"/>
      <c r="E36" s="176">
        <f>1226000+30745+22225+12801</f>
        <v>1291771</v>
      </c>
      <c r="F36" s="176"/>
    </row>
    <row r="37" spans="1:6" ht="15">
      <c r="A37" s="109" t="s">
        <v>287</v>
      </c>
      <c r="B37" s="106" t="s">
        <v>363</v>
      </c>
      <c r="C37" s="176">
        <f t="shared" si="0"/>
        <v>1803526</v>
      </c>
      <c r="D37" s="176"/>
      <c r="E37" s="176">
        <f>1877000+54755-11200-50499-37595+19050-47985</f>
        <v>1803526</v>
      </c>
      <c r="F37" s="176"/>
    </row>
    <row r="38" spans="1:6" ht="15">
      <c r="A38" s="109">
        <v>104051</v>
      </c>
      <c r="B38" s="113" t="s">
        <v>343</v>
      </c>
      <c r="C38" s="176">
        <f t="shared" si="0"/>
        <v>46000</v>
      </c>
      <c r="D38" s="176"/>
      <c r="E38" s="176"/>
      <c r="F38" s="176">
        <v>46000</v>
      </c>
    </row>
    <row r="39" spans="1:6" ht="15">
      <c r="A39" s="109">
        <v>106020</v>
      </c>
      <c r="B39" s="106" t="s">
        <v>215</v>
      </c>
      <c r="C39" s="176">
        <f t="shared" si="0"/>
        <v>600000</v>
      </c>
      <c r="D39" s="176">
        <v>600000</v>
      </c>
      <c r="E39" s="176"/>
      <c r="F39" s="176"/>
    </row>
    <row r="40" spans="1:13" ht="15">
      <c r="A40" s="109" t="s">
        <v>216</v>
      </c>
      <c r="B40" s="112" t="s">
        <v>342</v>
      </c>
      <c r="C40" s="176">
        <f t="shared" si="0"/>
        <v>4157787</v>
      </c>
      <c r="D40" s="176">
        <f>3806000+40275+29600+95250+127662</f>
        <v>4098787</v>
      </c>
      <c r="E40" s="176">
        <v>59000</v>
      </c>
      <c r="F40" s="176"/>
      <c r="G40" s="270"/>
      <c r="H40" s="270"/>
      <c r="I40" s="270"/>
      <c r="J40" s="270"/>
      <c r="K40" s="270"/>
      <c r="L40" s="270"/>
      <c r="M40" s="270"/>
    </row>
    <row r="41" spans="1:13" ht="15">
      <c r="A41" s="109">
        <v>107052</v>
      </c>
      <c r="B41" s="113" t="s">
        <v>217</v>
      </c>
      <c r="C41" s="176">
        <f t="shared" si="0"/>
        <v>702000</v>
      </c>
      <c r="D41" s="258">
        <v>702000</v>
      </c>
      <c r="E41" s="114"/>
      <c r="F41" s="114"/>
      <c r="G41" s="271"/>
      <c r="H41" s="271"/>
      <c r="I41" s="272"/>
      <c r="J41" s="273"/>
      <c r="K41" s="273"/>
      <c r="L41" s="273"/>
      <c r="M41" s="272"/>
    </row>
    <row r="42" spans="1:6" ht="15.75" thickBot="1">
      <c r="A42" s="109">
        <v>107060</v>
      </c>
      <c r="B42" s="106" t="s">
        <v>218</v>
      </c>
      <c r="C42" s="176">
        <f>SUM(D42:F42)</f>
        <v>3362700</v>
      </c>
      <c r="D42" s="176">
        <f>647700+2715000</f>
        <v>3362700</v>
      </c>
      <c r="E42" s="176"/>
      <c r="F42" s="176"/>
    </row>
    <row r="43" spans="1:6" ht="33" customHeight="1" thickBot="1">
      <c r="A43" s="178"/>
      <c r="B43" s="179" t="s">
        <v>1</v>
      </c>
      <c r="C43" s="180">
        <f>SUM(C15:C42)</f>
        <v>131760818</v>
      </c>
      <c r="D43" s="180">
        <f>SUM(D15:D42)</f>
        <v>121415321</v>
      </c>
      <c r="E43" s="180">
        <f>SUM(E15:E42)</f>
        <v>10299497</v>
      </c>
      <c r="F43" s="180">
        <f>SUM(F15:F42)</f>
        <v>46000</v>
      </c>
    </row>
  </sheetData>
  <sheetProtection/>
  <mergeCells count="10">
    <mergeCell ref="A4:F4"/>
    <mergeCell ref="A10:A14"/>
    <mergeCell ref="B10:B14"/>
    <mergeCell ref="C10:C14"/>
    <mergeCell ref="D10:F10"/>
    <mergeCell ref="D12:F14"/>
    <mergeCell ref="B6:F6"/>
    <mergeCell ref="B7:F7"/>
    <mergeCell ref="B8:F8"/>
    <mergeCell ref="B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875" style="0" customWidth="1"/>
    <col min="4" max="4" width="30.875" style="0" customWidth="1"/>
    <col min="5" max="5" width="15.00390625" style="0" customWidth="1"/>
    <col min="6" max="6" width="14.625" style="0" customWidth="1"/>
    <col min="7" max="7" width="6.125" style="0" customWidth="1"/>
    <col min="8" max="8" width="1.37890625" style="0" customWidth="1"/>
    <col min="9" max="9" width="2.875" style="0" hidden="1" customWidth="1"/>
  </cols>
  <sheetData>
    <row r="2" ht="12.75">
      <c r="A2" t="s">
        <v>446</v>
      </c>
    </row>
    <row r="4" ht="12.75">
      <c r="A4" t="s">
        <v>427</v>
      </c>
    </row>
    <row r="6" spans="1:9" ht="12.75">
      <c r="A6" s="472"/>
      <c r="B6" s="472"/>
      <c r="C6" s="472"/>
      <c r="D6" s="472"/>
      <c r="E6" s="472"/>
      <c r="F6" s="472"/>
      <c r="G6" s="472"/>
      <c r="H6" s="472"/>
      <c r="I6" s="472"/>
    </row>
    <row r="8" spans="1:9" ht="16.5" customHeight="1">
      <c r="A8" s="473" t="s">
        <v>3</v>
      </c>
      <c r="B8" s="473"/>
      <c r="C8" s="473"/>
      <c r="D8" s="473"/>
      <c r="E8" s="473"/>
      <c r="F8" s="473"/>
      <c r="G8" s="473"/>
      <c r="H8" s="473"/>
      <c r="I8" s="473"/>
    </row>
    <row r="9" spans="1:9" ht="15" customHeight="1">
      <c r="A9" s="473" t="s">
        <v>428</v>
      </c>
      <c r="B9" s="473"/>
      <c r="C9" s="473"/>
      <c r="D9" s="473"/>
      <c r="E9" s="473"/>
      <c r="F9" s="473"/>
      <c r="G9" s="473"/>
      <c r="H9" s="473"/>
      <c r="I9" s="473"/>
    </row>
    <row r="10" spans="1:9" ht="15" customHeight="1">
      <c r="A10" s="473" t="s">
        <v>410</v>
      </c>
      <c r="B10" s="473"/>
      <c r="C10" s="473"/>
      <c r="D10" s="473"/>
      <c r="E10" s="473"/>
      <c r="F10" s="473"/>
      <c r="G10" s="473"/>
      <c r="H10" s="473"/>
      <c r="I10" s="473"/>
    </row>
    <row r="11" spans="1:9" ht="15" customHeight="1">
      <c r="A11" s="357"/>
      <c r="B11" s="357"/>
      <c r="C11" s="357"/>
      <c r="D11" s="357"/>
      <c r="E11" s="357"/>
      <c r="F11" s="357"/>
      <c r="G11" s="357"/>
      <c r="H11" s="357"/>
      <c r="I11" s="357"/>
    </row>
    <row r="12" spans="1:9" ht="15" customHeight="1" thickBot="1">
      <c r="A12" s="357"/>
      <c r="B12" s="357"/>
      <c r="C12" s="357"/>
      <c r="D12" s="357"/>
      <c r="E12" s="357"/>
      <c r="F12" s="356" t="s">
        <v>429</v>
      </c>
      <c r="G12" s="357"/>
      <c r="H12" s="357"/>
      <c r="I12" s="357"/>
    </row>
    <row r="13" spans="1:7" ht="12.75">
      <c r="A13" s="359"/>
      <c r="B13" s="360"/>
      <c r="C13" s="360"/>
      <c r="D13" s="360"/>
      <c r="E13" s="360"/>
      <c r="F13" s="476" t="s">
        <v>411</v>
      </c>
      <c r="G13" s="363"/>
    </row>
    <row r="14" spans="1:7" ht="15">
      <c r="A14" s="474" t="s">
        <v>0</v>
      </c>
      <c r="B14" s="475"/>
      <c r="C14" s="475"/>
      <c r="D14" s="475"/>
      <c r="E14" s="475"/>
      <c r="F14" s="477"/>
      <c r="G14" s="363"/>
    </row>
    <row r="15" spans="1:7" ht="13.5" thickBot="1">
      <c r="A15" s="361"/>
      <c r="B15" s="362"/>
      <c r="C15" s="362"/>
      <c r="D15" s="362"/>
      <c r="E15" s="362"/>
      <c r="F15" s="478"/>
      <c r="G15" s="363"/>
    </row>
    <row r="17" spans="1:4" ht="12.75">
      <c r="A17" s="267" t="s">
        <v>412</v>
      </c>
      <c r="B17" s="267"/>
      <c r="C17" s="267"/>
      <c r="D17" s="267"/>
    </row>
    <row r="19" spans="2:5" ht="28.5" customHeight="1">
      <c r="B19" s="470" t="s">
        <v>413</v>
      </c>
      <c r="C19" s="406"/>
      <c r="D19" s="406"/>
      <c r="E19" s="358"/>
    </row>
    <row r="20" spans="1:2" ht="12.75">
      <c r="A20" t="s">
        <v>34</v>
      </c>
      <c r="B20" t="s">
        <v>414</v>
      </c>
    </row>
    <row r="21" spans="1:6" ht="12.75">
      <c r="A21" t="s">
        <v>15</v>
      </c>
      <c r="B21" t="s">
        <v>415</v>
      </c>
      <c r="F21" s="345">
        <v>70000</v>
      </c>
    </row>
    <row r="22" spans="1:6" ht="12.75">
      <c r="A22" t="s">
        <v>35</v>
      </c>
      <c r="B22" t="s">
        <v>416</v>
      </c>
      <c r="F22" s="345">
        <f>92000+116030</f>
        <v>208030</v>
      </c>
    </row>
    <row r="24" spans="2:6" ht="29.25" customHeight="1">
      <c r="B24" s="470" t="s">
        <v>417</v>
      </c>
      <c r="C24" s="471"/>
      <c r="D24" s="471"/>
      <c r="F24" s="268">
        <f>F21+F22</f>
        <v>278030</v>
      </c>
    </row>
    <row r="26" spans="2:4" ht="30.75" customHeight="1">
      <c r="B26" s="470" t="s">
        <v>418</v>
      </c>
      <c r="C26" s="471"/>
      <c r="D26" s="471"/>
    </row>
    <row r="28" spans="1:6" ht="12.75">
      <c r="A28" t="s">
        <v>34</v>
      </c>
      <c r="B28" t="s">
        <v>419</v>
      </c>
      <c r="F28" s="345">
        <f>40000+100000</f>
        <v>140000</v>
      </c>
    </row>
    <row r="29" spans="1:6" ht="12.75">
      <c r="A29" t="s">
        <v>15</v>
      </c>
      <c r="B29" t="s">
        <v>420</v>
      </c>
      <c r="F29" s="345">
        <v>80000</v>
      </c>
    </row>
    <row r="30" spans="1:6" ht="12.75">
      <c r="A30" t="s">
        <v>35</v>
      </c>
      <c r="B30" t="s">
        <v>421</v>
      </c>
      <c r="F30" s="345">
        <v>120000</v>
      </c>
    </row>
    <row r="31" spans="1:6" ht="12.75">
      <c r="A31" t="s">
        <v>83</v>
      </c>
      <c r="B31" t="s">
        <v>422</v>
      </c>
      <c r="F31" s="345">
        <v>75000</v>
      </c>
    </row>
    <row r="32" spans="1:6" ht="12.75">
      <c r="A32" t="s">
        <v>85</v>
      </c>
      <c r="B32" t="s">
        <v>423</v>
      </c>
      <c r="F32" s="345">
        <v>600000</v>
      </c>
    </row>
    <row r="34" spans="2:6" ht="31.5" customHeight="1">
      <c r="B34" s="470" t="s">
        <v>424</v>
      </c>
      <c r="C34" s="470"/>
      <c r="D34" s="470"/>
      <c r="F34" s="268">
        <f>F28+F29+F30+F31+F32</f>
        <v>1015000</v>
      </c>
    </row>
    <row r="36" spans="1:6" ht="15.75">
      <c r="A36" s="364" t="s">
        <v>425</v>
      </c>
      <c r="B36" s="364"/>
      <c r="C36" s="364"/>
      <c r="D36" s="364"/>
      <c r="E36" s="364"/>
      <c r="F36" s="365">
        <f>F24+F34</f>
        <v>1293030</v>
      </c>
    </row>
    <row r="39" spans="1:6" ht="15.75">
      <c r="A39" s="364" t="s">
        <v>426</v>
      </c>
      <c r="B39" s="364"/>
      <c r="C39" s="364"/>
      <c r="D39" s="364"/>
      <c r="E39" s="364"/>
      <c r="F39" s="365">
        <f>F36</f>
        <v>1293030</v>
      </c>
    </row>
  </sheetData>
  <sheetProtection/>
  <mergeCells count="10">
    <mergeCell ref="B24:D24"/>
    <mergeCell ref="B26:D26"/>
    <mergeCell ref="B34:D34"/>
    <mergeCell ref="A6:I6"/>
    <mergeCell ref="A8:I8"/>
    <mergeCell ref="A9:I9"/>
    <mergeCell ref="A10:I10"/>
    <mergeCell ref="A14:E14"/>
    <mergeCell ref="F13:F15"/>
    <mergeCell ref="B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875" style="22" customWidth="1"/>
    <col min="2" max="2" width="12.125" style="22" customWidth="1"/>
    <col min="3" max="3" width="16.00390625" style="34" customWidth="1"/>
    <col min="4" max="16384" width="9.125" style="22" customWidth="1"/>
  </cols>
  <sheetData>
    <row r="1" spans="1:4" ht="15.75">
      <c r="A1" s="117" t="s">
        <v>447</v>
      </c>
      <c r="B1" s="117"/>
      <c r="C1" s="117"/>
      <c r="D1" s="70"/>
    </row>
    <row r="2" spans="1:4" ht="15">
      <c r="A2" s="71"/>
      <c r="B2" s="71"/>
      <c r="C2" s="71"/>
      <c r="D2" s="70"/>
    </row>
    <row r="3" spans="1:3" ht="15.75" customHeight="1">
      <c r="A3" s="481" t="s">
        <v>390</v>
      </c>
      <c r="B3" s="481"/>
      <c r="C3" s="481"/>
    </row>
    <row r="4" spans="1:3" ht="15.75" customHeight="1">
      <c r="A4" s="354"/>
      <c r="B4" s="354"/>
      <c r="C4" s="354"/>
    </row>
    <row r="5" spans="1:3" ht="15">
      <c r="A5" s="483"/>
      <c r="B5" s="468"/>
      <c r="C5" s="468"/>
    </row>
    <row r="6" spans="1:3" s="14" customFormat="1" ht="15.75" customHeight="1">
      <c r="A6" s="482" t="s">
        <v>29</v>
      </c>
      <c r="B6" s="482"/>
      <c r="C6" s="482"/>
    </row>
    <row r="7" spans="1:6" s="19" customFormat="1" ht="15.75">
      <c r="A7" s="480" t="s">
        <v>30</v>
      </c>
      <c r="B7" s="480"/>
      <c r="C7" s="480"/>
      <c r="D7" s="42"/>
      <c r="E7" s="42"/>
      <c r="F7" s="42"/>
    </row>
    <row r="8" spans="1:6" s="12" customFormat="1" ht="15">
      <c r="A8" s="479" t="s">
        <v>372</v>
      </c>
      <c r="B8" s="479"/>
      <c r="C8" s="479"/>
      <c r="D8" s="41"/>
      <c r="E8" s="41"/>
      <c r="F8" s="41"/>
    </row>
    <row r="9" spans="2:3" ht="15.75" customHeight="1" thickBot="1">
      <c r="B9" s="23"/>
      <c r="C9" s="33" t="s">
        <v>395</v>
      </c>
    </row>
    <row r="10" spans="1:3" ht="15" customHeight="1">
      <c r="A10" s="24"/>
      <c r="B10" s="25" t="s">
        <v>10</v>
      </c>
      <c r="C10" s="36" t="s">
        <v>21</v>
      </c>
    </row>
    <row r="11" spans="1:3" ht="15.75" customHeight="1">
      <c r="A11" s="26" t="s">
        <v>0</v>
      </c>
      <c r="B11" s="27"/>
      <c r="C11" s="37" t="s">
        <v>22</v>
      </c>
    </row>
    <row r="12" spans="1:3" ht="32.25" thickBot="1">
      <c r="A12" s="28"/>
      <c r="B12" s="29" t="s">
        <v>6</v>
      </c>
      <c r="C12" s="38" t="s">
        <v>23</v>
      </c>
    </row>
    <row r="13" ht="11.25" customHeight="1">
      <c r="C13" s="22"/>
    </row>
    <row r="14" ht="11.25" customHeight="1">
      <c r="B14" s="39"/>
    </row>
    <row r="15" spans="1:3" ht="15.75">
      <c r="A15" s="30" t="s">
        <v>16</v>
      </c>
      <c r="B15" s="39"/>
      <c r="C15" s="34">
        <f>B14*0.9</f>
        <v>0</v>
      </c>
    </row>
    <row r="16" spans="1:2" ht="15.75">
      <c r="A16" s="30" t="s">
        <v>5</v>
      </c>
      <c r="B16" s="39"/>
    </row>
    <row r="17" ht="15" customHeight="1">
      <c r="B17" s="39"/>
    </row>
    <row r="18" spans="1:2" ht="15.75">
      <c r="A18" s="22" t="s">
        <v>57</v>
      </c>
      <c r="B18" s="284">
        <v>350000</v>
      </c>
    </row>
    <row r="19" spans="1:2" ht="30">
      <c r="A19" s="153" t="s">
        <v>344</v>
      </c>
      <c r="B19" s="331">
        <v>600000</v>
      </c>
    </row>
    <row r="20" spans="1:2" ht="15.75">
      <c r="A20" s="153" t="s">
        <v>345</v>
      </c>
      <c r="B20" s="331">
        <v>715000</v>
      </c>
    </row>
    <row r="21" spans="1:2" ht="15.75">
      <c r="A21" s="153" t="s">
        <v>346</v>
      </c>
      <c r="B21" s="331">
        <v>440000</v>
      </c>
    </row>
    <row r="22" spans="1:2" ht="30">
      <c r="A22" s="153" t="s">
        <v>347</v>
      </c>
      <c r="B22" s="332">
        <v>46000</v>
      </c>
    </row>
    <row r="23" spans="1:2" ht="15.75">
      <c r="A23" s="22" t="s">
        <v>62</v>
      </c>
      <c r="B23" s="332">
        <v>210000</v>
      </c>
    </row>
    <row r="24" spans="1:2" ht="14.25" customHeight="1">
      <c r="A24" s="22" t="s">
        <v>404</v>
      </c>
      <c r="B24" s="335">
        <v>1000000</v>
      </c>
    </row>
    <row r="25" spans="1:2" ht="15.75">
      <c r="A25" s="30" t="s">
        <v>16</v>
      </c>
      <c r="B25" s="335"/>
    </row>
    <row r="26" spans="1:3" ht="15">
      <c r="A26" s="30" t="s">
        <v>17</v>
      </c>
      <c r="B26" s="336">
        <f>SUM(B18:B25)</f>
        <v>3361000</v>
      </c>
      <c r="C26" s="40"/>
    </row>
    <row r="27" ht="11.25" customHeight="1">
      <c r="B27" s="335"/>
    </row>
    <row r="28" spans="1:3" ht="15">
      <c r="A28" s="30" t="s">
        <v>18</v>
      </c>
      <c r="B28" s="336">
        <f>B26</f>
        <v>3361000</v>
      </c>
      <c r="C28" s="40">
        <f>C26</f>
        <v>0</v>
      </c>
    </row>
    <row r="29" ht="11.25" customHeight="1">
      <c r="B29" s="335"/>
    </row>
    <row r="30" spans="1:3" s="30" customFormat="1" ht="15.75">
      <c r="A30" s="30" t="s">
        <v>272</v>
      </c>
      <c r="B30" s="282"/>
      <c r="C30" s="35"/>
    </row>
    <row r="31" ht="11.25" customHeight="1">
      <c r="B31" s="331"/>
    </row>
    <row r="32" spans="1:2" ht="30" customHeight="1">
      <c r="A32" s="153" t="s">
        <v>273</v>
      </c>
      <c r="B32" s="331">
        <f>600000-240000+600000</f>
        <v>960000</v>
      </c>
    </row>
    <row r="33" spans="1:2" ht="33.75" customHeight="1">
      <c r="A33" s="291" t="s">
        <v>402</v>
      </c>
      <c r="B33" s="331">
        <v>240000</v>
      </c>
    </row>
    <row r="34" spans="1:2" ht="15.75">
      <c r="A34" s="30" t="s">
        <v>274</v>
      </c>
      <c r="B34" s="282">
        <f>B32+B33</f>
        <v>1200000</v>
      </c>
    </row>
    <row r="35" spans="1:2" ht="15.75">
      <c r="A35" s="30"/>
      <c r="B35" s="282"/>
    </row>
    <row r="36" spans="1:5" ht="15">
      <c r="A36" t="s">
        <v>434</v>
      </c>
      <c r="B36" s="268">
        <v>50000</v>
      </c>
      <c r="C36"/>
      <c r="D36"/>
      <c r="E36" s="345"/>
    </row>
    <row r="37" ht="15" customHeight="1">
      <c r="B37" s="331"/>
    </row>
    <row r="38" spans="1:3" s="32" customFormat="1" ht="16.5">
      <c r="A38" s="31" t="s">
        <v>19</v>
      </c>
      <c r="B38" s="333"/>
      <c r="C38" s="34"/>
    </row>
    <row r="39" spans="1:3" s="32" customFormat="1" ht="16.5">
      <c r="A39" s="31" t="s">
        <v>20</v>
      </c>
      <c r="B39" s="334">
        <f>B28+B34+B36</f>
        <v>4611000</v>
      </c>
      <c r="C39" s="46">
        <f>C28</f>
        <v>0</v>
      </c>
    </row>
    <row r="43" ht="15">
      <c r="C43" s="22"/>
    </row>
    <row r="44" ht="15.75">
      <c r="C44" s="14"/>
    </row>
    <row r="45" ht="15.75">
      <c r="C45" s="14"/>
    </row>
    <row r="46" ht="15.75">
      <c r="C46" s="35"/>
    </row>
  </sheetData>
  <sheetProtection/>
  <mergeCells count="5">
    <mergeCell ref="A8:C8"/>
    <mergeCell ref="A7:C7"/>
    <mergeCell ref="A3:C3"/>
    <mergeCell ref="A6:C6"/>
    <mergeCell ref="A5:C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0.375" style="15" customWidth="1"/>
    <col min="2" max="2" width="21.875" style="15" customWidth="1"/>
    <col min="3" max="16384" width="9.125" style="15" customWidth="1"/>
  </cols>
  <sheetData>
    <row r="1" spans="1:3" s="184" customFormat="1" ht="15">
      <c r="A1" s="183" t="s">
        <v>448</v>
      </c>
      <c r="B1" s="183"/>
      <c r="C1" s="183"/>
    </row>
    <row r="2" spans="1:3" s="184" customFormat="1" ht="10.5" customHeight="1">
      <c r="A2" s="183"/>
      <c r="B2" s="183"/>
      <c r="C2" s="183"/>
    </row>
    <row r="3" spans="1:3" s="184" customFormat="1" ht="15">
      <c r="A3" s="183" t="s">
        <v>391</v>
      </c>
      <c r="B3" s="183"/>
      <c r="C3" s="183"/>
    </row>
    <row r="4" spans="1:3" s="184" customFormat="1" ht="15">
      <c r="A4" s="183"/>
      <c r="B4" s="183"/>
      <c r="C4" s="183"/>
    </row>
    <row r="5" spans="1:2" ht="15.75">
      <c r="A5" s="485"/>
      <c r="B5" s="486"/>
    </row>
    <row r="6" spans="1:2" s="186" customFormat="1" ht="18.75">
      <c r="A6" s="185" t="s">
        <v>296</v>
      </c>
      <c r="B6" s="185"/>
    </row>
    <row r="7" spans="1:2" s="186" customFormat="1" ht="18.75">
      <c r="A7" s="484" t="s">
        <v>297</v>
      </c>
      <c r="B7" s="484"/>
    </row>
    <row r="8" spans="1:2" s="186" customFormat="1" ht="19.5" thickBot="1">
      <c r="A8" s="484" t="s">
        <v>352</v>
      </c>
      <c r="B8" s="484"/>
    </row>
    <row r="9" spans="1:2" ht="15.75">
      <c r="A9" s="187"/>
      <c r="B9" s="188" t="s">
        <v>6</v>
      </c>
    </row>
    <row r="10" spans="1:2" ht="12" customHeight="1">
      <c r="A10" s="189" t="s">
        <v>298</v>
      </c>
      <c r="B10" s="189"/>
    </row>
    <row r="11" spans="1:2" ht="16.5" customHeight="1" thickBot="1">
      <c r="A11" s="190"/>
      <c r="B11" s="191" t="s">
        <v>396</v>
      </c>
    </row>
    <row r="12" spans="1:2" ht="16.5" customHeight="1">
      <c r="A12" s="192"/>
      <c r="B12" s="193"/>
    </row>
    <row r="13" spans="1:2" ht="18.75" customHeight="1">
      <c r="A13" s="244" t="s">
        <v>377</v>
      </c>
      <c r="B13" s="193"/>
    </row>
    <row r="14" spans="1:2" ht="15.75">
      <c r="A14" s="195" t="s">
        <v>364</v>
      </c>
      <c r="B14" s="337">
        <f>80000-4960</f>
        <v>75040</v>
      </c>
    </row>
    <row r="15" spans="1:2" ht="15.75">
      <c r="A15" s="195" t="s">
        <v>299</v>
      </c>
      <c r="B15" s="338">
        <v>22000</v>
      </c>
    </row>
    <row r="16" spans="1:2" ht="15.75">
      <c r="A16" s="192" t="s">
        <v>1</v>
      </c>
      <c r="B16" s="302">
        <f>SUM(B14:B15)</f>
        <v>97040</v>
      </c>
    </row>
    <row r="17" spans="1:2" ht="12.75" customHeight="1">
      <c r="A17" s="192"/>
      <c r="B17" s="302"/>
    </row>
    <row r="18" spans="1:2" ht="15.75">
      <c r="A18" s="244" t="s">
        <v>375</v>
      </c>
      <c r="B18" s="339"/>
    </row>
    <row r="19" spans="1:2" ht="15.75">
      <c r="A19" s="195" t="s">
        <v>376</v>
      </c>
      <c r="B19" s="307">
        <v>2000000</v>
      </c>
    </row>
    <row r="20" spans="1:2" ht="15.75">
      <c r="A20" s="195" t="s">
        <v>398</v>
      </c>
      <c r="B20" s="340">
        <v>2596200</v>
      </c>
    </row>
    <row r="21" spans="1:2" ht="15.75">
      <c r="A21" s="192" t="s">
        <v>1</v>
      </c>
      <c r="B21" s="302">
        <f>SUM(B19:B20)</f>
        <v>4596200</v>
      </c>
    </row>
    <row r="22" spans="1:2" ht="15.75">
      <c r="A22" s="192"/>
      <c r="B22" s="302"/>
    </row>
    <row r="23" spans="1:2" ht="15.75">
      <c r="A23" s="195" t="s">
        <v>408</v>
      </c>
      <c r="B23" s="307">
        <v>300000</v>
      </c>
    </row>
    <row r="24" spans="1:2" ht="15.75">
      <c r="A24" s="195" t="s">
        <v>299</v>
      </c>
      <c r="B24" s="340">
        <v>81000</v>
      </c>
    </row>
    <row r="25" spans="1:2" ht="15.75">
      <c r="A25" s="192" t="s">
        <v>1</v>
      </c>
      <c r="B25" s="302">
        <v>381000</v>
      </c>
    </row>
    <row r="26" ht="12" customHeight="1">
      <c r="B26" s="341"/>
    </row>
    <row r="27" spans="1:2" ht="15.75">
      <c r="A27" s="245" t="s">
        <v>349</v>
      </c>
      <c r="B27" s="341"/>
    </row>
    <row r="28" spans="1:2" ht="15.75">
      <c r="A28" s="194" t="s">
        <v>405</v>
      </c>
      <c r="B28" s="344">
        <f>366000+9433+118032+4960</f>
        <v>498425</v>
      </c>
    </row>
    <row r="29" spans="1:2" ht="16.5" customHeight="1">
      <c r="A29" s="195" t="s">
        <v>299</v>
      </c>
      <c r="B29" s="340">
        <f>99000+2367+31868</f>
        <v>133235</v>
      </c>
    </row>
    <row r="30" spans="1:2" ht="13.5" customHeight="1">
      <c r="A30" s="192" t="s">
        <v>1</v>
      </c>
      <c r="B30" s="302">
        <f>SUM(B28:B29)</f>
        <v>631660</v>
      </c>
    </row>
    <row r="31" spans="1:2" ht="13.5" customHeight="1">
      <c r="A31" s="192"/>
      <c r="B31" s="302"/>
    </row>
    <row r="32" spans="1:2" ht="13.5" customHeight="1">
      <c r="A32" s="192" t="s">
        <v>406</v>
      </c>
      <c r="B32" s="302"/>
    </row>
    <row r="33" spans="1:2" ht="13.5" customHeight="1">
      <c r="A33" s="195" t="s">
        <v>407</v>
      </c>
      <c r="B33" s="307">
        <v>2000000</v>
      </c>
    </row>
    <row r="34" spans="1:2" ht="13.5" customHeight="1">
      <c r="A34" s="195" t="s">
        <v>299</v>
      </c>
      <c r="B34" s="355">
        <v>540000</v>
      </c>
    </row>
    <row r="35" spans="1:2" ht="13.5" customHeight="1">
      <c r="A35" s="192" t="s">
        <v>1</v>
      </c>
      <c r="B35" s="302">
        <f>B33+B34</f>
        <v>2540000</v>
      </c>
    </row>
    <row r="36" spans="1:2" ht="13.5" customHeight="1">
      <c r="A36" s="192"/>
      <c r="B36" s="302"/>
    </row>
    <row r="37" spans="1:2" ht="13.5" customHeight="1">
      <c r="A37" s="259" t="s">
        <v>435</v>
      </c>
      <c r="B37" s="302"/>
    </row>
    <row r="38" spans="1:2" ht="13.5" customHeight="1">
      <c r="A38" s="195" t="s">
        <v>370</v>
      </c>
      <c r="B38" s="307">
        <v>142000</v>
      </c>
    </row>
    <row r="39" spans="1:2" ht="13.5" customHeight="1">
      <c r="A39" s="195" t="s">
        <v>299</v>
      </c>
      <c r="B39" s="340">
        <v>38000</v>
      </c>
    </row>
    <row r="40" spans="1:2" ht="13.5" customHeight="1">
      <c r="A40" s="192" t="s">
        <v>1</v>
      </c>
      <c r="B40" s="302">
        <f>B38+B39</f>
        <v>180000</v>
      </c>
    </row>
    <row r="41" spans="1:2" ht="13.5" customHeight="1">
      <c r="A41" s="192"/>
      <c r="B41" s="302"/>
    </row>
    <row r="42" spans="1:2" ht="13.5" customHeight="1">
      <c r="A42" s="259" t="s">
        <v>436</v>
      </c>
      <c r="B42" s="302"/>
    </row>
    <row r="43" spans="1:2" ht="13.5" customHeight="1">
      <c r="A43" s="195" t="s">
        <v>437</v>
      </c>
      <c r="B43" s="307">
        <v>92843</v>
      </c>
    </row>
    <row r="44" spans="1:2" ht="13.5" customHeight="1">
      <c r="A44" s="195" t="s">
        <v>299</v>
      </c>
      <c r="B44" s="340">
        <v>25067</v>
      </c>
    </row>
    <row r="45" spans="1:2" ht="13.5" customHeight="1">
      <c r="A45" s="192" t="s">
        <v>1</v>
      </c>
      <c r="B45" s="302">
        <f>B43+B44</f>
        <v>117910</v>
      </c>
    </row>
    <row r="46" spans="1:2" ht="13.5" customHeight="1">
      <c r="A46" s="192"/>
      <c r="B46" s="302"/>
    </row>
    <row r="47" spans="1:2" ht="13.5" customHeight="1">
      <c r="A47" s="259" t="s">
        <v>365</v>
      </c>
      <c r="B47" s="339"/>
    </row>
    <row r="48" spans="1:2" ht="13.5" customHeight="1">
      <c r="A48" s="260" t="s">
        <v>366</v>
      </c>
      <c r="B48" s="342">
        <v>41000</v>
      </c>
    </row>
    <row r="49" spans="1:2" ht="13.5" customHeight="1">
      <c r="A49" s="195" t="s">
        <v>299</v>
      </c>
      <c r="B49" s="338">
        <v>11000</v>
      </c>
    </row>
    <row r="50" spans="1:2" ht="13.5" customHeight="1">
      <c r="A50" s="192" t="s">
        <v>1</v>
      </c>
      <c r="B50" s="302">
        <f>SUM(B48:B49)</f>
        <v>52000</v>
      </c>
    </row>
    <row r="51" spans="1:2" ht="13.5" customHeight="1">
      <c r="A51" s="192"/>
      <c r="B51" s="302"/>
    </row>
    <row r="52" spans="1:2" ht="13.5" customHeight="1">
      <c r="A52" s="192"/>
      <c r="B52" s="302"/>
    </row>
    <row r="53" spans="1:2" ht="13.5" customHeight="1">
      <c r="A53" s="192"/>
      <c r="B53" s="302"/>
    </row>
    <row r="54" spans="1:2" ht="13.5" customHeight="1">
      <c r="A54" s="259" t="s">
        <v>367</v>
      </c>
      <c r="B54" s="302"/>
    </row>
    <row r="55" spans="1:2" ht="13.5" customHeight="1">
      <c r="A55" s="260" t="s">
        <v>366</v>
      </c>
      <c r="B55" s="342">
        <v>7000</v>
      </c>
    </row>
    <row r="56" spans="1:2" ht="13.5" customHeight="1">
      <c r="A56" s="195" t="s">
        <v>299</v>
      </c>
      <c r="B56" s="338">
        <v>2000</v>
      </c>
    </row>
    <row r="57" spans="1:2" ht="13.5" customHeight="1">
      <c r="A57" s="192" t="s">
        <v>1</v>
      </c>
      <c r="B57" s="302">
        <f>SUM(B55:B56)</f>
        <v>9000</v>
      </c>
    </row>
    <row r="58" spans="1:2" ht="13.5" customHeight="1">
      <c r="A58" s="192"/>
      <c r="B58" s="302"/>
    </row>
    <row r="59" spans="1:2" ht="13.5" customHeight="1">
      <c r="A59" s="192"/>
      <c r="B59" s="302"/>
    </row>
    <row r="60" spans="1:2" ht="13.5" customHeight="1">
      <c r="A60" s="192"/>
      <c r="B60" s="302"/>
    </row>
    <row r="61" spans="1:2" ht="13.5" customHeight="1">
      <c r="A61" s="259" t="s">
        <v>368</v>
      </c>
      <c r="B61" s="302"/>
    </row>
    <row r="62" spans="1:2" ht="13.5" customHeight="1">
      <c r="A62" s="260" t="s">
        <v>366</v>
      </c>
      <c r="B62" s="342">
        <v>10000</v>
      </c>
    </row>
    <row r="63" spans="1:2" ht="13.5" customHeight="1">
      <c r="A63" s="195" t="s">
        <v>299</v>
      </c>
      <c r="B63" s="338">
        <v>3000</v>
      </c>
    </row>
    <row r="64" spans="1:2" ht="13.5" customHeight="1">
      <c r="A64" s="192" t="s">
        <v>1</v>
      </c>
      <c r="B64" s="302">
        <f>SUM(B62:B63)</f>
        <v>13000</v>
      </c>
    </row>
    <row r="65" spans="1:2" ht="13.5" customHeight="1">
      <c r="A65" s="192"/>
      <c r="B65" s="302"/>
    </row>
    <row r="66" spans="1:2" ht="13.5" customHeight="1">
      <c r="A66" s="261" t="s">
        <v>369</v>
      </c>
      <c r="B66" s="302"/>
    </row>
    <row r="67" spans="1:2" ht="13.5" customHeight="1">
      <c r="A67" s="260" t="s">
        <v>366</v>
      </c>
      <c r="B67" s="342">
        <v>21000</v>
      </c>
    </row>
    <row r="68" spans="1:2" ht="13.5" customHeight="1">
      <c r="A68" s="195" t="s">
        <v>299</v>
      </c>
      <c r="B68" s="338">
        <v>6000</v>
      </c>
    </row>
    <row r="69" spans="1:2" ht="13.5" customHeight="1">
      <c r="A69" s="192" t="s">
        <v>1</v>
      </c>
      <c r="B69" s="302">
        <f>SUM(B67:B68)</f>
        <v>27000</v>
      </c>
    </row>
    <row r="70" spans="1:2" ht="13.5" customHeight="1">
      <c r="A70" s="192"/>
      <c r="B70" s="343"/>
    </row>
    <row r="71" spans="1:2" ht="15.75">
      <c r="A71" s="192" t="s">
        <v>300</v>
      </c>
      <c r="B71" s="302">
        <f>B16+B30+B50+B57+B64+B69+B21+B40+B35+B25+B45</f>
        <v>8644810</v>
      </c>
    </row>
  </sheetData>
  <sheetProtection/>
  <mergeCells count="3">
    <mergeCell ref="A7:B7"/>
    <mergeCell ref="A8:B8"/>
    <mergeCell ref="A5:B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Marsits Judit</cp:lastModifiedBy>
  <cp:lastPrinted>2017-02-13T08:20:54Z</cp:lastPrinted>
  <dcterms:created xsi:type="dcterms:W3CDTF">2002-11-26T17:22:50Z</dcterms:created>
  <dcterms:modified xsi:type="dcterms:W3CDTF">2017-02-15T12:10:32Z</dcterms:modified>
  <cp:category/>
  <cp:version/>
  <cp:contentType/>
  <cp:contentStatus/>
</cp:coreProperties>
</file>