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- piros szív\"/>
    </mc:Choice>
  </mc:AlternateContent>
  <bookViews>
    <workbookView xWindow="0" yWindow="0" windowWidth="12195" windowHeight="11325" tabRatio="834" activeTab="22"/>
  </bookViews>
  <sheets>
    <sheet name="1. melléklet" sheetId="1" r:id="rId1"/>
    <sheet name="2. melléklet" sheetId="2" r:id="rId2"/>
    <sheet name="3. melléklet" sheetId="3" r:id="rId3"/>
    <sheet name="4. melléklet" sheetId="4" r:id="rId4"/>
    <sheet name="5. melléklet 1" sheetId="31" r:id="rId5"/>
    <sheet name="5. melléklet 2" sheetId="6" r:id="rId6"/>
    <sheet name="6. melléklet 1" sheetId="24" r:id="rId7"/>
    <sheet name="6. melléklet 2" sheetId="25" r:id="rId8"/>
    <sheet name="7. melléklet" sheetId="27" r:id="rId9"/>
    <sheet name="8. melléklet" sheetId="10" r:id="rId10"/>
    <sheet name="9. melléklet" sheetId="11" r:id="rId11"/>
    <sheet name="10. melléklet" sheetId="12" r:id="rId12"/>
    <sheet name="11. melléklet" sheetId="13" r:id="rId13"/>
    <sheet name="12. melléklet" sheetId="14" r:id="rId14"/>
    <sheet name="13.melléklet 1" sheetId="15" r:id="rId15"/>
    <sheet name="13. melléklet 2 " sheetId="26" r:id="rId16"/>
    <sheet name="13. melléklet 3" sheetId="22" r:id="rId17"/>
    <sheet name="14. melléklet 1" sheetId="16" r:id="rId18"/>
    <sheet name="14. melléklet 2" sheetId="21" r:id="rId19"/>
    <sheet name="14. melléklet 3" sheetId="30" r:id="rId20"/>
    <sheet name="15. melléklet" sheetId="29" r:id="rId21"/>
    <sheet name="16. melléklet" sheetId="19" r:id="rId22"/>
    <sheet name="17. melléklet" sheetId="28" r:id="rId23"/>
  </sheets>
  <externalReferences>
    <externalReference r:id="rId24"/>
    <externalReference r:id="rId25"/>
    <externalReference r:id="rId26"/>
    <externalReference r:id="rId27"/>
  </externalReferences>
  <definedNames>
    <definedName name="__c" localSheetId="4">!#REF!</definedName>
    <definedName name="__c">!#REF!</definedName>
    <definedName name="__xlnm.Print_Titles_1">"'5. sz. melléklet - önkormányzat'[.#HIV!$4]:6"</definedName>
    <definedName name="_c">!#REF!</definedName>
    <definedName name="Beszúrás">SUM(!#REF!,!#REF!,!#REF!,!#REF!,!#REF!,!#REF!)</definedName>
    <definedName name="Excel_BuiltIn__FilterDatabase_5">!#REF!</definedName>
    <definedName name="Excel_BuiltIn__FilterDatabase_5_1">'[1]4__sz__melléklet'!#REF!</definedName>
    <definedName name="Excel_BuiltIn__FilterDatabase_5_10">NA()</definedName>
    <definedName name="Excel_BuiltIn__FilterDatabase_5_11">'[2]4__sz__melléklet'!#REF!</definedName>
    <definedName name="Excel_BuiltIn__FilterDatabase_5_12">'[2]4__sz__melléklet'!#REF!</definedName>
    <definedName name="Excel_BuiltIn__FilterDatabase_5_13">!#REF!</definedName>
    <definedName name="Excel_BuiltIn__FilterDatabase_5_15">'[3]4__sz__melléklet'!#REF!</definedName>
    <definedName name="Excel_BuiltIn__FilterDatabase_5_17">!#REF!</definedName>
    <definedName name="Excel_BuiltIn__FilterDatabase_5_5">'[4]4_A_sz__melléklet'!#REF!</definedName>
    <definedName name="Excel_BuiltIn__FilterDatabase_5_6">'[4]4_B-C__sz__melléklet'!#REF!</definedName>
    <definedName name="Excel_BuiltIn__FilterDatabase_5_7">NA()</definedName>
    <definedName name="Excel_BuiltIn__FilterDatabase_5_8">'[2]4__sz__melléklet'!#REF!</definedName>
    <definedName name="Excel_BuiltIn__FilterDatabase_5_9">'[2]4__sz__melléklet'!#REF!</definedName>
    <definedName name="Excel_BuiltIn_Print_Area_1">!#REF!</definedName>
    <definedName name="Excel_BuiltIn_Print_Area_1_1">NA()</definedName>
    <definedName name="Excel_BuiltIn_Print_Area_1_15">!#REF!</definedName>
    <definedName name="Excel_BuiltIn_Print_Area_1_21">'[4]18_'!#REF!</definedName>
    <definedName name="Excel_BuiltIn_Print_Area_1_22">'[4]19_'!#REF!</definedName>
    <definedName name="Excel_BuiltIn_Print_Area_2">!#REF!</definedName>
    <definedName name="Excel_BuiltIn_Print_Area_2_1">!#REF!</definedName>
    <definedName name="Excel_BuiltIn_Print_Area_2_15">!#REF!</definedName>
    <definedName name="Excel_BuiltIn_Print_Area_2_5">!#REF!</definedName>
    <definedName name="Excel_BuiltIn_Print_Area_2_6">!#REF!</definedName>
    <definedName name="Excel_BuiltIn_Print_Titles_6">'[4]4_B-C__sz__melléklet'!#REF!</definedName>
    <definedName name="fff">!#REF!</definedName>
    <definedName name="melléklet">SUM(!#REF!)-!#REF!-!#REF!-!#REF!</definedName>
    <definedName name="_xlnm.Print_Titles" localSheetId="12">'11. melléklet'!$4:$4</definedName>
    <definedName name="_xlnm.Print_Titles" localSheetId="17">'14. melléklet 1'!$3:$5</definedName>
    <definedName name="_xlnm.Print_Titles" localSheetId="18">'14. melléklet 2'!$3:$5</definedName>
    <definedName name="_xlnm.Print_Titles" localSheetId="20">'15. melléklet'!$4:$5</definedName>
    <definedName name="_xlnm.Print_Titles" localSheetId="4">'5. melléklet 1'!$3:$4</definedName>
    <definedName name="_xlnm.Print_Titles" localSheetId="8">'7. melléklet'!$3:$3</definedName>
    <definedName name="_xlnm.Print_Titles" localSheetId="9">'8. melléklet'!$3:$3</definedName>
    <definedName name="_xlnm.Print_Area" localSheetId="11">'10. melléklet'!$A$1:$D$84</definedName>
    <definedName name="_xlnm.Print_Area" localSheetId="12">'11. melléklet'!$A$1:$D$111</definedName>
    <definedName name="_xlnm.Print_Area" localSheetId="13">'12. melléklet'!$A$1:$D$40</definedName>
    <definedName name="_xlnm.Print_Area" localSheetId="15">'13. melléklet 2 '!$A$1:$H$45</definedName>
    <definedName name="_xlnm.Print_Area" localSheetId="16">'13. melléklet 3'!$A$1:$D$13</definedName>
    <definedName name="_xlnm.Print_Area" localSheetId="14">'13.melléklet 1'!$A$1:$N$27</definedName>
    <definedName name="_xlnm.Print_Area" localSheetId="17">'14. melléklet 1'!$A$1:$N$20</definedName>
    <definedName name="_xlnm.Print_Area" localSheetId="18">'14. melléklet 2'!$A$1:$Z$26</definedName>
    <definedName name="_xlnm.Print_Area" localSheetId="19">'14. melléklet 3'!$A$1:$W$35</definedName>
    <definedName name="_xlnm.Print_Area" localSheetId="20">'15. melléklet'!$A$1:$L$114</definedName>
    <definedName name="_xlnm.Print_Area" localSheetId="2">'3. melléklet'!$A$1:$M$49</definedName>
    <definedName name="_xlnm.Print_Area" localSheetId="3">'4. melléklet'!$A$1:$O$33</definedName>
    <definedName name="_xlnm.Print_Area" localSheetId="4">'5. melléklet 1'!$A$1:$R$205</definedName>
    <definedName name="_xlnm.Print_Area" localSheetId="5">'5. melléklet 2'!$A$1:$R$85</definedName>
    <definedName name="_xlnm.Print_Area" localSheetId="6">'6. melléklet 1'!$A$1:$R$79</definedName>
    <definedName name="_xlnm.Print_Area" localSheetId="8">'7. melléklet'!$A$1:$D$155</definedName>
    <definedName name="_xlnm.Print_Area" localSheetId="9">'8. melléklet'!$A$1:$D$86</definedName>
    <definedName name="_xlnm.Print_Area" localSheetId="10">'9. melléklet'!$A$1:$D$19</definedName>
    <definedName name="SHARED_FORMULA_1_10_1_10_2">SUM(!#REF!,!#REF!,!#REF!,!#REF!,!#REF!,!#REF!)</definedName>
    <definedName name="SHARED_FORMULA_1_26_1_26_2">SUM(!#REF!,!#REF!,!#REF!)</definedName>
    <definedName name="SHARED_FORMULA_1_38_1_38_8">SUM(!#REF!)</definedName>
    <definedName name="SHARED_FORMULA_1_42_1_42_8">SUM(!#REF!,!#REF!)</definedName>
    <definedName name="SHARED_FORMULA_10_41_10_41_2">SUM(!#REF!+!#REF!+!#REF!)</definedName>
    <definedName name="SHARED_FORMULA_10_5_10_5_2">SUM(!#REF!+!#REF!+!#REF!)</definedName>
    <definedName name="SHARED_FORMULA_11_40_11_40_2">SUM(!#REF!+!#REF!+!#REF!)</definedName>
    <definedName name="SHARED_FORMULA_11_5_11_5_2">SUM(!#REF!+!#REF!+!#REF!)</definedName>
    <definedName name="SHARED_FORMULA_12_13_12_13_3">SUM(!#REF!+!#REF!+!#REF!)</definedName>
    <definedName name="SHARED_FORMULA_12_133_12_133_5">SUM(!#REF!)-!#REF!-!#REF!-!#REF!</definedName>
    <definedName name="SHARED_FORMULA_12_40_12_40_2">SUM(!#REF!+!#REF!+!#REF!)</definedName>
    <definedName name="SHARED_FORMULA_12_5_12_5_2">SUM(!#REF!+!#REF!+!#REF!)</definedName>
    <definedName name="SHARED_FORMULA_12_5_12_5_3">SUM(!#REF!+!#REF!+!#REF!)</definedName>
    <definedName name="SHARED_FORMULA_12_6_12_6_0">!#REF!/!#REF!*100</definedName>
    <definedName name="SHARED_FORMULA_13_105_13_105_5">SUM(!#REF!)-!#REF!</definedName>
    <definedName name="SHARED_FORMULA_13_3_13_3_5">SUM(!#REF!)-!#REF!</definedName>
    <definedName name="SHARED_FORMULA_13_41_13_41_5">SUM(!#REF!)-!#REF!</definedName>
    <definedName name="SHARED_FORMULA_13_73_13_73_5">SUM(!#REF!)-!#REF!</definedName>
    <definedName name="SHARED_FORMULA_13_9_13_9_3">SUM(!#REF!+!#REF!+!#REF!)</definedName>
    <definedName name="SHARED_FORMULA_14_102_14_102_5">!#REF!</definedName>
    <definedName name="SHARED_FORMULA_14_121_14_121_5">!#REF!+!#REF!+!#REF!+!#REF!</definedName>
    <definedName name="SHARED_FORMULA_14_131_14_131_5" localSheetId="4">!#REF!+!#REF!+!#REF!+!#REF!+!#REF!+!#REF!+!#REF!+!#REF!+!#REF!+!#REF!+!#REF!+!#REF!+!#REF!+!#REF!+!#REF!+!#REF!+!#REF!+!#REF!+!#REF!+!#REF!+!#REF!+!#REF!+!#REF!</definedName>
    <definedName name="SHARED_FORMULA_14_131_14_131_5">!#REF!+!#REF!+!#REF!+!#REF!+!#REF!+!#REF!+!#REF!+!#REF!+!#REF!+!#REF!+!#REF!+!#REF!+!#REF!+!#REF!+!#REF!+!#REF!+!#REF!+!#REF!+!#REF!+!#REF!+!#REF!+!#REF!+!#REF!</definedName>
    <definedName name="SHARED_FORMULA_14_150_14_150_5">!#REF!+!#REF!</definedName>
    <definedName name="SHARED_FORMULA_14_151_14_151_5">!#REF!-!#REF!</definedName>
    <definedName name="SHARED_FORMULA_14_71_14_71_5">!#REF!+!#REF!+!#REF!+!#REF!</definedName>
    <definedName name="SHARED_FORMULA_14_72_14_72_5">!#REF!+!#REF!+!#REF!+!#REF!</definedName>
    <definedName name="SHARED_FORMULA_14_73_14_73_5">!#REF!+!#REF!+!#REF!+!#REF!</definedName>
    <definedName name="SHARED_FORMULA_14_74_14_74_5">!#REF!+!#REF!+!#REF!+!#REF!</definedName>
    <definedName name="SHARED_FORMULA_14_75_14_75_5">!#REF!+!#REF!+!#REF!+!#REF!</definedName>
    <definedName name="SHARED_FORMULA_14_86_14_86_5">!#REF!+!#REF!</definedName>
    <definedName name="SHARED_FORMULA_14_9_14_9_3">SUM(!#REF!+!#REF!+!#REF!)</definedName>
    <definedName name="SHARED_FORMULA_16_112_16_112_5">!#REF!</definedName>
    <definedName name="SHARED_FORMULA_17_108_17_108_5">!#REF!</definedName>
    <definedName name="SHARED_FORMULA_17_117_17_117_5">!#REF!</definedName>
    <definedName name="SHARED_FORMULA_17_127_17_127_5">!#REF!</definedName>
    <definedName name="SHARED_FORMULA_17_22_17_22_5">!#REF!</definedName>
    <definedName name="SHARED_FORMULA_17_27_17_27_5">!#REF!</definedName>
    <definedName name="SHARED_FORMULA_17_32_17_32_5">!#REF!</definedName>
    <definedName name="SHARED_FORMULA_17_37_17_37_5">!#REF!</definedName>
    <definedName name="SHARED_FORMULA_17_4_17_4_5">!#REF!</definedName>
    <definedName name="SHARED_FORMULA_17_43_17_43_5">!#REF!</definedName>
    <definedName name="SHARED_FORMULA_17_47_17_47_5">!#REF!</definedName>
    <definedName name="SHARED_FORMULA_17_52_17_52_5">!#REF!</definedName>
    <definedName name="SHARED_FORMULA_17_57_17_57_5">!#REF!</definedName>
    <definedName name="SHARED_FORMULA_17_62_17_62_5">!#REF!</definedName>
    <definedName name="SHARED_FORMULA_17_67_17_67_5">!#REF!</definedName>
    <definedName name="SHARED_FORMULA_17_77_17_77_5">!#REF!</definedName>
    <definedName name="SHARED_FORMULA_17_82_17_82_5">!#REF!</definedName>
    <definedName name="SHARED_FORMULA_17_9_17_9_5">!#REF!</definedName>
    <definedName name="SHARED_FORMULA_17_92_17_92_5">!#REF!</definedName>
    <definedName name="SHARED_FORMULA_17_97_17_97_5">!#REF!</definedName>
    <definedName name="SHARED_FORMULA_2_102_2_102_5">!#REF!</definedName>
    <definedName name="SHARED_FORMULA_2_107_2_107_5">!#REF!</definedName>
    <definedName name="SHARED_FORMULA_2_112_2_112_5">!#REF!</definedName>
    <definedName name="SHARED_FORMULA_2_121_2_121_5">!#REF!+!#REF!+!#REF!+!#REF!</definedName>
    <definedName name="SHARED_FORMULA_2_122_2_122_5">!#REF!+!#REF!+!#REF!+!#REF!</definedName>
    <definedName name="SHARED_FORMULA_2_123_2_123_5">!#REF!+!#REF!+!#REF!+!#REF!</definedName>
    <definedName name="SHARED_FORMULA_2_124_2_124_5">!#REF!+!#REF!+!#REF!+!#REF!</definedName>
    <definedName name="SHARED_FORMULA_2_125_2_125_5">!#REF!+!#REF!+!#REF!+!#REF!</definedName>
    <definedName name="SHARED_FORMULA_2_127_2_127_5">!#REF!</definedName>
    <definedName name="SHARED_FORMULA_2_131_2_131_5" localSheetId="4">!#REF!+!#REF!+!#REF!+!#REF!+!#REF!+!#REF!+!#REF!+!#REF!+!#REF!+!#REF!+!#REF!+!#REF!+!#REF!+!#REF!+!#REF!+!#REF!+!#REF!+!#REF!+!#REF!+!#REF!+!#REF!+!#REF!+!#REF!</definedName>
    <definedName name="SHARED_FORMULA_2_131_2_131_5">!#REF!+!#REF!+!#REF!+!#REF!+!#REF!+!#REF!+!#REF!+!#REF!+!#REF!+!#REF!+!#REF!+!#REF!+!#REF!+!#REF!+!#REF!+!#REF!+!#REF!+!#REF!+!#REF!+!#REF!+!#REF!+!#REF!+!#REF!</definedName>
    <definedName name="SHARED_FORMULA_2_132_2_132_5" localSheetId="4">!#REF!+!#REF!+!#REF!+!#REF!+!#REF!+!#REF!+!#REF!+!#REF!+!#REF!+!#REF!+!#REF!+!#REF!+!#REF!+!#REF!+!#REF!+!#REF!+!#REF!+!#REF!+!#REF!+!#REF!+!#REF!+!#REF!+!#REF!</definedName>
    <definedName name="SHARED_FORMULA_2_132_2_132_5">!#REF!+!#REF!+!#REF!+!#REF!+!#REF!+!#REF!+!#REF!+!#REF!+!#REF!+!#REF!+!#REF!+!#REF!+!#REF!+!#REF!+!#REF!+!#REF!+!#REF!+!#REF!+!#REF!+!#REF!+!#REF!+!#REF!+!#REF!</definedName>
    <definedName name="SHARED_FORMULA_2_134_2_134_5" localSheetId="4">!#REF!+!#REF!+!#REF!+!#REF!+!#REF!+!#REF!+!#REF!+!#REF!+!#REF!+!#REF!+!#REF!+!#REF!+!#REF!+!#REF!+!#REF!+!#REF!+!#REF!+!#REF!+!#REF!+!#REF!+!#REF!+!#REF!+!#REF!</definedName>
    <definedName name="SHARED_FORMULA_2_134_2_134_5">!#REF!+!#REF!+!#REF!+!#REF!+!#REF!+!#REF!+!#REF!+!#REF!+!#REF!+!#REF!+!#REF!+!#REF!+!#REF!+!#REF!+!#REF!+!#REF!+!#REF!+!#REF!+!#REF!+!#REF!+!#REF!+!#REF!+!#REF!</definedName>
    <definedName name="SHARED_FORMULA_2_137_2_137_5" localSheetId="4">!#REF!+!#REF!+!#REF!+!#REF!+!#REF!+!#REF!+!#REF!+!#REF!+!#REF!+!#REF!+!#REF!+!#REF!+!#REF!+!#REF!+!#REF!+!#REF!+!#REF!+!#REF!+!#REF!+!#REF!+!#REF!+!#REF!+!#REF!</definedName>
    <definedName name="SHARED_FORMULA_2_137_2_137_5">!#REF!+!#REF!+!#REF!+!#REF!+!#REF!+!#REF!+!#REF!+!#REF!+!#REF!+!#REF!+!#REF!+!#REF!+!#REF!+!#REF!+!#REF!+!#REF!+!#REF!+!#REF!+!#REF!+!#REF!+!#REF!+!#REF!+!#REF!</definedName>
    <definedName name="SHARED_FORMULA_2_14_2_14_5">!#REF!</definedName>
    <definedName name="SHARED_FORMULA_2_140_2_140_5" localSheetId="4">!#REF!+!#REF!+!#REF!+!#REF!+!#REF!+!#REF!+!#REF!+!#REF!+!#REF!+!#REF!+!#REF!+!#REF!+!#REF!+!#REF!+!#REF!+!#REF!+!#REF!+!#REF!+!#REF!+!#REF!+!#REF!+!#REF!</definedName>
    <definedName name="SHARED_FORMULA_2_140_2_140_5">!#REF!+!#REF!+!#REF!+!#REF!+!#REF!+!#REF!+!#REF!+!#REF!+!#REF!+!#REF!+!#REF!+!#REF!+!#REF!+!#REF!+!#REF!+!#REF!+!#REF!+!#REF!+!#REF!+!#REF!+!#REF!+!#REF!</definedName>
    <definedName name="SHARED_FORMULA_2_141_2_141_5">!#REF!+!#REF!+!#REF!+!#REF!+!#REF!+!#REF!+!#REF!+!#REF!+!#REF!+!#REF!+!#REF!+!#REF!+!#REF!+!#REF!+!#REF!+!#REF!+!#REF!+!#REF!+!#REF!+!#REF!+!#REF!+!#REF!</definedName>
    <definedName name="SHARED_FORMULA_2_142_2_142_5">!#REF!+!#REF!+!#REF!+!#REF!+!#REF!+!#REF!+!#REF!+!#REF!+!#REF!+!#REF!+!#REF!+!#REF!+!#REF!+!#REF!+!#REF!+!#REF!+!#REF!+!#REF!+!#REF!+!#REF!+!#REF!+!#REF!</definedName>
    <definedName name="SHARED_FORMULA_2_143_2_143_5">!#REF!+!#REF!+!#REF!+!#REF!+!#REF!+!#REF!+!#REF!+!#REF!+!#REF!+!#REF!+!#REF!+!#REF!+!#REF!+!#REF!+!#REF!+!#REF!+!#REF!+!#REF!+!#REF!+!#REF!+!#REF!+!#REF!</definedName>
    <definedName name="SHARED_FORMULA_2_144_2_144_5">!#REF!+!#REF!+!#REF!+!#REF!+!#REF!+!#REF!+!#REF!+!#REF!+!#REF!+!#REF!+!#REF!+!#REF!+!#REF!+!#REF!+!#REF!+!#REF!+!#REF!+!#REF!+!#REF!+!#REF!+!#REF!+!#REF!</definedName>
    <definedName name="SHARED_FORMULA_2_145_2_145_5">!#REF!+!#REF!+!#REF!+!#REF!+!#REF!+!#REF!+!#REF!+!#REF!+!#REF!+!#REF!+!#REF!+!#REF!+!#REF!+!#REF!+!#REF!+!#REF!+!#REF!+!#REF!+!#REF!+!#REF!+!#REF!+!#REF!</definedName>
    <definedName name="SHARED_FORMULA_2_146_2_146_5">!#REF!-!#REF!</definedName>
    <definedName name="SHARED_FORMULA_2_22_2_22_5">!#REF!</definedName>
    <definedName name="SHARED_FORMULA_2_27_2_27_5">!#REF!</definedName>
    <definedName name="SHARED_FORMULA_2_32_2_32_5">!#REF!</definedName>
    <definedName name="SHARED_FORMULA_2_37_2_37_5">!#REF!</definedName>
    <definedName name="SHARED_FORMULA_2_4_2_4_5">!#REF!</definedName>
    <definedName name="SHARED_FORMULA_2_42_2_42_5">!#REF!</definedName>
    <definedName name="SHARED_FORMULA_2_44_2_44_5">!#REF!</definedName>
    <definedName name="SHARED_FORMULA_2_47_2_47_5">!#REF!</definedName>
    <definedName name="SHARED_FORMULA_2_48_2_48_5">!#REF!</definedName>
    <definedName name="SHARED_FORMULA_2_52_2_52_5">!#REF!</definedName>
    <definedName name="SHARED_FORMULA_2_57_2_57_5">!#REF!</definedName>
    <definedName name="SHARED_FORMULA_2_67_2_67_5">!#REF!</definedName>
    <definedName name="SHARED_FORMULA_2_71_2_71_5">!#REF!+!#REF!+!#REF!+!#REF!</definedName>
    <definedName name="SHARED_FORMULA_2_72_2_72_5">!#REF!+!#REF!+!#REF!+!#REF!</definedName>
    <definedName name="SHARED_FORMULA_2_73_2_73_5">!#REF!+!#REF!+!#REF!+!#REF!</definedName>
    <definedName name="SHARED_FORMULA_2_74_2_74_5">!#REF!+!#REF!+!#REF!+!#REF!</definedName>
    <definedName name="SHARED_FORMULA_2_75_2_75_5">!#REF!+!#REF!+!#REF!+!#REF!</definedName>
    <definedName name="SHARED_FORMULA_2_82_2_82_5">!#REF!</definedName>
    <definedName name="SHARED_FORMULA_2_86_2_86_5">!#REF!+!#REF!</definedName>
    <definedName name="SHARED_FORMULA_2_87_2_87_5">!#REF!+!#REF!</definedName>
    <definedName name="SHARED_FORMULA_2_88_2_88_5">!#REF!+!#REF!</definedName>
    <definedName name="SHARED_FORMULA_2_89_2_89_5">!#REF!+!#REF!</definedName>
    <definedName name="SHARED_FORMULA_2_9_2_9_5">!#REF!</definedName>
    <definedName name="SHARED_FORMULA_2_90_2_90_5">!#REF!+!#REF!</definedName>
    <definedName name="SHARED_FORMULA_2_92_2_92_5">!#REF!</definedName>
    <definedName name="SHARED_FORMULA_2_97_2_97_5">!#REF!</definedName>
    <definedName name="SHARED_FORMULA_20_10_20_10_5">!#REF!</definedName>
    <definedName name="SHARED_FORMULA_20_102_20_102_5">!#REF!</definedName>
    <definedName name="SHARED_FORMULA_20_112_20_112_5">!#REF!</definedName>
    <definedName name="SHARED_FORMULA_20_117_20_117_5">!#REF!</definedName>
    <definedName name="SHARED_FORMULA_20_121_20_121_5">!#REF!+!#REF!+!#REF!+!#REF!</definedName>
    <definedName name="SHARED_FORMULA_20_127_20_127_5">!#REF!</definedName>
    <definedName name="SHARED_FORMULA_20_131_20_131_5">!#REF!+!#REF!+!#REF!+!#REF!+!#REF!+!#REF!+!#REF!+!#REF!+!#REF!+!#REF!+!#REF!+!#REF!+!#REF!+!#REF!+!#REF!+!#REF!+!#REF!+!#REF!+!#REF!+!#REF!+!#REF!+!#REF!+!#REF!</definedName>
    <definedName name="SHARED_FORMULA_20_14_20_14_5">!#REF!</definedName>
    <definedName name="SHARED_FORMULA_20_141_20_141_5">!#REF!+!#REF!+!#REF!+!#REF!+!#REF!+!#REF!+!#REF!+!#REF!+!#REF!+!#REF!+!#REF!+!#REF!+!#REF!+!#REF!+!#REF!+!#REF!+!#REF!+!#REF!+!#REF!+!#REF!+!#REF!+!#REF!</definedName>
    <definedName name="SHARED_FORMULA_20_19_20_19_5">!#REF!</definedName>
    <definedName name="SHARED_FORMULA_20_22_20_22_5">!#REF!</definedName>
    <definedName name="SHARED_FORMULA_20_27_20_27_5">!#REF!</definedName>
    <definedName name="SHARED_FORMULA_20_33_20_33_5">!#REF!</definedName>
    <definedName name="SHARED_FORMULA_20_37_20_37_5">!#REF!</definedName>
    <definedName name="SHARED_FORMULA_20_42_20_42_5">!#REF!</definedName>
    <definedName name="SHARED_FORMULA_20_57_20_57_5">!#REF!</definedName>
    <definedName name="SHARED_FORMULA_20_63_20_63_5">!#REF!</definedName>
    <definedName name="SHARED_FORMULA_20_67_20_67_5">!#REF!</definedName>
    <definedName name="SHARED_FORMULA_20_78_20_78_5">!#REF!</definedName>
    <definedName name="SHARED_FORMULA_20_82_20_82_5">!#REF!</definedName>
    <definedName name="SHARED_FORMULA_20_86_20_86_5">!#REF!+!#REF!</definedName>
    <definedName name="SHARED_FORMULA_20_92_20_92_5">!#REF!</definedName>
    <definedName name="SHARED_FORMULA_23_3_23_3_5">SUM(!#REF!)-!#REF!</definedName>
    <definedName name="SHARED_FORMULA_23_32_23_32_5">SUM(!#REF!)-!#REF!</definedName>
    <definedName name="SHARED_FORMULA_23_64_23_64_5">SUM(!#REF!)-!#REF!</definedName>
    <definedName name="SHARED_FORMULA_23_96_23_96_5">SUM(!#REF!)-!#REF!</definedName>
    <definedName name="SHARED_FORMULA_25_131_25_131_5">SUM(!#REF!)-!#REF!</definedName>
    <definedName name="SHARED_FORMULA_3_10_3_10_3">SUM(!#REF!)</definedName>
    <definedName name="SHARED_FORMULA_3_308_3_308_4">SUM(!#REF!+!#REF!+!#REF!)</definedName>
    <definedName name="SHARED_FORMULA_3_309_3_309_4">!#REF!+!#REF!+!#REF!</definedName>
    <definedName name="SHARED_FORMULA_3_312_3_312_4">SUM(!#REF!+!#REF!+!#REF!)</definedName>
    <definedName name="SHARED_FORMULA_3_32_3_32_2">SUM(!#REF!)</definedName>
    <definedName name="SHARED_FORMULA_3_320_3_320_4">SUM(!#REF!+!#REF!+!#REF!+!#REF!)</definedName>
    <definedName name="SHARED_FORMULA_3_321_3_321_4">SUM(!#REF!+!#REF!+!#REF!+!#REF!)</definedName>
    <definedName name="SHARED_FORMULA_3_37_3_37_2">SUM(!#REF!)</definedName>
    <definedName name="SHARED_FORMULA_3_47_3_47_2">SUM(!#REF!)</definedName>
    <definedName name="SHARED_FORMULA_3_59_3_59_5">!#REF!</definedName>
    <definedName name="SHARED_FORMULA_3_77_3_77_5">!#REF!</definedName>
    <definedName name="SHARED_FORMULA_3_94_3_94_5">!#REF!</definedName>
    <definedName name="SHARED_FORMULA_4_133_4_133_5">SUM(!#REF!)-!#REF!-!#REF!-!#REF!</definedName>
    <definedName name="SHARED_FORMULA_4_136_4_136_4">SUM(!#REF!)</definedName>
    <definedName name="SHARED_FORMULA_4_200_4_200_4">SUM(!#REF!)</definedName>
    <definedName name="SHARED_FORMULA_4_264_4_264_4">SUM(!#REF!)</definedName>
    <definedName name="SHARED_FORMULA_4_322_4_322_4">SUM(!#REF!,!#REF!,!#REF!)</definedName>
    <definedName name="SHARED_FORMULA_4_43_4_43_3">SUM(!#REF!,!#REF!,!#REF!,!#REF!,!#REF!,!#REF!,!#REF!,!#REF!,!#REF!,!#REF!,!#REF!,!#REF!,!#REF!,!#REF!)</definedName>
    <definedName name="SHARED_FORMULA_4_58_4_58_2">SUM(!#REF!,!#REF!,!#REF!,!#REF!,!#REF!,!#REF!,!#REF!,!#REF!,!#REF!,!#REF!,!#REF!)</definedName>
    <definedName name="SHARED_FORMULA_4_73_4_73_4">SUM(!#REF!)</definedName>
    <definedName name="SHARED_FORMULA_4_8_4_8_4">SUM(!#REF!)</definedName>
    <definedName name="SHARED_FORMULA_4_9_4_9_3">SUM(!#REF!)</definedName>
    <definedName name="SHARED_FORMULA_5_108_5_108_5">!#REF!</definedName>
    <definedName name="SHARED_FORMULA_5_109_5_109_5">!#REF!</definedName>
    <definedName name="SHARED_FORMULA_5_129_5_129_5">!#REF!</definedName>
    <definedName name="SHARED_FORMULA_5_19_5_19_5">!#REF!</definedName>
    <definedName name="SHARED_FORMULA_5_28_5_28_5">!#REF!</definedName>
    <definedName name="SHARED_FORMULA_5_288_5_288_4" localSheetId="4">SUM(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)</definedName>
    <definedName name="SHARED_FORMULA_5_288_5_288_4">SUM(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)</definedName>
    <definedName name="SHARED_FORMULA_5_289_5_289_4" localSheetId="4">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</definedName>
    <definedName name="SHARED_FORMULA_5_289_5_289_4">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</definedName>
    <definedName name="SHARED_FORMULA_5_35_5_35_5">!#REF!</definedName>
    <definedName name="SHARED_FORMULA_5_69_5_69_5">!#REF!</definedName>
    <definedName name="SHARED_FORMULA_5_7_5_7_5">!#REF!</definedName>
    <definedName name="SHARED_FORMULA_6_5_6_5_0">!#REF!/!#REF!*100</definedName>
    <definedName name="SHARED_FORMULA_7_62_7_62_5">!#REF!</definedName>
    <definedName name="SHARED_FORMULA_7_82_7_82_5">!#REF!</definedName>
    <definedName name="SHARED_FORMULA_7_93_7_93_5">!#REF!</definedName>
    <definedName name="SHARED_FORMULA_8_48_8_48_5">!#REF!</definedName>
    <definedName name="SHARED_FORMULA_9_112_9_112_5">!#REF!</definedName>
    <definedName name="SHARED_FORMULA_9_118_9_118_5">!#REF!</definedName>
    <definedName name="SHARED_FORMULA_9_44_9_44_5">!#REF!</definedName>
    <definedName name="SHARED_FORMULA_9_53_9_53_5">!#REF!</definedName>
    <definedName name="SHARED_FORMULA_9_77_9_77_5">!#REF!</definedName>
    <definedName name="SHARED_FORMULA_9_98_9_98_5">!#REF!</definedName>
    <definedName name="x">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31" l="1"/>
  <c r="E107" i="29" l="1"/>
  <c r="E108" i="29" s="1"/>
  <c r="E109" i="29" s="1"/>
  <c r="E110" i="29" s="1"/>
  <c r="E111" i="29" s="1"/>
  <c r="E112" i="29" s="1"/>
  <c r="E113" i="29" s="1"/>
  <c r="E114" i="29" s="1"/>
  <c r="L99" i="29"/>
  <c r="K99" i="29"/>
  <c r="I99" i="29"/>
  <c r="G99" i="29"/>
  <c r="F99" i="29"/>
  <c r="I95" i="29"/>
  <c r="K94" i="29"/>
  <c r="L94" i="29" s="1"/>
  <c r="J94" i="29"/>
  <c r="K91" i="29"/>
  <c r="L91" i="29" s="1"/>
  <c r="J91" i="29"/>
  <c r="K90" i="29"/>
  <c r="L85" i="29"/>
  <c r="L82" i="29"/>
  <c r="K82" i="29"/>
  <c r="I82" i="29"/>
  <c r="H82" i="29"/>
  <c r="F82" i="29"/>
  <c r="G81" i="29"/>
  <c r="G82" i="29" s="1"/>
  <c r="F81" i="29"/>
  <c r="L78" i="29"/>
  <c r="K78" i="29"/>
  <c r="K79" i="29" s="1"/>
  <c r="G78" i="29"/>
  <c r="L77" i="29"/>
  <c r="H77" i="29"/>
  <c r="I77" i="29" s="1"/>
  <c r="F77" i="29"/>
  <c r="H76" i="29"/>
  <c r="J76" i="29" s="1"/>
  <c r="L75" i="29"/>
  <c r="H75" i="29"/>
  <c r="I75" i="29" s="1"/>
  <c r="F75" i="29"/>
  <c r="F78" i="29" s="1"/>
  <c r="L73" i="29"/>
  <c r="K73" i="29"/>
  <c r="I73" i="29"/>
  <c r="H73" i="29"/>
  <c r="G73" i="29"/>
  <c r="H72" i="29"/>
  <c r="F71" i="29"/>
  <c r="F73" i="29" s="1"/>
  <c r="K69" i="29"/>
  <c r="G69" i="29"/>
  <c r="H68" i="29"/>
  <c r="J68" i="29" s="1"/>
  <c r="L67" i="29"/>
  <c r="H67" i="29"/>
  <c r="I67" i="29" s="1"/>
  <c r="F67" i="29"/>
  <c r="L66" i="29"/>
  <c r="H66" i="29"/>
  <c r="I66" i="29" s="1"/>
  <c r="F66" i="29"/>
  <c r="K64" i="29"/>
  <c r="G64" i="29"/>
  <c r="G79" i="29" s="1"/>
  <c r="F62" i="29"/>
  <c r="F61" i="29"/>
  <c r="F60" i="29"/>
  <c r="F59" i="29"/>
  <c r="E58" i="29"/>
  <c r="F58" i="29" s="1"/>
  <c r="E57" i="29"/>
  <c r="F57" i="29" s="1"/>
  <c r="E56" i="29"/>
  <c r="F56" i="29" s="1"/>
  <c r="L55" i="29"/>
  <c r="E55" i="29"/>
  <c r="F55" i="29" s="1"/>
  <c r="L54" i="29"/>
  <c r="E54" i="29"/>
  <c r="F54" i="29" s="1"/>
  <c r="L51" i="29"/>
  <c r="L64" i="29" s="1"/>
  <c r="I51" i="29"/>
  <c r="H51" i="29"/>
  <c r="E51" i="29"/>
  <c r="F51" i="29" s="1"/>
  <c r="I50" i="29"/>
  <c r="F50" i="29"/>
  <c r="H49" i="29"/>
  <c r="I49" i="29" s="1"/>
  <c r="F48" i="29"/>
  <c r="F47" i="29"/>
  <c r="F49" i="29" s="1"/>
  <c r="F41" i="29"/>
  <c r="L40" i="29"/>
  <c r="H40" i="29"/>
  <c r="F40" i="29"/>
  <c r="G38" i="29"/>
  <c r="H37" i="29"/>
  <c r="I37" i="29" s="1"/>
  <c r="K37" i="29" s="1"/>
  <c r="L37" i="29" s="1"/>
  <c r="F37" i="29"/>
  <c r="H36" i="29"/>
  <c r="H38" i="29" s="1"/>
  <c r="F36" i="29"/>
  <c r="F38" i="29" s="1"/>
  <c r="G34" i="29"/>
  <c r="G42" i="29" s="1"/>
  <c r="H33" i="29"/>
  <c r="I33" i="29" s="1"/>
  <c r="K33" i="29" s="1"/>
  <c r="L33" i="29" s="1"/>
  <c r="F33" i="29"/>
  <c r="H32" i="29"/>
  <c r="H34" i="29" s="1"/>
  <c r="F32" i="29"/>
  <c r="F34" i="29" s="1"/>
  <c r="F42" i="29" s="1"/>
  <c r="F26" i="29"/>
  <c r="F24" i="29"/>
  <c r="F22" i="29"/>
  <c r="L21" i="29"/>
  <c r="K21" i="29"/>
  <c r="I21" i="29"/>
  <c r="H21" i="29"/>
  <c r="G21" i="29"/>
  <c r="C19" i="29"/>
  <c r="C17" i="29"/>
  <c r="F13" i="29"/>
  <c r="F21" i="29" s="1"/>
  <c r="L10" i="29"/>
  <c r="L12" i="29" s="1"/>
  <c r="K10" i="29"/>
  <c r="K29" i="29" s="1"/>
  <c r="I10" i="29"/>
  <c r="I30" i="29" s="1"/>
  <c r="G10" i="29"/>
  <c r="G30" i="29" s="1"/>
  <c r="H9" i="29"/>
  <c r="H10" i="29" s="1"/>
  <c r="F9" i="29"/>
  <c r="F8" i="29"/>
  <c r="I32" i="29" l="1"/>
  <c r="G86" i="29"/>
  <c r="G100" i="29" s="1"/>
  <c r="I12" i="29"/>
  <c r="K30" i="29"/>
  <c r="F10" i="29"/>
  <c r="H64" i="29"/>
  <c r="L69" i="29"/>
  <c r="I36" i="29"/>
  <c r="K36" i="29" s="1"/>
  <c r="I64" i="29"/>
  <c r="K95" i="29"/>
  <c r="L79" i="29"/>
  <c r="F29" i="29"/>
  <c r="F30" i="29"/>
  <c r="F12" i="29"/>
  <c r="H12" i="29"/>
  <c r="H29" i="29"/>
  <c r="I34" i="29"/>
  <c r="F64" i="29"/>
  <c r="F79" i="29" s="1"/>
  <c r="H42" i="29"/>
  <c r="I38" i="29"/>
  <c r="G29" i="29"/>
  <c r="L29" i="29"/>
  <c r="K12" i="29"/>
  <c r="L30" i="29"/>
  <c r="K32" i="29"/>
  <c r="L90" i="29"/>
  <c r="L95" i="29" s="1"/>
  <c r="G12" i="29"/>
  <c r="I29" i="29"/>
  <c r="H69" i="29"/>
  <c r="I68" i="29"/>
  <c r="I69" i="29" s="1"/>
  <c r="I76" i="29"/>
  <c r="I78" i="29" s="1"/>
  <c r="I79" i="29" s="1"/>
  <c r="H78" i="29"/>
  <c r="H79" i="29" l="1"/>
  <c r="L36" i="29"/>
  <c r="L38" i="29" s="1"/>
  <c r="K38" i="29"/>
  <c r="L32" i="29"/>
  <c r="L34" i="29" s="1"/>
  <c r="L42" i="29" s="1"/>
  <c r="L86" i="29" s="1"/>
  <c r="L100" i="29" s="1"/>
  <c r="K34" i="29"/>
  <c r="I42" i="29"/>
  <c r="I86" i="29" s="1"/>
  <c r="I100" i="29" s="1"/>
  <c r="F86" i="29"/>
  <c r="F100" i="29" s="1"/>
  <c r="H86" i="29"/>
  <c r="K42" i="29" l="1"/>
  <c r="K86" i="29" s="1"/>
  <c r="K100" i="29" s="1"/>
  <c r="C42" i="26"/>
  <c r="D42" i="26"/>
  <c r="E42" i="26"/>
  <c r="F42" i="26"/>
  <c r="G42" i="26"/>
  <c r="H42" i="26"/>
  <c r="B42" i="26"/>
  <c r="C27" i="26"/>
  <c r="C45" i="26" s="1"/>
  <c r="F27" i="26"/>
  <c r="F45" i="26" s="1"/>
  <c r="G27" i="26"/>
  <c r="G45" i="26" s="1"/>
  <c r="C24" i="26"/>
  <c r="D24" i="26"/>
  <c r="D27" i="26" s="1"/>
  <c r="D45" i="26" s="1"/>
  <c r="E24" i="26"/>
  <c r="E27" i="26" s="1"/>
  <c r="E45" i="26" s="1"/>
  <c r="F24" i="26"/>
  <c r="G24" i="26"/>
  <c r="H24" i="26"/>
  <c r="H27" i="26" s="1"/>
  <c r="H45" i="26" s="1"/>
  <c r="B24" i="26"/>
  <c r="B27" i="26" s="1"/>
  <c r="B45" i="26" s="1"/>
  <c r="D75" i="27" l="1"/>
  <c r="D23" i="27" l="1"/>
  <c r="D10" i="10" l="1"/>
  <c r="D26" i="19" l="1"/>
  <c r="D24" i="19" s="1"/>
  <c r="D32" i="19"/>
  <c r="R205" i="31" l="1"/>
  <c r="Q205" i="31"/>
  <c r="P205" i="31"/>
  <c r="O205" i="31"/>
  <c r="N205" i="31"/>
  <c r="M205" i="31"/>
  <c r="L205" i="31"/>
  <c r="K205" i="31"/>
  <c r="J205" i="31"/>
  <c r="I205" i="31"/>
  <c r="H205" i="31"/>
  <c r="G205" i="31"/>
  <c r="E205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E204" i="31"/>
  <c r="R203" i="31"/>
  <c r="Q203" i="31"/>
  <c r="P203" i="31"/>
  <c r="O203" i="31"/>
  <c r="N203" i="31"/>
  <c r="M203" i="31"/>
  <c r="L203" i="31"/>
  <c r="K203" i="31"/>
  <c r="J203" i="31"/>
  <c r="I203" i="31"/>
  <c r="H203" i="31"/>
  <c r="G203" i="31"/>
  <c r="E203" i="31"/>
  <c r="R202" i="31"/>
  <c r="Q202" i="31"/>
  <c r="P202" i="31"/>
  <c r="O202" i="31"/>
  <c r="N202" i="31"/>
  <c r="M202" i="31"/>
  <c r="L202" i="31"/>
  <c r="K202" i="31"/>
  <c r="J202" i="31"/>
  <c r="I202" i="31"/>
  <c r="H202" i="31"/>
  <c r="G202" i="31"/>
  <c r="E202" i="31"/>
  <c r="M201" i="31"/>
  <c r="E201" i="31"/>
  <c r="R200" i="31"/>
  <c r="Q200" i="31"/>
  <c r="P200" i="31"/>
  <c r="O200" i="31"/>
  <c r="N200" i="31"/>
  <c r="M200" i="31"/>
  <c r="L200" i="31"/>
  <c r="K200" i="31"/>
  <c r="J200" i="31"/>
  <c r="I200" i="31"/>
  <c r="H200" i="31"/>
  <c r="G200" i="31"/>
  <c r="E200" i="31"/>
  <c r="R199" i="31"/>
  <c r="Q199" i="31"/>
  <c r="P199" i="31"/>
  <c r="O199" i="31"/>
  <c r="N199" i="31"/>
  <c r="M199" i="31"/>
  <c r="L199" i="31"/>
  <c r="K199" i="31"/>
  <c r="J199" i="31"/>
  <c r="I199" i="31"/>
  <c r="H199" i="31"/>
  <c r="G199" i="31"/>
  <c r="E199" i="31"/>
  <c r="R198" i="31"/>
  <c r="Q198" i="31"/>
  <c r="P198" i="31"/>
  <c r="O198" i="31"/>
  <c r="N198" i="31"/>
  <c r="M198" i="31"/>
  <c r="L198" i="31"/>
  <c r="K198" i="31"/>
  <c r="J198" i="31"/>
  <c r="I198" i="31"/>
  <c r="H198" i="31"/>
  <c r="G198" i="31"/>
  <c r="E198" i="31"/>
  <c r="R197" i="31"/>
  <c r="Q197" i="31"/>
  <c r="P197" i="31"/>
  <c r="O197" i="31"/>
  <c r="N197" i="31"/>
  <c r="M197" i="31"/>
  <c r="L197" i="31"/>
  <c r="K197" i="31"/>
  <c r="J197" i="31"/>
  <c r="I197" i="31"/>
  <c r="H197" i="31"/>
  <c r="G197" i="31"/>
  <c r="E197" i="31"/>
  <c r="R196" i="31"/>
  <c r="Q196" i="31"/>
  <c r="P196" i="31"/>
  <c r="O196" i="31"/>
  <c r="N196" i="31"/>
  <c r="M196" i="31"/>
  <c r="L196" i="31"/>
  <c r="K196" i="31"/>
  <c r="J196" i="31"/>
  <c r="I196" i="31"/>
  <c r="H196" i="31"/>
  <c r="G196" i="31"/>
  <c r="E196" i="31"/>
  <c r="P195" i="31"/>
  <c r="M195" i="31"/>
  <c r="E195" i="31"/>
  <c r="R194" i="31"/>
  <c r="Q194" i="31"/>
  <c r="P194" i="31"/>
  <c r="O194" i="31"/>
  <c r="N194" i="31"/>
  <c r="M194" i="31"/>
  <c r="L194" i="31"/>
  <c r="K194" i="31"/>
  <c r="J194" i="31"/>
  <c r="I194" i="31"/>
  <c r="H194" i="31"/>
  <c r="G194" i="31"/>
  <c r="E194" i="31"/>
  <c r="F193" i="31"/>
  <c r="F192" i="31"/>
  <c r="F191" i="31"/>
  <c r="F190" i="31"/>
  <c r="F189" i="31"/>
  <c r="F188" i="31"/>
  <c r="F187" i="31"/>
  <c r="F186" i="31"/>
  <c r="F185" i="31"/>
  <c r="F184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7" i="31"/>
  <c r="F156" i="31"/>
  <c r="F155" i="31"/>
  <c r="F154" i="31"/>
  <c r="F153" i="31"/>
  <c r="F152" i="31"/>
  <c r="F151" i="31"/>
  <c r="R150" i="31"/>
  <c r="R201" i="31" s="1"/>
  <c r="Q150" i="31"/>
  <c r="Q201" i="31" s="1"/>
  <c r="P150" i="31"/>
  <c r="P201" i="31" s="1"/>
  <c r="O150" i="31"/>
  <c r="O201" i="31" s="1"/>
  <c r="N150" i="31"/>
  <c r="N201" i="31" s="1"/>
  <c r="L150" i="31"/>
  <c r="L201" i="31" s="1"/>
  <c r="K150" i="31"/>
  <c r="K201" i="31" s="1"/>
  <c r="J150" i="31"/>
  <c r="J201" i="31" s="1"/>
  <c r="I150" i="31"/>
  <c r="H150" i="31"/>
  <c r="H201" i="31" s="1"/>
  <c r="G150" i="31"/>
  <c r="G201" i="31" s="1"/>
  <c r="F149" i="31"/>
  <c r="F148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L195" i="31" l="1"/>
  <c r="K195" i="31"/>
  <c r="F150" i="31"/>
  <c r="F202" i="31"/>
  <c r="F199" i="31"/>
  <c r="F198" i="31"/>
  <c r="F203" i="31"/>
  <c r="F204" i="31"/>
  <c r="F197" i="31"/>
  <c r="F200" i="31"/>
  <c r="G195" i="31"/>
  <c r="F205" i="31"/>
  <c r="H195" i="31"/>
  <c r="O195" i="31"/>
  <c r="F196" i="31"/>
  <c r="F194" i="31"/>
  <c r="I195" i="31"/>
  <c r="Q195" i="31"/>
  <c r="I201" i="31"/>
  <c r="F201" i="31" s="1"/>
  <c r="J195" i="31"/>
  <c r="N195" i="31"/>
  <c r="R195" i="31"/>
  <c r="R85" i="6"/>
  <c r="Q85" i="6"/>
  <c r="P85" i="6"/>
  <c r="O85" i="6"/>
  <c r="N85" i="6"/>
  <c r="L85" i="6"/>
  <c r="K85" i="6"/>
  <c r="R84" i="6"/>
  <c r="Q84" i="6"/>
  <c r="P84" i="6"/>
  <c r="O84" i="6"/>
  <c r="N84" i="6"/>
  <c r="L84" i="6"/>
  <c r="K84" i="6"/>
  <c r="R83" i="6"/>
  <c r="Q83" i="6"/>
  <c r="P83" i="6"/>
  <c r="O83" i="6"/>
  <c r="N83" i="6"/>
  <c r="M83" i="6"/>
  <c r="L83" i="6"/>
  <c r="K83" i="6"/>
  <c r="J83" i="6"/>
  <c r="I83" i="6"/>
  <c r="H83" i="6"/>
  <c r="G83" i="6"/>
  <c r="E83" i="6"/>
  <c r="R82" i="6"/>
  <c r="Q82" i="6"/>
  <c r="P82" i="6"/>
  <c r="O82" i="6"/>
  <c r="N82" i="6"/>
  <c r="M82" i="6"/>
  <c r="L82" i="6"/>
  <c r="K82" i="6"/>
  <c r="J82" i="6"/>
  <c r="R81" i="6"/>
  <c r="Q81" i="6"/>
  <c r="P81" i="6"/>
  <c r="O81" i="6"/>
  <c r="N81" i="6"/>
  <c r="M81" i="6"/>
  <c r="L81" i="6"/>
  <c r="K81" i="6"/>
  <c r="J81" i="6"/>
  <c r="R80" i="6"/>
  <c r="Q80" i="6"/>
  <c r="P80" i="6"/>
  <c r="O80" i="6"/>
  <c r="N80" i="6"/>
  <c r="M80" i="6"/>
  <c r="L80" i="6"/>
  <c r="K80" i="6"/>
  <c r="J80" i="6"/>
  <c r="I80" i="6"/>
  <c r="H80" i="6"/>
  <c r="G80" i="6"/>
  <c r="E80" i="6"/>
  <c r="R70" i="6"/>
  <c r="Q70" i="6"/>
  <c r="P70" i="6"/>
  <c r="O70" i="6"/>
  <c r="N70" i="6"/>
  <c r="M70" i="6"/>
  <c r="L70" i="6"/>
  <c r="K70" i="6"/>
  <c r="J70" i="6"/>
  <c r="I70" i="6"/>
  <c r="R69" i="6"/>
  <c r="Q69" i="6"/>
  <c r="P69" i="6"/>
  <c r="O69" i="6"/>
  <c r="N69" i="6"/>
  <c r="M69" i="6"/>
  <c r="L69" i="6"/>
  <c r="K69" i="6"/>
  <c r="J69" i="6"/>
  <c r="I69" i="6"/>
  <c r="R68" i="6"/>
  <c r="Q68" i="6"/>
  <c r="P68" i="6"/>
  <c r="O68" i="6"/>
  <c r="N68" i="6"/>
  <c r="M68" i="6"/>
  <c r="L68" i="6"/>
  <c r="K68" i="6"/>
  <c r="J68" i="6"/>
  <c r="I68" i="6"/>
  <c r="H68" i="6"/>
  <c r="G68" i="6"/>
  <c r="E68" i="6"/>
  <c r="H67" i="6"/>
  <c r="H70" i="6" s="1"/>
  <c r="G67" i="6"/>
  <c r="G70" i="6" s="1"/>
  <c r="E67" i="6"/>
  <c r="E70" i="6" s="1"/>
  <c r="H66" i="6"/>
  <c r="H69" i="6" s="1"/>
  <c r="G66" i="6"/>
  <c r="G69" i="6" s="1"/>
  <c r="E66" i="6"/>
  <c r="E69" i="6" s="1"/>
  <c r="F65" i="6"/>
  <c r="F68" i="6" s="1"/>
  <c r="R63" i="6"/>
  <c r="Q63" i="6"/>
  <c r="P63" i="6"/>
  <c r="O63" i="6"/>
  <c r="N63" i="6"/>
  <c r="M63" i="6"/>
  <c r="L63" i="6"/>
  <c r="K63" i="6"/>
  <c r="J63" i="6"/>
  <c r="I63" i="6"/>
  <c r="R62" i="6"/>
  <c r="Q62" i="6"/>
  <c r="P62" i="6"/>
  <c r="O62" i="6"/>
  <c r="N62" i="6"/>
  <c r="M62" i="6"/>
  <c r="L62" i="6"/>
  <c r="K62" i="6"/>
  <c r="J62" i="6"/>
  <c r="I62" i="6"/>
  <c r="R61" i="6"/>
  <c r="Q61" i="6"/>
  <c r="P61" i="6"/>
  <c r="O61" i="6"/>
  <c r="N61" i="6"/>
  <c r="M61" i="6"/>
  <c r="L61" i="6"/>
  <c r="K61" i="6"/>
  <c r="J61" i="6"/>
  <c r="I61" i="6"/>
  <c r="H61" i="6"/>
  <c r="G61" i="6"/>
  <c r="E61" i="6"/>
  <c r="F60" i="6"/>
  <c r="F59" i="6"/>
  <c r="F58" i="6"/>
  <c r="H57" i="6"/>
  <c r="H63" i="6" s="1"/>
  <c r="G57" i="6"/>
  <c r="E57" i="6"/>
  <c r="E63" i="6" s="1"/>
  <c r="H56" i="6"/>
  <c r="H62" i="6" s="1"/>
  <c r="G56" i="6"/>
  <c r="F56" i="6" s="1"/>
  <c r="F62" i="6" s="1"/>
  <c r="E56" i="6"/>
  <c r="E62" i="6" s="1"/>
  <c r="F55" i="6"/>
  <c r="F61" i="6" s="1"/>
  <c r="R53" i="6"/>
  <c r="Q53" i="6"/>
  <c r="P53" i="6"/>
  <c r="O53" i="6"/>
  <c r="N53" i="6"/>
  <c r="L53" i="6"/>
  <c r="K53" i="6"/>
  <c r="I53" i="6"/>
  <c r="H53" i="6"/>
  <c r="G53" i="6"/>
  <c r="R52" i="6"/>
  <c r="Q52" i="6"/>
  <c r="P52" i="6"/>
  <c r="O52" i="6"/>
  <c r="N52" i="6"/>
  <c r="L52" i="6"/>
  <c r="K52" i="6"/>
  <c r="I52" i="6"/>
  <c r="I72" i="6" s="1"/>
  <c r="H52" i="6"/>
  <c r="G52" i="6"/>
  <c r="R51" i="6"/>
  <c r="Q51" i="6"/>
  <c r="P51" i="6"/>
  <c r="P71" i="6" s="1"/>
  <c r="O51" i="6"/>
  <c r="O71" i="6" s="1"/>
  <c r="N51" i="6"/>
  <c r="M51" i="6"/>
  <c r="L51" i="6"/>
  <c r="L71" i="6" s="1"/>
  <c r="K51" i="6"/>
  <c r="K71" i="6" s="1"/>
  <c r="J51" i="6"/>
  <c r="I51" i="6"/>
  <c r="H51" i="6"/>
  <c r="H71" i="6" s="1"/>
  <c r="G51" i="6"/>
  <c r="G71" i="6" s="1"/>
  <c r="E51" i="6"/>
  <c r="M50" i="6"/>
  <c r="M53" i="6" s="1"/>
  <c r="J50" i="6"/>
  <c r="J85" i="6" s="1"/>
  <c r="E50" i="6"/>
  <c r="E53" i="6" s="1"/>
  <c r="M49" i="6"/>
  <c r="J49" i="6"/>
  <c r="F49" i="6" s="1"/>
  <c r="F52" i="6" s="1"/>
  <c r="E49" i="6"/>
  <c r="E52" i="6" s="1"/>
  <c r="E72" i="6" s="1"/>
  <c r="F48" i="6"/>
  <c r="F51" i="6" s="1"/>
  <c r="R46" i="6"/>
  <c r="Q46" i="6"/>
  <c r="P46" i="6"/>
  <c r="O46" i="6"/>
  <c r="N46" i="6"/>
  <c r="L46" i="6"/>
  <c r="L76" i="6" s="1"/>
  <c r="K46" i="6"/>
  <c r="J46" i="6"/>
  <c r="R45" i="6"/>
  <c r="Q45" i="6"/>
  <c r="P45" i="6"/>
  <c r="O45" i="6"/>
  <c r="N45" i="6"/>
  <c r="L45" i="6"/>
  <c r="K45" i="6"/>
  <c r="J45" i="6"/>
  <c r="R44" i="6"/>
  <c r="R74" i="6" s="1"/>
  <c r="Q44" i="6"/>
  <c r="P44" i="6"/>
  <c r="O44" i="6"/>
  <c r="O74" i="6" s="1"/>
  <c r="N44" i="6"/>
  <c r="N74" i="6" s="1"/>
  <c r="M44" i="6"/>
  <c r="L44" i="6"/>
  <c r="K44" i="6"/>
  <c r="K74" i="6" s="1"/>
  <c r="J44" i="6"/>
  <c r="J74" i="6" s="1"/>
  <c r="I44" i="6"/>
  <c r="H44" i="6"/>
  <c r="G44" i="6"/>
  <c r="G74" i="6" s="1"/>
  <c r="E44" i="6"/>
  <c r="F43" i="6"/>
  <c r="F42" i="6"/>
  <c r="F41" i="6"/>
  <c r="I40" i="6"/>
  <c r="F40" i="6" s="1"/>
  <c r="F39" i="6"/>
  <c r="F38" i="6"/>
  <c r="H37" i="6"/>
  <c r="G37" i="6"/>
  <c r="G82" i="6" s="1"/>
  <c r="E37" i="6"/>
  <c r="E82" i="6" s="1"/>
  <c r="H36" i="6"/>
  <c r="G36" i="6"/>
  <c r="G81" i="6" s="1"/>
  <c r="E36" i="6"/>
  <c r="E81" i="6" s="1"/>
  <c r="F35" i="6"/>
  <c r="I34" i="6"/>
  <c r="F34" i="6"/>
  <c r="F33" i="6"/>
  <c r="F32" i="6"/>
  <c r="F31" i="6"/>
  <c r="F30" i="6"/>
  <c r="F29" i="6"/>
  <c r="F28" i="6"/>
  <c r="F27" i="6"/>
  <c r="F26" i="6"/>
  <c r="H25" i="6"/>
  <c r="G25" i="6"/>
  <c r="F25" i="6" s="1"/>
  <c r="H24" i="6"/>
  <c r="G24" i="6"/>
  <c r="F24" i="6" s="1"/>
  <c r="F23" i="6"/>
  <c r="F22" i="6"/>
  <c r="F21" i="6"/>
  <c r="F20" i="6"/>
  <c r="H19" i="6"/>
  <c r="F19" i="6"/>
  <c r="H18" i="6"/>
  <c r="F18" i="6" s="1"/>
  <c r="F17" i="6"/>
  <c r="I16" i="6"/>
  <c r="H16" i="6"/>
  <c r="I15" i="6"/>
  <c r="I81" i="6" s="1"/>
  <c r="H15" i="6"/>
  <c r="H81" i="6" s="1"/>
  <c r="F14" i="6"/>
  <c r="H13" i="6"/>
  <c r="F13" i="6" s="1"/>
  <c r="H12" i="6"/>
  <c r="F12" i="6" s="1"/>
  <c r="F11" i="6"/>
  <c r="H10" i="6"/>
  <c r="F10" i="6" s="1"/>
  <c r="H9" i="6"/>
  <c r="F9" i="6" s="1"/>
  <c r="F8" i="6"/>
  <c r="M7" i="6"/>
  <c r="M46" i="6" s="1"/>
  <c r="M76" i="6" s="1"/>
  <c r="I7" i="6"/>
  <c r="H7" i="6"/>
  <c r="G7" i="6"/>
  <c r="E7" i="6"/>
  <c r="E85" i="6" s="1"/>
  <c r="M6" i="6"/>
  <c r="M45" i="6" s="1"/>
  <c r="I6" i="6"/>
  <c r="I84" i="6" s="1"/>
  <c r="H6" i="6"/>
  <c r="G6" i="6"/>
  <c r="E6" i="6"/>
  <c r="F5" i="6"/>
  <c r="P73" i="6" l="1"/>
  <c r="M71" i="6"/>
  <c r="F44" i="6"/>
  <c r="F74" i="6" s="1"/>
  <c r="F37" i="6"/>
  <c r="L73" i="6"/>
  <c r="H73" i="6"/>
  <c r="E71" i="6"/>
  <c r="I73" i="6"/>
  <c r="F66" i="6"/>
  <c r="F69" i="6" s="1"/>
  <c r="F67" i="6"/>
  <c r="F70" i="6" s="1"/>
  <c r="N72" i="6"/>
  <c r="K73" i="6"/>
  <c r="I71" i="6"/>
  <c r="Q71" i="6"/>
  <c r="E84" i="6"/>
  <c r="I46" i="6"/>
  <c r="I76" i="6" s="1"/>
  <c r="H74" i="6"/>
  <c r="L74" i="6"/>
  <c r="P74" i="6"/>
  <c r="F72" i="6"/>
  <c r="H82" i="6"/>
  <c r="K75" i="6"/>
  <c r="O75" i="6"/>
  <c r="O76" i="6"/>
  <c r="M84" i="6"/>
  <c r="M73" i="6"/>
  <c r="L72" i="6"/>
  <c r="P72" i="6"/>
  <c r="F195" i="31"/>
  <c r="F83" i="6"/>
  <c r="F15" i="6"/>
  <c r="I82" i="6"/>
  <c r="I74" i="6"/>
  <c r="Q74" i="6"/>
  <c r="P75" i="6"/>
  <c r="K76" i="6"/>
  <c r="P76" i="6"/>
  <c r="E73" i="6"/>
  <c r="H72" i="6"/>
  <c r="M52" i="6"/>
  <c r="M72" i="6" s="1"/>
  <c r="Q72" i="6"/>
  <c r="O73" i="6"/>
  <c r="R72" i="6"/>
  <c r="M85" i="6"/>
  <c r="F50" i="6"/>
  <c r="F53" i="6" s="1"/>
  <c r="N76" i="6"/>
  <c r="F6" i="6"/>
  <c r="F36" i="6"/>
  <c r="Q73" i="6"/>
  <c r="E46" i="6"/>
  <c r="E76" i="6" s="1"/>
  <c r="G63" i="6"/>
  <c r="G73" i="6" s="1"/>
  <c r="F57" i="6"/>
  <c r="F63" i="6" s="1"/>
  <c r="F73" i="6" s="1"/>
  <c r="L75" i="6"/>
  <c r="G84" i="6"/>
  <c r="H84" i="6"/>
  <c r="F7" i="6"/>
  <c r="G45" i="6"/>
  <c r="E74" i="6"/>
  <c r="M74" i="6"/>
  <c r="Q76" i="6"/>
  <c r="I85" i="6"/>
  <c r="G85" i="6"/>
  <c r="H45" i="6"/>
  <c r="H75" i="6" s="1"/>
  <c r="M75" i="6"/>
  <c r="Q75" i="6"/>
  <c r="F71" i="6"/>
  <c r="J71" i="6"/>
  <c r="N71" i="6"/>
  <c r="R71" i="6"/>
  <c r="N73" i="6"/>
  <c r="R73" i="6"/>
  <c r="K72" i="6"/>
  <c r="O72" i="6"/>
  <c r="R76" i="6"/>
  <c r="H85" i="6"/>
  <c r="F80" i="6"/>
  <c r="F16" i="6"/>
  <c r="N75" i="6"/>
  <c r="R75" i="6"/>
  <c r="J84" i="6"/>
  <c r="J52" i="6"/>
  <c r="J72" i="6" s="1"/>
  <c r="J53" i="6"/>
  <c r="G62" i="6"/>
  <c r="G72" i="6" s="1"/>
  <c r="E45" i="6"/>
  <c r="E75" i="6" s="1"/>
  <c r="I45" i="6"/>
  <c r="I75" i="6" s="1"/>
  <c r="G46" i="6"/>
  <c r="H46" i="6"/>
  <c r="H76" i="6" s="1"/>
  <c r="F45" i="6" l="1"/>
  <c r="F75" i="6" s="1"/>
  <c r="F81" i="6"/>
  <c r="G76" i="6"/>
  <c r="F82" i="6"/>
  <c r="F84" i="6"/>
  <c r="G75" i="6"/>
  <c r="J73" i="6"/>
  <c r="J76" i="6"/>
  <c r="J75" i="6"/>
  <c r="F85" i="6"/>
  <c r="F46" i="6"/>
  <c r="F76" i="6" s="1"/>
  <c r="D62" i="12" l="1"/>
  <c r="D12" i="12"/>
  <c r="D70" i="12"/>
  <c r="D102" i="13"/>
  <c r="D94" i="13"/>
  <c r="D13" i="22"/>
  <c r="P70" i="24" l="1"/>
  <c r="L70" i="24"/>
  <c r="K70" i="24"/>
  <c r="I70" i="24"/>
  <c r="E70" i="24"/>
  <c r="P67" i="24"/>
  <c r="K67" i="24"/>
  <c r="Q67" i="24" s="1"/>
  <c r="P64" i="24"/>
  <c r="K64" i="24"/>
  <c r="I64" i="24"/>
  <c r="H64" i="24"/>
  <c r="E64" i="24"/>
  <c r="P58" i="24"/>
  <c r="K58" i="24"/>
  <c r="I58" i="24"/>
  <c r="E58" i="24"/>
  <c r="Q55" i="24"/>
  <c r="P55" i="24"/>
  <c r="Q52" i="24"/>
  <c r="P52" i="24"/>
  <c r="R52" i="24" s="1"/>
  <c r="Q49" i="24"/>
  <c r="P49" i="24"/>
  <c r="Q43" i="24"/>
  <c r="P43" i="24"/>
  <c r="Q40" i="24"/>
  <c r="P40" i="24"/>
  <c r="Q31" i="24"/>
  <c r="P31" i="24"/>
  <c r="Q34" i="24"/>
  <c r="P34" i="24"/>
  <c r="P28" i="24"/>
  <c r="K28" i="24"/>
  <c r="I28" i="24"/>
  <c r="G28" i="24"/>
  <c r="E28" i="24"/>
  <c r="Q25" i="24"/>
  <c r="R25" i="24" s="1"/>
  <c r="P25" i="24"/>
  <c r="P19" i="24"/>
  <c r="K19" i="24"/>
  <c r="Q19" i="24" s="1"/>
  <c r="R19" i="24" s="1"/>
  <c r="P22" i="24"/>
  <c r="K22" i="24"/>
  <c r="E22" i="24"/>
  <c r="Q22" i="24" s="1"/>
  <c r="P16" i="24"/>
  <c r="K16" i="24"/>
  <c r="G16" i="24"/>
  <c r="F16" i="24"/>
  <c r="P13" i="24"/>
  <c r="K13" i="24"/>
  <c r="I13" i="24"/>
  <c r="E13" i="24"/>
  <c r="Q10" i="24"/>
  <c r="P10" i="24"/>
  <c r="P7" i="24"/>
  <c r="K7" i="24"/>
  <c r="I7" i="24"/>
  <c r="E7" i="24"/>
  <c r="G70" i="25"/>
  <c r="F70" i="25"/>
  <c r="E70" i="25"/>
  <c r="D70" i="25"/>
  <c r="G67" i="25"/>
  <c r="E67" i="25"/>
  <c r="D67" i="25"/>
  <c r="H64" i="25"/>
  <c r="G64" i="25"/>
  <c r="F64" i="25"/>
  <c r="E64" i="25"/>
  <c r="D64" i="25"/>
  <c r="G58" i="25"/>
  <c r="F58" i="25"/>
  <c r="E58" i="25"/>
  <c r="D58" i="25"/>
  <c r="I55" i="25"/>
  <c r="I52" i="25"/>
  <c r="I49" i="25"/>
  <c r="I43" i="25"/>
  <c r="I40" i="25"/>
  <c r="F34" i="25"/>
  <c r="F31" i="25"/>
  <c r="H28" i="25"/>
  <c r="G28" i="25"/>
  <c r="F28" i="25"/>
  <c r="E28" i="25"/>
  <c r="D28" i="25"/>
  <c r="H25" i="25"/>
  <c r="F25" i="25"/>
  <c r="E25" i="25"/>
  <c r="D25" i="25"/>
  <c r="G22" i="25"/>
  <c r="F22" i="25"/>
  <c r="E22" i="25"/>
  <c r="D22" i="25"/>
  <c r="H19" i="25"/>
  <c r="G19" i="25"/>
  <c r="F19" i="25"/>
  <c r="E19" i="25"/>
  <c r="D19" i="25"/>
  <c r="H16" i="25"/>
  <c r="F16" i="25"/>
  <c r="E16" i="25"/>
  <c r="D16" i="25"/>
  <c r="G10" i="25"/>
  <c r="F10" i="25"/>
  <c r="E10" i="25"/>
  <c r="D10" i="25"/>
  <c r="I34" i="25"/>
  <c r="I31" i="25"/>
  <c r="I13" i="25"/>
  <c r="H7" i="25"/>
  <c r="G7" i="25"/>
  <c r="F7" i="25"/>
  <c r="E7" i="25"/>
  <c r="D7" i="25"/>
  <c r="D140" i="27"/>
  <c r="D136" i="27"/>
  <c r="D101" i="27"/>
  <c r="I70" i="25" l="1"/>
  <c r="I7" i="25"/>
  <c r="I10" i="25"/>
  <c r="Q28" i="24"/>
  <c r="R28" i="24" s="1"/>
  <c r="R43" i="24"/>
  <c r="I28" i="25"/>
  <c r="Q13" i="24"/>
  <c r="Q16" i="24"/>
  <c r="R16" i="24" s="1"/>
  <c r="R34" i="24"/>
  <c r="R40" i="24"/>
  <c r="R49" i="24"/>
  <c r="R55" i="24"/>
  <c r="I64" i="25"/>
  <c r="I67" i="25"/>
  <c r="R13" i="24"/>
  <c r="R67" i="24"/>
  <c r="I16" i="25"/>
  <c r="I25" i="25"/>
  <c r="I19" i="25"/>
  <c r="I22" i="25"/>
  <c r="Q7" i="24"/>
  <c r="R10" i="24"/>
  <c r="R31" i="24"/>
  <c r="Q58" i="24"/>
  <c r="R58" i="24" s="1"/>
  <c r="Q64" i="24"/>
  <c r="R64" i="24" s="1"/>
  <c r="Q70" i="24"/>
  <c r="R70" i="24" s="1"/>
  <c r="R22" i="24"/>
  <c r="R7" i="24"/>
  <c r="I58" i="25"/>
  <c r="D6" i="27" l="1"/>
  <c r="O78" i="24" l="1"/>
  <c r="N78" i="24"/>
  <c r="M78" i="24"/>
  <c r="L78" i="24"/>
  <c r="J78" i="24"/>
  <c r="H78" i="24"/>
  <c r="G78" i="24"/>
  <c r="F78" i="24"/>
  <c r="D78" i="24"/>
  <c r="P69" i="24" l="1"/>
  <c r="K69" i="24"/>
  <c r="I69" i="24"/>
  <c r="E69" i="24"/>
  <c r="Q69" i="24" s="1"/>
  <c r="P66" i="24"/>
  <c r="K66" i="24"/>
  <c r="Q66" i="24" s="1"/>
  <c r="R66" i="24" s="1"/>
  <c r="P63" i="24"/>
  <c r="K63" i="24"/>
  <c r="I63" i="24"/>
  <c r="H63" i="24"/>
  <c r="E63" i="24"/>
  <c r="P57" i="24"/>
  <c r="P78" i="24" s="1"/>
  <c r="K57" i="24"/>
  <c r="K78" i="24" s="1"/>
  <c r="I57" i="24"/>
  <c r="I78" i="24" s="1"/>
  <c r="E57" i="24"/>
  <c r="Q54" i="24"/>
  <c r="P54" i="24"/>
  <c r="Q51" i="24"/>
  <c r="P51" i="24"/>
  <c r="Q48" i="24"/>
  <c r="P48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Q42" i="24"/>
  <c r="P42" i="24"/>
  <c r="Q39" i="24"/>
  <c r="P39" i="24"/>
  <c r="O36" i="24"/>
  <c r="O60" i="24" s="1"/>
  <c r="O72" i="24" s="1"/>
  <c r="O75" i="24" s="1"/>
  <c r="N36" i="24"/>
  <c r="N60" i="24" s="1"/>
  <c r="N72" i="24" s="1"/>
  <c r="N75" i="24" s="1"/>
  <c r="M36" i="24"/>
  <c r="M60" i="24" s="1"/>
  <c r="M72" i="24" s="1"/>
  <c r="M75" i="24" s="1"/>
  <c r="L36" i="24"/>
  <c r="L60" i="24" s="1"/>
  <c r="L72" i="24" s="1"/>
  <c r="L75" i="24" s="1"/>
  <c r="K36" i="24"/>
  <c r="K60" i="24" s="1"/>
  <c r="J36" i="24"/>
  <c r="J60" i="24" s="1"/>
  <c r="J72" i="24" s="1"/>
  <c r="J75" i="24" s="1"/>
  <c r="I36" i="24"/>
  <c r="H36" i="24"/>
  <c r="H60" i="24" s="1"/>
  <c r="G36" i="24"/>
  <c r="G60" i="24" s="1"/>
  <c r="F36" i="24"/>
  <c r="F60" i="24" s="1"/>
  <c r="E36" i="24"/>
  <c r="D36" i="24"/>
  <c r="D60" i="24" s="1"/>
  <c r="Q33" i="24"/>
  <c r="P33" i="24"/>
  <c r="R33" i="24" s="1"/>
  <c r="Q30" i="24"/>
  <c r="P30" i="24"/>
  <c r="P27" i="24"/>
  <c r="K27" i="24"/>
  <c r="I27" i="24"/>
  <c r="E27" i="24"/>
  <c r="Q24" i="24"/>
  <c r="P24" i="24"/>
  <c r="P21" i="24"/>
  <c r="K21" i="24"/>
  <c r="E21" i="24"/>
  <c r="P18" i="24"/>
  <c r="K18" i="24"/>
  <c r="Q18" i="24" s="1"/>
  <c r="P15" i="24"/>
  <c r="K15" i="24"/>
  <c r="G15" i="24"/>
  <c r="F15" i="24"/>
  <c r="P12" i="24"/>
  <c r="K12" i="24"/>
  <c r="I12" i="24"/>
  <c r="E12" i="24"/>
  <c r="Q9" i="24"/>
  <c r="P9" i="24"/>
  <c r="P6" i="24"/>
  <c r="K6" i="24"/>
  <c r="I6" i="24"/>
  <c r="E6" i="24"/>
  <c r="H78" i="25"/>
  <c r="G69" i="25"/>
  <c r="F69" i="25"/>
  <c r="E69" i="25"/>
  <c r="D69" i="25"/>
  <c r="G66" i="25"/>
  <c r="E66" i="25"/>
  <c r="D66" i="25"/>
  <c r="H63" i="25"/>
  <c r="G63" i="25"/>
  <c r="F63" i="25"/>
  <c r="E63" i="25"/>
  <c r="D63" i="25"/>
  <c r="G57" i="25"/>
  <c r="G78" i="25" s="1"/>
  <c r="F57" i="25"/>
  <c r="F78" i="25" s="1"/>
  <c r="E57" i="25"/>
  <c r="E78" i="25" s="1"/>
  <c r="D57" i="25"/>
  <c r="F54" i="25"/>
  <c r="I54" i="25" s="1"/>
  <c r="F51" i="25"/>
  <c r="I51" i="25" s="1"/>
  <c r="F48" i="25"/>
  <c r="I48" i="25" s="1"/>
  <c r="H45" i="25"/>
  <c r="G45" i="25"/>
  <c r="E45" i="25"/>
  <c r="D45" i="25"/>
  <c r="F42" i="25"/>
  <c r="I42" i="25" s="1"/>
  <c r="H36" i="25"/>
  <c r="G36" i="25"/>
  <c r="E36" i="25"/>
  <c r="D36" i="25"/>
  <c r="F33" i="25"/>
  <c r="I33" i="25" s="1"/>
  <c r="F30" i="25"/>
  <c r="I30" i="25" s="1"/>
  <c r="H27" i="25"/>
  <c r="G27" i="25"/>
  <c r="F27" i="25"/>
  <c r="E27" i="25"/>
  <c r="D27" i="25"/>
  <c r="H24" i="25"/>
  <c r="F24" i="25"/>
  <c r="E24" i="25"/>
  <c r="D24" i="25"/>
  <c r="G21" i="25"/>
  <c r="F21" i="25"/>
  <c r="E21" i="25"/>
  <c r="D21" i="25"/>
  <c r="H18" i="25"/>
  <c r="G18" i="25"/>
  <c r="F18" i="25"/>
  <c r="E18" i="25"/>
  <c r="D18" i="25"/>
  <c r="H15" i="25"/>
  <c r="F15" i="25"/>
  <c r="E15" i="25"/>
  <c r="D15" i="25"/>
  <c r="H12" i="25"/>
  <c r="G12" i="25"/>
  <c r="F12" i="25"/>
  <c r="E12" i="25"/>
  <c r="D12" i="25"/>
  <c r="G9" i="25"/>
  <c r="F9" i="25"/>
  <c r="E9" i="25"/>
  <c r="D9" i="25"/>
  <c r="H6" i="25"/>
  <c r="G6" i="25"/>
  <c r="F6" i="25"/>
  <c r="E6" i="25"/>
  <c r="D6" i="25"/>
  <c r="C69" i="2"/>
  <c r="C63" i="2"/>
  <c r="C62" i="2"/>
  <c r="C28" i="2"/>
  <c r="I48" i="3"/>
  <c r="I39" i="3"/>
  <c r="I36" i="3"/>
  <c r="I33" i="3"/>
  <c r="I24" i="3"/>
  <c r="I17" i="3"/>
  <c r="I13" i="3" s="1"/>
  <c r="I8" i="3"/>
  <c r="I5" i="3"/>
  <c r="F48" i="3"/>
  <c r="F39" i="3"/>
  <c r="F36" i="3"/>
  <c r="F33" i="3"/>
  <c r="F24" i="3"/>
  <c r="F13" i="3"/>
  <c r="F5" i="3"/>
  <c r="C33" i="3"/>
  <c r="C24" i="3"/>
  <c r="C17" i="3"/>
  <c r="C14" i="3"/>
  <c r="C13" i="3" s="1"/>
  <c r="K32" i="4"/>
  <c r="K24" i="4"/>
  <c r="K21" i="4" s="1"/>
  <c r="K15" i="4"/>
  <c r="K10" i="4" s="1"/>
  <c r="H32" i="4"/>
  <c r="H24" i="4"/>
  <c r="H15" i="4"/>
  <c r="H10" i="4" s="1"/>
  <c r="E32" i="4"/>
  <c r="E17" i="4"/>
  <c r="E16" i="4"/>
  <c r="I21" i="25" l="1"/>
  <c r="I24" i="25"/>
  <c r="I27" i="25"/>
  <c r="E60" i="25"/>
  <c r="E72" i="25" s="1"/>
  <c r="E75" i="25" s="1"/>
  <c r="R39" i="24"/>
  <c r="R48" i="24"/>
  <c r="R54" i="24"/>
  <c r="R24" i="24"/>
  <c r="K27" i="4"/>
  <c r="K33" i="4" s="1"/>
  <c r="G60" i="25"/>
  <c r="G72" i="25" s="1"/>
  <c r="G75" i="25" s="1"/>
  <c r="R9" i="24"/>
  <c r="Q21" i="24"/>
  <c r="R21" i="24" s="1"/>
  <c r="Q27" i="24"/>
  <c r="P60" i="24"/>
  <c r="P72" i="24" s="1"/>
  <c r="H72" i="24"/>
  <c r="H75" i="24" s="1"/>
  <c r="R42" i="24"/>
  <c r="D60" i="25"/>
  <c r="H60" i="25"/>
  <c r="H72" i="25" s="1"/>
  <c r="H75" i="25" s="1"/>
  <c r="Q12" i="24"/>
  <c r="R12" i="24" s="1"/>
  <c r="I60" i="24"/>
  <c r="I72" i="24" s="1"/>
  <c r="I75" i="24" s="1"/>
  <c r="D72" i="24"/>
  <c r="P36" i="24"/>
  <c r="Q57" i="24"/>
  <c r="R57" i="24" s="1"/>
  <c r="E78" i="24"/>
  <c r="Q78" i="24" s="1"/>
  <c r="R78" i="24" s="1"/>
  <c r="I6" i="25"/>
  <c r="F36" i="25"/>
  <c r="I36" i="25" s="1"/>
  <c r="I57" i="25"/>
  <c r="K72" i="24"/>
  <c r="K75" i="24" s="1"/>
  <c r="Q15" i="24"/>
  <c r="R15" i="24" s="1"/>
  <c r="F72" i="24"/>
  <c r="F75" i="24" s="1"/>
  <c r="R30" i="24"/>
  <c r="Q36" i="24"/>
  <c r="Q45" i="24"/>
  <c r="P45" i="24"/>
  <c r="R45" i="24" s="1"/>
  <c r="R51" i="24"/>
  <c r="E60" i="24"/>
  <c r="E72" i="24" s="1"/>
  <c r="E75" i="24" s="1"/>
  <c r="Q63" i="24"/>
  <c r="I9" i="25"/>
  <c r="I12" i="25"/>
  <c r="I63" i="25"/>
  <c r="I69" i="25"/>
  <c r="D72" i="25"/>
  <c r="D78" i="25"/>
  <c r="I78" i="25" s="1"/>
  <c r="G72" i="24"/>
  <c r="G75" i="24" s="1"/>
  <c r="I42" i="3"/>
  <c r="I49" i="3" s="1"/>
  <c r="I15" i="25"/>
  <c r="I18" i="25"/>
  <c r="I66" i="25"/>
  <c r="Q6" i="24"/>
  <c r="R6" i="24" s="1"/>
  <c r="R69" i="24"/>
  <c r="R63" i="24"/>
  <c r="R27" i="24"/>
  <c r="R18" i="24"/>
  <c r="C151" i="27"/>
  <c r="C140" i="27"/>
  <c r="C136" i="27"/>
  <c r="C131" i="27"/>
  <c r="C128" i="27"/>
  <c r="C125" i="27"/>
  <c r="C122" i="27"/>
  <c r="C118" i="27"/>
  <c r="C114" i="27"/>
  <c r="C106" i="27"/>
  <c r="C101" i="27"/>
  <c r="C97" i="27"/>
  <c r="C92" i="27"/>
  <c r="C75" i="27"/>
  <c r="C23" i="27"/>
  <c r="C6" i="27"/>
  <c r="C4" i="27" s="1"/>
  <c r="E19" i="4" s="1"/>
  <c r="C83" i="10"/>
  <c r="C75" i="10"/>
  <c r="C72" i="10"/>
  <c r="C68" i="10"/>
  <c r="C65" i="10"/>
  <c r="C61" i="10"/>
  <c r="C58" i="10"/>
  <c r="C55" i="10"/>
  <c r="C52" i="10"/>
  <c r="C49" i="10"/>
  <c r="C43" i="10"/>
  <c r="H20" i="4" s="1"/>
  <c r="C10" i="10"/>
  <c r="C6" i="10"/>
  <c r="C17" i="11"/>
  <c r="C13" i="11"/>
  <c r="C81" i="12"/>
  <c r="C70" i="12"/>
  <c r="C73" i="12" s="1"/>
  <c r="E22" i="4" s="1"/>
  <c r="C62" i="12"/>
  <c r="C57" i="12"/>
  <c r="C50" i="12"/>
  <c r="C53" i="12" s="1"/>
  <c r="E13" i="4" s="1"/>
  <c r="C12" i="12"/>
  <c r="C6" i="12"/>
  <c r="C106" i="13"/>
  <c r="C102" i="13"/>
  <c r="C99" i="13"/>
  <c r="C94" i="13"/>
  <c r="C87" i="13"/>
  <c r="C85" i="13" s="1"/>
  <c r="C90" i="13" s="1"/>
  <c r="C72" i="13"/>
  <c r="C64" i="13"/>
  <c r="C41" i="3" s="1"/>
  <c r="C52" i="13"/>
  <c r="C42" i="13"/>
  <c r="C48" i="13" s="1"/>
  <c r="C37" i="3" s="1"/>
  <c r="C31" i="13"/>
  <c r="C12" i="13"/>
  <c r="C10" i="3" s="1"/>
  <c r="C7" i="13"/>
  <c r="C9" i="3" s="1"/>
  <c r="C27" i="14"/>
  <c r="C13" i="14"/>
  <c r="C8" i="14"/>
  <c r="K10" i="15"/>
  <c r="K13" i="15" s="1"/>
  <c r="K16" i="15" s="1"/>
  <c r="G10" i="15"/>
  <c r="G13" i="15" s="1"/>
  <c r="G16" i="15" s="1"/>
  <c r="G19" i="15" s="1"/>
  <c r="G22" i="15" s="1"/>
  <c r="S10" i="30"/>
  <c r="S14" i="30" s="1"/>
  <c r="P14" i="30"/>
  <c r="G10" i="30"/>
  <c r="G14" i="30" s="1"/>
  <c r="C10" i="30"/>
  <c r="C32" i="19"/>
  <c r="E26" i="4" s="1"/>
  <c r="C24" i="19"/>
  <c r="E25" i="4" s="1"/>
  <c r="C19" i="19"/>
  <c r="C13" i="19"/>
  <c r="C11" i="19" s="1"/>
  <c r="C7" i="19"/>
  <c r="M30" i="28"/>
  <c r="C4" i="10" l="1"/>
  <c r="E20" i="4" s="1"/>
  <c r="E24" i="4"/>
  <c r="C68" i="12"/>
  <c r="E23" i="4" s="1"/>
  <c r="C8" i="3"/>
  <c r="Q60" i="24"/>
  <c r="R60" i="24" s="1"/>
  <c r="R36" i="24"/>
  <c r="C48" i="12"/>
  <c r="E14" i="4" s="1"/>
  <c r="C47" i="10"/>
  <c r="C86" i="10" s="1"/>
  <c r="E18" i="4"/>
  <c r="E15" i="4" s="1"/>
  <c r="C5" i="19"/>
  <c r="C14" i="14"/>
  <c r="C20" i="14" s="1"/>
  <c r="C40" i="13"/>
  <c r="C50" i="13" s="1"/>
  <c r="C38" i="3"/>
  <c r="C36" i="3" s="1"/>
  <c r="C77" i="13"/>
  <c r="C40" i="3"/>
  <c r="C39" i="3" s="1"/>
  <c r="C92" i="13"/>
  <c r="P75" i="24"/>
  <c r="Q72" i="24"/>
  <c r="R72" i="24" s="1"/>
  <c r="D75" i="24"/>
  <c r="Q75" i="24" s="1"/>
  <c r="R75" i="24" s="1"/>
  <c r="C84" i="12"/>
  <c r="H22" i="4"/>
  <c r="H21" i="4" s="1"/>
  <c r="C95" i="27"/>
  <c r="C22" i="19"/>
  <c r="K19" i="15"/>
  <c r="K22" i="15" s="1"/>
  <c r="K25" i="15" s="1"/>
  <c r="C70" i="13"/>
  <c r="C12" i="3"/>
  <c r="C11" i="3" s="1"/>
  <c r="C74" i="27"/>
  <c r="H19" i="4" s="1"/>
  <c r="D75" i="25"/>
  <c r="E21" i="4" l="1"/>
  <c r="E10" i="4"/>
  <c r="C79" i="13"/>
  <c r="C81" i="13" s="1"/>
  <c r="C75" i="12"/>
  <c r="C77" i="12" s="1"/>
  <c r="C55" i="12"/>
  <c r="C155" i="27"/>
  <c r="C109" i="13"/>
  <c r="C111" i="13" s="1"/>
  <c r="F10" i="3"/>
  <c r="F8" i="3" s="1"/>
  <c r="F42" i="3" s="1"/>
  <c r="F49" i="3" s="1"/>
  <c r="H27" i="4"/>
  <c r="H33" i="4" s="1"/>
  <c r="H79" i="25"/>
  <c r="H77" i="25"/>
  <c r="G77" i="25"/>
  <c r="F77" i="25"/>
  <c r="E77" i="25"/>
  <c r="D77" i="25"/>
  <c r="I68" i="25"/>
  <c r="I65" i="25"/>
  <c r="I62" i="25"/>
  <c r="G79" i="25"/>
  <c r="F79" i="25"/>
  <c r="E79" i="25"/>
  <c r="I56" i="25"/>
  <c r="I53" i="25"/>
  <c r="I50" i="25"/>
  <c r="I47" i="25"/>
  <c r="H46" i="25"/>
  <c r="G46" i="25"/>
  <c r="E46" i="25"/>
  <c r="D46" i="25"/>
  <c r="H44" i="25"/>
  <c r="G44" i="25"/>
  <c r="F44" i="25"/>
  <c r="E44" i="25"/>
  <c r="D44" i="25"/>
  <c r="I41" i="25"/>
  <c r="F46" i="25"/>
  <c r="F39" i="25"/>
  <c r="F45" i="25" s="1"/>
  <c r="I38" i="25"/>
  <c r="H37" i="25"/>
  <c r="H61" i="25" s="1"/>
  <c r="G37" i="25"/>
  <c r="E37" i="25"/>
  <c r="D37" i="25"/>
  <c r="H35" i="25"/>
  <c r="H59" i="25" s="1"/>
  <c r="H71" i="25" s="1"/>
  <c r="H74" i="25" s="1"/>
  <c r="G35" i="25"/>
  <c r="F35" i="25"/>
  <c r="F59" i="25" s="1"/>
  <c r="E35" i="25"/>
  <c r="E59" i="25" s="1"/>
  <c r="E71" i="25" s="1"/>
  <c r="E74" i="25" s="1"/>
  <c r="D35" i="25"/>
  <c r="D59" i="25" s="1"/>
  <c r="I32" i="25"/>
  <c r="F37" i="25"/>
  <c r="I29" i="25"/>
  <c r="I26" i="25"/>
  <c r="I23" i="25"/>
  <c r="F20" i="25"/>
  <c r="F71" i="25" s="1"/>
  <c r="F74" i="25" s="1"/>
  <c r="I17" i="25"/>
  <c r="I14" i="25"/>
  <c r="I11" i="25"/>
  <c r="I8" i="25"/>
  <c r="I5" i="25"/>
  <c r="O79" i="24"/>
  <c r="N79" i="24"/>
  <c r="M79" i="24"/>
  <c r="L79" i="24"/>
  <c r="K79" i="24"/>
  <c r="J79" i="24"/>
  <c r="H79" i="24"/>
  <c r="G79" i="24"/>
  <c r="F79" i="24"/>
  <c r="E79" i="24"/>
  <c r="D79" i="24"/>
  <c r="P77" i="24"/>
  <c r="O77" i="24"/>
  <c r="N77" i="24"/>
  <c r="M77" i="24"/>
  <c r="L77" i="24"/>
  <c r="K77" i="24"/>
  <c r="J77" i="24"/>
  <c r="H77" i="24"/>
  <c r="G77" i="24"/>
  <c r="F77" i="24"/>
  <c r="E77" i="24"/>
  <c r="D77" i="24"/>
  <c r="Q68" i="24"/>
  <c r="R68" i="24" s="1"/>
  <c r="Q65" i="24"/>
  <c r="R65" i="24" s="1"/>
  <c r="Q62" i="24"/>
  <c r="R62" i="24" s="1"/>
  <c r="P79" i="24"/>
  <c r="I79" i="24"/>
  <c r="Q56" i="24"/>
  <c r="R56" i="24" s="1"/>
  <c r="Q53" i="24"/>
  <c r="R53" i="24" s="1"/>
  <c r="Q50" i="24"/>
  <c r="R50" i="24" s="1"/>
  <c r="Q47" i="24"/>
  <c r="R47" i="24" s="1"/>
  <c r="O46" i="24"/>
  <c r="N46" i="24"/>
  <c r="M46" i="24"/>
  <c r="L46" i="24"/>
  <c r="K46" i="24"/>
  <c r="J46" i="24"/>
  <c r="I46" i="24"/>
  <c r="H46" i="24"/>
  <c r="G46" i="24"/>
  <c r="F46" i="24"/>
  <c r="E46" i="24"/>
  <c r="D46" i="24"/>
  <c r="P44" i="24"/>
  <c r="O44" i="24"/>
  <c r="N44" i="24"/>
  <c r="M44" i="24"/>
  <c r="L44" i="24"/>
  <c r="K44" i="24"/>
  <c r="J44" i="24"/>
  <c r="H44" i="24"/>
  <c r="G44" i="24"/>
  <c r="F44" i="24"/>
  <c r="E44" i="24"/>
  <c r="D44" i="24"/>
  <c r="Q41" i="24"/>
  <c r="R41" i="24" s="1"/>
  <c r="P46" i="24"/>
  <c r="Q38" i="24"/>
  <c r="R38" i="24" s="1"/>
  <c r="O37" i="24"/>
  <c r="N37" i="24"/>
  <c r="M37" i="24"/>
  <c r="M61" i="24" s="1"/>
  <c r="M73" i="24" s="1"/>
  <c r="L37" i="24"/>
  <c r="K37" i="24"/>
  <c r="J37" i="24"/>
  <c r="I37" i="24"/>
  <c r="I61" i="24" s="1"/>
  <c r="H37" i="24"/>
  <c r="G37" i="24"/>
  <c r="F37" i="24"/>
  <c r="E37" i="24"/>
  <c r="E61" i="24" s="1"/>
  <c r="D37" i="24"/>
  <c r="P35" i="24"/>
  <c r="O35" i="24"/>
  <c r="O59" i="24" s="1"/>
  <c r="O71" i="24" s="1"/>
  <c r="O74" i="24" s="1"/>
  <c r="N35" i="24"/>
  <c r="N59" i="24" s="1"/>
  <c r="N71" i="24" s="1"/>
  <c r="N74" i="24" s="1"/>
  <c r="M35" i="24"/>
  <c r="L35" i="24"/>
  <c r="K35" i="24"/>
  <c r="K59" i="24" s="1"/>
  <c r="K71" i="24" s="1"/>
  <c r="K74" i="24" s="1"/>
  <c r="J35" i="24"/>
  <c r="J59" i="24" s="1"/>
  <c r="J71" i="24" s="1"/>
  <c r="J74" i="24" s="1"/>
  <c r="H35" i="24"/>
  <c r="G35" i="24"/>
  <c r="F35" i="24"/>
  <c r="F59" i="24" s="1"/>
  <c r="F71" i="24" s="1"/>
  <c r="F74" i="24" s="1"/>
  <c r="E35" i="24"/>
  <c r="E59" i="24" s="1"/>
  <c r="E71" i="24" s="1"/>
  <c r="E74" i="24" s="1"/>
  <c r="D35" i="24"/>
  <c r="Q32" i="24"/>
  <c r="R32" i="24" s="1"/>
  <c r="P37" i="24"/>
  <c r="Q29" i="24"/>
  <c r="R29" i="24" s="1"/>
  <c r="Q26" i="24"/>
  <c r="R26" i="24" s="1"/>
  <c r="Q23" i="24"/>
  <c r="R23" i="24" s="1"/>
  <c r="Q20" i="24"/>
  <c r="R20" i="24" s="1"/>
  <c r="Q17" i="24"/>
  <c r="R17" i="24" s="1"/>
  <c r="Q14" i="24"/>
  <c r="R14" i="24" s="1"/>
  <c r="Q11" i="24"/>
  <c r="R11" i="24" s="1"/>
  <c r="Q8" i="24"/>
  <c r="R8" i="24" s="1"/>
  <c r="Q5" i="24"/>
  <c r="R5" i="24" s="1"/>
  <c r="G59" i="24" l="1"/>
  <c r="G71" i="24" s="1"/>
  <c r="G74" i="24" s="1"/>
  <c r="L59" i="24"/>
  <c r="L71" i="24" s="1"/>
  <c r="L74" i="24" s="1"/>
  <c r="P59" i="24"/>
  <c r="P71" i="24" s="1"/>
  <c r="P74" i="24" s="1"/>
  <c r="D59" i="24"/>
  <c r="Q59" i="24" s="1"/>
  <c r="R59" i="24" s="1"/>
  <c r="H59" i="24"/>
  <c r="H71" i="24" s="1"/>
  <c r="H74" i="24" s="1"/>
  <c r="M59" i="24"/>
  <c r="M71" i="24" s="1"/>
  <c r="M74" i="24" s="1"/>
  <c r="D61" i="24"/>
  <c r="H61" i="24"/>
  <c r="H73" i="24" s="1"/>
  <c r="H76" i="24" s="1"/>
  <c r="L61" i="24"/>
  <c r="L73" i="24" s="1"/>
  <c r="L76" i="24" s="1"/>
  <c r="I77" i="25"/>
  <c r="D61" i="25"/>
  <c r="D73" i="25" s="1"/>
  <c r="I44" i="25"/>
  <c r="Q44" i="24"/>
  <c r="Q77" i="24"/>
  <c r="R77" i="24" s="1"/>
  <c r="G59" i="25"/>
  <c r="G71" i="25" s="1"/>
  <c r="G74" i="25" s="1"/>
  <c r="M76" i="24"/>
  <c r="I20" i="25"/>
  <c r="I45" i="25"/>
  <c r="F60" i="25"/>
  <c r="G61" i="25"/>
  <c r="G73" i="25" s="1"/>
  <c r="G76" i="25" s="1"/>
  <c r="Q46" i="24"/>
  <c r="R46" i="24" s="1"/>
  <c r="F61" i="24"/>
  <c r="F73" i="24" s="1"/>
  <c r="F76" i="24" s="1"/>
  <c r="J61" i="24"/>
  <c r="J73" i="24" s="1"/>
  <c r="J76" i="24" s="1"/>
  <c r="N61" i="24"/>
  <c r="N73" i="24" s="1"/>
  <c r="N76" i="24" s="1"/>
  <c r="G61" i="24"/>
  <c r="G73" i="24" s="1"/>
  <c r="G76" i="24" s="1"/>
  <c r="K61" i="24"/>
  <c r="K73" i="24" s="1"/>
  <c r="K76" i="24" s="1"/>
  <c r="O61" i="24"/>
  <c r="O73" i="24" s="1"/>
  <c r="O76" i="24" s="1"/>
  <c r="F61" i="25"/>
  <c r="F73" i="25" s="1"/>
  <c r="F76" i="25" s="1"/>
  <c r="E61" i="25"/>
  <c r="E73" i="25" s="1"/>
  <c r="E76" i="25" s="1"/>
  <c r="D71" i="25"/>
  <c r="H73" i="25"/>
  <c r="H76" i="25" s="1"/>
  <c r="I46" i="25"/>
  <c r="D79" i="25"/>
  <c r="I79" i="25" s="1"/>
  <c r="I35" i="25"/>
  <c r="I37" i="25"/>
  <c r="I39" i="25"/>
  <c r="Q35" i="24"/>
  <c r="R35" i="24" s="1"/>
  <c r="I73" i="24"/>
  <c r="I76" i="24" s="1"/>
  <c r="E73" i="24"/>
  <c r="E76" i="24" s="1"/>
  <c r="P61" i="24"/>
  <c r="R44" i="24"/>
  <c r="Q79" i="24"/>
  <c r="R79" i="24" s="1"/>
  <c r="Q37" i="24"/>
  <c r="R37" i="24" s="1"/>
  <c r="D73" i="24"/>
  <c r="D71" i="24" l="1"/>
  <c r="I59" i="25"/>
  <c r="P73" i="24"/>
  <c r="P76" i="24" s="1"/>
  <c r="F72" i="25"/>
  <c r="I60" i="25"/>
  <c r="Q61" i="24"/>
  <c r="R61" i="24" s="1"/>
  <c r="I61" i="25"/>
  <c r="I71" i="25"/>
  <c r="D74" i="25"/>
  <c r="I74" i="25" s="1"/>
  <c r="D76" i="25"/>
  <c r="I76" i="25" s="1"/>
  <c r="I73" i="25"/>
  <c r="Q73" i="24"/>
  <c r="D76" i="24"/>
  <c r="Q76" i="24" s="1"/>
  <c r="D74" i="24"/>
  <c r="Q74" i="24" s="1"/>
  <c r="R74" i="24" s="1"/>
  <c r="Q71" i="24"/>
  <c r="R71" i="24" s="1"/>
  <c r="R73" i="24" l="1"/>
  <c r="F75" i="25"/>
  <c r="I75" i="25" s="1"/>
  <c r="I72" i="25"/>
  <c r="R76" i="24"/>
  <c r="D83" i="10" l="1"/>
  <c r="B83" i="10"/>
  <c r="D75" i="10"/>
  <c r="B75" i="10"/>
  <c r="D72" i="10"/>
  <c r="B72" i="10"/>
  <c r="D68" i="10"/>
  <c r="B68" i="10"/>
  <c r="D65" i="10"/>
  <c r="B65" i="10"/>
  <c r="D61" i="10"/>
  <c r="B61" i="10"/>
  <c r="D58" i="10"/>
  <c r="B58" i="10"/>
  <c r="D55" i="10"/>
  <c r="B55" i="10"/>
  <c r="D52" i="10"/>
  <c r="B52" i="10"/>
  <c r="D49" i="10"/>
  <c r="B49" i="10"/>
  <c r="B95" i="27"/>
  <c r="D151" i="27"/>
  <c r="D131" i="27"/>
  <c r="D128" i="27"/>
  <c r="D125" i="27"/>
  <c r="D122" i="27"/>
  <c r="D118" i="27"/>
  <c r="D114" i="27"/>
  <c r="D106" i="27"/>
  <c r="D97" i="27"/>
  <c r="D95" i="27" l="1"/>
  <c r="B94" i="13" l="1"/>
  <c r="D12" i="13"/>
  <c r="V12" i="30"/>
  <c r="V13" i="30"/>
  <c r="V11" i="30"/>
  <c r="W9" i="30"/>
  <c r="V9" i="30"/>
  <c r="U9" i="30"/>
  <c r="V8" i="30"/>
  <c r="W8" i="30"/>
  <c r="U8" i="30"/>
  <c r="E9" i="28" l="1"/>
  <c r="H9" i="28" s="1"/>
  <c r="E8" i="28"/>
  <c r="H8" i="28" s="1"/>
  <c r="E7" i="28"/>
  <c r="H7" i="28" s="1"/>
  <c r="E5" i="28"/>
  <c r="E6" i="28"/>
  <c r="H6" i="28" s="1"/>
  <c r="F13" i="28"/>
  <c r="E13" i="28" s="1"/>
  <c r="H13" i="28" s="1"/>
  <c r="E14" i="28"/>
  <c r="H14" i="28"/>
  <c r="E15" i="28"/>
  <c r="H15" i="28" s="1"/>
  <c r="E16" i="28"/>
  <c r="H16" i="28" s="1"/>
  <c r="E17" i="28"/>
  <c r="H17" i="28" s="1"/>
  <c r="E18" i="28"/>
  <c r="H18" i="28" s="1"/>
  <c r="E19" i="28"/>
  <c r="H19" i="28" s="1"/>
  <c r="E20" i="28"/>
  <c r="H20" i="28" s="1"/>
  <c r="E22" i="28"/>
  <c r="H22" i="28" s="1"/>
  <c r="E23" i="28"/>
  <c r="H23" i="28" s="1"/>
  <c r="E24" i="28"/>
  <c r="H24" i="28" s="1"/>
  <c r="E25" i="28"/>
  <c r="H25" i="28" s="1"/>
  <c r="E30" i="28" l="1"/>
  <c r="H5" i="28"/>
  <c r="D13" i="14" l="1"/>
  <c r="D8" i="14"/>
  <c r="H10" i="15"/>
  <c r="H13" i="15" s="1"/>
  <c r="H16" i="15" s="1"/>
  <c r="H19" i="15" s="1"/>
  <c r="H22" i="15" s="1"/>
  <c r="Z7" i="21" l="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Y6" i="21"/>
  <c r="Z6" i="21"/>
  <c r="X6" i="21"/>
  <c r="S26" i="21"/>
  <c r="T26" i="21"/>
  <c r="R26" i="21"/>
  <c r="D26" i="21" l="1"/>
  <c r="N35" i="30"/>
  <c r="D63" i="2" l="1"/>
  <c r="D62" i="2" s="1"/>
  <c r="D28" i="2"/>
  <c r="J48" i="3"/>
  <c r="J39" i="3"/>
  <c r="J36" i="3"/>
  <c r="J33" i="3"/>
  <c r="J24" i="3"/>
  <c r="J17" i="3"/>
  <c r="J13" i="3" s="1"/>
  <c r="J8" i="3"/>
  <c r="J5" i="3"/>
  <c r="G48" i="3"/>
  <c r="G39" i="3"/>
  <c r="G36" i="3"/>
  <c r="G33" i="3"/>
  <c r="G24" i="3"/>
  <c r="G13" i="3"/>
  <c r="G5" i="3"/>
  <c r="D33" i="3"/>
  <c r="M33" i="3" s="1"/>
  <c r="D24" i="3"/>
  <c r="D17" i="3"/>
  <c r="D14" i="3"/>
  <c r="M14" i="3" s="1"/>
  <c r="D15" i="1" s="1"/>
  <c r="D5" i="3"/>
  <c r="M47" i="3"/>
  <c r="D51" i="1" s="1"/>
  <c r="D57" i="1" s="1"/>
  <c r="M46" i="3"/>
  <c r="D50" i="1" s="1"/>
  <c r="M45" i="3"/>
  <c r="D40" i="2" s="1"/>
  <c r="M44" i="3"/>
  <c r="D38" i="2" s="1"/>
  <c r="M35" i="3"/>
  <c r="D33" i="1" s="1"/>
  <c r="M34" i="3"/>
  <c r="D32" i="1" s="1"/>
  <c r="M32" i="3"/>
  <c r="D29" i="1" s="1"/>
  <c r="M31" i="3"/>
  <c r="D25" i="2" s="1"/>
  <c r="M30" i="3"/>
  <c r="D27" i="1" s="1"/>
  <c r="M29" i="3"/>
  <c r="D26" i="1" s="1"/>
  <c r="M28" i="3"/>
  <c r="D25" i="1" s="1"/>
  <c r="M26" i="3"/>
  <c r="D23" i="1" s="1"/>
  <c r="M25" i="3"/>
  <c r="D19" i="2" s="1"/>
  <c r="M23" i="3"/>
  <c r="D19" i="1" s="1"/>
  <c r="M22" i="3"/>
  <c r="D15" i="2" s="1"/>
  <c r="M21" i="3"/>
  <c r="D14" i="2" s="1"/>
  <c r="M20" i="3"/>
  <c r="M19" i="3"/>
  <c r="M18" i="3"/>
  <c r="M16" i="3"/>
  <c r="M15" i="3"/>
  <c r="M6" i="3"/>
  <c r="D5" i="2" s="1"/>
  <c r="L32" i="4"/>
  <c r="L24" i="4"/>
  <c r="L21" i="4" s="1"/>
  <c r="L15" i="4"/>
  <c r="L10" i="4" s="1"/>
  <c r="I32" i="4"/>
  <c r="I24" i="4"/>
  <c r="I15" i="4"/>
  <c r="I10" i="4" s="1"/>
  <c r="F32" i="4"/>
  <c r="F17" i="4"/>
  <c r="O17" i="4" s="1"/>
  <c r="F16" i="4"/>
  <c r="O16" i="4" s="1"/>
  <c r="I19" i="1" s="1"/>
  <c r="O31" i="4"/>
  <c r="I51" i="1" s="1"/>
  <c r="I57" i="1" s="1"/>
  <c r="O30" i="4"/>
  <c r="I40" i="2" s="1"/>
  <c r="O29" i="4"/>
  <c r="I48" i="1" s="1"/>
  <c r="O28" i="4"/>
  <c r="I47" i="1" s="1"/>
  <c r="O12" i="4"/>
  <c r="I15" i="1" s="1"/>
  <c r="O11" i="4"/>
  <c r="I14" i="1" s="1"/>
  <c r="O8" i="4"/>
  <c r="I9" i="1" s="1"/>
  <c r="O7" i="4"/>
  <c r="I7" i="1" s="1"/>
  <c r="O6" i="4"/>
  <c r="I5" i="1" s="1"/>
  <c r="D43" i="10"/>
  <c r="I20" i="4" s="1"/>
  <c r="D6" i="10"/>
  <c r="D17" i="11"/>
  <c r="D13" i="11"/>
  <c r="D81" i="12"/>
  <c r="I22" i="4" s="1"/>
  <c r="D73" i="12"/>
  <c r="F22" i="4" s="1"/>
  <c r="D57" i="12"/>
  <c r="D50" i="12"/>
  <c r="D53" i="12" s="1"/>
  <c r="F13" i="4" s="1"/>
  <c r="O13" i="4" s="1"/>
  <c r="D6" i="12"/>
  <c r="D106" i="13"/>
  <c r="D99" i="13"/>
  <c r="D87" i="13"/>
  <c r="D85" i="13" s="1"/>
  <c r="D90" i="13" s="1"/>
  <c r="D72" i="13"/>
  <c r="D77" i="13" s="1"/>
  <c r="D64" i="13"/>
  <c r="D41" i="3" s="1"/>
  <c r="M41" i="3" s="1"/>
  <c r="D52" i="13"/>
  <c r="D12" i="3" s="1"/>
  <c r="D42" i="13"/>
  <c r="D48" i="13" s="1"/>
  <c r="D37" i="3" s="1"/>
  <c r="M37" i="3" s="1"/>
  <c r="D31" i="13"/>
  <c r="D38" i="3" s="1"/>
  <c r="M38" i="3" s="1"/>
  <c r="D37" i="1" s="1"/>
  <c r="D10" i="3"/>
  <c r="D7" i="13"/>
  <c r="D9" i="3" s="1"/>
  <c r="D40" i="14"/>
  <c r="D27" i="14"/>
  <c r="D14" i="14"/>
  <c r="D20" i="14" s="1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D43" i="3"/>
  <c r="K20" i="16"/>
  <c r="H20" i="16"/>
  <c r="D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W26" i="21"/>
  <c r="Q26" i="21"/>
  <c r="N26" i="21"/>
  <c r="K26" i="21"/>
  <c r="H26" i="21"/>
  <c r="Q35" i="30"/>
  <c r="K35" i="30"/>
  <c r="H35" i="30"/>
  <c r="D35" i="30"/>
  <c r="T10" i="30"/>
  <c r="T14" i="30" s="1"/>
  <c r="Q14" i="30"/>
  <c r="N10" i="30"/>
  <c r="N14" i="30" s="1"/>
  <c r="K10" i="30"/>
  <c r="K14" i="30" s="1"/>
  <c r="H10" i="30"/>
  <c r="H14" i="30" s="1"/>
  <c r="D10" i="30"/>
  <c r="D14" i="30" s="1"/>
  <c r="T34" i="30"/>
  <c r="T33" i="30"/>
  <c r="T32" i="30"/>
  <c r="T31" i="30"/>
  <c r="T30" i="30"/>
  <c r="T29" i="30"/>
  <c r="T28" i="30"/>
  <c r="T27" i="30"/>
  <c r="T26" i="30"/>
  <c r="T25" i="30"/>
  <c r="T24" i="30"/>
  <c r="W13" i="30"/>
  <c r="W12" i="30"/>
  <c r="W11" i="30"/>
  <c r="F26" i="4"/>
  <c r="O26" i="4" s="1"/>
  <c r="F25" i="4"/>
  <c r="D19" i="19"/>
  <c r="D13" i="19"/>
  <c r="D11" i="19" s="1"/>
  <c r="F18" i="4" s="1"/>
  <c r="O18" i="4" s="1"/>
  <c r="D7" i="19"/>
  <c r="N30" i="28"/>
  <c r="K30" i="28"/>
  <c r="O32" i="4" l="1"/>
  <c r="W14" i="30"/>
  <c r="M24" i="3"/>
  <c r="D92" i="13"/>
  <c r="D109" i="13" s="1"/>
  <c r="D111" i="13" s="1"/>
  <c r="D22" i="19"/>
  <c r="D4" i="10"/>
  <c r="F20" i="4" s="1"/>
  <c r="O20" i="4" s="1"/>
  <c r="I54" i="2" s="1"/>
  <c r="D13" i="3"/>
  <c r="M13" i="3" s="1"/>
  <c r="D54" i="2"/>
  <c r="I49" i="1"/>
  <c r="I53" i="1" s="1"/>
  <c r="Z26" i="21"/>
  <c r="D48" i="12"/>
  <c r="D55" i="12" s="1"/>
  <c r="D68" i="12"/>
  <c r="F23" i="4" s="1"/>
  <c r="D23" i="2"/>
  <c r="D49" i="1"/>
  <c r="D32" i="14"/>
  <c r="I32" i="1"/>
  <c r="I61" i="2"/>
  <c r="I7" i="2"/>
  <c r="L27" i="4"/>
  <c r="L33" i="4" s="1"/>
  <c r="I15" i="2"/>
  <c r="I68" i="2"/>
  <c r="I72" i="2" s="1"/>
  <c r="D26" i="2"/>
  <c r="D31" i="1"/>
  <c r="I38" i="2"/>
  <c r="D12" i="2"/>
  <c r="D4" i="27"/>
  <c r="D16" i="2"/>
  <c r="D22" i="1"/>
  <c r="J42" i="3"/>
  <c r="J49" i="3" s="1"/>
  <c r="D18" i="1"/>
  <c r="D69" i="2"/>
  <c r="D48" i="1"/>
  <c r="D22" i="2"/>
  <c r="D53" i="2"/>
  <c r="D28" i="1"/>
  <c r="D24" i="2"/>
  <c r="D20" i="2"/>
  <c r="D17" i="1"/>
  <c r="I14" i="2"/>
  <c r="I9" i="2"/>
  <c r="I5" i="2"/>
  <c r="I39" i="2"/>
  <c r="D42" i="2" s="1"/>
  <c r="D74" i="27"/>
  <c r="I19" i="4" s="1"/>
  <c r="D47" i="10"/>
  <c r="D19" i="11"/>
  <c r="F9" i="4" s="1"/>
  <c r="O9" i="4" s="1"/>
  <c r="I11" i="1" s="1"/>
  <c r="D84" i="12"/>
  <c r="I21" i="4"/>
  <c r="I16" i="2"/>
  <c r="I16" i="1"/>
  <c r="D40" i="3"/>
  <c r="M40" i="3" s="1"/>
  <c r="D41" i="1"/>
  <c r="D60" i="2"/>
  <c r="D70" i="13"/>
  <c r="D79" i="13" s="1"/>
  <c r="D11" i="3"/>
  <c r="M11" i="3" s="1"/>
  <c r="M12" i="3"/>
  <c r="D32" i="2"/>
  <c r="D36" i="1"/>
  <c r="D35" i="1" s="1"/>
  <c r="D33" i="2"/>
  <c r="D36" i="3"/>
  <c r="M36" i="3" s="1"/>
  <c r="D8" i="3"/>
  <c r="D40" i="13"/>
  <c r="D50" i="13" s="1"/>
  <c r="M9" i="3"/>
  <c r="M43" i="3"/>
  <c r="D48" i="3"/>
  <c r="M48" i="3" s="1"/>
  <c r="F24" i="4"/>
  <c r="O24" i="4" s="1"/>
  <c r="O25" i="4"/>
  <c r="D5" i="19"/>
  <c r="I21" i="2"/>
  <c r="I21" i="1"/>
  <c r="I20" i="2"/>
  <c r="I20" i="1"/>
  <c r="I19" i="2"/>
  <c r="M7" i="3"/>
  <c r="M17" i="3"/>
  <c r="M5" i="3"/>
  <c r="D5" i="1" s="1"/>
  <c r="M27" i="3"/>
  <c r="O22" i="4"/>
  <c r="F15" i="4"/>
  <c r="N20" i="16"/>
  <c r="T35" i="30"/>
  <c r="W10" i="30"/>
  <c r="D86" i="10" l="1"/>
  <c r="D35" i="19"/>
  <c r="D155" i="27"/>
  <c r="I27" i="4"/>
  <c r="I33" i="4" s="1"/>
  <c r="F14" i="4"/>
  <c r="O14" i="4" s="1"/>
  <c r="I17" i="2" s="1"/>
  <c r="G10" i="3"/>
  <c r="G8" i="3" s="1"/>
  <c r="G42" i="3" s="1"/>
  <c r="G49" i="3" s="1"/>
  <c r="O23" i="4"/>
  <c r="I29" i="1" s="1"/>
  <c r="F21" i="4"/>
  <c r="O21" i="4" s="1"/>
  <c r="D75" i="12"/>
  <c r="D77" i="12" s="1"/>
  <c r="I11" i="2"/>
  <c r="D52" i="2"/>
  <c r="I18" i="1"/>
  <c r="I18" i="2"/>
  <c r="I25" i="1"/>
  <c r="F19" i="4"/>
  <c r="O19" i="4" s="1"/>
  <c r="I23" i="1" s="1"/>
  <c r="I42" i="2"/>
  <c r="D24" i="1"/>
  <c r="D21" i="1" s="1"/>
  <c r="D21" i="2"/>
  <c r="D18" i="2" s="1"/>
  <c r="D16" i="1"/>
  <c r="D14" i="1" s="1"/>
  <c r="D13" i="2"/>
  <c r="D11" i="2" s="1"/>
  <c r="I28" i="1"/>
  <c r="I57" i="2"/>
  <c r="D59" i="2"/>
  <c r="D58" i="2" s="1"/>
  <c r="D40" i="1"/>
  <c r="D39" i="1" s="1"/>
  <c r="D39" i="3"/>
  <c r="M39" i="3" s="1"/>
  <c r="D81" i="13"/>
  <c r="D12" i="1"/>
  <c r="D11" i="1" s="1"/>
  <c r="D56" i="2"/>
  <c r="D31" i="2"/>
  <c r="D8" i="1"/>
  <c r="D8" i="2"/>
  <c r="D47" i="1"/>
  <c r="D53" i="1" s="1"/>
  <c r="D68" i="2"/>
  <c r="D72" i="2" s="1"/>
  <c r="I31" i="1"/>
  <c r="I30" i="1" s="1"/>
  <c r="I60" i="2"/>
  <c r="I59" i="2" s="1"/>
  <c r="O15" i="4"/>
  <c r="M19" i="16"/>
  <c r="L19" i="16"/>
  <c r="M18" i="16"/>
  <c r="L18" i="16"/>
  <c r="M17" i="16"/>
  <c r="L17" i="16"/>
  <c r="M16" i="16"/>
  <c r="L16" i="16"/>
  <c r="M15" i="16"/>
  <c r="L15" i="16"/>
  <c r="M14" i="16"/>
  <c r="L14" i="16"/>
  <c r="M13" i="16"/>
  <c r="L13" i="16"/>
  <c r="M12" i="16"/>
  <c r="L12" i="16"/>
  <c r="M11" i="16"/>
  <c r="M10" i="16"/>
  <c r="L10" i="16"/>
  <c r="M9" i="16"/>
  <c r="L9" i="16"/>
  <c r="M8" i="16"/>
  <c r="L8" i="16"/>
  <c r="M7" i="16"/>
  <c r="L7" i="16"/>
  <c r="L11" i="16"/>
  <c r="M6" i="16"/>
  <c r="L6" i="16"/>
  <c r="F10" i="4" l="1"/>
  <c r="O10" i="4" s="1"/>
  <c r="M10" i="3"/>
  <c r="D9" i="2" s="1"/>
  <c r="D7" i="2" s="1"/>
  <c r="D35" i="2" s="1"/>
  <c r="D44" i="2" s="1"/>
  <c r="I52" i="2"/>
  <c r="M8" i="3"/>
  <c r="I13" i="2"/>
  <c r="I35" i="2" s="1"/>
  <c r="I44" i="2" s="1"/>
  <c r="I17" i="1"/>
  <c r="I13" i="1" s="1"/>
  <c r="I58" i="2"/>
  <c r="I56" i="2" s="1"/>
  <c r="I27" i="1"/>
  <c r="D65" i="2"/>
  <c r="D74" i="2" s="1"/>
  <c r="D42" i="3"/>
  <c r="F27" i="4" l="1"/>
  <c r="F33" i="4" s="1"/>
  <c r="O33" i="4" s="1"/>
  <c r="D9" i="1"/>
  <c r="D7" i="1" s="1"/>
  <c r="D43" i="1" s="1"/>
  <c r="D55" i="1" s="1"/>
  <c r="D58" i="1" s="1"/>
  <c r="I65" i="2"/>
  <c r="I74" i="2" s="1"/>
  <c r="I76" i="2" s="1"/>
  <c r="I43" i="1"/>
  <c r="D76" i="2"/>
  <c r="D49" i="3"/>
  <c r="M49" i="3" s="1"/>
  <c r="M42" i="3"/>
  <c r="O27" i="4" l="1"/>
  <c r="D45" i="1"/>
  <c r="I55" i="1"/>
  <c r="I58" i="1" s="1"/>
  <c r="D17" i="4" l="1"/>
  <c r="D16" i="4"/>
  <c r="G20" i="16" l="1"/>
  <c r="J20" i="16"/>
  <c r="C20" i="16"/>
  <c r="P35" i="30"/>
  <c r="O35" i="30"/>
  <c r="M35" i="30"/>
  <c r="L35" i="30"/>
  <c r="J35" i="30"/>
  <c r="I35" i="30"/>
  <c r="G35" i="30"/>
  <c r="F35" i="30"/>
  <c r="C35" i="30"/>
  <c r="B35" i="30"/>
  <c r="S34" i="30"/>
  <c r="R34" i="30"/>
  <c r="S33" i="30"/>
  <c r="R33" i="30"/>
  <c r="S32" i="30"/>
  <c r="R32" i="30"/>
  <c r="S31" i="30"/>
  <c r="R31" i="30"/>
  <c r="S30" i="30"/>
  <c r="R30" i="30"/>
  <c r="S29" i="30"/>
  <c r="R29" i="30"/>
  <c r="S28" i="30"/>
  <c r="R28" i="30"/>
  <c r="S27" i="30"/>
  <c r="R27" i="30"/>
  <c r="S26" i="30"/>
  <c r="R26" i="30"/>
  <c r="S25" i="30"/>
  <c r="R25" i="30"/>
  <c r="S24" i="30"/>
  <c r="R24" i="30"/>
  <c r="R10" i="30"/>
  <c r="R14" i="30" s="1"/>
  <c r="M10" i="30"/>
  <c r="M14" i="30" s="1"/>
  <c r="L10" i="30"/>
  <c r="L14" i="30" s="1"/>
  <c r="J10" i="30"/>
  <c r="J14" i="30" s="1"/>
  <c r="I10" i="30"/>
  <c r="I14" i="30" s="1"/>
  <c r="F10" i="30"/>
  <c r="F14" i="30" s="1"/>
  <c r="C14" i="30"/>
  <c r="B10" i="30"/>
  <c r="B14" i="30" s="1"/>
  <c r="E46" i="3" s="1"/>
  <c r="V14" i="30" l="1"/>
  <c r="S35" i="30"/>
  <c r="M20" i="16"/>
  <c r="V10" i="30"/>
  <c r="U10" i="30"/>
  <c r="U14" i="30" s="1"/>
  <c r="R35" i="30"/>
  <c r="C7" i="3" l="1"/>
  <c r="C5" i="3" s="1"/>
  <c r="C42" i="3" s="1"/>
  <c r="B7" i="3"/>
  <c r="B6" i="3" l="1"/>
  <c r="J30" i="28" l="1"/>
  <c r="L30" i="28"/>
  <c r="I30" i="28"/>
  <c r="G30" i="28"/>
  <c r="H29" i="28"/>
  <c r="H28" i="28"/>
  <c r="H27" i="28"/>
  <c r="F30" i="28"/>
  <c r="H30" i="28" l="1"/>
  <c r="L47" i="3" l="1"/>
  <c r="C51" i="1" s="1"/>
  <c r="C57" i="1" s="1"/>
  <c r="L46" i="3"/>
  <c r="L45" i="3"/>
  <c r="L44" i="3"/>
  <c r="C38" i="2" s="1"/>
  <c r="L41" i="3"/>
  <c r="C60" i="2" s="1"/>
  <c r="L40" i="3"/>
  <c r="C59" i="2" s="1"/>
  <c r="L39" i="3"/>
  <c r="L38" i="3"/>
  <c r="L35" i="3"/>
  <c r="L34" i="3"/>
  <c r="L33" i="3"/>
  <c r="L32" i="3"/>
  <c r="L31" i="3"/>
  <c r="C25" i="2" s="1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C12" i="2" s="1"/>
  <c r="L13" i="3"/>
  <c r="L12" i="3"/>
  <c r="C56" i="2" s="1"/>
  <c r="L11" i="3"/>
  <c r="L9" i="3"/>
  <c r="C8" i="2" s="1"/>
  <c r="L7" i="3"/>
  <c r="N32" i="4"/>
  <c r="N31" i="4"/>
  <c r="N30" i="4"/>
  <c r="N29" i="4"/>
  <c r="H38" i="2" s="1"/>
  <c r="N28" i="4"/>
  <c r="N16" i="4"/>
  <c r="N12" i="4"/>
  <c r="H15" i="2" s="1"/>
  <c r="N11" i="4"/>
  <c r="N8" i="4"/>
  <c r="N7" i="4"/>
  <c r="N6" i="4"/>
  <c r="H9" i="1" l="1"/>
  <c r="H9" i="2"/>
  <c r="H47" i="1"/>
  <c r="H68" i="2"/>
  <c r="H72" i="2" s="1"/>
  <c r="C25" i="1"/>
  <c r="C22" i="2"/>
  <c r="C29" i="1"/>
  <c r="C26" i="2"/>
  <c r="C37" i="1"/>
  <c r="C33" i="2"/>
  <c r="H14" i="1"/>
  <c r="H14" i="2"/>
  <c r="C16" i="1"/>
  <c r="C13" i="2"/>
  <c r="C17" i="1"/>
  <c r="C14" i="2"/>
  <c r="C22" i="1"/>
  <c r="C19" i="2"/>
  <c r="C26" i="1"/>
  <c r="C23" i="2"/>
  <c r="C49" i="1"/>
  <c r="C40" i="2"/>
  <c r="C42" i="2" s="1"/>
  <c r="H49" i="1"/>
  <c r="H40" i="2"/>
  <c r="C18" i="1"/>
  <c r="C15" i="2"/>
  <c r="C23" i="1"/>
  <c r="C20" i="2"/>
  <c r="C27" i="1"/>
  <c r="C24" i="2"/>
  <c r="C32" i="1"/>
  <c r="C53" i="2"/>
  <c r="C58" i="2"/>
  <c r="H5" i="1"/>
  <c r="H5" i="2"/>
  <c r="H7" i="1"/>
  <c r="H7" i="2"/>
  <c r="H19" i="1"/>
  <c r="H19" i="2"/>
  <c r="H51" i="1"/>
  <c r="H57" i="1" s="1"/>
  <c r="H39" i="2"/>
  <c r="C19" i="1"/>
  <c r="C16" i="2"/>
  <c r="C24" i="1"/>
  <c r="C21" i="2"/>
  <c r="C33" i="1"/>
  <c r="C54" i="2"/>
  <c r="C50" i="1"/>
  <c r="C28" i="1"/>
  <c r="C15" i="1"/>
  <c r="C41" i="1"/>
  <c r="H15" i="1"/>
  <c r="C12" i="1"/>
  <c r="C11" i="1" s="1"/>
  <c r="C8" i="1"/>
  <c r="C48" i="1"/>
  <c r="H48" i="1"/>
  <c r="C40" i="1"/>
  <c r="C31" i="1" l="1"/>
  <c r="C14" i="1"/>
  <c r="C11" i="2"/>
  <c r="H53" i="1"/>
  <c r="C21" i="1"/>
  <c r="H42" i="2"/>
  <c r="C52" i="2"/>
  <c r="C65" i="2" s="1"/>
  <c r="C18" i="2"/>
  <c r="C39" i="1"/>
  <c r="G15" i="4" l="1"/>
  <c r="G10" i="4" s="1"/>
  <c r="G24" i="4"/>
  <c r="G32" i="4"/>
  <c r="N13" i="4" l="1"/>
  <c r="H16" i="2" s="1"/>
  <c r="N14" i="4"/>
  <c r="H17" i="2" s="1"/>
  <c r="C40" i="14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L8" i="15"/>
  <c r="L9" i="15"/>
  <c r="L11" i="15"/>
  <c r="L12" i="15"/>
  <c r="L14" i="15"/>
  <c r="L15" i="15"/>
  <c r="L17" i="15"/>
  <c r="L18" i="15"/>
  <c r="L20" i="15"/>
  <c r="L21" i="15"/>
  <c r="L23" i="15"/>
  <c r="L24" i="15"/>
  <c r="L26" i="15"/>
  <c r="L27" i="15"/>
  <c r="L7" i="15"/>
  <c r="H17" i="1" l="1"/>
  <c r="H16" i="1"/>
  <c r="L36" i="3"/>
  <c r="L37" i="3"/>
  <c r="C32" i="2" s="1"/>
  <c r="C31" i="2" s="1"/>
  <c r="C32" i="14"/>
  <c r="N20" i="4"/>
  <c r="H54" i="2" s="1"/>
  <c r="C19" i="11"/>
  <c r="C13" i="22"/>
  <c r="C43" i="3" s="1"/>
  <c r="C48" i="3" s="1"/>
  <c r="C49" i="3" s="1"/>
  <c r="V26" i="21"/>
  <c r="P26" i="21"/>
  <c r="M26" i="21"/>
  <c r="J26" i="21"/>
  <c r="G26" i="21"/>
  <c r="C26" i="21"/>
  <c r="N26" i="4"/>
  <c r="H61" i="2" s="1"/>
  <c r="N18" i="4"/>
  <c r="H21" i="2" s="1"/>
  <c r="E9" i="4" l="1"/>
  <c r="E27" i="4" s="1"/>
  <c r="E33" i="4" s="1"/>
  <c r="H21" i="1"/>
  <c r="C36" i="1"/>
  <c r="C35" i="1" s="1"/>
  <c r="L48" i="3"/>
  <c r="L43" i="3"/>
  <c r="C68" i="2" s="1"/>
  <c r="C72" i="2" s="1"/>
  <c r="C74" i="2" s="1"/>
  <c r="H32" i="1"/>
  <c r="H25" i="1"/>
  <c r="Y26" i="21"/>
  <c r="N17" i="4"/>
  <c r="N22" i="4"/>
  <c r="H57" i="2" s="1"/>
  <c r="C35" i="19"/>
  <c r="I20" i="16"/>
  <c r="H20" i="1" l="1"/>
  <c r="H20" i="2"/>
  <c r="H18" i="2" s="1"/>
  <c r="H13" i="2" s="1"/>
  <c r="N9" i="4"/>
  <c r="N19" i="4"/>
  <c r="N24" i="4"/>
  <c r="N25" i="4"/>
  <c r="H60" i="2" s="1"/>
  <c r="H59" i="2" s="1"/>
  <c r="C47" i="1"/>
  <c r="C53" i="1" s="1"/>
  <c r="N23" i="4"/>
  <c r="H58" i="2" s="1"/>
  <c r="L10" i="3"/>
  <c r="C9" i="2" s="1"/>
  <c r="C7" i="2" s="1"/>
  <c r="H18" i="1"/>
  <c r="H13" i="1" s="1"/>
  <c r="N15" i="4"/>
  <c r="H28" i="1"/>
  <c r="N21" i="4"/>
  <c r="H56" i="2" l="1"/>
  <c r="H11" i="2"/>
  <c r="H35" i="2" s="1"/>
  <c r="H44" i="2" s="1"/>
  <c r="H11" i="1"/>
  <c r="H23" i="1"/>
  <c r="H52" i="2"/>
  <c r="H29" i="1"/>
  <c r="H31" i="1"/>
  <c r="H30" i="1" s="1"/>
  <c r="C9" i="1"/>
  <c r="C7" i="1" s="1"/>
  <c r="L8" i="3"/>
  <c r="N10" i="4"/>
  <c r="H65" i="2" l="1"/>
  <c r="H74" i="2" s="1"/>
  <c r="H76" i="2" s="1"/>
  <c r="H27" i="1"/>
  <c r="H43" i="1" s="1"/>
  <c r="H55" i="1" s="1"/>
  <c r="H58" i="1" s="1"/>
  <c r="N27" i="4"/>
  <c r="L6" i="3"/>
  <c r="C5" i="2" s="1"/>
  <c r="C35" i="2" s="1"/>
  <c r="C44" i="2" s="1"/>
  <c r="C76" i="2" s="1"/>
  <c r="N33" i="4"/>
  <c r="L5" i="3" l="1"/>
  <c r="C5" i="1" s="1"/>
  <c r="C43" i="1" s="1"/>
  <c r="L42" i="3" l="1"/>
  <c r="L49" i="3"/>
  <c r="C55" i="1"/>
  <c r="C58" i="1" s="1"/>
  <c r="C45" i="1"/>
  <c r="B10" i="27" l="1"/>
  <c r="B47" i="10" l="1"/>
  <c r="F10" i="15" l="1"/>
  <c r="L10" i="15" s="1"/>
  <c r="F13" i="15" l="1"/>
  <c r="L13" i="15" l="1"/>
  <c r="F16" i="15"/>
  <c r="B19" i="19"/>
  <c r="G67" i="2"/>
  <c r="B25" i="3"/>
  <c r="L16" i="15" l="1"/>
  <c r="F19" i="15"/>
  <c r="B21" i="27"/>
  <c r="B20" i="16"/>
  <c r="B25" i="10"/>
  <c r="B13" i="19"/>
  <c r="L19" i="15" l="1"/>
  <c r="F22" i="15"/>
  <c r="B11" i="19"/>
  <c r="D18" i="4" s="1"/>
  <c r="B43" i="13"/>
  <c r="B42" i="13" s="1"/>
  <c r="L22" i="15" l="1"/>
  <c r="L25" i="15"/>
  <c r="B28" i="3"/>
  <c r="B34" i="3"/>
  <c r="B27" i="3"/>
  <c r="B26" i="3"/>
  <c r="E26" i="3"/>
  <c r="B12" i="13"/>
  <c r="B40" i="13" s="1"/>
  <c r="B75" i="27"/>
  <c r="B23" i="27"/>
  <c r="B13" i="22" l="1"/>
  <c r="B52" i="13"/>
  <c r="B70" i="13" s="1"/>
  <c r="B12" i="12"/>
  <c r="B6" i="12"/>
  <c r="B72" i="13"/>
  <c r="B62" i="12" l="1"/>
  <c r="B10" i="10"/>
  <c r="B13" i="11" l="1"/>
  <c r="B92" i="27" l="1"/>
  <c r="B74" i="27" s="1"/>
  <c r="G19" i="4" l="1"/>
  <c r="B43" i="10"/>
  <c r="G20" i="4" l="1"/>
  <c r="B14" i="3"/>
  <c r="B17" i="3"/>
  <c r="U26" i="21" l="1"/>
  <c r="B6" i="27" l="1"/>
  <c r="B4" i="27" s="1"/>
  <c r="B155" i="27" s="1"/>
  <c r="D19" i="4" l="1"/>
  <c r="B26" i="21" l="1"/>
  <c r="B37" i="2" s="1"/>
  <c r="B32" i="19" l="1"/>
  <c r="D26" i="4" s="1"/>
  <c r="B24" i="19"/>
  <c r="D25" i="4" s="1"/>
  <c r="B7" i="19"/>
  <c r="B5" i="3" l="1"/>
  <c r="B5" i="19"/>
  <c r="B22" i="19"/>
  <c r="B35" i="19" l="1"/>
  <c r="K44" i="3" l="1"/>
  <c r="J24" i="4"/>
  <c r="B43" i="3"/>
  <c r="B48" i="1" l="1"/>
  <c r="B38" i="2"/>
  <c r="F20" i="16" l="1"/>
  <c r="L20" i="16" s="1"/>
  <c r="M25" i="4" l="1"/>
  <c r="G31" i="1" s="1"/>
  <c r="G60" i="2" l="1"/>
  <c r="F26" i="21"/>
  <c r="B46" i="3"/>
  <c r="B57" i="12" l="1"/>
  <c r="B68" i="12" s="1"/>
  <c r="B50" i="12"/>
  <c r="B6" i="10" l="1"/>
  <c r="B4" i="10" l="1"/>
  <c r="B86" i="10" s="1"/>
  <c r="I26" i="21" l="1"/>
  <c r="L26" i="21"/>
  <c r="O26" i="21"/>
  <c r="B8" i="14"/>
  <c r="B13" i="14"/>
  <c r="B27" i="14"/>
  <c r="X26" i="21" l="1"/>
  <c r="B14" i="14"/>
  <c r="B20" i="14" s="1"/>
  <c r="B32" i="14" s="1"/>
  <c r="B70" i="12" l="1"/>
  <c r="H33" i="3" l="1"/>
  <c r="E33" i="3"/>
  <c r="B33" i="3"/>
  <c r="K34" i="3"/>
  <c r="B32" i="1" s="1"/>
  <c r="H8" i="3"/>
  <c r="K9" i="3"/>
  <c r="B8" i="1" s="1"/>
  <c r="B8" i="2" l="1"/>
  <c r="B53" i="2"/>
  <c r="B63" i="2" l="1"/>
  <c r="B62" i="2" l="1"/>
  <c r="B28" i="2"/>
  <c r="K7" i="3"/>
  <c r="K47" i="3"/>
  <c r="B51" i="1" s="1"/>
  <c r="B57" i="1" s="1"/>
  <c r="K46" i="3"/>
  <c r="B50" i="1" s="1"/>
  <c r="K45" i="3"/>
  <c r="B49" i="1" s="1"/>
  <c r="K43" i="3"/>
  <c r="B47" i="1" s="1"/>
  <c r="K35" i="3"/>
  <c r="B33" i="1" s="1"/>
  <c r="B31" i="1" s="1"/>
  <c r="K32" i="3"/>
  <c r="B29" i="1" s="1"/>
  <c r="K31" i="3"/>
  <c r="B28" i="1" s="1"/>
  <c r="K30" i="3"/>
  <c r="B27" i="1" s="1"/>
  <c r="K29" i="3"/>
  <c r="B26" i="1" s="1"/>
  <c r="K28" i="3"/>
  <c r="B25" i="1" s="1"/>
  <c r="K27" i="3"/>
  <c r="B24" i="1" s="1"/>
  <c r="K26" i="3"/>
  <c r="B23" i="1" s="1"/>
  <c r="K25" i="3"/>
  <c r="B22" i="1" s="1"/>
  <c r="K23" i="3"/>
  <c r="B19" i="1" s="1"/>
  <c r="K22" i="3"/>
  <c r="B18" i="1" s="1"/>
  <c r="K21" i="3"/>
  <c r="B17" i="1" s="1"/>
  <c r="K20" i="3"/>
  <c r="K19" i="3"/>
  <c r="K18" i="3"/>
  <c r="K16" i="3"/>
  <c r="K15" i="3"/>
  <c r="H48" i="3"/>
  <c r="E48" i="3"/>
  <c r="B48" i="3"/>
  <c r="H39" i="3"/>
  <c r="H36" i="3"/>
  <c r="E36" i="3"/>
  <c r="K33" i="3"/>
  <c r="H24" i="3"/>
  <c r="E24" i="3"/>
  <c r="B24" i="3"/>
  <c r="H17" i="3"/>
  <c r="E17" i="3"/>
  <c r="H14" i="3"/>
  <c r="E14" i="3"/>
  <c r="H11" i="3"/>
  <c r="E11" i="3"/>
  <c r="H5" i="3"/>
  <c r="E5" i="3"/>
  <c r="J21" i="4"/>
  <c r="J15" i="4"/>
  <c r="J10" i="4" s="1"/>
  <c r="J32" i="4"/>
  <c r="D32" i="4"/>
  <c r="M12" i="4"/>
  <c r="G15" i="1" s="1"/>
  <c r="M11" i="4"/>
  <c r="G14" i="1" s="1"/>
  <c r="M8" i="4"/>
  <c r="G9" i="1" s="1"/>
  <c r="M7" i="4"/>
  <c r="G7" i="1" s="1"/>
  <c r="M6" i="4"/>
  <c r="G5" i="1" s="1"/>
  <c r="B21" i="1" l="1"/>
  <c r="B53" i="1"/>
  <c r="B68" i="2"/>
  <c r="B13" i="3"/>
  <c r="E13" i="3"/>
  <c r="H13" i="3"/>
  <c r="H42" i="3" s="1"/>
  <c r="H49" i="3" s="1"/>
  <c r="K17" i="3"/>
  <c r="B16" i="1" s="1"/>
  <c r="G9" i="2"/>
  <c r="G7" i="2"/>
  <c r="G5" i="2"/>
  <c r="B54" i="2"/>
  <c r="B52" i="2" s="1"/>
  <c r="B24" i="2"/>
  <c r="B16" i="2"/>
  <c r="B19" i="2"/>
  <c r="B23" i="2"/>
  <c r="B20" i="2"/>
  <c r="B40" i="2"/>
  <c r="B15" i="2"/>
  <c r="B22" i="2"/>
  <c r="B26" i="2"/>
  <c r="B14" i="2"/>
  <c r="B21" i="2"/>
  <c r="B25" i="2"/>
  <c r="B70" i="2"/>
  <c r="B69" i="2" s="1"/>
  <c r="G14" i="2"/>
  <c r="G15" i="2"/>
  <c r="K24" i="3"/>
  <c r="K48" i="3"/>
  <c r="K14" i="3"/>
  <c r="B15" i="1" s="1"/>
  <c r="B17" i="11"/>
  <c r="B19" i="11" s="1"/>
  <c r="B81" i="12"/>
  <c r="B53" i="12"/>
  <c r="D13" i="4" s="1"/>
  <c r="M13" i="4" s="1"/>
  <c r="G16" i="1" s="1"/>
  <c r="B106" i="13"/>
  <c r="B102" i="13"/>
  <c r="B99" i="13"/>
  <c r="B87" i="13"/>
  <c r="B85" i="13" s="1"/>
  <c r="B90" i="13" s="1"/>
  <c r="B40" i="3"/>
  <c r="K41" i="3"/>
  <c r="B12" i="3"/>
  <c r="B48" i="13"/>
  <c r="B37" i="3" s="1"/>
  <c r="K38" i="3"/>
  <c r="B10" i="3"/>
  <c r="B40" i="14"/>
  <c r="B84" i="12" l="1"/>
  <c r="G22" i="4"/>
  <c r="G21" i="4" s="1"/>
  <c r="G27" i="4" s="1"/>
  <c r="G33" i="4" s="1"/>
  <c r="B92" i="13"/>
  <c r="B109" i="13" s="1"/>
  <c r="B14" i="1"/>
  <c r="B60" i="2"/>
  <c r="B41" i="1"/>
  <c r="B33" i="2"/>
  <c r="B37" i="1"/>
  <c r="J27" i="4"/>
  <c r="J33" i="4" s="1"/>
  <c r="D20" i="4"/>
  <c r="M20" i="4" s="1"/>
  <c r="G25" i="1" s="1"/>
  <c r="D9" i="4"/>
  <c r="M9" i="4" s="1"/>
  <c r="B13" i="2"/>
  <c r="K13" i="3"/>
  <c r="E40" i="3"/>
  <c r="E39" i="3" s="1"/>
  <c r="D23" i="4"/>
  <c r="M23" i="4" s="1"/>
  <c r="G29" i="1" s="1"/>
  <c r="B77" i="13"/>
  <c r="B39" i="3"/>
  <c r="B48" i="12"/>
  <c r="B55" i="12" s="1"/>
  <c r="G16" i="2"/>
  <c r="B50" i="13"/>
  <c r="K12" i="3"/>
  <c r="B12" i="1" s="1"/>
  <c r="B11" i="1" s="1"/>
  <c r="B11" i="3"/>
  <c r="K11" i="3" s="1"/>
  <c r="B8" i="3"/>
  <c r="K37" i="3"/>
  <c r="B36" i="1" s="1"/>
  <c r="B36" i="3"/>
  <c r="K36" i="3" s="1"/>
  <c r="B12" i="2"/>
  <c r="B18" i="2"/>
  <c r="B42" i="3" l="1"/>
  <c r="B35" i="1"/>
  <c r="G11" i="2"/>
  <c r="G11" i="1"/>
  <c r="M19" i="4"/>
  <c r="K39" i="3"/>
  <c r="K40" i="3"/>
  <c r="B11" i="2"/>
  <c r="B79" i="13"/>
  <c r="B81" i="13" s="1"/>
  <c r="D14" i="4"/>
  <c r="M14" i="4" s="1"/>
  <c r="B32" i="2"/>
  <c r="B31" i="2" s="1"/>
  <c r="G54" i="2"/>
  <c r="G58" i="2"/>
  <c r="B56" i="2"/>
  <c r="E10" i="3"/>
  <c r="B111" i="13"/>
  <c r="B59" i="2" l="1"/>
  <c r="B58" i="2" s="1"/>
  <c r="B65" i="2" s="1"/>
  <c r="B40" i="1"/>
  <c r="B39" i="1" s="1"/>
  <c r="G17" i="2"/>
  <c r="G17" i="1"/>
  <c r="G52" i="2"/>
  <c r="G23" i="1"/>
  <c r="K5" i="3"/>
  <c r="B5" i="1" s="1"/>
  <c r="K6" i="3"/>
  <c r="B5" i="2" s="1"/>
  <c r="E8" i="3"/>
  <c r="K10" i="3"/>
  <c r="B9" i="1" s="1"/>
  <c r="B7" i="1" s="1"/>
  <c r="M18" i="4"/>
  <c r="M17" i="4"/>
  <c r="G20" i="1" s="1"/>
  <c r="G21" i="1" l="1"/>
  <c r="G21" i="2"/>
  <c r="B43" i="1"/>
  <c r="B49" i="3"/>
  <c r="D24" i="4"/>
  <c r="E42" i="3"/>
  <c r="E49" i="3" s="1"/>
  <c r="K8" i="3"/>
  <c r="M16" i="4"/>
  <c r="G19" i="1" s="1"/>
  <c r="G18" i="1" s="1"/>
  <c r="G13" i="1" s="1"/>
  <c r="D15" i="4"/>
  <c r="G20" i="2"/>
  <c r="B9" i="2"/>
  <c r="B7" i="2" s="1"/>
  <c r="M28" i="4"/>
  <c r="G47" i="1" s="1"/>
  <c r="M31" i="4"/>
  <c r="M29" i="4"/>
  <c r="G48" i="1" s="1"/>
  <c r="M32" i="4"/>
  <c r="M30" i="4"/>
  <c r="G49" i="1" s="1"/>
  <c r="G39" i="2" l="1"/>
  <c r="B39" i="2" s="1"/>
  <c r="G51" i="1"/>
  <c r="G57" i="1" s="1"/>
  <c r="B55" i="1"/>
  <c r="B58" i="1" s="1"/>
  <c r="K49" i="3"/>
  <c r="M26" i="4"/>
  <c r="G32" i="1" s="1"/>
  <c r="G30" i="1" s="1"/>
  <c r="B35" i="2"/>
  <c r="D10" i="4"/>
  <c r="M15" i="4"/>
  <c r="G19" i="2"/>
  <c r="G18" i="2" s="1"/>
  <c r="G13" i="2" s="1"/>
  <c r="G35" i="2" s="1"/>
  <c r="K42" i="3"/>
  <c r="G68" i="2"/>
  <c r="G40" i="2"/>
  <c r="G38" i="2"/>
  <c r="B42" i="2" l="1"/>
  <c r="B44" i="2" s="1"/>
  <c r="B67" i="2"/>
  <c r="B72" i="2" s="1"/>
  <c r="B74" i="2" s="1"/>
  <c r="G53" i="1"/>
  <c r="G61" i="2"/>
  <c r="G59" i="2" s="1"/>
  <c r="G72" i="2"/>
  <c r="M10" i="4"/>
  <c r="M24" i="4"/>
  <c r="G42" i="2"/>
  <c r="G44" i="2" s="1"/>
  <c r="B76" i="2" l="1"/>
  <c r="B73" i="12"/>
  <c r="D22" i="4" l="1"/>
  <c r="B75" i="12"/>
  <c r="B77" i="12" s="1"/>
  <c r="M22" i="4" l="1"/>
  <c r="G28" i="1" s="1"/>
  <c r="G27" i="1" s="1"/>
  <c r="G43" i="1" s="1"/>
  <c r="D21" i="4"/>
  <c r="G55" i="1" l="1"/>
  <c r="B45" i="1"/>
  <c r="M21" i="4"/>
  <c r="D27" i="4"/>
  <c r="G57" i="2"/>
  <c r="G56" i="2" s="1"/>
  <c r="G65" i="2" s="1"/>
  <c r="G74" i="2" s="1"/>
  <c r="G76" i="2" s="1"/>
  <c r="G58" i="1" l="1"/>
  <c r="M27" i="4"/>
  <c r="D33" i="4"/>
  <c r="M33" i="4" l="1"/>
</calcChain>
</file>

<file path=xl/comments1.xml><?xml version="1.0" encoding="utf-8"?>
<comments xmlns="http://schemas.openxmlformats.org/spreadsheetml/2006/main">
  <authors>
    <author>ASP</author>
  </authors>
  <commentList>
    <comment ref="H10" authorId="0" shapeId="0">
      <text>
        <r>
          <rPr>
            <b/>
            <sz val="9"/>
            <color rgb="FF000000"/>
            <rFont val="Tahoma"/>
            <family val="2"/>
            <charset val="238"/>
          </rPr>
          <t>ASP:</t>
        </r>
        <r>
          <rPr>
            <sz val="9"/>
            <color rgb="FF000000"/>
            <rFont val="Tahoma"/>
            <family val="2"/>
            <charset val="238"/>
          </rPr>
          <t xml:space="preserve">
érthetetlen,hogy miért lesz az EBR-ben 309 178 500 Ft itt?</t>
        </r>
      </text>
    </comment>
  </commentList>
</comments>
</file>

<file path=xl/sharedStrings.xml><?xml version="1.0" encoding="utf-8"?>
<sst xmlns="http://schemas.openxmlformats.org/spreadsheetml/2006/main" count="2238" uniqueCount="1040">
  <si>
    <t>Bevételi előirányzat</t>
  </si>
  <si>
    <t>Kiadási előirányzat</t>
  </si>
  <si>
    <t>Megnevezés</t>
  </si>
  <si>
    <t>Eredeti</t>
  </si>
  <si>
    <t xml:space="preserve">Eredeti </t>
  </si>
  <si>
    <t>Állami támogatás</t>
  </si>
  <si>
    <t>Személyi juttatások</t>
  </si>
  <si>
    <t>Működési célú támogatások (államháztartáson belülről)</t>
  </si>
  <si>
    <t>Vissza nem térítendő támogatások</t>
  </si>
  <si>
    <t>Munkaadókat terhelő járulékok és szociális hozzájárulási adó</t>
  </si>
  <si>
    <t>Felhalmozási célú támogatások államháztartáson belülről</t>
  </si>
  <si>
    <t>Közhatalmi bevételek</t>
  </si>
  <si>
    <t>Dologi kiadások</t>
  </si>
  <si>
    <t>Vagyoni típusú adók</t>
  </si>
  <si>
    <t>Ellátottak pénzbeli juttatásai</t>
  </si>
  <si>
    <t>Késedelmi pótlék</t>
  </si>
  <si>
    <t>Egyéb működési kiadások</t>
  </si>
  <si>
    <t>Elvonások és befizetések</t>
  </si>
  <si>
    <t>Előző évi elszámolásból származó kiadások</t>
  </si>
  <si>
    <t>Visszatérítendő támogatások és kölcsönök</t>
  </si>
  <si>
    <t>Működési bevételek</t>
  </si>
  <si>
    <t>Egyéb működési célú támogatások (vissza nem térítendő)</t>
  </si>
  <si>
    <t>Áru és készletértékesítés (a döntést követő 3 hónap utáni föld- és ingatlan értékesítés)</t>
  </si>
  <si>
    <t>Működési tartalékok</t>
  </si>
  <si>
    <t>Szolgáltatások ellenértéke</t>
  </si>
  <si>
    <t xml:space="preserve"> - Általános tartalék</t>
  </si>
  <si>
    <t>Közvetített szolgáltatások ellenértéke</t>
  </si>
  <si>
    <t>Tulajdonosi bevételek</t>
  </si>
  <si>
    <t>Ellátási díjak</t>
  </si>
  <si>
    <t>ÁFA bevétel</t>
  </si>
  <si>
    <t>Beruházási kiadások</t>
  </si>
  <si>
    <t>Felújítási kiadások</t>
  </si>
  <si>
    <t>Felhalmozási bevételek</t>
  </si>
  <si>
    <t>Ingatlanértékesítés</t>
  </si>
  <si>
    <t>Egyéb felhalmozási kiadások</t>
  </si>
  <si>
    <t>Működési célú átvett pénzeszközök (államháztartáson kívülről)</t>
  </si>
  <si>
    <t>Egyéb felhalmozási célú támogatások (vissza nem térítendő)</t>
  </si>
  <si>
    <t>Felhalmozási tartalékok</t>
  </si>
  <si>
    <t xml:space="preserve">Vissza nem térítendő támogatások </t>
  </si>
  <si>
    <t xml:space="preserve"> - Felhalmozási tartalék</t>
  </si>
  <si>
    <t>Felhalmozási célú átvett pénzeszközök (államháztartáson kívülről)</t>
  </si>
  <si>
    <t>Hiteltörlesztés</t>
  </si>
  <si>
    <t>Előző évi költségvetési maradványának igénybevétele</t>
  </si>
  <si>
    <t>Irányítószervi támogatás folyósítás</t>
  </si>
  <si>
    <t>Irányító szervi támogatás folyósítása</t>
  </si>
  <si>
    <t>BEVÉTELEK MINDÖSSZESEN</t>
  </si>
  <si>
    <t>KIADÁSOK MINDÖSSZESEN</t>
  </si>
  <si>
    <t>FINANSZÍROZÁSI BEVÉTELEK ÖSSZESEN</t>
  </si>
  <si>
    <t>KÖLTSÉGVETÉSI BEVÉTELEK ÖSSZESEN</t>
  </si>
  <si>
    <t>KÖLTSÉGVETÉSI KIADÁSOK ÖSSZESEN</t>
  </si>
  <si>
    <t>FINANSZÍROZÁSI KIADÁSOK ÖSSZESEN</t>
  </si>
  <si>
    <t>Felhalmozási kiadásokra átcsoportosított (-)</t>
  </si>
  <si>
    <t>Áru- és készletértékesítésből</t>
  </si>
  <si>
    <t>Irányítószervi támogatás</t>
  </si>
  <si>
    <t xml:space="preserve">Irányítószervi támogatás </t>
  </si>
  <si>
    <t>Finanszírozási kiadások</t>
  </si>
  <si>
    <t>Beruházás</t>
  </si>
  <si>
    <t>Felújítás</t>
  </si>
  <si>
    <t>Felhalmozási célú átvett pénzeszközök (államháztartáson belülről)</t>
  </si>
  <si>
    <t>Egyéb felhalmozási kiadás</t>
  </si>
  <si>
    <t>Vissza nem térítendő támogatás</t>
  </si>
  <si>
    <t>Mindösszesen</t>
  </si>
  <si>
    <t>Áru- és készletértékesítés (a döntést követő 3 hónap utáni föld- és ingatlan
értékesítés)</t>
  </si>
  <si>
    <t>Működési bevételekből átcsoportosított (+)</t>
  </si>
  <si>
    <t>Hiány finanszírozása belső forrásból</t>
  </si>
  <si>
    <t>Bevételek</t>
  </si>
  <si>
    <t>Önkormányzat</t>
  </si>
  <si>
    <t>Tatai Közös Önkormányzati Hivatal</t>
  </si>
  <si>
    <t>Összesen</t>
  </si>
  <si>
    <t xml:space="preserve"> - állami támogatás működésre</t>
  </si>
  <si>
    <t xml:space="preserve"> - állami támogatás felhalmozásra</t>
  </si>
  <si>
    <t>Működési célú támogatások államháztartáson belülről</t>
  </si>
  <si>
    <t>Közhatalmi bevétel</t>
  </si>
  <si>
    <t xml:space="preserve"> - Építményadó</t>
  </si>
  <si>
    <t xml:space="preserve"> - Telekadó</t>
  </si>
  <si>
    <t>Termékek és szolgáltatások adói</t>
  </si>
  <si>
    <t xml:space="preserve"> - Iparűzési adó</t>
  </si>
  <si>
    <t xml:space="preserve"> - Gépjárműadó</t>
  </si>
  <si>
    <t xml:space="preserve"> - Idegenforgalmi adó</t>
  </si>
  <si>
    <t>Szolgáltatások ellenértéke (temető fenntartási hozzájárulás, sírhelydíj, nevezési díj)</t>
  </si>
  <si>
    <t>Tulajdonosi bevételek (használatba adásból, üzemeltetésbe adásból származó bevételek, stb.)</t>
  </si>
  <si>
    <t>Visszatérítendő támogatások és kölcsönök (igénylés és visszatérülés)</t>
  </si>
  <si>
    <t>Állami támogatás megelőlegezési hitelfelvétel</t>
  </si>
  <si>
    <t>Intézmények Gazdasági Hivatala
és a hozzá tartozó Intézményei</t>
  </si>
  <si>
    <t>Talajterhelési díj</t>
  </si>
  <si>
    <t>Kiadások</t>
  </si>
  <si>
    <t>Munkaadót terhelő járulékok és szociális hozzájárulási adó</t>
  </si>
  <si>
    <t xml:space="preserve"> - Működési tartalék </t>
  </si>
  <si>
    <t xml:space="preserve">Felhalmozási tartalékok </t>
  </si>
  <si>
    <t>MŰKÖDÉSI CÉLÚ BEVÉTELEK ÖSSZESEN</t>
  </si>
  <si>
    <t>FELHALMOZÁSI CÉLÚ BEVÉTELEK ÖSSZESEN</t>
  </si>
  <si>
    <t>FELHALMOZÁSI CÉLÚ KIADÁSOK ÖSSZESEN</t>
  </si>
  <si>
    <t>MŰKÖDÉSI CÉLÚ KIADÁSOK ÖSSZESEN</t>
  </si>
  <si>
    <t>Állami támogatás megelőlegezési hiteltörlesztés</t>
  </si>
  <si>
    <t>Irányítószervi támogatás folyósítása</t>
  </si>
  <si>
    <t>Bevétel</t>
  </si>
  <si>
    <t>Kiadás</t>
  </si>
  <si>
    <t>Működési kiadások</t>
  </si>
  <si>
    <t>Felhalmozási kiadások</t>
  </si>
  <si>
    <t>Dologi</t>
  </si>
  <si>
    <t>Államigazgatás</t>
  </si>
  <si>
    <t>Kötelező</t>
  </si>
  <si>
    <t>Köztemető fenntartás és működtetés</t>
  </si>
  <si>
    <t>Közterület rendjének fenntartása</t>
  </si>
  <si>
    <t>Erdőgazdálkodás</t>
  </si>
  <si>
    <t>Környezetszennyezés csökkentésének igazgatása</t>
  </si>
  <si>
    <t>Közvilágítás</t>
  </si>
  <si>
    <t>Szabadidős park, fürdő és strandszolgáltatás</t>
  </si>
  <si>
    <t>M.adókat
terh. jár.
és szochó</t>
  </si>
  <si>
    <t>Dologi
kiadások</t>
  </si>
  <si>
    <t>Egyéb
működési
kiadások</t>
  </si>
  <si>
    <t>Ellátottak
pénzbeli
juttatásai</t>
  </si>
  <si>
    <t>Egyéb fel-
halmozási
kiadások</t>
  </si>
  <si>
    <t>Felhalmo-
zási tarta-
lékok</t>
  </si>
  <si>
    <t>Hitel- és
kölcsön
törlesztés</t>
  </si>
  <si>
    <t>Költségvetési
szerveknek
folyósított
támogatás</t>
  </si>
  <si>
    <t>Kötelező összesen</t>
  </si>
  <si>
    <t>Államigazgatás összesen</t>
  </si>
  <si>
    <t>Tatai székhely</t>
  </si>
  <si>
    <t>Tatai székhely összesen</t>
  </si>
  <si>
    <t>Neszmélyi kirendeltség</t>
  </si>
  <si>
    <t>Dunaalmási kirendeltség</t>
  </si>
  <si>
    <t>Dunaszentmiklósi kirendeltség</t>
  </si>
  <si>
    <t>Kirendeltségek összesen</t>
  </si>
  <si>
    <t>Közös Hivatal összesen</t>
  </si>
  <si>
    <t>Költségvetési alcím megnevezése</t>
  </si>
  <si>
    <t>Feladat jellege</t>
  </si>
  <si>
    <t>ÁFA</t>
  </si>
  <si>
    <t>Kiadások összesen</t>
  </si>
  <si>
    <t>Tatai Kincseskert Óvoda Szivárvány Tagintézménye</t>
  </si>
  <si>
    <t>Tatai Geszti Óvoda</t>
  </si>
  <si>
    <t>Tatai Bartók Béla Óvoda</t>
  </si>
  <si>
    <t>Tatai Kertvárosi Óvoda</t>
  </si>
  <si>
    <t xml:space="preserve"> Tatai Kincseskert Óvoda</t>
  </si>
  <si>
    <t>Tatai Geszti Óvoda Bergengócia Tagintézménye</t>
  </si>
  <si>
    <t xml:space="preserve"> Tatai Csillagsziget Bölcsöde</t>
  </si>
  <si>
    <t>Tatai Vaszary J. Általános Iskola</t>
  </si>
  <si>
    <t>Vaszary J. Általános Iskola Jázmin utcai Tagintézménye</t>
  </si>
  <si>
    <t>Tatai Vaszary J. Általános Iskola ÖSSZESEN</t>
  </si>
  <si>
    <t>Tatai Kőkúti Általános Iskola</t>
  </si>
  <si>
    <t>Kőkúti Általános Iskola - Fazekas utcai Tagintézmény</t>
  </si>
  <si>
    <t>Tatai Kőkúti Általános Iskola ÖSSZESEN</t>
  </si>
  <si>
    <t>KEM-i Óvoda, Ált. Iskola, Speciális Szakiskola, Kollégium és Gyermekotthon</t>
  </si>
  <si>
    <t>Intézmények Gazdasági Hivatala</t>
  </si>
  <si>
    <t>Önként vállalt feladat</t>
  </si>
  <si>
    <t>ISKOLÁK és IGH ÖSSZESEN</t>
  </si>
  <si>
    <t>Tatai Kuny Domokos Múzeum</t>
  </si>
  <si>
    <t>Tata Móricz Zsigmond Városi Könyvtár</t>
  </si>
  <si>
    <t>Tatai Egészségügyi Alapellátó Intézmény</t>
  </si>
  <si>
    <t>IGH feladatkörébe tartozó kötelező feladatok</t>
  </si>
  <si>
    <t>IGH feladatkörébe tartozó önként vállalt  feladatok</t>
  </si>
  <si>
    <t>Pályázatok és azokhoz kapcsolódó feladatok</t>
  </si>
  <si>
    <t>A helyi gazdaság erőforrásaira épülő piac- és agrárlogisztikai fejlesztés Tatán TOP-1.1.3-15-KO1-2016-00003</t>
  </si>
  <si>
    <t>Intézmények Gazdasági Hivatala és a hozzá tartozó költségvetési szervek</t>
  </si>
  <si>
    <t>Tatai fiatalok életkezdési támogatása</t>
  </si>
  <si>
    <t xml:space="preserve">18. életévét betöltött tartósan beteg hozzátartozójának ápolását, gondozását végző személy részére </t>
  </si>
  <si>
    <t xml:space="preserve">Gyógyszer kiadások viseléséhez </t>
  </si>
  <si>
    <t>Lakhatáshoz kapcsolódó rendszeres kiadások viseléséhez</t>
  </si>
  <si>
    <t xml:space="preserve">Bursa Hungarica </t>
  </si>
  <si>
    <t>Rászorultságtól függő pénzbeli szociális, gyermekvédelmi ellátások összesen</t>
  </si>
  <si>
    <t>Köztemetés</t>
  </si>
  <si>
    <t>Természetben nyújtott ellátások összesen</t>
  </si>
  <si>
    <t>Önkormányzat által folyósított szociális, gyermekvédelmi ellátások összesen</t>
  </si>
  <si>
    <t>TATA VÁROS ÖNKORMÁNYZATA</t>
  </si>
  <si>
    <t>Működési célú támogatások államháztartáson belülre (vissza nem térítendő)</t>
  </si>
  <si>
    <t>Működési célú támogatások államháztartáson kívülre (vissza nem térítendő)</t>
  </si>
  <si>
    <t>Környezetvédelmi Alap</t>
  </si>
  <si>
    <t>Működési célú visszatérítendő támogatások, kölcsönök nyújtása államháztartáson kívülre</t>
  </si>
  <si>
    <t>TATAI KÖZÖS ÖNKORMÁNYZATI HIVATAL</t>
  </si>
  <si>
    <t>Felhalmozási célú visszatérítendő támogatások, kölcsönök nyújtása államháztartáson kívülre</t>
  </si>
  <si>
    <t>Működési célú visszatérítendő támogatások, kölcsönök nyújtása összesen</t>
  </si>
  <si>
    <t>MŰKÖDÉSI CÉLÚ TÁMOGATÁSOK (VISSZATÉRÍTENDŐ ÉS VISSZA NEM TÉRÍTENDŐ) ÖSSZESEN</t>
  </si>
  <si>
    <t>FELHALMOZÁSI CÉLÚ TÁMOGATÁSOK (VISSZATÉRÍTENDŐ ÉS VISSZA NEM TÉRÍTENDŐ) ÖSSZESEN</t>
  </si>
  <si>
    <t>Működési célú támogatások államháztartáson belülről (vissza nem térítendő)</t>
  </si>
  <si>
    <t>Működési célú visszatérítendő támogatások, kölcsönök visszatérülése államháztartáson kívülről</t>
  </si>
  <si>
    <t>Felhalmozási célú támogatások államháztartáson belülről (vissza nem térítendő)</t>
  </si>
  <si>
    <t>Felhalmozási célú visszatérítendő támogatások, kölcsönök visszatérülése államháztartáson kívülről</t>
  </si>
  <si>
    <t>Működési célú visszatérítendő támogatások, átvett pénzeszközök összesen</t>
  </si>
  <si>
    <t>Működési célú vissza nem térítendő támogatások összesen</t>
  </si>
  <si>
    <t>Felhalmozási célú vissza nem térítendő támogatások összesen</t>
  </si>
  <si>
    <t>Felhalmozási célú visszatérítendő támogatások összesen</t>
  </si>
  <si>
    <t>Önkormányzati költségvetési szervek engedélyezett létszáma</t>
  </si>
  <si>
    <t>Költségvetési szervek megnevezése</t>
  </si>
  <si>
    <t>Engedélyezett létszám (fő)</t>
  </si>
  <si>
    <t>Tatai Fürdő utcai Óvoda</t>
  </si>
  <si>
    <t>Tatai Geszti Óvoda - Agostyáni Tagintézménye</t>
  </si>
  <si>
    <t>Tatai Geszti Óvoda összesen</t>
  </si>
  <si>
    <t>Tatai Bartók Béla úti Óvoda</t>
  </si>
  <si>
    <t>Tatai Kincseskert Óvoda</t>
  </si>
  <si>
    <t>Tatai Kincseskert Óvoda - Szivárvány Tagintézménye</t>
  </si>
  <si>
    <t>Tatai Kincseskert Óvoda összesen</t>
  </si>
  <si>
    <t>Óvodák összesen</t>
  </si>
  <si>
    <t>Csillagsziget Bölcsőde</t>
  </si>
  <si>
    <t>Móricz Zsigmond Könyvtár</t>
  </si>
  <si>
    <t xml:space="preserve">Intézmények Gazdasági Hivatala </t>
  </si>
  <si>
    <t>Kuny Domokos Múzeum</t>
  </si>
  <si>
    <t>Hosszabb időtartamú közfoglalkoztatás</t>
  </si>
  <si>
    <t>Városi Önkormányzat Intézményei összesen</t>
  </si>
  <si>
    <t xml:space="preserve"> - Dunaszentmiklósi kirendeltség</t>
  </si>
  <si>
    <t xml:space="preserve"> - Dunaalmási kirendeltség</t>
  </si>
  <si>
    <t xml:space="preserve"> - Közös Hivatal székhely szerinti szervezeti egysége</t>
  </si>
  <si>
    <t xml:space="preserve"> - Neszmélyi kirendeltség</t>
  </si>
  <si>
    <t>Tatai Közös Önkormányzati Hivatal összesen</t>
  </si>
  <si>
    <t>Önkormányzati közfoglalkoztatottak éves létszám-előirányzata</t>
  </si>
  <si>
    <t>Átlagos létszám</t>
  </si>
  <si>
    <t>törlesztés</t>
  </si>
  <si>
    <t>kamat</t>
  </si>
  <si>
    <t>Tartozás 2020.</t>
  </si>
  <si>
    <t>Tartozás 2021.</t>
  </si>
  <si>
    <t>Tartozás 2022.</t>
  </si>
  <si>
    <t>Tartozás 2023.</t>
  </si>
  <si>
    <t>Tartozás 2024.</t>
  </si>
  <si>
    <t>2021.</t>
  </si>
  <si>
    <t>2022.</t>
  </si>
  <si>
    <t>2023.</t>
  </si>
  <si>
    <t>Tárgyi eszközök, immateriális javak, és önkormányzati vagyonértékesítésből származó bevétel (ÁFA nélküli, csak önkormányzat)</t>
  </si>
  <si>
    <t>SAJÁT BEVÉTELEK</t>
  </si>
  <si>
    <t>Saját bevételek 50 %-a</t>
  </si>
  <si>
    <t>Hosszú lejáratú hitel tőke és kamatfizetési kötelezettsége</t>
  </si>
  <si>
    <t>Tárgyévben keletkezett, illetve keletkező, tárgyévet terhelő fizetési kötelezettség</t>
  </si>
  <si>
    <t>FIZETÉSI KÖTELEZETTSÉG ÖSSZESEN</t>
  </si>
  <si>
    <t>Járulék</t>
  </si>
  <si>
    <t>a helyi önkormányzatok feladatainak állami támogatásához</t>
  </si>
  <si>
    <t>Jogcímek megnevezése</t>
  </si>
  <si>
    <t>2.mell. I.</t>
  </si>
  <si>
    <t>A HELYI ÖNKORMÁNYZATOK MŰKÖDÉSÉNEK ÁLTALÁNOS TÁMOGATÁSA</t>
  </si>
  <si>
    <t>I.1.a)</t>
  </si>
  <si>
    <t>fő</t>
  </si>
  <si>
    <t>Önkormányzati Hivatal működésének támogatása beszámítás után</t>
  </si>
  <si>
    <t>I.1.b)</t>
  </si>
  <si>
    <t>I.1.ba)</t>
  </si>
  <si>
    <t>ha</t>
  </si>
  <si>
    <t>I.1.bb)</t>
  </si>
  <si>
    <t>km</t>
  </si>
  <si>
    <t>I.1.bc)</t>
  </si>
  <si>
    <t>m2</t>
  </si>
  <si>
    <t>I.1.bd)</t>
  </si>
  <si>
    <t>Település-üzemeltetéshez kapcsolódó feladatellátás támogatása összesen</t>
  </si>
  <si>
    <t>I.1.c)</t>
  </si>
  <si>
    <t>I.1.d)</t>
  </si>
  <si>
    <t>Lakott külterülettel kapcsolatos feladatok támogatása</t>
  </si>
  <si>
    <t>I.1.e)</t>
  </si>
  <si>
    <t>I.1.</t>
  </si>
  <si>
    <t>II.1.</t>
  </si>
  <si>
    <t>Óvodapedagógusok, és az óvodapedagógusok nevelő munkáját közvetlenül segítők bértámogatása összesen</t>
  </si>
  <si>
    <t xml:space="preserve">II.2. </t>
  </si>
  <si>
    <t>Óvodaműködtetési támogatás</t>
  </si>
  <si>
    <t>Óvodaműködtetési támogatás összesen</t>
  </si>
  <si>
    <t>II.4.</t>
  </si>
  <si>
    <t>Kiegészítő támogatás az óvodapedagógusok minősítéséből adódó többletkiadásokhoz</t>
  </si>
  <si>
    <t>2.mell. II.</t>
  </si>
  <si>
    <t>III.1.</t>
  </si>
  <si>
    <t>III.3.</t>
  </si>
  <si>
    <t>III.3.a)</t>
  </si>
  <si>
    <t>III.3.b)</t>
  </si>
  <si>
    <t>fhely</t>
  </si>
  <si>
    <t>felad.egység</t>
  </si>
  <si>
    <t>Közösségi alapellátások - teljesítménytámogatás</t>
  </si>
  <si>
    <t>Ft/feladategység</t>
  </si>
  <si>
    <t>Óvodai és iskolai szoc. segítő tevékenység támogatása (család- és gyjóléti központ útján)</t>
  </si>
  <si>
    <t>III.4.</t>
  </si>
  <si>
    <t xml:space="preserve">III.5. </t>
  </si>
  <si>
    <t>Gyermekétkeztetés támogatása</t>
  </si>
  <si>
    <t>fő/év</t>
  </si>
  <si>
    <t>Gyermekétkeztetés támogatása összesen</t>
  </si>
  <si>
    <t>Felsőfőkú végzettségű kisgyermeknevelők, szaktanácsadók bértámogatása (szoc.hj.adóval)</t>
  </si>
  <si>
    <t xml:space="preserve">2.mell. III. </t>
  </si>
  <si>
    <t>A települési önkormányzatok szociális és gyermekjóléti feladatainak támogatása</t>
  </si>
  <si>
    <t>IV.</t>
  </si>
  <si>
    <t>A TELEPÜLÉSI ÖNKORMÁNYZATOK KULTURÁLIS FELADATAINAK TÁMOGATÁSA</t>
  </si>
  <si>
    <t>Kulturális illetménypótlék</t>
  </si>
  <si>
    <t>2.mell. IV.</t>
  </si>
  <si>
    <t>2.mell. V.</t>
  </si>
  <si>
    <t>Csökkentések jogcímek szerint:</t>
  </si>
  <si>
    <t>MŰKÖDÉSI TARTALÉK</t>
  </si>
  <si>
    <t>Általános tartalék</t>
  </si>
  <si>
    <t>Működési tartalék</t>
  </si>
  <si>
    <t>Működési céltartalék</t>
  </si>
  <si>
    <t>FELHALMOZÁSI TARTALÉK</t>
  </si>
  <si>
    <t>Felhalmozási tartalék</t>
  </si>
  <si>
    <t>MINDÖSSZESEN</t>
  </si>
  <si>
    <t>EU-s projekt neve</t>
  </si>
  <si>
    <t>Azonosítója</t>
  </si>
  <si>
    <t>A tatai Kőfaragó-ház kézműves és aktív öktoturisztikai látogatóközpontként való rehabilitációja és a Kálvária-domb egységes turisztikai termékcsomagként való bemutatása</t>
  </si>
  <si>
    <t>TOP-1.2.1-15-KO1-2016-00005</t>
  </si>
  <si>
    <t>Csillagsziget Bölcsőde felújítása Tatán</t>
  </si>
  <si>
    <t>TOP-1.4.1-15-KO1-2016-00020</t>
  </si>
  <si>
    <t>A helyi gazdaság erőforrásaira épülő piac- és agrárlogisztikai fejlesztés Tatán</t>
  </si>
  <si>
    <t>TOP-1.1.3-15-KO1-2016-00003</t>
  </si>
  <si>
    <t>Helyi alapanyagokra épülő minőségi közétkeztetésért - iskolai konyhák hálózatos fejlesztése Tatán</t>
  </si>
  <si>
    <t>TOP-1.1.3-15-KO1-2016-00002</t>
  </si>
  <si>
    <t>SKHU/1601/1.1/209</t>
  </si>
  <si>
    <t>SKHU/1601/2.2.1/109</t>
  </si>
  <si>
    <t>Nők munkaerő-piaci támogatása Tatán (a Tatai Közös Hivatal pályázata)</t>
  </si>
  <si>
    <t>EFOP-1.2.9-17-2017-00026</t>
  </si>
  <si>
    <t>A tatai Szivárvány Óvoda épületenergetikai megújítása</t>
  </si>
  <si>
    <t>TOP-3.2.1-16-KO1-2017-00007</t>
  </si>
  <si>
    <t>TOP-3.2.1-16-KO1-2017-00001</t>
  </si>
  <si>
    <t>Angolkert Malomkert – Angolkerti rehabilitáció III. üteme</t>
  </si>
  <si>
    <t>TOP-1.2.1-16-KO1-2017-00003</t>
  </si>
  <si>
    <t>TOP-3.1.1-16-KE1-2017-00004</t>
  </si>
  <si>
    <t>TOP-5.3.1-16-KO1-2017-00002</t>
  </si>
  <si>
    <t>Inkubátorház építése Tatán</t>
  </si>
  <si>
    <t>TOP-1.1.2-16-KO1-2017-00002</t>
  </si>
  <si>
    <t>EFOP-1.5.2-16-2017-00043</t>
  </si>
  <si>
    <t>A jövő nemzedék közösség és személyiség fejlesztése Tatán</t>
  </si>
  <si>
    <t>EFOP-3.3.2-16-2016-00195</t>
  </si>
  <si>
    <t>Programok az életen át tartó tanulás jegyében Tatán</t>
  </si>
  <si>
    <t>EFOP-3.7.3-16-2017-00254</t>
  </si>
  <si>
    <t>Bölcsődei szakemberek szakmai fejlesztése a Tatai járásban</t>
  </si>
  <si>
    <t>EFOP-1.9.9-17-2017-00006</t>
  </si>
  <si>
    <t>ÖNKORMÁNYZATI TÁMOGATÁSOK MINDÖSSZESEN</t>
  </si>
  <si>
    <t>KÖZÖS ÖNKORMÁNYZATI HIVATALI TÁMOGATÁSOK MINDÖSSZESEN</t>
  </si>
  <si>
    <t>KÖZÖS ÖNKORMÁNYZATI HIVATALI TÁMOGATÁSOK ÉS ÁTVETT PÉNZESZKÖZÖK MINDÖSSZESEN</t>
  </si>
  <si>
    <t>ÖNKORMÁNYZATI TÁMOGATÁSOK ÉS ÁTVETT PÉNZESZKÖZÖK MINDÖSSZESEN</t>
  </si>
  <si>
    <t>Személyi
juttatások</t>
  </si>
  <si>
    <t>Tatai Közös
Önkormányzati Hivatal</t>
  </si>
  <si>
    <t>Beruházás (ÁFA-val)</t>
  </si>
  <si>
    <t>Felújítás (ÁFA-val)</t>
  </si>
  <si>
    <t>Előző évi költségvetési maradvány igénybevétele</t>
  </si>
  <si>
    <t>Elvonások és befizetések bevételei</t>
  </si>
  <si>
    <t>Adó- és egyéb bírság</t>
  </si>
  <si>
    <t>Kamatbevétel, árfolyamnyereség</t>
  </si>
  <si>
    <t>Egyéb tárgyi eszközök értékesítése</t>
  </si>
  <si>
    <t>Oktatási és Kulturális Alap</t>
  </si>
  <si>
    <t>Felhalmozási célú támogatások államháztartáson belülre (vissza nem térítendő)</t>
  </si>
  <si>
    <t>Programok az életen át tartó tanulás jegyében Tatán EFOP-3.7.3-16-2017-00254</t>
  </si>
  <si>
    <t>Tartalék</t>
  </si>
  <si>
    <t>Összes
forrás</t>
  </si>
  <si>
    <t>Összes forrásból:</t>
  </si>
  <si>
    <t>Összes
kiadás</t>
  </si>
  <si>
    <t>Önerő</t>
  </si>
  <si>
    <t>EU-s forrás támogatási szerződés szerint</t>
  </si>
  <si>
    <t>1101-5101</t>
  </si>
  <si>
    <t>1102-5102</t>
  </si>
  <si>
    <t>1103-5103</t>
  </si>
  <si>
    <t>1104-5104</t>
  </si>
  <si>
    <t>Városüzemeltetés és vagyongazdálkodás</t>
  </si>
  <si>
    <t>1108-5108</t>
  </si>
  <si>
    <t>Balatonvilágos üdülő</t>
  </si>
  <si>
    <t>1109-5109</t>
  </si>
  <si>
    <t>Balatonfüred üdülő</t>
  </si>
  <si>
    <t>1110-5110</t>
  </si>
  <si>
    <t>Fényes-fürdő üdülő</t>
  </si>
  <si>
    <t>Önként vállalt</t>
  </si>
  <si>
    <t>1111-5111</t>
  </si>
  <si>
    <t>Igazgatási és egyéb tevékenység</t>
  </si>
  <si>
    <t>Adóigazgatás</t>
  </si>
  <si>
    <t xml:space="preserve">Állampolgársági ügyek </t>
  </si>
  <si>
    <t>Munkáltatói kölcsön</t>
  </si>
  <si>
    <t>1401-5401</t>
  </si>
  <si>
    <t>Építés-hatóság</t>
  </si>
  <si>
    <t>Hitelek</t>
  </si>
  <si>
    <t>Adóbevételek</t>
  </si>
  <si>
    <t>1003-5003</t>
  </si>
  <si>
    <t>1004-5004</t>
  </si>
  <si>
    <t>1005-5005</t>
  </si>
  <si>
    <t>1007-5007</t>
  </si>
  <si>
    <t>Közfoglalkoztatás</t>
  </si>
  <si>
    <t>1008-5008</t>
  </si>
  <si>
    <t>Közutak építése, üzemeltetése, fenntartása</t>
  </si>
  <si>
    <t>1009-5009</t>
  </si>
  <si>
    <t>1010-5010</t>
  </si>
  <si>
    <t>Hulladékgazdálkodás</t>
  </si>
  <si>
    <t>1011-5011</t>
  </si>
  <si>
    <t>Szennyvízgazdálkodás</t>
  </si>
  <si>
    <t>1012-5012</t>
  </si>
  <si>
    <t>1013-5013</t>
  </si>
  <si>
    <t>Vízellátással kapcsolatos közmű építése, fenntartása, üzemeltetése</t>
  </si>
  <si>
    <t>1014-5014</t>
  </si>
  <si>
    <t>1015-5015</t>
  </si>
  <si>
    <t>Játszóterek fenntartása</t>
  </si>
  <si>
    <t>1016-5016</t>
  </si>
  <si>
    <t>Parkfenntartás</t>
  </si>
  <si>
    <t>1018-5018</t>
  </si>
  <si>
    <t>Közbeszerzések</t>
  </si>
  <si>
    <t>Építésügy</t>
  </si>
  <si>
    <t>1017-5017</t>
  </si>
  <si>
    <t>1019-5019</t>
  </si>
  <si>
    <t>Város- községgazdálkodás</t>
  </si>
  <si>
    <t>1020-5020</t>
  </si>
  <si>
    <t>Pályázati előkészítések</t>
  </si>
  <si>
    <t>1025-5025</t>
  </si>
  <si>
    <t>Egyéb szervezetek támogatása</t>
  </si>
  <si>
    <t>1026-1026</t>
  </si>
  <si>
    <t>Nemzeti ünnepek</t>
  </si>
  <si>
    <t>1029-5029</t>
  </si>
  <si>
    <t>1030-5030</t>
  </si>
  <si>
    <t>Városi ünnepek</t>
  </si>
  <si>
    <t>1031-5031</t>
  </si>
  <si>
    <t>Városi kitüntetések</t>
  </si>
  <si>
    <t>1032-5032</t>
  </si>
  <si>
    <t>Minimaraton</t>
  </si>
  <si>
    <t>1035-5035</t>
  </si>
  <si>
    <t>Kommunikációs tevékenység</t>
  </si>
  <si>
    <t>1036-5036</t>
  </si>
  <si>
    <t>1038-5038</t>
  </si>
  <si>
    <t>1021-5021</t>
  </si>
  <si>
    <t>Szociális ellátások támogatása</t>
  </si>
  <si>
    <t>Önkormányzati lakások és garázsok</t>
  </si>
  <si>
    <t>1022-5022</t>
  </si>
  <si>
    <t>1033-5033</t>
  </si>
  <si>
    <t>Nemzetközi feladatok</t>
  </si>
  <si>
    <t>1034-5034</t>
  </si>
  <si>
    <t>Sporttevékenység</t>
  </si>
  <si>
    <t>1037-5037</t>
  </si>
  <si>
    <t>Gyermek-és ifjúságügy</t>
  </si>
  <si>
    <t>1027-5027</t>
  </si>
  <si>
    <t>1028-5028</t>
  </si>
  <si>
    <t>Egészségvédelmi-, Szociális és Sportalap</t>
  </si>
  <si>
    <t>1024-5024</t>
  </si>
  <si>
    <t>Visszatérítendő támogatások</t>
  </si>
  <si>
    <t>1002-5002</t>
  </si>
  <si>
    <t>1001-5001</t>
  </si>
  <si>
    <t>1006-5006</t>
  </si>
  <si>
    <t>Önkormányzati vagyonnal való gazdálkodás</t>
  </si>
  <si>
    <t>1023-5023</t>
  </si>
  <si>
    <t>Önkormányzati feladatok ellátásának támogatása</t>
  </si>
  <si>
    <t>EFOP-1.5.2-16-2017-00043 Humán szolgáltatások fejlesztése Magyary Zoltán mintajárásban</t>
  </si>
  <si>
    <t>EFOP-1.9.9-17-2017-00006 Bölcsődei szakemberek szakmai fejlesztése a Tatai járásban</t>
  </si>
  <si>
    <t>EFOP-3.3.2-16-2016-00195 A jövő nemzedék közösség és személyiség fejlesztése Tatán</t>
  </si>
  <si>
    <t>EFOP-3.7.3-16-2017-00254 Programok az életen át tartó tanulás jegyében Tatán</t>
  </si>
  <si>
    <t>TOP-1.1.2-16-KO1-2017-00002 Inkubátorház építése Tatán</t>
  </si>
  <si>
    <t>TOP-1.1.3-15-KO1-2016-00002 Helyi alapanyagokra épülő közétkeztetés</t>
  </si>
  <si>
    <t>TOP-1.1.3-15-KO1-2016-00003 Helyi gazdaság erőforrásaira épülő piac és agrárlogisztikai fejlesztés Tatán</t>
  </si>
  <si>
    <t>TOP-1.2.1-15-KO1-2016-00005 A Tatai Kőfaragó-ház rehabilitációja</t>
  </si>
  <si>
    <t>TOP-1.2.1-16-KO1-2017-00003 Angolkert Malomkert - Angolkerti rehabilitáció III. üteme</t>
  </si>
  <si>
    <t>TOP-1.4.1-15-KO1-2016-00020 Csillagsziget Bölcsőde felújítása Tatán</t>
  </si>
  <si>
    <t>TOP-3.1.1-16-KO-2017-0004 Haranglábtól-Agostyánig, Tata Országgyűlés tértől Agostyán városrészig létesítendő kerékpárút I. ütem</t>
  </si>
  <si>
    <t>TOP-3.2.1-16-KO1-2017-00001 Tatai Kertvárosi Óvoda épületenergetikai megújítása</t>
  </si>
  <si>
    <t>TOP-3.2.1-16-KO1-2017-00007 A tatai Szivárvány Óvoda épületenergetikai megújítása</t>
  </si>
  <si>
    <t>TOP-5.3.1-16-KO1-2017-00002 Helyi identitás és kohézió erősítése Tata és környéke Borvidéken</t>
  </si>
  <si>
    <t>1112-5112</t>
  </si>
  <si>
    <t>1113-5113</t>
  </si>
  <si>
    <t>1114-5114</t>
  </si>
  <si>
    <t>1117-5117</t>
  </si>
  <si>
    <t>1118-5118</t>
  </si>
  <si>
    <t>1119-5119</t>
  </si>
  <si>
    <t>1120-5120</t>
  </si>
  <si>
    <t>Helyi alapanyagokra épülő közétkeztetés  TOP-1.1.3-15-KO1-2016-00002</t>
  </si>
  <si>
    <t>Angolkert Malomkert - Angolkerti rehabilitáció III. üteme - TOP-1.2.1-16-KO1-2017-0003</t>
  </si>
  <si>
    <t xml:space="preserve">A Tatai Kőfaragó-ház rehabilitációja - TOP-1.2.1-15-KO1-2016-00005                                                                              </t>
  </si>
  <si>
    <t>Csillagsziget Bölcsőde felújítása Tatán -TOP-1.4.1-15-KO1-2016-00020</t>
  </si>
  <si>
    <t>Magyarország Együttműködési Program CULTPLAY-Interaktív tematikus parkok létrehozása Interreg V-A Szlovákia</t>
  </si>
  <si>
    <t>Magyarország Együttműködési Program KOMBI-Határon Átnyúló Integrált Kerékpárkölcsönző rendszer Interreg V-A Szlovákia</t>
  </si>
  <si>
    <t>Inkubátorház építés Tatán -TOP-1.1.2-16-KO1-2017-00002</t>
  </si>
  <si>
    <t>A tatai Szivárvány Óvoda épület energetikai megújítása TOP-3.2.1-16-KO1-2017-00007</t>
  </si>
  <si>
    <t>Tatai Kertvárosi Óvoda épületenergetikai megújítása TOP-3.2.1-16-KO1-2017-00001</t>
  </si>
  <si>
    <t>Önként vállalt összesen</t>
  </si>
  <si>
    <t>EFOP-1.2.9-17-2017-00026 Nők a családban és a munkahelyen</t>
  </si>
  <si>
    <t>Csillagsziget Bölcsőde felújítása Tatán - TOP-1.4.1-15-KO1-2016-00020</t>
  </si>
  <si>
    <t>Vis major támogatás</t>
  </si>
  <si>
    <t>2024.</t>
  </si>
  <si>
    <t>Már meglévő adósságot keletkeztető ügyletek</t>
  </si>
  <si>
    <t>Tatai Kistérségi Többcélú Társulásnak támogatás (tagdíj, állami támogatás és önkormányzati támogatás)</t>
  </si>
  <si>
    <t>Rendőrségnek</t>
  </si>
  <si>
    <t>Tatai Televízió Közalapítvány támogatása</t>
  </si>
  <si>
    <t>Egészségügyi alapellátás támogatása 5 fogászati körzetre</t>
  </si>
  <si>
    <t>Tatai Vadlúd Sokadalom támogatása</t>
  </si>
  <si>
    <t>Magyar Máltai Szeretetszolgálat Tatai Csoportja</t>
  </si>
  <si>
    <t>Magyar Vöröskereszt Tatai Szervezete</t>
  </si>
  <si>
    <t>Egészségvédelmi-, Szociális- és Sport Alap</t>
  </si>
  <si>
    <t>Színes Iskola Alapítvány tanulójának támogatása</t>
  </si>
  <si>
    <t>Agostyáni Tűzoltó Egyesület támogatása</t>
  </si>
  <si>
    <t>KEM Mentőalapítvány támogatása (tatai mentőállomás)</t>
  </si>
  <si>
    <t>Munkáltatói kölcsön nyújtása</t>
  </si>
  <si>
    <t>Értékvédelmi feladatok támogatása (homlokzat felújítási pályázat)</t>
  </si>
  <si>
    <t>Tatai Városgazda Nonprofit Kft. működési támogatás</t>
  </si>
  <si>
    <t>Rendház Kft. működési támogatás</t>
  </si>
  <si>
    <t>Tatai Városkapu Közhasznú Zrt. támogatása</t>
  </si>
  <si>
    <t>Tata és Környéke Turisztikai Egyesület - Turisztikai Desztinációs Menedzsment működési támogatása</t>
  </si>
  <si>
    <t>Tatai Öreg-tó Kft. részére tagi kölcsön biztosítása</t>
  </si>
  <si>
    <t>Magyar Máltai Szeretetszolgálat máltai játszókert</t>
  </si>
  <si>
    <t>Szociális Háló Közalapítvány támogatása</t>
  </si>
  <si>
    <t>Mozgáskorlátozottak KEM Egyesület támogatása</t>
  </si>
  <si>
    <t xml:space="preserve">OMS-Tata Vívó SE </t>
  </si>
  <si>
    <t>Tatai Sportegyesület támogatása</t>
  </si>
  <si>
    <t>Tatai Mecénás Közalapítvány támogatása</t>
  </si>
  <si>
    <t>TAC működési támogatása</t>
  </si>
  <si>
    <t>Tatai Kistérségi Többcélú Társulástól (belső ellenőrzéshez, infrastrukturális háttér biztosításához)</t>
  </si>
  <si>
    <t>Értékvédelmi feladatokra háztartásnak adott kölcsön visszatérülése</t>
  </si>
  <si>
    <t>Munkaügyi Központtól támogatás</t>
  </si>
  <si>
    <t>Kamatmentes szociális lakossági kölcsön visszatérítés</t>
  </si>
  <si>
    <t>Kölcsön visszatérülés Vis Major</t>
  </si>
  <si>
    <t>Magyarország Együttműködési program CULTPLAY - Interaktív tematikus parkok létrehozása - Interreg V-A Szlovákia</t>
  </si>
  <si>
    <t>Magyarország Együttműködési program KOMBI - Határon átnyúló integrált kerékpárkölcsönző rendszer - Interreg V-A Szlovákia</t>
  </si>
  <si>
    <t>Haranglábtól- Agostyánig, Tata Országgyűlés tértől Agostyán városrészig létesítendő kerékpárút I. ütem - TOP-3.1.1-16-KO1-2017-00004</t>
  </si>
  <si>
    <t>Tatai Kertvárosi Óvoda épületenergetikai megújítása - TOP-3.2.1-16-KO1-2017-00001</t>
  </si>
  <si>
    <t>A tatai Szivárvány Óvoda épületenergetikai megújítása - TOP-3.2.1-16-KO1-2017-00007</t>
  </si>
  <si>
    <t>Helyi identitás és kohézió erősítése Tata és környéke Borvidéken - TOP-5.3.1-16-KO1-2017-00002</t>
  </si>
  <si>
    <t>Munkáltatói kölcsön visszatérülés</t>
  </si>
  <si>
    <t>Működési célú vissza nem térítendő támogatás Dunaalmás Község Önkormányzatától</t>
  </si>
  <si>
    <t>Működési célú vissza nem térítendő támogatás Dunaszentmiklós Község Önkormányzatától</t>
  </si>
  <si>
    <t>Működési célú vissza nem térítendő támogatás Neszmély Község Önkormányzatától</t>
  </si>
  <si>
    <t>Helyi alapanyagokra épülő közétkeztetés - TOP-1.1.3-15-KO1-2016-00002</t>
  </si>
  <si>
    <t>Helyi gazdaság erőforrásaira épülő piac és agrárlogisztikai fejlesztés Tatán - TOP-1.1.3-15-KO1-2016-00003</t>
  </si>
  <si>
    <t>A Tatai Kőfaragó-ház rehabilitációja - TOP-1.2.1-15-KO1-2016-00005</t>
  </si>
  <si>
    <t>Angolkert Malomkert - Angolkerti rehabilitáció III. üteme - TOP-1.2.1-16-KO1-2017-00003</t>
  </si>
  <si>
    <t>A jövő nemzedék közösség és személyiség fejlesztése Tatán - EFOP-3.3.2-16-2016-00195</t>
  </si>
  <si>
    <t>Programok az életen át tartó tanulás jegyében Tatán - EFOP-3.7.3-16-2017-00254</t>
  </si>
  <si>
    <t>Karsztvízszint-emelkedés okozta azonnali intézkedést igénylő feladatok</t>
  </si>
  <si>
    <t>Humán szolgáltatások fejlesztése Magyary Zoltán mintajárásban - EFOP-1.5.2-16-2017-00043</t>
  </si>
  <si>
    <t>Bölcsődei szakemberek szakmai fejlesztése a Tatai járásban - EFOP-1.9.9-17-2017-00006</t>
  </si>
  <si>
    <t>Nők munkaerőpiaci támogatása Tatán - EFOP-1.2.9-17-2017-00026</t>
  </si>
  <si>
    <t>Kiadás, melyre a maradvány fordítódik</t>
  </si>
  <si>
    <t>Felhalmozási céltartalék</t>
  </si>
  <si>
    <t>Humán szolgáltatások fejlesztése Magyary Zoltán mintajárásban</t>
  </si>
  <si>
    <t>Haranglábtól- Agostyánig, Tata Országgyűlés tértől Agostyán városrészig létesítendő kerékpárút I. ütem</t>
  </si>
  <si>
    <t>Tatai Kertvárosi Óvoda épületenergetikai megújítása</t>
  </si>
  <si>
    <t>Helyi identitás és kohézió erősítése Tata és környéke Borvidéken</t>
  </si>
  <si>
    <t>Támogatási
szerződés
kötés
időpontja</t>
  </si>
  <si>
    <t>Tata Város Önkormányzata</t>
  </si>
  <si>
    <t>I.1.f) Beszámítás (a táblázat alatt részletezve)</t>
  </si>
  <si>
    <t>I.1.f)</t>
  </si>
  <si>
    <t>Támogató szolgáltatás - teljesítménytámogatás</t>
  </si>
  <si>
    <t>Közösségi alapellátások - alaptámogatás + kieg.támog. III.3. ob)</t>
  </si>
  <si>
    <t>III.4.a)</t>
  </si>
  <si>
    <t>III.4.b)</t>
  </si>
  <si>
    <t>III.5. aa)</t>
  </si>
  <si>
    <t>III.5. ab)</t>
  </si>
  <si>
    <t>Az intézményi gyermekétkeztetés üzemletetési támogatása</t>
  </si>
  <si>
    <t>III.5. b)</t>
  </si>
  <si>
    <t>2. melléklet jogcímeihez: ÁLLAMI TÁMOGATÁS MINDÖSSZESEN</t>
  </si>
  <si>
    <t>Törvény- javaslat hivatk.sz.</t>
  </si>
  <si>
    <t>Fajlagos összeg Ft/mutató</t>
  </si>
  <si>
    <t>12 hó</t>
  </si>
  <si>
    <t>Fő/számított létszám/év</t>
  </si>
  <si>
    <t>Helyi alapanyagokra épülő közétkeztetés - TOP-1.1.3.-15-KO1-2016-00002</t>
  </si>
  <si>
    <t>A Tatai Kőfaragó-ház rehabilitációja - TOP-1.2.1.-15-KO1-2016-00005</t>
  </si>
  <si>
    <t xml:space="preserve"> - Felhalmozási céltartalék</t>
  </si>
  <si>
    <t>MINDÖSSZESEN BEVÉTEL - IRÁNYÍTÓSZERVI TÁMOGATÁSSAL KORRIGÁLT</t>
  </si>
  <si>
    <t>Korrekció</t>
  </si>
  <si>
    <t>MINDÖSSZESEN KIADÁS - IRÁNYÍTÓSZERVI TÁMOGATÁSSAL KORRIGÁLT</t>
  </si>
  <si>
    <t>EGYENLEG</t>
  </si>
  <si>
    <t>KÖLTSÉGVETÉSI EGYENLEG</t>
  </si>
  <si>
    <t>Működési támogatások</t>
  </si>
  <si>
    <t>Bevételek mindösszesen</t>
  </si>
  <si>
    <t>Tatai Eötvös József Gimnázium és Kollégium</t>
  </si>
  <si>
    <t>mindösszesen</t>
  </si>
  <si>
    <t>Személyi juttatás</t>
  </si>
  <si>
    <t>M.adókat terhelő jár.</t>
  </si>
  <si>
    <t>Költségvetési  alcímek és szakfeladatok ÖSSZESEN</t>
  </si>
  <si>
    <t>Vaszary J. Általános Iskola</t>
  </si>
  <si>
    <t>Tartozás 2025</t>
  </si>
  <si>
    <t>Tartozás 2026</t>
  </si>
  <si>
    <t>2025.</t>
  </si>
  <si>
    <t>2026.</t>
  </si>
  <si>
    <t>Arany János Tehetséggondozó Programhoz kapcsolódó szociális támogatás (EFOP-1.5.2-16-2017-00043 Humán szolgáltatások fejlesztése Magyary Zoltán mintajárásában)</t>
  </si>
  <si>
    <t>1501-5501</t>
  </si>
  <si>
    <t>166 394 E Ft</t>
  </si>
  <si>
    <t>572 581 E Ft</t>
  </si>
  <si>
    <t>Megvaló-
sítás
tervezett
befejezése</t>
  </si>
  <si>
    <t>Tárgyévi kiadások előirányzata</t>
  </si>
  <si>
    <t>Haranglábtól- Agostyánig, Tata Országgyűlés tértől Agostyán városrészig létesítendő kerékpárút I. ütem - TOP-3.1.1-16-KE1-2017-00004</t>
  </si>
  <si>
    <t>Kötelezettséggel terhelt pénzmaradvány</t>
  </si>
  <si>
    <t>2016. évi negatív pénzmaradvány</t>
  </si>
  <si>
    <t>EFOP-1.5.2-16-2017-00043 Humán szolgáltatások fejlesztése Magyary Zoltán mintajárásban pályázathoz támogatás</t>
  </si>
  <si>
    <t xml:space="preserve">Elvonások és befizetések bevételei </t>
  </si>
  <si>
    <t>Elszámolás a központ költségvetéssel és költségvetési szerveinkkel</t>
  </si>
  <si>
    <t>Dunalmási kirendeltség</t>
  </si>
  <si>
    <t>Mindöszesen:</t>
  </si>
  <si>
    <t>Mindösszesen:</t>
  </si>
  <si>
    <t>M.adókat
terh. jár.
és szocho</t>
  </si>
  <si>
    <t>Neszmélyi kirendeltség összesen</t>
  </si>
  <si>
    <t>Dunaalmási kirendeltség összesen</t>
  </si>
  <si>
    <t>Dunaszentmiklósi kirendeltség összesen</t>
  </si>
  <si>
    <t>1,55 % kamat</t>
  </si>
  <si>
    <t>Felhalmozási célú támogatások államháztartáson kívülre (vissza nem térítendő)</t>
  </si>
  <si>
    <t>Bevétel 2020. év</t>
  </si>
  <si>
    <t>2020. évi felhalmozási célú bevételek és kiadások mérlege (E Ft-ban)</t>
  </si>
  <si>
    <t xml:space="preserve">Tata Város Önkormányzata és az általa irányított költségvetési szervek 2020. évi kiadásai </t>
  </si>
  <si>
    <t>Egyéb 2020. évi igények</t>
  </si>
  <si>
    <t>Gondnoksági feladatokhoz kapcsolódó nagy értékű tárgyi eszköz beszerzés, klímaberendezések pótlása, cseréje</t>
  </si>
  <si>
    <t>Polgármesteri Hivatal főépületének homlokzati felújítása</t>
  </si>
  <si>
    <t>Polgármesteri Hivatal hátsó udvari parkoló kialakítása</t>
  </si>
  <si>
    <t>Kisértékű tárgyi eszköz beszerzés (bútor, textília, függöny, egyéb)</t>
  </si>
  <si>
    <t>Balatonvilágosi üdülőbe mosogatógép és egyéb konyhai felszerelés</t>
  </si>
  <si>
    <t>Balatonvilágosi üdülő udvar átalakítása, kertépítés</t>
  </si>
  <si>
    <t>Balatonfüredi üdülőbe falra szerelhető klíma berendezés</t>
  </si>
  <si>
    <t>Microsoft Windows 10 Pro-64-bit (40 db)</t>
  </si>
  <si>
    <t>Microsoft Office 2019 Home&amp;Business (15 db)</t>
  </si>
  <si>
    <t>Pons Danubii Európai Területi Együttműködési Csoportosulás visszatérítendő kölcsön visszatérülése</t>
  </si>
  <si>
    <t>DDR4 memória (50 db)</t>
  </si>
  <si>
    <t>SSD (50db)</t>
  </si>
  <si>
    <t>27" monitor (20 db)</t>
  </si>
  <si>
    <t>Vezeték nélküli mikrofon (1 db)</t>
  </si>
  <si>
    <t>Hálózati eszközök (switch, extender)</t>
  </si>
  <si>
    <t>Projektor</t>
  </si>
  <si>
    <t>Internet elérés (50/50Mbit/sec)</t>
  </si>
  <si>
    <t>15,6" Core i3 notebook (8 db)</t>
  </si>
  <si>
    <t>Microsoft Office 2019 Home&amp;Business (8db)</t>
  </si>
  <si>
    <t>Dunaalmási Kirendeltség</t>
  </si>
  <si>
    <t>Tárgyi eszköz beszerzés</t>
  </si>
  <si>
    <t>Térfigyelő kamerarendszer bővítése (Kocsi út, Naszályi-Komáromi út, Szomódi út, Agostyán, Újhegy)</t>
  </si>
  <si>
    <t>Polgármesteri Hivatal hátsó udvar kerítés felújítás (IGH felé)</t>
  </si>
  <si>
    <t>Volánbusz Zrt.-vel kötött megállapodás alapján tanulóbérlet</t>
  </si>
  <si>
    <t xml:space="preserve">Rendkívüli települési támogatás </t>
  </si>
  <si>
    <t>Tata Város Önkormányzata 2020. évi költségvetéséhez</t>
  </si>
  <si>
    <t>2020 jan-febr hónapokra előző év létszám alapján</t>
  </si>
  <si>
    <t>2020 márc-dec hónapokra tárgy év létszám alapján</t>
  </si>
  <si>
    <t>2020.évre összesen</t>
  </si>
  <si>
    <t>A zöldterület-gazdálkodással kapcsolatos feladatok ellátásának alaptámogatása</t>
  </si>
  <si>
    <t>Közvilágítás fenntartásának alaptámogatása</t>
  </si>
  <si>
    <t>Köztemető-fenntartással kapcsolatos feladatok alaptámogatása</t>
  </si>
  <si>
    <t>Közutak fenntartásának alaptámogatása</t>
  </si>
  <si>
    <t>A HELYI ÖNKORMÁNYZATOK MŰKÖDÉSÉNEK ÁLT. TÁM. ÖSSZESEN TÁMOGATÁSCSÖKKENTÉS NÉLKÜL</t>
  </si>
  <si>
    <t>A HELYI ÖNKORMÁNYZATOK MŰKÖDÉSÉNEK ÁLT. TÁM. ÖSSZESEN TÁMOGATÁSCSÖKKENTÉS UTÁN</t>
  </si>
  <si>
    <t>A  TELEPÜLÉSI  ÖNKORMÁNYZATOK  EGYES  KÖZNEVELÉSI  FELADATAINAK TÁMOGATÁSA</t>
  </si>
  <si>
    <t>Óvodapedagógusok átlagbérének és közterheinek elismert összege - 12 hónapra</t>
  </si>
  <si>
    <t>Óvodapedagógusok munkáját közvetlenül segítők bértámogatása - 12 hónapra</t>
  </si>
  <si>
    <t xml:space="preserve"> </t>
  </si>
  <si>
    <t>II.2.</t>
  </si>
  <si>
    <t>Óvodaműk. támogatás 8 hónapra: gyermekek nevelése a napi 8 órát eléri           2019. okt.1-jei tény létszám alapján</t>
  </si>
  <si>
    <t>Óvodaműk. támogatás 4 hónapra: gyermekek nevelése a napi 8 órát eléri.           2019. okt.1-jei tény létszám alapján</t>
  </si>
  <si>
    <t>2.mell. III.</t>
  </si>
  <si>
    <t>TELEPÜLÉSI ÖNKORMÁNYZATOK SZOCIÁLIS,GYERMEKJÓLÉTI ÉS GYERMEKÉTKEZTETÉSI FELADATAINAK TÁMOGATÁSA</t>
  </si>
  <si>
    <t>A települési önkormányzatok szociális feladatainak egyéb támogatása 35 000 ft adóerőképesség alatt</t>
  </si>
  <si>
    <t>III.2.</t>
  </si>
  <si>
    <t>Egyes szociális és gyermekjóléti feladatok támogatása:</t>
  </si>
  <si>
    <t>III.2.a)</t>
  </si>
  <si>
    <t xml:space="preserve">Család- és gyermekjóléti szolgálat (2019.01.01. lakos alapján) </t>
  </si>
  <si>
    <t>2020 jan-febr hónapokra</t>
  </si>
  <si>
    <t>2020 márc-dec hónapokra</t>
  </si>
  <si>
    <t>2020. évre összesen</t>
  </si>
  <si>
    <t>III.2.b)</t>
  </si>
  <si>
    <t xml:space="preserve">Család- és gyermekjóléti központ (2019.01.01. lakos alapján)+1 fő EM </t>
  </si>
  <si>
    <t>III.2.c)</t>
  </si>
  <si>
    <t>Szociális étkeztetés - (társulással  65 360 forint/fő +10 %)</t>
  </si>
  <si>
    <t>III.2.da)</t>
  </si>
  <si>
    <t>III.2.db)</t>
  </si>
  <si>
    <t>III.2.f)</t>
  </si>
  <si>
    <t xml:space="preserve">Időskorúak nappali intézményi ellátása - (társulással 190 000 Ft/fő + 50%) </t>
  </si>
  <si>
    <t>III.2.g)</t>
  </si>
  <si>
    <t>Fogyatékosok személyek nappali intézményi ellátása -  (társulással  689 000 forint/fő +10 %)</t>
  </si>
  <si>
    <t>III.2.i)</t>
  </si>
  <si>
    <t>III.2.k)</t>
  </si>
  <si>
    <t>III.2.l)</t>
  </si>
  <si>
    <t>Támogató szolgáltatás - alaptámogatás</t>
  </si>
  <si>
    <t>III.2.m)</t>
  </si>
  <si>
    <t>III.2.n)</t>
  </si>
  <si>
    <t xml:space="preserve">A járásszékhely  önkormányzatokat  megillető  támogatás  éves  összegét  a  szociál-  és  nyugdíjpolitikáért felelős miniszter 2019. november 30-áig állapítja meg </t>
  </si>
  <si>
    <t>Egyes szociális és gyermekjóléti feladatok támogatása ÖSSZESEN</t>
  </si>
  <si>
    <t>Bölcsőde, mini bölcsőde támogatása</t>
  </si>
  <si>
    <t xml:space="preserve">Bölcsődei dajkák, középfokú végzettségű kisgyermeknevelők </t>
  </si>
  <si>
    <t>Bölcsödei üzemeltetési támogatás</t>
  </si>
  <si>
    <t>A  települési  önkormányzatok  által  biztosított  egyes  szociális  szakosított  ellátásokkal kapcsolatos feladatok támogatása  - Időskorúak Otthona</t>
  </si>
  <si>
    <t>Szakmai dolgozók átlagbérének támogatása</t>
  </si>
  <si>
    <t>Intézményüzemeltetés támogatás</t>
  </si>
  <si>
    <t>az  államháztartásért felelős  miniszter  2019.  december  15-éig  dönt ezért a 2019. májusi jóváhagyott összeggel terveztünk.</t>
  </si>
  <si>
    <t>Kistérségi Időskorúak Otthona állami támogatása összesen</t>
  </si>
  <si>
    <t>Dolgozók átlagbérének támogatása</t>
  </si>
  <si>
    <t>2019. dec15-éig miniszterek döntenek, ezért a 2019. májusijóváhagyott összeggel terveztünk.</t>
  </si>
  <si>
    <t>A rászoruló gyermekek szünidei étkeztetésének támogatása                      Fajlagos összeg az adóerőképesség függvénye</t>
  </si>
  <si>
    <t>IV.b)</t>
  </si>
  <si>
    <t>Szolidaritási hozzájárulás  34 000 ft adóerőképesség felett, a támogatáscsökkentés   beszámítás   alapját   meghaladó   része miatt</t>
  </si>
  <si>
    <t>3.mell. I.</t>
  </si>
  <si>
    <t xml:space="preserve">A HELYI ÖNKORMÁNYZATOK KIEGÉSZÍTŐ TÁMOGATÁSAI    -MŰKÖDÉSI CÉLÚ            </t>
  </si>
  <si>
    <t>I.5</t>
  </si>
  <si>
    <t>A települési önkormányzatok helyi közösségi közlekedésének támogatása -pályázat útján</t>
  </si>
  <si>
    <t>I.11.</t>
  </si>
  <si>
    <t>A költségvetési szerveknél foglalkoztatottak 2019. évi áthúzódó és 2020. évi kompenzációja</t>
  </si>
  <si>
    <t>Eredeti előirányzatként nem tervezhető - Kincstártól havonta pótelőirányzatként</t>
  </si>
  <si>
    <t>I.12.</t>
  </si>
  <si>
    <t>Szociális ágazati összevont pótlék és egészségügyi kiegészítő pótlék</t>
  </si>
  <si>
    <t>I.13.a)</t>
  </si>
  <si>
    <r>
      <rPr>
        <sz val="11"/>
        <color rgb="FF000000"/>
        <rFont val="Times New Roman"/>
        <family val="1"/>
        <charset val="238"/>
      </rPr>
      <t xml:space="preserve">Települési önkormányzatok kulturális feladatainak kiegészítő támogatása             </t>
    </r>
    <r>
      <rPr>
        <b/>
        <sz val="11"/>
        <color rgb="FF000000"/>
        <rFont val="Times New Roman"/>
        <family val="1"/>
        <charset val="238"/>
      </rPr>
      <t xml:space="preserve"> Megyei hatókörű városi múzeumok feladatainak támogatása</t>
    </r>
  </si>
  <si>
    <t xml:space="preserve">Eredeti előirányzatként nem tervezhető </t>
  </si>
  <si>
    <t>I.14.</t>
  </si>
  <si>
    <t xml:space="preserve">A HELYI ÖNKORMÁNYZATOK KIEGÉSZÍTŐ TÁMOGATÁSAI    -MŰKÖDÉSI CÉLÚ  ÖSSZESEN       </t>
  </si>
  <si>
    <t>BESZÁMÍTÁS KISZÁMÍTÁSA SORREND SZERINT</t>
  </si>
  <si>
    <t>Képlet alapján számított összeg!</t>
  </si>
  <si>
    <t>kapunk elvonás után</t>
  </si>
  <si>
    <t xml:space="preserve">Juniorka Óvoda támogatása - köznevelési szerződés alapján </t>
  </si>
  <si>
    <t>Juniorka Bölcsőde támogatása - ellátási szerződés alapján</t>
  </si>
  <si>
    <t>Fényes Fürdő területén fejlesztések végrehajtása</t>
  </si>
  <si>
    <t>Műfüves labdarúgó pályák építése</t>
  </si>
  <si>
    <t>Nem lakáscélú helyiségek felújítása</t>
  </si>
  <si>
    <t>Vaszary Villa állagmegóvás</t>
  </si>
  <si>
    <t>Ingatlanvásárlás, kisajátítás, egyéb bérlet</t>
  </si>
  <si>
    <t>3534 hrsz.-u ingatlan (Vértesszőlősi úti temető) vételár részlete</t>
  </si>
  <si>
    <t>Településrendezési eszközök felülvizsgálata</t>
  </si>
  <si>
    <t>Helyi egyedi értékek és védelmük felülvizsgálata</t>
  </si>
  <si>
    <t>Magyary Zoltán Népfőiskolai Társaság közművelődési támogatása ("25 éves a Népfőiskola" rendezvényeire)</t>
  </si>
  <si>
    <t>Magyarország-Szlovákia Együttműködési program TAPE - Innovációs labor kialakítása Interreg  V-A Szlovákia</t>
  </si>
  <si>
    <t>Kálvária szoborcsoport felújítása</t>
  </si>
  <si>
    <t>Halotthűtő a Kocsi úti temetőbe</t>
  </si>
  <si>
    <t>Kerítés felújítása a Környei úti temetőben</t>
  </si>
  <si>
    <t>Gyalogátkelőhelyek láthatóbbá tételének kiépítése</t>
  </si>
  <si>
    <t>Mikovényi-Jázmin-Gesztenye fasor körforgalom építés, zöldfelületi kivitelezés, 2019-évi áthúzódó számlaszerződés alapján</t>
  </si>
  <si>
    <t xml:space="preserve">Hidak felújítása (Berta-malmi, Cifra-malmi, Bartók Béla u, Alkotmány u.) </t>
  </si>
  <si>
    <t>Mart aszfaltos utak felújítása (Újvilág u., Mária u., Nyírfa u., Tulipán u., Balogh Ferenc u., Határ u., Újhegyi u., Fűzfa u. )</t>
  </si>
  <si>
    <t>Visszatérő forrásokkal kapcsolatos feladatok</t>
  </si>
  <si>
    <t>Árendás patak alsó szakasz rekonstrukció, mederkorrekció, mederkotrás</t>
  </si>
  <si>
    <t>Agostyán, Kossuth utca vízrendezés I. ütem</t>
  </si>
  <si>
    <t>Malom-patak mederrekonstrukció III. ütem</t>
  </si>
  <si>
    <t>Tatán az Öreg-tó körüli utak és sétány felújítása</t>
  </si>
  <si>
    <t>Hulladékudvar kialakítás tervezése</t>
  </si>
  <si>
    <t>Közkutak létesítése</t>
  </si>
  <si>
    <t>Az Újhegyen Hársfa u., Szőlősor u. ivóvíz ellátás tervezés</t>
  </si>
  <si>
    <t>Székely B. u. közvilágítási terv és kivitelezés</t>
  </si>
  <si>
    <t>Járdák megvilágítása gyalogátkelőknél</t>
  </si>
  <si>
    <t>Csongor u. közvilágítás építés</t>
  </si>
  <si>
    <t>Mikovényi u. közvilágítás korszerűsítése</t>
  </si>
  <si>
    <t>Vértesszőlősi u. közvilágítás korszerűsítése</t>
  </si>
  <si>
    <t>Újhegyi út, Tavasz u. közvilágítás korszerűsítése</t>
  </si>
  <si>
    <t>Ady E. u. közvilágítás felújítás</t>
  </si>
  <si>
    <t>Eötvös u. - Tanoda tér közvilágítás építése</t>
  </si>
  <si>
    <t>Honvéd u. 1.számú főút szakaszának ledes korszerűsítése</t>
  </si>
  <si>
    <t>Játszóterek felújítása Május 1 u. 35. térvilágítás</t>
  </si>
  <si>
    <t>Keszthelyi u. 2.-8. játszótér felújítás</t>
  </si>
  <si>
    <t>Pezsgőgyári játszótér bekerítése</t>
  </si>
  <si>
    <t>Kazincbarcikai utcai játszótér bekerítése</t>
  </si>
  <si>
    <t xml:space="preserve">Tatai Városgazda Nonprofit Kft.-nek elektromos szemétfelszívó gép beszerzéséhez támogatása </t>
  </si>
  <si>
    <t>Környei úti körforgalom zöldterületi felújítása</t>
  </si>
  <si>
    <t>2019. évi működési maradvány</t>
  </si>
  <si>
    <t>Tatai Öreg-tó Kft.-től tagi kölcsön visszatérülése 2018-2020. év</t>
  </si>
  <si>
    <t xml:space="preserve">  - Tata Öreg tó Halászati Kft. 2018-2019. évi tagi kölcsön visszatérülés</t>
  </si>
  <si>
    <t>Zárolt működési tartalék</t>
  </si>
  <si>
    <t xml:space="preserve">  - Tatai Városkapu Közhasznú Zrt. (Fényes fürdő kölcsönének késedelmi kamata)</t>
  </si>
  <si>
    <t xml:space="preserve">  - Tatai Városkapu Közhasznú Zrt. (Fényes fürdő tagi kölcsön)</t>
  </si>
  <si>
    <t>Tatai Városkapu Közhasznú Zrt. (Fényes fürdő tagi kölcsön)</t>
  </si>
  <si>
    <t>Tata és Környéke Turisztikai Egyesület működési kölcsön visszatérülés</t>
  </si>
  <si>
    <t xml:space="preserve">  - Tata és Környéke Turisztikai Egyesület működési kölcsön </t>
  </si>
  <si>
    <t>II. János Pál pápa tér, út és parkoló tervezése</t>
  </si>
  <si>
    <t>Közterületi  hibabejelentő applikáció fejlesztése</t>
  </si>
  <si>
    <t>Vértesszőlősi úti zöld parkolónál (3540.hrsz.) gyalogos átkelőhely és bejáró létesítése</t>
  </si>
  <si>
    <t>Katolikus Karitász</t>
  </si>
  <si>
    <t>Építők parkjánál strand létesítése</t>
  </si>
  <si>
    <t>Lo presti forrás elvezetése a Hajdu utcai gyűjtőbe kormányhatározat alapján</t>
  </si>
  <si>
    <t>Alkotmány úti nyilvános illemhely korszerűsítése</t>
  </si>
  <si>
    <t>Akadálymentesítés, közlekedésbiztonság növelése (Járdák szegélysüllyesztése, taktilis jelek elhelyezése)</t>
  </si>
  <si>
    <t>Toldi M. játszótér tervezése, felújítás I. ütem</t>
  </si>
  <si>
    <t>Eszterházy csapadékcsatorna felújítása</t>
  </si>
  <si>
    <t>Tópart sétány Építők Parkjánál lévő szakaszának zöldterületi felújítása</t>
  </si>
  <si>
    <t>Önkormányzati bérlakások felújítása</t>
  </si>
  <si>
    <t>Táblakép és címer - Városháza Díszterem</t>
  </si>
  <si>
    <t>Éven belüli likvid hiteltörlesztés</t>
  </si>
  <si>
    <t>2019. évi felhalmozási maradvány</t>
  </si>
  <si>
    <t>543 251 E Ft</t>
  </si>
  <si>
    <t>3 havi 0,19 %BUBOR+0,95%=1,14 %</t>
  </si>
  <si>
    <t>3 havi BUBOR 0,19%+0,92% =1,11%</t>
  </si>
  <si>
    <t xml:space="preserve"> Támogatás értékű működési célra</t>
  </si>
  <si>
    <t>Fejlesztési hitelfelvétel megkötött szerződés alapján</t>
  </si>
  <si>
    <t xml:space="preserve"> Tatai Fürdő utcai Néphagyományőrző Óvoda</t>
  </si>
  <si>
    <t>Óvoda felújítási munkálatai (burkolatok cseréje, festés)</t>
  </si>
  <si>
    <t>Óvodai csoportszobák felújítása (burkolatok cseréje, festés)</t>
  </si>
  <si>
    <t>Óvodai csoportszobák felújítása (burkolatok cseréje, festés, belső ajtók cseréje)</t>
  </si>
  <si>
    <t>Tetőszigetelés</t>
  </si>
  <si>
    <t>Udvari játék cseréje</t>
  </si>
  <si>
    <t>Tatai Geszti Óvoda Agostyáni Tagintézménye</t>
  </si>
  <si>
    <t>Udvaron térburkolat lerakása</t>
  </si>
  <si>
    <t>Térkövezés (75 m2)</t>
  </si>
  <si>
    <t>Öntött gumiburkolat elkészítése (300 m2)</t>
  </si>
  <si>
    <t>víz-, szennyvíz-, villanyhálózat felújítás (Öregvár, Német Nemzetiségi Múzeum, Deák F. utcai raktár) azonnali hibaelhárítások</t>
  </si>
  <si>
    <t>udvarrendezés, kerítés, kapualj felújítás (Német Nemzetiségi Múzeum)</t>
  </si>
  <si>
    <t>Leendő irodák kialakítása (volt rendelőintézet)</t>
  </si>
  <si>
    <t>Felújítási tervek (műemlékvédelem által elfogadott dokumentáció összeállítása, faldiagnosztika, 3D felmérés, statikai felmérések, gépészet felülvizsgálata) Öregvár</t>
  </si>
  <si>
    <t>Német Nemzetiségi Múzeum raktár épület szükséges felújítása (pályázat beadva 4 M Ft)</t>
  </si>
  <si>
    <t>Vár időszaki tereinek felújítása, festése</t>
  </si>
  <si>
    <t>Nagy értékű és kis értékű tárgyi eszközök beszerzése</t>
  </si>
  <si>
    <t>Árnyékoló terasz fölé, pancsoló fölé</t>
  </si>
  <si>
    <t>Árnyékolás a homokozó fölé</t>
  </si>
  <si>
    <t>Felnőtt öltözőszekrény/irattartó szekrény</t>
  </si>
  <si>
    <t>Autómata öntözőrendszer kiépítése</t>
  </si>
  <si>
    <t>Mosó és szárítógép</t>
  </si>
  <si>
    <t>Udvari játék / játszóvár</t>
  </si>
  <si>
    <t xml:space="preserve"> Műfű /100 négyzetméter/</t>
  </si>
  <si>
    <t>Kis értékű tárgyi eszközök beszerzése</t>
  </si>
  <si>
    <t>Klímaberendezés beszerzése</t>
  </si>
  <si>
    <t>Nagy értékű és kis értékű tárgyi eszközök, védőnői programok beszerzése</t>
  </si>
  <si>
    <t>Tatai vonatkozású műtárgyak</t>
  </si>
  <si>
    <t>Informatikai eszközök</t>
  </si>
  <si>
    <t>Német Nemzetiségi Múzeum malomkerék</t>
  </si>
  <si>
    <t>Tűzjelző rendszer kiépítése Német Nemzetiségi Múzeum+ raktár</t>
  </si>
  <si>
    <t>Könyvbeszerzés</t>
  </si>
  <si>
    <t>Tatai Csillagsziget Bölcsöde</t>
  </si>
  <si>
    <r>
      <t>Tata Város Önkormányzata</t>
    </r>
    <r>
      <rPr>
        <sz val="11"/>
        <rFont val="Times New Roman"/>
        <family val="1"/>
        <charset val="238"/>
      </rPr>
      <t xml:space="preserve"> - választott tisztségviselők</t>
    </r>
  </si>
  <si>
    <t>Előző év(ek)-ben keletkezett tárgyévet terhelő fizetési kötelezettség</t>
  </si>
  <si>
    <t xml:space="preserve">Fizetési kötelezettséggel csökkentett saját bevétel 50 %-a </t>
  </si>
  <si>
    <t xml:space="preserve"> Tatai Fürdő Utcai Néphagyományőrző Óvoda</t>
  </si>
  <si>
    <t>Tatabányai Szakképzési Centrum Bláthy Ottó Szakkgimnáziuma, Szakközépiskolája és Kollágiuma</t>
  </si>
  <si>
    <t xml:space="preserve"> Tatai Fürdő Utcai Néphagyományörző Óvoda</t>
  </si>
  <si>
    <t>Várkazán beszerzés</t>
  </si>
  <si>
    <t>Szoftver beszerzés</t>
  </si>
  <si>
    <t>1121-5121</t>
  </si>
  <si>
    <t>Magyarország-Szlovákia együtműködési program TAPE -Innovációs labor kialakítása INTERREG V-A Szlovákia</t>
  </si>
  <si>
    <t>1301-5301</t>
  </si>
  <si>
    <t>Dunszentmiklósi kirendeltség</t>
  </si>
  <si>
    <t>Polgármesteri Hivatal belső udvari szennyvízcsatorna felújítása</t>
  </si>
  <si>
    <t>Éven belüli likvid hitel</t>
  </si>
  <si>
    <t>Helyi adók (eredeti)</t>
  </si>
  <si>
    <t>Díjak, pótlékok, bírságok (eredeti)</t>
  </si>
  <si>
    <t>Talajterhelési díj (eredeti)</t>
  </si>
  <si>
    <t>Tulajdonosi bevétel (használatba adásból, üzemeltetésbe adásból származó bevétel) (eredeti)</t>
  </si>
  <si>
    <t>Vaszary J. Általános Iskola ÖSSZESEN</t>
  </si>
  <si>
    <t>Biztosító által fizetett kártérítés és egyéb működési bevétel</t>
  </si>
  <si>
    <t>Tata Város Önkormányzata és a Tatai Közös Önkormányzati Hivatal által adott visszatérítendő és vissza nem térítendő
támogatások 2020. évi alakulása (e Ft-ban)</t>
  </si>
  <si>
    <t>Veszélyhelyzet miatt tárgyi eszköz beszerzések (lázmérők, ózongenerátor)</t>
  </si>
  <si>
    <t>Kommunikációs feladatokhoz Canon objektív</t>
  </si>
  <si>
    <t>Magyary Zoltán Művelődési Központ koncepcióterv</t>
  </si>
  <si>
    <t>Fényes fasor körforgalom engedélyezési és kivitelezési terv</t>
  </si>
  <si>
    <t>Magyary Zoltán Tudásközpont fejlesztéséhez szükséges tervezési feladatok</t>
  </si>
  <si>
    <t xml:space="preserve">Tata Építők parkjában városi zöld infrastruktúra fejlesztés TOP-2.1.2-15-KO1-2016-00002 </t>
  </si>
  <si>
    <t>Gyermekkönyv megálló</t>
  </si>
  <si>
    <t xml:space="preserve">Agostyáni úti kerékpárút forgalomba helyezéséhez szükséges közvilágítás kiépítése Feszty utcától Hollósy utcáig </t>
  </si>
  <si>
    <t>Tata, Baji úti kerékpárút fejlesztése TOP-3.1.1-16-KO1-2019-00006</t>
  </si>
  <si>
    <t>A bölcsődei kapacitás növelése férőhely bővítéssel Tatán, TOP-1.4.1-19-KO1-2019-0016</t>
  </si>
  <si>
    <t>Güntner Aréna hangtechnika átalakítása</t>
  </si>
  <si>
    <t>TOP-1.1.3-16-KO1-2017-00003 Helyi gazdaság erőforrásaira épülő piac-és agrárlogisztikai fejlesztés Tatán</t>
  </si>
  <si>
    <t>TOP-1.2.1-15-KO1-2016-00005 A tatai Kőfaragó-ház kézműves és aktív ökoturisztikai látogatóközpontként való rehabilitációja és a Kálvária-domb egységes turisztikai termékcsomagként való bemutatása</t>
  </si>
  <si>
    <t>Tatai Lengyel Nemzetiségi Önkormányzat veszélyhelyzeti adománya koronavírus járvány megfékezésére</t>
  </si>
  <si>
    <t>Működési célú támogatások államháztartáson kívülről (vissza nem térítendő)</t>
  </si>
  <si>
    <t>Veszélyhelyzeti általános tartalékhoz háztartásoktól, civil szervezetektől és vállalkozásoktól átvett pénzeszköz</t>
  </si>
  <si>
    <t>Bethlen Gábor Alapkezelő Zrt. támogatása</t>
  </si>
  <si>
    <t xml:space="preserve">Tatai Kistérségi Többcélú Társulástól elvonások és befizetések bevételei </t>
  </si>
  <si>
    <t>Kerékpárral a hét határon projekt támogatása</t>
  </si>
  <si>
    <t>Interspartól működési célú átvett pénzeszköz</t>
  </si>
  <si>
    <t>Felhalmozási célú támogatások államháztartáson kívülről (vissza nem térítendő)</t>
  </si>
  <si>
    <t>TOP-2.1.2-15-KO1-2016-00002 Tata Építők parkjában városi zöld infrastruktúra fejlesztés</t>
  </si>
  <si>
    <t>UNICEF Gyermekbarát település pályázati támogatás</t>
  </si>
  <si>
    <t>EFOP-4.1.7-16-2017-00181 Peron Music tehetséggondozó és képző központ létrehozása Tatán</t>
  </si>
  <si>
    <t>TOP-3.1.1-16-KO1-2019-00006, Tata, Baji úti kerékpárút fejlesztése</t>
  </si>
  <si>
    <t>TOP-1.4.1-19-KO1-2019-0016, A bölcsődei kapacitás növelése férőhely bővítéssel Tatán</t>
  </si>
  <si>
    <t>Tatai Önkéntes Bűnmegelőző Polgárőr Egyesület (általános tartalékból 500 E Ft)</t>
  </si>
  <si>
    <t>Iskola a gyermekekért Alapítvány támogatása (általános tartalékból)</t>
  </si>
  <si>
    <t>A tatai 6. számú gyermek háziorvosi körzet praxisjoga átadás-átvételének támogatása</t>
  </si>
  <si>
    <t>Tatai Hódy Sportegyesület támogatása</t>
  </si>
  <si>
    <t>Tatai háziorvosok, gyermekorvosok és fogorvosok támogatása koronavírus járvány megelőzésére (veszélyhelyzeti általános tartalékból)</t>
  </si>
  <si>
    <t>Szent Borbála Kórház támogatása koronavírus tesztgép vásárlásához</t>
  </si>
  <si>
    <t>Bursa Hungarica ösztöndíj (Magyar Államkincstár)</t>
  </si>
  <si>
    <t>Fellner Jakab Kulturális Közhasznú Alapítvány támogatása</t>
  </si>
  <si>
    <t>Helyi klímastratégia kidolgozása</t>
  </si>
  <si>
    <t>KEHOP-1.2.1-2018-00176</t>
  </si>
  <si>
    <t>A bölcsődei kapacitás növelése férőhely bővítéssel Tatán</t>
  </si>
  <si>
    <t>TOP-1.4.1-19-KO1-2019-00016</t>
  </si>
  <si>
    <t>Tata, Baji úti kerékpárút fejlesztése</t>
  </si>
  <si>
    <t>TOP-3.1.1-16-KO1-2019-00006</t>
  </si>
  <si>
    <t>Peron Music tehetséggondozó és képző központ létrehozása Tatán</t>
  </si>
  <si>
    <t xml:space="preserve">EFOP-4.1.7-16-2017-00181 </t>
  </si>
  <si>
    <t>Könyvtárfejlesztés Tatán</t>
  </si>
  <si>
    <t>EFOP-4.1.8-16-2017-00080</t>
  </si>
  <si>
    <t>Csatlakozási konstrukció az önkormányzati ASP rendszer országos kiterjesztéséhez</t>
  </si>
  <si>
    <t>KÖFOP-1.2.1-VEKOP-16-2017-010002</t>
  </si>
  <si>
    <t>Tata Építők parkjában városi zöld infrastruktúra fejlesztés</t>
  </si>
  <si>
    <t xml:space="preserve">TOP-2.1.2-15-KO1-2016-00002 </t>
  </si>
  <si>
    <t>Magyarország-Szlovákia Együttműködési program TAPE - Innovációs labor kialakítása - Interreg V-A Szlovákia</t>
  </si>
  <si>
    <t>Veszélyhelyzeti általános tartalék</t>
  </si>
  <si>
    <t>Laptopok beszerzése veszélyhelyzet miatt home office munkához</t>
  </si>
  <si>
    <t>Állományvédelmi raktár (pályázat+önrész)</t>
  </si>
  <si>
    <r>
      <t xml:space="preserve">2020. Eredeti előirányzat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</si>
  <si>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r>
      <t xml:space="preserve">2020. júniusi           I. módosított előirányzat            </t>
    </r>
    <r>
      <rPr>
        <sz val="11"/>
        <color rgb="FF000000"/>
        <rFont val="Times New Roman"/>
        <family val="1"/>
        <charset val="238"/>
      </rPr>
      <t xml:space="preserve"> Ft-ban</t>
    </r>
  </si>
  <si>
    <t>Eredeti mutató</t>
  </si>
  <si>
    <t>idegenforgalmi adó Ft</t>
  </si>
  <si>
    <t>BESZÁMÍTÁS  ÖSSZESEN     - adóerőképesség 2020-ra: 48 358 Ft</t>
  </si>
  <si>
    <t>Pedagógusok, akik 2019. jan 1-jei átsorolással megszerezték az alapfokú, Ped. II. minősítési kategóriát</t>
  </si>
  <si>
    <t>Pedagógusok, akik 2020. jan1-jei átsorolással megszerezték az alapfokú, Ped. II. minősítési kategóriát</t>
  </si>
  <si>
    <t xml:space="preserve">Hajléktalanok nappali intézményi ellátása -(társulással 239 100 Ft/fő + 20%) </t>
  </si>
  <si>
    <t xml:space="preserve">Hajléktalanok átmeneti intézményei (átmeneti szállás, éjjeli menedékhely) (társulással 569 350 Ft/fő + 10%) </t>
  </si>
  <si>
    <t>Bölcsőde, mini bölcsőde támogatása összesen</t>
  </si>
  <si>
    <t>A települési önkormányzatok kulturális feladatainak támogatása összesen</t>
  </si>
  <si>
    <t>3.mell. II.</t>
  </si>
  <si>
    <t xml:space="preserve">A HELYI ÖNKORMÁNYZATOK KIEGÉSZÍTŐ TÁMOGATÁSAI    - FELHALMOZÁSI CÉLÚ           </t>
  </si>
  <si>
    <t>II.30.</t>
  </si>
  <si>
    <t>Tatán az Öreg-tó körüli utak és sétány felújításának támogatása</t>
  </si>
  <si>
    <t>2. melléklet ÉS 3. melléklet jogcímeihez: ÁLLAMI TÁMOGATÁS MINDÖSSZESEN</t>
  </si>
  <si>
    <t xml:space="preserve">                                </t>
  </si>
  <si>
    <t xml:space="preserve">Beszámitás max.összege/beszám.alapja   549.226.706  Ft   </t>
  </si>
  <si>
    <t xml:space="preserve"> Támogatáscsökk. 2019. november</t>
  </si>
  <si>
    <t xml:space="preserve"> Támogatáscsökk. 2020.januártól</t>
  </si>
  <si>
    <t>Helyi közöségi közlekedés támogatása</t>
  </si>
  <si>
    <t>Könyvtárfejlesztés Tatán- EFOP-4.1.8-16-2017-00080</t>
  </si>
  <si>
    <t>Csatlakozási konstrukció az önkormányzat ASP rendszer országos kiterjesztéséhez KÖFOP-1.2.1-VEKOP-16-2017-010002</t>
  </si>
  <si>
    <t>Helyi klímastratégia kidolgozása - KEHOP-1.2.1-18-2018-00176</t>
  </si>
  <si>
    <t>Tatai Közös Önkormányzati Hivatal 2019 évi. működési és felhalmozási maradvány igénybevétele cél szerint (E Ft-ban)</t>
  </si>
  <si>
    <t>2019. évi maradvány</t>
  </si>
  <si>
    <t>Elvonás</t>
  </si>
  <si>
    <t>Intézmények Gazdasági Hivatala 2019 évi. működési és felhalmozási maradvány igénybevétele cél szerint (E Ft-ban)</t>
  </si>
  <si>
    <t>2019. évi  maradvány</t>
  </si>
  <si>
    <t xml:space="preserve"> - EMMI pályázat</t>
  </si>
  <si>
    <t>EMMI pályázat</t>
  </si>
  <si>
    <t xml:space="preserve"> -régészeti tevékenység</t>
  </si>
  <si>
    <t>Egyéb feladatokra</t>
  </si>
  <si>
    <t>Tatai Fürdő utcai Néphagyományőrző Óvoda</t>
  </si>
  <si>
    <t>Móricz Zsigmond Városi Könyvtár</t>
  </si>
  <si>
    <t>Egészségügyi Alapellátó Intézmény</t>
  </si>
  <si>
    <t>Önkormányzat fel nem osztott maradványa</t>
  </si>
  <si>
    <t xml:space="preserve">                 2020.
</t>
  </si>
  <si>
    <t>Pótlék, bírság (eredeti)</t>
  </si>
  <si>
    <t>Számítógép beszerzés</t>
  </si>
  <si>
    <t>Beruházás (számítógép beszerzés)</t>
  </si>
  <si>
    <t xml:space="preserve"> - Veszélyhelyzeti átalános tartalék</t>
  </si>
  <si>
    <t>Általános és veszélyhelyzeti általános tartalék</t>
  </si>
  <si>
    <t xml:space="preserve"> - Veszélyhelyzeti általános tartalék </t>
  </si>
  <si>
    <t xml:space="preserve"> - Veszélyhelyzeti általános tartalék</t>
  </si>
  <si>
    <t>1201-5201</t>
  </si>
  <si>
    <t>1202-5202</t>
  </si>
  <si>
    <t>1203-5203</t>
  </si>
  <si>
    <t>1204-5204</t>
  </si>
  <si>
    <t>1205-5205</t>
  </si>
  <si>
    <t>1206-5206</t>
  </si>
  <si>
    <t>1207-5207</t>
  </si>
  <si>
    <t>1208-5208</t>
  </si>
  <si>
    <t>1209-5209</t>
  </si>
  <si>
    <t>1210-5210</t>
  </si>
  <si>
    <t>1211-5211</t>
  </si>
  <si>
    <t>1212-5212</t>
  </si>
  <si>
    <t>Fertőző  megbete- gedések egelőzése, járványügyi ellátás</t>
  </si>
  <si>
    <t>Tata Város Önkormányzatának 2019. maradvány igénybevétele cél szerinti tagolásban (E Ft-ban)</t>
  </si>
  <si>
    <t>Tata Város Önkormányzatának 2020. évi tartalékai (E Ft-ban)</t>
  </si>
  <si>
    <t xml:space="preserve"> Tata Város Önkormányzatának 2020. évi közgazdasági mérlege (E Ft-ban)</t>
  </si>
  <si>
    <t>2020. évi működési célú bevételek és kiadások mérlege (E Ft-ban)</t>
  </si>
  <si>
    <t>Tata Város Önkormányzata és az általa irányított költségvetési szervek 2020. évi bevételei forrásonként (E Ft-ban)</t>
  </si>
  <si>
    <t>(kiemelt előirányzatok szerinti részletezésben) E Ft-ban</t>
  </si>
  <si>
    <t>Tata Város Önkormányzatának 2020. évi költségvetési terve (feladatok és kiemelt előirányzatok szerinti bontásban, E Ft-ban)</t>
  </si>
  <si>
    <t>Tatai Közös Önkormányzati Hivatal 2020. évi költségvetési terve (feladatok és kiemelt előirányzatok szerinti bontásban, E Ft-ban)</t>
  </si>
  <si>
    <t>10381-50381</t>
  </si>
  <si>
    <t>1105-5105</t>
  </si>
  <si>
    <t>EFOP-4.1.7-16-2017-00181 Peron Music Könnyűzenei Tehetséggondozó és Képző Központ létrehozása</t>
  </si>
  <si>
    <t>1106-5106</t>
  </si>
  <si>
    <t>EFOP-4.1.8-16-2017-00080 Könyvtárfejlesztés Tatán</t>
  </si>
  <si>
    <t>1107-5107</t>
  </si>
  <si>
    <t>KÖFOP-1.2.1-VEKOP-16-2017-010002 Csatlakozási konstrukció az önkormányzati ASP rendszer országos kiterjesztéséhez</t>
  </si>
  <si>
    <t>1116-5116</t>
  </si>
  <si>
    <t>1122-5122</t>
  </si>
  <si>
    <t>KEHOP-1.2.1-18-2018-00176 Helyi klímastratégia kidolgozása</t>
  </si>
  <si>
    <t>1123-5123</t>
  </si>
  <si>
    <t>TOP-1.4.1-16-KO1-2019-00016 A bölcsődei kapacitás növelése férőhely bővítéssel Tatán</t>
  </si>
  <si>
    <t>1124-5124</t>
  </si>
  <si>
    <t xml:space="preserve">TOP-3.1.1-16-KO1-2019-00006 Tata Baji úti kerékpárút fejlesztése </t>
  </si>
  <si>
    <t>Intézmények Gazdasági Hivatalához tartozó önállóan működő intézmények 2020. évi költségvetése E Ft-ban</t>
  </si>
  <si>
    <t>Tata Város Önkormányzata által folyósított 2020. évi ellátottak pénzbeli és természetbeni juttatásának
részletezése (E Ft-ban)</t>
  </si>
  <si>
    <t>2020. évi kapott visszatérítendő és vissza nem térítendő támogatások és pénzeszközátvételek alakulása Tata Város Önkormányzatánál és a Tatai Közös Önkormányzati Hivatalnál (E Ft-ban)</t>
  </si>
  <si>
    <t>2020-2026-ig a hosszú lejáratú felhalmozási hitel visszafizetéseket figyelembe véve (E Ft-ban)</t>
  </si>
  <si>
    <t>Az Önkormányzat már meglévő adósságot keletkeztető ügyleteinek és azok fedezetére felhasználható saját bevételeink
alakulása (E Ft-ban)</t>
  </si>
  <si>
    <t>Tata Város Önkormányzatának 2019. évi maradvány igénybevétele cél szerinti tagolásban (E Ft-ban)</t>
  </si>
  <si>
    <t>2020. évi felújítási kiadások célonként (ÁFA-val) E Ft-ban</t>
  </si>
  <si>
    <t>Intézmények Gazdasági Hivatalához tartozó  önállóan működő intézmények 2020. évi költségvetése E Ft-ban</t>
  </si>
  <si>
    <t>Egyéb felhalmozási bevétel</t>
  </si>
  <si>
    <t>Finanszírozás</t>
  </si>
  <si>
    <t xml:space="preserve">Áru és készlet értékesítés </t>
  </si>
  <si>
    <t>Biztosító által fizetett kártérítés és egyéb működési bevételek</t>
  </si>
  <si>
    <t>Átvett működési célra</t>
  </si>
  <si>
    <t>Átvett felhalmozási célra</t>
  </si>
  <si>
    <t>Támogatás értékű felhalmozási célra</t>
  </si>
  <si>
    <t>2020. évi beruházási kiadások feladatonként (ÁFA-val) E Ft-ban</t>
  </si>
  <si>
    <t>Tata Város Önkormányzat Európai Uniós támogatással megvalósuló projektjei (E Ft-ban)*</t>
  </si>
  <si>
    <t>Agostyán, Szabadság utca alsó szakasz vízrendezés</t>
  </si>
  <si>
    <t>Kastély téri energiaellátás biztosításához földkábel és villamos elosztó berendezések és ivóvíz vételezési helyek építési munkájának elvégzése (862 E Ft általános tartalékból)</t>
  </si>
  <si>
    <t>2019. évi
maradvány</t>
  </si>
  <si>
    <t>Egyéb működési célú támogatások
(vissza nem térítendő)</t>
  </si>
  <si>
    <t>Egyéb elvonások, befizetések</t>
  </si>
  <si>
    <t>51/2020. (III.20.) számú kormány rendelet alapján bölcsődei kiegészítő pótlék támogatás</t>
  </si>
  <si>
    <t>SKHU/1802/3.1/015</t>
  </si>
  <si>
    <t>Tatai Közös Önkormányzati Hivatal pénzmaradvánnyal való elszámolása és többletfinanszírozás rendezése</t>
  </si>
  <si>
    <t>Önkormányzati diákmunkához támogatás</t>
  </si>
  <si>
    <t xml:space="preserve">Komárom-Esztergom Megyei Polgárőr Szövetség </t>
  </si>
  <si>
    <t>Higiéniai állomás (veszélyhelyzeti általános tartalékból)</t>
  </si>
  <si>
    <t>Hulladéktárolók beszerzése</t>
  </si>
  <si>
    <t>Piac tér csapadékvíz elvezetés I. ütem</t>
  </si>
  <si>
    <t>1115-5115</t>
  </si>
  <si>
    <t>Mód. (VIII.hó)</t>
  </si>
  <si>
    <t>Mód. 
(VIII.hó)</t>
  </si>
  <si>
    <t>Mód.
(VIII.hó)</t>
  </si>
  <si>
    <t xml:space="preserve">Mód.
(VIII.hó)
</t>
  </si>
  <si>
    <t>Mód.(VIII.hó)</t>
  </si>
  <si>
    <t>Árnyékolás/homlokzati üvegfelület</t>
  </si>
  <si>
    <t>Játszóudvar építkezés utáni felújítása, gyeptégla</t>
  </si>
  <si>
    <t>Udvari mászóka</t>
  </si>
  <si>
    <t>Egyéb gépek, berendezések beszerzése</t>
  </si>
  <si>
    <t>Német Nemzetiségi Múzeum híd (balesetveszély elhárítás)</t>
  </si>
  <si>
    <t>Régi rendelőintézet vagyonvédelme (kamerarendszer és biztonsági rendszer)</t>
  </si>
  <si>
    <t>Csoportszobákban bútorlapból falburkolat felhelyzése, beépített szekrények felújítása</t>
  </si>
  <si>
    <t>Mód. (XI.hó)</t>
  </si>
  <si>
    <t>Mód. 
(XI.hó)</t>
  </si>
  <si>
    <t xml:space="preserve">Mód.
(XI.hó)
</t>
  </si>
  <si>
    <t>Mód.
(XI.hó)</t>
  </si>
  <si>
    <t>Mód.
(VIII. hó)</t>
  </si>
  <si>
    <t>Mód.(XI.hó)</t>
  </si>
  <si>
    <t>Mód.(XI..hó)</t>
  </si>
  <si>
    <t>Richter Egészségváros program gyermekügyelet eszközök beszerzése</t>
  </si>
  <si>
    <t>Deák Ferenc utcai raktár gázkazán és kapcsolódó beruházások</t>
  </si>
  <si>
    <t>Magyary Zoltán Tudásközpont felújítása (CLLD pályázat)</t>
  </si>
  <si>
    <t>Hajdú utca csapadékcsatorna és Eszetházy kastély forrástó kialakítása</t>
  </si>
  <si>
    <t>Önkormányzati diákmunka és egyéb bértámogatás</t>
  </si>
  <si>
    <t>Dunaszentmiklósi időközi önkormányzati választások</t>
  </si>
  <si>
    <t>Concerto Nonprofit Kft. - 14. Tatai Schiffer Ervin Nemzetközi Zenei Mesterkurzus támogatása általános tartalékból</t>
  </si>
  <si>
    <t xml:space="preserve">Rákóczi Szövetség - szőgyéni diákok támogatása </t>
  </si>
  <si>
    <t>Tatai Sportegyesület támogatása (általános tartalékból)</t>
  </si>
  <si>
    <t>Tatai háziorvosok, gyermekorvosok és fogorvosok támogatása (általános tartalékból)</t>
  </si>
  <si>
    <t>Barcsa Pál Erdélyi táj című festmény(általános tartalékból)</t>
  </si>
  <si>
    <t>Haranglából -Agostyánig, Tata Országgyűlés tértől Agostyán városrészig létesítendő kerékpárút I. ütem TOP-3.1.1-16-KO1-2017-00004 (1372 E Ft ált.tartalékból)</t>
  </si>
  <si>
    <t>Feszty Adolf emléktábla (általános tartalékból)</t>
  </si>
  <si>
    <t>Mentőállomás részére tárgyi eszköz beszerzés (általános tartalékból)</t>
  </si>
  <si>
    <t>Dekorációs tábla Csillagsziget Bölcsőde részére (általános tartalék)</t>
  </si>
  <si>
    <t>11403-55403</t>
  </si>
  <si>
    <t>Önkormányzati választáshoz kapcsolódó tevékenységek</t>
  </si>
  <si>
    <t>Mód.(VII.08.)</t>
  </si>
  <si>
    <t>Biztosító által fizetett kártérítés
 és egyéb működési bevétel</t>
  </si>
  <si>
    <t>Mód.
 (VIII.hó)</t>
  </si>
  <si>
    <t>Finanszírozási
kiadások</t>
  </si>
  <si>
    <t>Költség-
vetési
szerveknek
folyósított
támogatás</t>
  </si>
  <si>
    <t xml:space="preserve">Önként vállalt </t>
  </si>
  <si>
    <t>Előző évi pénz-
maradvány</t>
  </si>
  <si>
    <t>Saját
bevételek</t>
  </si>
  <si>
    <t>Felhalmozási zárolt tartalék</t>
  </si>
  <si>
    <t>Lo-Presti forrásvíz elvezetése</t>
  </si>
  <si>
    <t>-Helyi gazdaság erőforrásaira épülő piac és agrárlogisztikai fejlesztés Tatán - TOP-1.1.3-15-KO1-2016-0000</t>
  </si>
  <si>
    <t>-A tatai Szivárvány Óvoda épületenergetikai megújítása - TOP-3.2.1-16-KO1-2017-00007</t>
  </si>
  <si>
    <t>-Magyary Tudásközpont teljesítéséhez szükséges terv. feladatok elvégzése</t>
  </si>
  <si>
    <t xml:space="preserve">Közösségi közlekedés szolgáltatója részére működési költségtérítés </t>
  </si>
  <si>
    <t>József Attila utcában burkolt árok készítése</t>
  </si>
  <si>
    <t>Vaszary villában műalkotás készítése</t>
  </si>
  <si>
    <t>Agostyáni kerékpárúton közvilágítás tervezése</t>
  </si>
  <si>
    <t>Digitális lázmérők beszerzése</t>
  </si>
  <si>
    <t>Fényes-fürdő üdülőbe kisértékű tárgyi eszköz beszerzés - villanybojler és egyéb</t>
  </si>
  <si>
    <t>Közterület-felügyelet részére egyéb kisértékű tárgyi eszköz és informatikai eszköz beszerzés</t>
  </si>
  <si>
    <t>Tárgyévi bevételek (maradvány és hitelbevétel nélkül)</t>
  </si>
  <si>
    <t>*Adatok forrása: pályázati szintű projektanalitikák, benyújtott pályázatok és megkötött támogatási szerződések és a jelen rendelet 5. sz. mellékletei</t>
  </si>
  <si>
    <r>
      <t xml:space="preserve">2020. júniusi               I. módosított előirányzat  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</si>
  <si>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r>
      <t xml:space="preserve">2020. augusztusi               II. módosított előirányzat  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</si>
  <si>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r>
      <t xml:space="preserve">2020. novemberi               III. módosított előirányzat               </t>
    </r>
    <r>
      <rPr>
        <sz val="11"/>
        <color rgb="FF000000"/>
        <rFont val="Times New Roman"/>
        <family val="1"/>
        <charset val="238"/>
      </rPr>
      <t xml:space="preserve"> E Ft-ban</t>
    </r>
  </si>
  <si>
    <r>
      <t xml:space="preserve">Üdülőhelyi feladatok támogatása </t>
    </r>
    <r>
      <rPr>
        <i/>
        <sz val="12"/>
        <color rgb="FF000000"/>
        <rFont val="Times New Roman CE"/>
        <charset val="2"/>
      </rPr>
      <t>(2018. évi beszám. adata)</t>
    </r>
  </si>
  <si>
    <t>szoc étkeztetés - technikai korrekció kerekítés miatt</t>
  </si>
  <si>
    <r>
      <t>Összegér</t>
    </r>
    <r>
      <rPr>
        <sz val="10"/>
        <color rgb="FF000000"/>
        <rFont val="Arial"/>
        <family val="2"/>
        <charset val="238"/>
      </rPr>
      <t>ő</t>
    </r>
    <r>
      <rPr>
        <sz val="10"/>
        <color rgb="FF000000"/>
        <rFont val="Times New Roman"/>
        <family val="1"/>
        <charset val="238"/>
      </rPr>
      <t>l  az  államháztartásért  felelős miniszter 2019. december 15-éig dönt,ezért a 2019. májusi jóváhagyott összeggel terveztünk.</t>
    </r>
  </si>
  <si>
    <r>
      <t>Települési önkormányzatok nyilvános könyvtári és közm</t>
    </r>
    <r>
      <rPr>
        <sz val="12"/>
        <color rgb="FF000000"/>
        <rFont val="Arial"/>
        <family val="2"/>
        <charset val="238"/>
      </rPr>
      <t>ű</t>
    </r>
    <r>
      <rPr>
        <sz val="12"/>
        <color rgb="FF000000"/>
        <rFont val="Times New Roman"/>
        <family val="1"/>
        <charset val="238"/>
      </rPr>
      <t>vel</t>
    </r>
    <r>
      <rPr>
        <sz val="12"/>
        <color rgb="FF000000"/>
        <rFont val="Arial"/>
        <family val="2"/>
        <charset val="238"/>
      </rPr>
      <t>ő</t>
    </r>
    <r>
      <rPr>
        <sz val="12"/>
        <color rgb="FF000000"/>
        <rFont val="Times New Roman"/>
        <family val="1"/>
        <charset val="238"/>
      </rPr>
      <t>dési feladatainak támogatása</t>
    </r>
  </si>
  <si>
    <t>305/2020. (VI.30.) korm hat alapján támogatás minimálbér és garantált bérminimum többletére</t>
  </si>
  <si>
    <t>I.10.i)</t>
  </si>
  <si>
    <r>
      <t xml:space="preserve">Önkormányzati elszámolások - </t>
    </r>
    <r>
      <rPr>
        <sz val="11"/>
        <color rgb="FF000000"/>
        <rFont val="Times New Roman CE"/>
        <charset val="238"/>
      </rPr>
      <t xml:space="preserve">Tata Város Önkormányzatánál a bevallott, de meg nem fizetett idegenforgalmi adó összegével megegyező negyedéves támogatási összeg </t>
    </r>
  </si>
  <si>
    <t>I.13.d)</t>
  </si>
  <si>
    <t>A települési önkormányzatok könyvtári célú érdekeltségnövelő támogatása</t>
  </si>
  <si>
    <t>BMÖGF/725-3/2020-as támogatói okirat alapján vissza nem térítendő támogatás a "Lo Presti-forrás vízelvezetésére"</t>
  </si>
  <si>
    <r>
      <t>Önkormányzati Hivatal működésének támogatása (</t>
    </r>
    <r>
      <rPr>
        <sz val="12"/>
        <color rgb="FF000000"/>
        <rFont val="Calibri"/>
        <family val="2"/>
        <charset val="238"/>
      </rPr>
      <t>Közös Hiv. 26 628 fő lakos 2019.01.01-jén</t>
    </r>
    <r>
      <rPr>
        <sz val="11"/>
        <color theme="1"/>
        <rFont val="Calibri"/>
        <family val="2"/>
        <charset val="238"/>
        <scheme val="minor"/>
      </rPr>
      <t>)</t>
    </r>
  </si>
  <si>
    <r>
      <t>Egyéb önkormányzati feladat támogatása (</t>
    </r>
    <r>
      <rPr>
        <sz val="12"/>
        <color rgb="FF000000"/>
        <rFont val="Calibri"/>
        <family val="2"/>
        <charset val="238"/>
      </rPr>
      <t>Tata-Agostyán lakosság: 23 169 fő</t>
    </r>
    <r>
      <rPr>
        <sz val="11"/>
        <color theme="1"/>
        <rFont val="Calibri"/>
        <family val="2"/>
        <charset val="238"/>
        <scheme val="minor"/>
      </rPr>
      <t>)</t>
    </r>
  </si>
  <si>
    <r>
      <t xml:space="preserve">Házi segítségnyújtáshoz </t>
    </r>
    <r>
      <rPr>
        <b/>
        <i/>
        <sz val="12"/>
        <color rgb="FF000000"/>
        <rFont val="Calibri"/>
        <family val="2"/>
        <charset val="238"/>
      </rPr>
      <t xml:space="preserve">Szociális segítés </t>
    </r>
    <r>
      <rPr>
        <sz val="11"/>
        <color theme="1"/>
        <rFont val="Calibri"/>
        <family val="2"/>
        <charset val="238"/>
        <scheme val="minor"/>
      </rPr>
      <t xml:space="preserve">- (társulással  25 000 FT +30%) </t>
    </r>
  </si>
  <si>
    <r>
      <t xml:space="preserve">Házi segítségnyújtáshoz </t>
    </r>
    <r>
      <rPr>
        <b/>
        <i/>
        <sz val="12"/>
        <color rgb="FF000000"/>
        <rFont val="Calibri"/>
        <family val="2"/>
        <charset val="238"/>
      </rPr>
      <t xml:space="preserve">Személyi gondozás </t>
    </r>
    <r>
      <rPr>
        <sz val="11"/>
        <color theme="1"/>
        <rFont val="Calibri"/>
        <family val="2"/>
        <charset val="238"/>
        <scheme val="minor"/>
      </rPr>
      <t xml:space="preserve">- (társulással 330 000 Ft/fő + 30%) </t>
    </r>
  </si>
  <si>
    <t>Mód.
(VIII.
hó)</t>
  </si>
  <si>
    <t>Közvetített szolgáltatás</t>
  </si>
  <si>
    <t>Szolgáltatások</t>
  </si>
  <si>
    <t>Az Önkormányzat 2020. évi fejlesztési céljai, melyekhez fejlesztési célú hitel lehívása szükséges megkötött
szerződés alapján (E Ft-ban)</t>
  </si>
  <si>
    <r>
      <t>Előirányzat</t>
    </r>
    <r>
      <rPr>
        <b/>
        <sz val="12"/>
        <color rgb="FF000000"/>
        <rFont val="Times New Roman"/>
        <family val="1"/>
        <charset val="238"/>
      </rPr>
      <t xml:space="preserve">           </t>
    </r>
    <r>
      <rPr>
        <sz val="12"/>
        <color rgb="FF000000"/>
        <rFont val="Times New Roman"/>
        <family val="1"/>
        <charset val="238"/>
      </rPr>
      <t>Ft-ban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</si>
</sst>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[$-40E]General"/>
    <numFmt numFmtId="165" formatCode="_-* #,##0.00\ _F_t_-;\-* #,##0.00\ _F_t_-;_-* \-??\ _F_t_-;_-@_-"/>
    <numFmt numFmtId="166" formatCode="#,##0_ ;\-#,##0\ "/>
    <numFmt numFmtId="167" formatCode="0.0"/>
    <numFmt numFmtId="168" formatCode="#,##0.0"/>
    <numFmt numFmtId="169" formatCode="#,##0&quot; &quot;[$Ft-40E];[Red]#,##0&quot; &quot;[$Ft-40E]"/>
    <numFmt numFmtId="170" formatCode="&quot; &quot;#,##0.00&quot; &quot;;&quot;-&quot;#,##0.00&quot; &quot;;&quot; -&quot;00&quot; &quot;;&quot; &quot;@&quot; &quot;"/>
    <numFmt numFmtId="171" formatCode="&quot; &quot;#,##0.0&quot; &quot;;&quot;-&quot;#,##0.0&quot; &quot;;&quot; -&quot;00&quot; &quot;;&quot; &quot;@&quot; &quot;"/>
    <numFmt numFmtId="172" formatCode="[$-40E]#,##0"/>
  </numFmts>
  <fonts count="103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1"/>
      <name val="Times New Roman CE"/>
      <family val="1"/>
      <charset val="238"/>
    </font>
    <font>
      <sz val="11"/>
      <color theme="1"/>
      <name val="Times New Roman CE"/>
      <charset val="238"/>
    </font>
    <font>
      <b/>
      <sz val="11"/>
      <name val="Times New Roman CE"/>
      <charset val="238"/>
    </font>
    <font>
      <sz val="11"/>
      <name val="Times New Roman CE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i/>
      <sz val="11"/>
      <name val="Times New Roman"/>
      <family val="1"/>
      <charset val="238"/>
    </font>
    <font>
      <i/>
      <sz val="11"/>
      <name val="Times New Roman CE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/>
      <name val="Times New Roman CE"/>
      <family val="1"/>
      <charset val="238"/>
    </font>
    <font>
      <b/>
      <u/>
      <sz val="11"/>
      <name val="Times New Roman CE"/>
      <family val="1"/>
      <charset val="238"/>
    </font>
    <font>
      <b/>
      <i/>
      <sz val="1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 CE"/>
      <family val="2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i/>
      <sz val="11"/>
      <name val="Times New Roman CE"/>
      <charset val="238"/>
    </font>
    <font>
      <sz val="10"/>
      <color theme="1"/>
      <name val="Arial CE"/>
      <charset val="238"/>
    </font>
    <font>
      <b/>
      <sz val="11"/>
      <color theme="1"/>
      <name val="Times New Roman"/>
      <family val="1"/>
      <charset val="238"/>
    </font>
    <font>
      <sz val="11"/>
      <color rgb="FF000000"/>
      <name val="Arial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Times New Roman"/>
      <family val="1"/>
    </font>
    <font>
      <b/>
      <u/>
      <sz val="11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  <charset val="238"/>
    </font>
    <font>
      <b/>
      <sz val="11"/>
      <color theme="1"/>
      <name val="Times New Roman CE"/>
      <charset val="238"/>
    </font>
    <font>
      <sz val="11"/>
      <color indexed="10"/>
      <name val="Times New Roman"/>
      <family val="1"/>
      <charset val="238"/>
    </font>
    <font>
      <sz val="8"/>
      <color theme="1"/>
      <name val="Times New Roman CE"/>
      <charset val="238"/>
    </font>
    <font>
      <sz val="12"/>
      <color theme="1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b/>
      <sz val="6"/>
      <color rgb="FF000000"/>
      <name val="Times New Roman1"/>
      <charset val="238"/>
    </font>
    <font>
      <b/>
      <sz val="8"/>
      <color theme="1"/>
      <name val="Times New Roman CE"/>
      <charset val="238"/>
    </font>
    <font>
      <sz val="12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i/>
      <sz val="12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0"/>
      <color rgb="FF000000"/>
      <name val="Arial CE"/>
      <charset val="238"/>
    </font>
    <font>
      <b/>
      <i/>
      <sz val="11"/>
      <color rgb="FF000000"/>
      <name val="Times New Roman"/>
      <family val="1"/>
      <charset val="238"/>
    </font>
    <font>
      <sz val="8"/>
      <color rgb="FF000000"/>
      <name val="Times New Roman CE"/>
      <charset val="238"/>
    </font>
    <font>
      <sz val="8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Tahoma"/>
      <family val="2"/>
      <charset val="238"/>
    </font>
    <font>
      <sz val="9"/>
      <color rgb="FF000000"/>
      <name val="Tahoma"/>
      <family val="2"/>
      <charset val="238"/>
    </font>
    <font>
      <b/>
      <sz val="12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color theme="1"/>
      <name val="Times New Roman CE"/>
      <charset val="238"/>
    </font>
    <font>
      <sz val="10"/>
      <color theme="1"/>
      <name val="Times New Roman"/>
      <family val="1"/>
      <charset val="238"/>
    </font>
    <font>
      <sz val="12"/>
      <color theme="1"/>
      <name val="Times New Roman CE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3"/>
      <color rgb="FF000000"/>
      <name val="Times New Roman"/>
      <family val="1"/>
      <charset val="238"/>
    </font>
    <font>
      <b/>
      <sz val="8"/>
      <color rgb="FF000000"/>
      <name val="Times New Roman1"/>
      <charset val="238"/>
    </font>
    <font>
      <b/>
      <sz val="8"/>
      <color rgb="FF000000"/>
      <name val="Times New Roman"/>
      <family val="1"/>
      <charset val="238"/>
    </font>
    <font>
      <sz val="8"/>
      <color rgb="FF000000"/>
      <name val="Times New Roman1"/>
      <charset val="238"/>
    </font>
    <font>
      <b/>
      <sz val="10"/>
      <color rgb="FF000000"/>
      <name val="Times New Roman1"/>
      <charset val="238"/>
    </font>
    <font>
      <i/>
      <sz val="11"/>
      <color theme="1"/>
      <name val="Times New Roman"/>
      <family val="1"/>
      <charset val="238"/>
    </font>
    <font>
      <b/>
      <sz val="14"/>
      <color rgb="FF000000"/>
      <name val="Times New Roman CE"/>
      <charset val="238"/>
    </font>
    <font>
      <sz val="12"/>
      <color rgb="FF000000"/>
      <name val="Calibri"/>
      <family val="2"/>
      <charset val="238"/>
    </font>
    <font>
      <sz val="12"/>
      <color rgb="FF000000"/>
      <name val="Times New Roman CE"/>
      <family val="1"/>
      <charset val="238"/>
    </font>
    <font>
      <b/>
      <sz val="12"/>
      <color rgb="FF000000"/>
      <name val="Times New Roman CE"/>
      <family val="1"/>
      <charset val="238"/>
    </font>
    <font>
      <sz val="10"/>
      <color rgb="FF000000"/>
      <name val="Times New Roman CE"/>
      <family val="1"/>
      <charset val="238"/>
    </font>
    <font>
      <b/>
      <sz val="12"/>
      <color rgb="FF000000"/>
      <name val="Calibri"/>
      <family val="2"/>
      <charset val="238"/>
    </font>
    <font>
      <b/>
      <sz val="12"/>
      <color rgb="FF000000"/>
      <name val="Times New Roman CE"/>
      <charset val="238"/>
    </font>
    <font>
      <sz val="10"/>
      <color rgb="FF000000"/>
      <name val="Times New Roman CE"/>
      <charset val="238"/>
    </font>
    <font>
      <b/>
      <i/>
      <sz val="12"/>
      <color rgb="FF000000"/>
      <name val="Times New Roman CE"/>
      <charset val="238"/>
    </font>
    <font>
      <i/>
      <sz val="12"/>
      <color rgb="FF000000"/>
      <name val="Times New Roman CE"/>
      <charset val="238"/>
    </font>
    <font>
      <sz val="12"/>
      <color rgb="FF000000"/>
      <name val="Times New Roman CE"/>
      <charset val="238"/>
    </font>
    <font>
      <i/>
      <sz val="12"/>
      <color rgb="FF000000"/>
      <name val="Times New Roman CE"/>
      <family val="1"/>
      <charset val="238"/>
    </font>
    <font>
      <i/>
      <sz val="12"/>
      <color rgb="FF000000"/>
      <name val="Times New Roman CE"/>
      <charset val="2"/>
    </font>
    <font>
      <sz val="8"/>
      <color rgb="FF000000"/>
      <name val="Calibri"/>
      <family val="2"/>
      <charset val="238"/>
    </font>
    <font>
      <sz val="11"/>
      <color rgb="FF000000"/>
      <name val="Times New Roman CE"/>
      <charset val="238"/>
    </font>
    <font>
      <b/>
      <sz val="10"/>
      <color rgb="FF000000"/>
      <name val="Times New Roman CE"/>
      <charset val="238"/>
    </font>
    <font>
      <b/>
      <sz val="12"/>
      <color rgb="FFC00000"/>
      <name val="Calibri"/>
      <family val="2"/>
      <charset val="238"/>
    </font>
    <font>
      <b/>
      <i/>
      <sz val="12"/>
      <color rgb="FF000000"/>
      <name val="Calibri"/>
      <family val="2"/>
      <charset val="238"/>
    </font>
    <font>
      <sz val="8"/>
      <color rgb="FF000000"/>
      <name val="Times New Roman CE"/>
      <family val="1"/>
      <charset val="238"/>
    </font>
    <font>
      <sz val="9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Times New Roman CE"/>
      <charset val="238"/>
    </font>
    <font>
      <sz val="12"/>
      <color rgb="FF000000"/>
      <name val="Arial"/>
      <family val="2"/>
      <charset val="238"/>
    </font>
    <font>
      <b/>
      <sz val="11"/>
      <color rgb="FF000000"/>
      <name val="Times New Roman CE"/>
      <charset val="238"/>
    </font>
    <font>
      <sz val="12"/>
      <name val="Calibri"/>
      <family val="2"/>
      <charset val="238"/>
    </font>
    <font>
      <sz val="12"/>
      <name val="Times New Roman CE"/>
      <charset val="238"/>
    </font>
    <font>
      <b/>
      <i/>
      <sz val="12"/>
      <name val="Times New Roman"/>
      <family val="1"/>
      <charset val="238"/>
    </font>
    <font>
      <sz val="14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E699"/>
        <bgColor rgb="FFFFE699"/>
      </patternFill>
    </fill>
    <fill>
      <patternFill patternType="solid">
        <fgColor rgb="FFC6E0B4"/>
        <bgColor rgb="FFC6E0B4"/>
      </patternFill>
    </fill>
    <fill>
      <patternFill patternType="solid">
        <fgColor rgb="FFC7A0CB"/>
        <bgColor rgb="FFC7A0CB"/>
      </patternFill>
    </fill>
    <fill>
      <patternFill patternType="solid">
        <fgColor theme="0"/>
        <bgColor rgb="FFFFFFFF"/>
      </patternFill>
    </fill>
    <fill>
      <patternFill patternType="solid">
        <fgColor theme="7" tint="0.39997558519241921"/>
        <bgColor rgb="FFFFFFFF"/>
      </patternFill>
    </fill>
  </fills>
  <borders count="196">
    <border>
      <left/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indexed="64"/>
      </bottom>
      <diagonal/>
    </border>
    <border>
      <left style="double">
        <color rgb="FF000000"/>
      </left>
      <right/>
      <top style="medium">
        <color indexed="64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/>
      <right style="medium">
        <color indexed="64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double">
        <color rgb="FF000000"/>
      </right>
      <top style="medium">
        <color indexed="64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/>
      <right/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</borders>
  <cellStyleXfs count="24">
    <xf numFmtId="0" fontId="0" fillId="0" borderId="0"/>
    <xf numFmtId="0" fontId="1" fillId="0" borderId="0"/>
    <xf numFmtId="0" fontId="8" fillId="0" borderId="0"/>
    <xf numFmtId="0" fontId="9" fillId="0" borderId="0"/>
    <xf numFmtId="0" fontId="18" fillId="0" borderId="0"/>
    <xf numFmtId="0" fontId="19" fillId="0" borderId="0"/>
    <xf numFmtId="0" fontId="8" fillId="0" borderId="0"/>
    <xf numFmtId="0" fontId="18" fillId="0" borderId="0"/>
    <xf numFmtId="164" fontId="23" fillId="0" borderId="0"/>
    <xf numFmtId="0" fontId="9" fillId="0" borderId="0"/>
    <xf numFmtId="0" fontId="25" fillId="0" borderId="0"/>
    <xf numFmtId="165" fontId="8" fillId="0" borderId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18" fillId="0" borderId="0"/>
    <xf numFmtId="164" fontId="18" fillId="0" borderId="0" applyBorder="0" applyProtection="0"/>
    <xf numFmtId="0" fontId="49" fillId="0" borderId="0" applyNumberFormat="0" applyBorder="0" applyProtection="0"/>
    <xf numFmtId="170" fontId="18" fillId="0" borderId="0" applyFont="0" applyFill="0" applyBorder="0" applyAlignment="0" applyProtection="0"/>
    <xf numFmtId="0" fontId="54" fillId="0" borderId="0" applyNumberFormat="0" applyBorder="0" applyProtection="0"/>
    <xf numFmtId="164" fontId="66" fillId="0" borderId="0"/>
  </cellStyleXfs>
  <cellXfs count="2456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2" xfId="0" applyFont="1" applyBorder="1" applyAlignment="1">
      <alignment vertical="center"/>
    </xf>
    <xf numFmtId="0" fontId="10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10" fillId="0" borderId="0" xfId="1" applyFont="1" applyAlignment="1">
      <alignment vertical="center" wrapText="1"/>
    </xf>
    <xf numFmtId="0" fontId="2" fillId="0" borderId="7" xfId="2" applyFont="1" applyBorder="1" applyAlignment="1">
      <alignment vertical="center" wrapText="1"/>
    </xf>
    <xf numFmtId="0" fontId="2" fillId="0" borderId="0" xfId="1" applyFont="1" applyAlignment="1">
      <alignment vertical="center" wrapText="1"/>
    </xf>
    <xf numFmtId="3" fontId="2" fillId="0" borderId="0" xfId="1" applyNumberFormat="1" applyFont="1" applyAlignment="1">
      <alignment vertical="center"/>
    </xf>
    <xf numFmtId="0" fontId="16" fillId="0" borderId="0" xfId="1" applyFont="1" applyAlignment="1">
      <alignment vertical="center" wrapText="1"/>
    </xf>
    <xf numFmtId="3" fontId="16" fillId="0" borderId="0" xfId="1" applyNumberFormat="1" applyFont="1" applyAlignment="1">
      <alignment vertical="center"/>
    </xf>
    <xf numFmtId="3" fontId="4" fillId="0" borderId="0" xfId="1" applyNumberFormat="1" applyFont="1" applyAlignment="1">
      <alignment vertical="center"/>
    </xf>
    <xf numFmtId="3" fontId="10" fillId="0" borderId="0" xfId="1" applyNumberFormat="1" applyFont="1" applyAlignment="1">
      <alignment vertical="center" wrapText="1"/>
    </xf>
    <xf numFmtId="3" fontId="4" fillId="0" borderId="0" xfId="1" applyNumberFormat="1" applyFont="1" applyAlignment="1">
      <alignment horizontal="right" vertical="center"/>
    </xf>
    <xf numFmtId="0" fontId="4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4" fillId="0" borderId="4" xfId="0" applyNumberFormat="1" applyFont="1" applyBorder="1" applyAlignment="1">
      <alignment vertical="center" shrinkToFit="1"/>
    </xf>
    <xf numFmtId="3" fontId="14" fillId="0" borderId="12" xfId="0" applyNumberFormat="1" applyFont="1" applyBorder="1" applyAlignment="1">
      <alignment vertical="center" shrinkToFit="1"/>
    </xf>
    <xf numFmtId="3" fontId="14" fillId="0" borderId="4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12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3" fontId="13" fillId="0" borderId="0" xfId="9" applyNumberFormat="1" applyFont="1" applyAlignment="1">
      <alignment horizontal="left" vertical="center" wrapText="1"/>
    </xf>
    <xf numFmtId="0" fontId="13" fillId="0" borderId="0" xfId="9" applyFont="1" applyAlignment="1">
      <alignment vertical="center" wrapText="1"/>
    </xf>
    <xf numFmtId="166" fontId="13" fillId="0" borderId="0" xfId="11" applyNumberFormat="1" applyFont="1" applyAlignment="1">
      <alignment horizontal="left" vertical="center" wrapText="1"/>
    </xf>
    <xf numFmtId="166" fontId="14" fillId="0" borderId="0" xfId="9" applyNumberFormat="1" applyFont="1" applyAlignment="1">
      <alignment horizontal="left" vertical="center" wrapText="1"/>
    </xf>
    <xf numFmtId="3" fontId="14" fillId="0" borderId="0" xfId="9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 wrapText="1"/>
    </xf>
    <xf numFmtId="3" fontId="14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13" fillId="0" borderId="0" xfId="9" applyFont="1" applyAlignment="1">
      <alignment vertical="center"/>
    </xf>
    <xf numFmtId="0" fontId="14" fillId="0" borderId="0" xfId="12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14" fillId="0" borderId="0" xfId="9" applyFont="1" applyAlignment="1">
      <alignment vertical="center"/>
    </xf>
    <xf numFmtId="0" fontId="13" fillId="4" borderId="0" xfId="9" applyFont="1" applyFill="1" applyAlignment="1">
      <alignment vertical="center"/>
    </xf>
    <xf numFmtId="3" fontId="13" fillId="0" borderId="0" xfId="9" applyNumberFormat="1" applyFont="1" applyAlignment="1">
      <alignment vertical="center"/>
    </xf>
    <xf numFmtId="0" fontId="17" fillId="0" borderId="0" xfId="9" applyFont="1" applyAlignment="1">
      <alignment vertical="center"/>
    </xf>
    <xf numFmtId="0" fontId="11" fillId="0" borderId="0" xfId="9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justify" vertical="center"/>
    </xf>
    <xf numFmtId="167" fontId="13" fillId="0" borderId="0" xfId="0" applyNumberFormat="1" applyFont="1" applyAlignment="1">
      <alignment vertical="center"/>
    </xf>
    <xf numFmtId="0" fontId="13" fillId="0" borderId="0" xfId="0" applyFont="1" applyAlignment="1">
      <alignment horizontal="justify" vertical="center"/>
    </xf>
    <xf numFmtId="0" fontId="29" fillId="0" borderId="0" xfId="0" applyFont="1" applyAlignment="1">
      <alignment vertical="center"/>
    </xf>
    <xf numFmtId="49" fontId="13" fillId="0" borderId="0" xfId="14" applyNumberFormat="1" applyFont="1" applyAlignment="1">
      <alignment horizontal="center"/>
    </xf>
    <xf numFmtId="0" fontId="13" fillId="0" borderId="0" xfId="14" applyFont="1"/>
    <xf numFmtId="3" fontId="13" fillId="0" borderId="0" xfId="14" applyNumberFormat="1" applyFont="1"/>
    <xf numFmtId="3" fontId="14" fillId="0" borderId="0" xfId="14" applyNumberFormat="1" applyFont="1"/>
    <xf numFmtId="0" fontId="13" fillId="0" borderId="0" xfId="14" applyFont="1" applyAlignment="1">
      <alignment vertical="center"/>
    </xf>
    <xf numFmtId="49" fontId="13" fillId="0" borderId="0" xfId="9" applyNumberFormat="1" applyFont="1" applyAlignment="1">
      <alignment horizontal="center" vertical="center"/>
    </xf>
    <xf numFmtId="0" fontId="14" fillId="0" borderId="0" xfId="14" applyFont="1" applyAlignment="1">
      <alignment horizontal="left" vertical="center"/>
    </xf>
    <xf numFmtId="3" fontId="14" fillId="0" borderId="0" xfId="14" applyNumberFormat="1" applyFont="1" applyAlignment="1">
      <alignment horizontal="right" vertical="center"/>
    </xf>
    <xf numFmtId="3" fontId="14" fillId="0" borderId="0" xfId="14" applyNumberFormat="1" applyFont="1" applyAlignment="1">
      <alignment horizontal="left" vertical="center"/>
    </xf>
    <xf numFmtId="0" fontId="31" fillId="0" borderId="0" xfId="16" applyFont="1" applyAlignment="1">
      <alignment vertical="center"/>
    </xf>
    <xf numFmtId="3" fontId="31" fillId="0" borderId="0" xfId="0" applyNumberFormat="1" applyFont="1" applyAlignment="1">
      <alignment vertical="center" wrapText="1"/>
    </xf>
    <xf numFmtId="0" fontId="32" fillId="0" borderId="0" xfId="16" applyFont="1" applyAlignment="1">
      <alignment vertical="center"/>
    </xf>
    <xf numFmtId="0" fontId="33" fillId="0" borderId="0" xfId="16" applyFont="1" applyAlignment="1">
      <alignment vertical="center"/>
    </xf>
    <xf numFmtId="3" fontId="31" fillId="0" borderId="0" xfId="16" applyNumberFormat="1" applyFont="1" applyAlignment="1">
      <alignment vertical="center" wrapText="1"/>
    </xf>
    <xf numFmtId="0" fontId="13" fillId="0" borderId="0" xfId="17" applyFont="1" applyAlignment="1">
      <alignment vertical="center" wrapText="1"/>
    </xf>
    <xf numFmtId="0" fontId="13" fillId="0" borderId="0" xfId="17" applyFont="1" applyAlignment="1">
      <alignment horizontal="center" vertical="center" wrapText="1"/>
    </xf>
    <xf numFmtId="3" fontId="13" fillId="0" borderId="0" xfId="17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5" fillId="0" borderId="0" xfId="1" applyFont="1" applyAlignment="1">
      <alignment vertical="center"/>
    </xf>
    <xf numFmtId="3" fontId="10" fillId="0" borderId="0" xfId="1" applyNumberFormat="1" applyFont="1" applyAlignment="1">
      <alignment vertical="center"/>
    </xf>
    <xf numFmtId="3" fontId="14" fillId="0" borderId="7" xfId="0" applyNumberFormat="1" applyFont="1" applyBorder="1" applyAlignment="1">
      <alignment vertical="center"/>
    </xf>
    <xf numFmtId="3" fontId="7" fillId="0" borderId="0" xfId="0" applyNumberFormat="1" applyFont="1"/>
    <xf numFmtId="3" fontId="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22" xfId="0" applyFont="1" applyBorder="1" applyAlignment="1">
      <alignment vertical="center" wrapText="1"/>
    </xf>
    <xf numFmtId="0" fontId="4" fillId="0" borderId="22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2" xfId="0" applyFont="1" applyBorder="1" applyAlignment="1">
      <alignment horizontal="left" vertical="center" wrapText="1"/>
    </xf>
    <xf numFmtId="0" fontId="6" fillId="0" borderId="22" xfId="0" applyFont="1" applyBorder="1" applyAlignment="1">
      <alignment vertical="center"/>
    </xf>
    <xf numFmtId="0" fontId="6" fillId="0" borderId="30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6" fillId="0" borderId="3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4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22" xfId="0" applyFont="1" applyBorder="1" applyAlignment="1">
      <alignment horizontal="left" vertical="center" wrapText="1"/>
    </xf>
    <xf numFmtId="0" fontId="13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vertical="center" shrinkToFit="1"/>
    </xf>
    <xf numFmtId="3" fontId="14" fillId="0" borderId="22" xfId="0" applyNumberFormat="1" applyFont="1" applyBorder="1" applyAlignment="1">
      <alignment vertical="center" shrinkToFit="1"/>
    </xf>
    <xf numFmtId="3" fontId="13" fillId="0" borderId="22" xfId="0" applyNumberFormat="1" applyFont="1" applyBorder="1" applyAlignment="1">
      <alignment vertical="center" shrinkToFit="1"/>
    </xf>
    <xf numFmtId="3" fontId="13" fillId="0" borderId="31" xfId="0" applyNumberFormat="1" applyFont="1" applyBorder="1" applyAlignment="1">
      <alignment vertical="center" shrinkToFit="1"/>
    </xf>
    <xf numFmtId="3" fontId="14" fillId="0" borderId="28" xfId="0" applyNumberFormat="1" applyFont="1" applyBorder="1" applyAlignment="1">
      <alignment vertical="center" shrinkToFit="1"/>
    </xf>
    <xf numFmtId="0" fontId="2" fillId="0" borderId="26" xfId="1" applyFont="1" applyBorder="1" applyAlignment="1">
      <alignment vertical="center" wrapText="1"/>
    </xf>
    <xf numFmtId="0" fontId="35" fillId="0" borderId="0" xfId="0" applyFont="1" applyAlignment="1">
      <alignment vertical="center"/>
    </xf>
    <xf numFmtId="3" fontId="33" fillId="0" borderId="0" xfId="16" applyNumberFormat="1" applyFont="1" applyAlignment="1">
      <alignment vertical="center" wrapText="1"/>
    </xf>
    <xf numFmtId="49" fontId="7" fillId="0" borderId="0" xfId="0" applyNumberFormat="1" applyFont="1" applyAlignment="1">
      <alignment horizontal="center" vertical="center"/>
    </xf>
    <xf numFmtId="0" fontId="13" fillId="0" borderId="0" xfId="0" applyFont="1"/>
    <xf numFmtId="0" fontId="36" fillId="0" borderId="0" xfId="0" applyFont="1"/>
    <xf numFmtId="0" fontId="24" fillId="0" borderId="0" xfId="0" applyFont="1"/>
    <xf numFmtId="3" fontId="24" fillId="0" borderId="0" xfId="0" applyNumberFormat="1" applyFont="1"/>
    <xf numFmtId="0" fontId="14" fillId="0" borderId="0" xfId="0" applyFont="1"/>
    <xf numFmtId="3" fontId="14" fillId="0" borderId="0" xfId="0" applyNumberFormat="1" applyFont="1"/>
    <xf numFmtId="0" fontId="35" fillId="0" borderId="0" xfId="0" applyFont="1" applyAlignment="1">
      <alignment vertical="center" wrapText="1"/>
    </xf>
    <xf numFmtId="3" fontId="35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3" fontId="14" fillId="0" borderId="0" xfId="0" applyNumberFormat="1" applyFont="1" applyAlignment="1">
      <alignment vertical="center" shrinkToFit="1"/>
    </xf>
    <xf numFmtId="0" fontId="14" fillId="0" borderId="0" xfId="12" applyFont="1" applyAlignment="1">
      <alignment vertical="center" wrapText="1"/>
    </xf>
    <xf numFmtId="3" fontId="14" fillId="0" borderId="0" xfId="12" applyNumberFormat="1" applyFont="1" applyAlignment="1">
      <alignment vertical="center"/>
    </xf>
    <xf numFmtId="49" fontId="13" fillId="0" borderId="0" xfId="9" applyNumberFormat="1" applyFont="1" applyAlignment="1">
      <alignment vertical="center"/>
    </xf>
    <xf numFmtId="49" fontId="11" fillId="0" borderId="0" xfId="9" applyNumberFormat="1" applyFont="1" applyAlignment="1">
      <alignment vertical="center"/>
    </xf>
    <xf numFmtId="49" fontId="14" fillId="0" borderId="0" xfId="9" applyNumberFormat="1" applyFont="1" applyAlignment="1">
      <alignment vertical="center"/>
    </xf>
    <xf numFmtId="49" fontId="17" fillId="0" borderId="0" xfId="9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49" fontId="7" fillId="0" borderId="0" xfId="0" applyNumberFormat="1" applyFont="1"/>
    <xf numFmtId="0" fontId="1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7" xfId="0" applyFont="1" applyBorder="1" applyAlignment="1">
      <alignment horizontal="left" vertical="center"/>
    </xf>
    <xf numFmtId="0" fontId="35" fillId="0" borderId="6" xfId="0" applyFont="1" applyBorder="1" applyAlignment="1">
      <alignment vertical="center" wrapText="1"/>
    </xf>
    <xf numFmtId="0" fontId="4" fillId="0" borderId="35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4" fillId="0" borderId="36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0" fontId="5" fillId="0" borderId="36" xfId="0" applyFont="1" applyBorder="1" applyAlignment="1">
      <alignment vertical="center"/>
    </xf>
    <xf numFmtId="0" fontId="4" fillId="0" borderId="36" xfId="0" applyFont="1" applyBorder="1" applyAlignment="1">
      <alignment vertical="center" wrapText="1"/>
    </xf>
    <xf numFmtId="0" fontId="5" fillId="0" borderId="36" xfId="0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vertical="center"/>
    </xf>
    <xf numFmtId="49" fontId="4" fillId="0" borderId="35" xfId="0" applyNumberFormat="1" applyFont="1" applyBorder="1" applyAlignment="1">
      <alignment vertical="center"/>
    </xf>
    <xf numFmtId="49" fontId="4" fillId="0" borderId="36" xfId="0" applyNumberFormat="1" applyFont="1" applyBorder="1" applyAlignment="1">
      <alignment horizontal="left" vertical="center" wrapText="1"/>
    </xf>
    <xf numFmtId="0" fontId="4" fillId="0" borderId="26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0" fontId="14" fillId="0" borderId="4" xfId="9" applyFont="1" applyBorder="1" applyAlignment="1">
      <alignment horizontal="center" vertical="center" wrapText="1"/>
    </xf>
    <xf numFmtId="0" fontId="14" fillId="0" borderId="4" xfId="9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left" vertical="center" wrapText="1"/>
    </xf>
    <xf numFmtId="0" fontId="14" fillId="0" borderId="37" xfId="0" applyFont="1" applyBorder="1" applyAlignment="1">
      <alignment vertical="center" wrapText="1"/>
    </xf>
    <xf numFmtId="0" fontId="17" fillId="0" borderId="37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17" xfId="12" applyFont="1" applyBorder="1" applyAlignment="1">
      <alignment vertical="center" wrapText="1"/>
    </xf>
    <xf numFmtId="0" fontId="13" fillId="0" borderId="37" xfId="12" applyFont="1" applyBorder="1" applyAlignment="1">
      <alignment vertical="center" wrapText="1"/>
    </xf>
    <xf numFmtId="0" fontId="17" fillId="0" borderId="37" xfId="12" applyFont="1" applyBorder="1" applyAlignment="1">
      <alignment vertical="center" wrapText="1"/>
    </xf>
    <xf numFmtId="0" fontId="14" fillId="0" borderId="37" xfId="12" applyFont="1" applyBorder="1" applyAlignment="1">
      <alignment vertical="center" wrapText="1"/>
    </xf>
    <xf numFmtId="0" fontId="14" fillId="0" borderId="4" xfId="12" applyFont="1" applyBorder="1" applyAlignment="1">
      <alignment vertical="center" wrapText="1"/>
    </xf>
    <xf numFmtId="0" fontId="13" fillId="0" borderId="42" xfId="12" applyFont="1" applyBorder="1" applyAlignment="1">
      <alignment vertical="center" wrapText="1"/>
    </xf>
    <xf numFmtId="0" fontId="14" fillId="0" borderId="4" xfId="12" applyFont="1" applyBorder="1" applyAlignment="1">
      <alignment horizontal="center" vertical="center" wrapText="1"/>
    </xf>
    <xf numFmtId="3" fontId="14" fillId="0" borderId="7" xfId="12" applyNumberFormat="1" applyFont="1" applyBorder="1" applyAlignment="1">
      <alignment horizontal="center" vertical="center"/>
    </xf>
    <xf numFmtId="3" fontId="14" fillId="0" borderId="7" xfId="12" applyNumberFormat="1" applyFont="1" applyBorder="1" applyAlignment="1">
      <alignment vertical="center"/>
    </xf>
    <xf numFmtId="0" fontId="14" fillId="0" borderId="4" xfId="0" applyFont="1" applyBorder="1" applyAlignment="1">
      <alignment horizontal="justify" vertical="center" wrapText="1"/>
    </xf>
    <xf numFmtId="0" fontId="13" fillId="0" borderId="2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24" fillId="0" borderId="4" xfId="0" applyFont="1" applyBorder="1"/>
    <xf numFmtId="3" fontId="33" fillId="0" borderId="0" xfId="16" applyNumberFormat="1" applyFont="1" applyBorder="1" applyAlignment="1">
      <alignment vertical="center" wrapText="1"/>
    </xf>
    <xf numFmtId="0" fontId="7" fillId="0" borderId="0" xfId="0" applyFont="1" applyAlignment="1">
      <alignment wrapText="1"/>
    </xf>
    <xf numFmtId="49" fontId="0" fillId="0" borderId="0" xfId="0" applyNumberFormat="1"/>
    <xf numFmtId="49" fontId="27" fillId="0" borderId="0" xfId="0" applyNumberFormat="1" applyFont="1"/>
    <xf numFmtId="0" fontId="13" fillId="0" borderId="37" xfId="0" applyFont="1" applyFill="1" applyBorder="1" applyAlignment="1">
      <alignment vertical="center" wrapText="1"/>
    </xf>
    <xf numFmtId="49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13" fillId="0" borderId="0" xfId="0" applyNumberFormat="1" applyFont="1" applyFill="1" applyAlignment="1">
      <alignment vertical="center"/>
    </xf>
    <xf numFmtId="0" fontId="14" fillId="0" borderId="22" xfId="0" applyFont="1" applyFill="1" applyBorder="1" applyAlignment="1">
      <alignment vertical="center" wrapText="1"/>
    </xf>
    <xf numFmtId="0" fontId="14" fillId="0" borderId="0" xfId="0" applyFont="1" applyFill="1" applyAlignment="1">
      <alignment vertical="center"/>
    </xf>
    <xf numFmtId="0" fontId="13" fillId="0" borderId="22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27" fillId="0" borderId="0" xfId="0" applyFont="1"/>
    <xf numFmtId="0" fontId="41" fillId="0" borderId="0" xfId="0" applyFont="1" applyAlignment="1">
      <alignment vertical="center"/>
    </xf>
    <xf numFmtId="0" fontId="13" fillId="0" borderId="45" xfId="0" applyFont="1" applyBorder="1" applyAlignment="1">
      <alignment vertical="center" wrapText="1"/>
    </xf>
    <xf numFmtId="0" fontId="14" fillId="0" borderId="46" xfId="0" applyFont="1" applyBorder="1" applyAlignment="1">
      <alignment vertical="center" wrapText="1"/>
    </xf>
    <xf numFmtId="0" fontId="13" fillId="0" borderId="46" xfId="0" applyFont="1" applyBorder="1" applyAlignment="1">
      <alignment vertical="center" wrapText="1"/>
    </xf>
    <xf numFmtId="3" fontId="13" fillId="0" borderId="51" xfId="0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35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5" fillId="0" borderId="26" xfId="0" applyFont="1" applyBorder="1" applyAlignment="1">
      <alignment horizontal="left" vertical="center"/>
    </xf>
    <xf numFmtId="3" fontId="4" fillId="0" borderId="7" xfId="0" applyNumberFormat="1" applyFont="1" applyBorder="1" applyAlignment="1">
      <alignment horizontal="left" vertical="center"/>
    </xf>
    <xf numFmtId="0" fontId="3" fillId="0" borderId="50" xfId="0" applyFont="1" applyBorder="1" applyAlignment="1">
      <alignment vertical="center"/>
    </xf>
    <xf numFmtId="0" fontId="5" fillId="0" borderId="61" xfId="0" applyFont="1" applyBorder="1" applyAlignment="1">
      <alignment vertical="center"/>
    </xf>
    <xf numFmtId="49" fontId="4" fillId="0" borderId="61" xfId="0" applyNumberFormat="1" applyFont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3" fontId="2" fillId="0" borderId="0" xfId="1" applyNumberFormat="1" applyFont="1" applyBorder="1" applyAlignment="1">
      <alignment horizontal="right" vertical="center"/>
    </xf>
    <xf numFmtId="3" fontId="2" fillId="0" borderId="0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3" fontId="10" fillId="0" borderId="0" xfId="1" applyNumberFormat="1" applyFont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0" fillId="0" borderId="0" xfId="0" applyFont="1"/>
    <xf numFmtId="3" fontId="39" fillId="0" borderId="58" xfId="20" applyNumberFormat="1" applyFont="1" applyBorder="1" applyAlignment="1" applyProtection="1">
      <alignment horizontal="right"/>
    </xf>
    <xf numFmtId="0" fontId="39" fillId="0" borderId="0" xfId="0" applyFont="1"/>
    <xf numFmtId="3" fontId="20" fillId="0" borderId="58" xfId="20" applyNumberFormat="1" applyFont="1" applyBorder="1" applyAlignment="1" applyProtection="1">
      <alignment horizontal="right"/>
    </xf>
    <xf numFmtId="0" fontId="20" fillId="0" borderId="58" xfId="0" applyFont="1" applyBorder="1"/>
    <xf numFmtId="3" fontId="20" fillId="0" borderId="58" xfId="0" applyNumberFormat="1" applyFont="1" applyBorder="1"/>
    <xf numFmtId="0" fontId="51" fillId="0" borderId="0" xfId="0" applyFont="1" applyAlignment="1">
      <alignment vertical="center"/>
    </xf>
    <xf numFmtId="3" fontId="13" fillId="0" borderId="50" xfId="0" applyNumberFormat="1" applyFont="1" applyBorder="1" applyAlignment="1">
      <alignment vertical="center"/>
    </xf>
    <xf numFmtId="14" fontId="13" fillId="0" borderId="51" xfId="0" applyNumberFormat="1" applyFont="1" applyBorder="1" applyAlignment="1">
      <alignment horizontal="center" vertical="center" wrapText="1"/>
    </xf>
    <xf numFmtId="14" fontId="13" fillId="2" borderId="51" xfId="0" applyNumberFormat="1" applyFont="1" applyFill="1" applyBorder="1" applyAlignment="1">
      <alignment horizontal="center" vertical="center"/>
    </xf>
    <xf numFmtId="3" fontId="13" fillId="0" borderId="52" xfId="0" applyNumberFormat="1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3" fontId="14" fillId="0" borderId="9" xfId="0" applyNumberFormat="1" applyFont="1" applyBorder="1" applyAlignment="1">
      <alignment vertical="center"/>
    </xf>
    <xf numFmtId="3" fontId="20" fillId="0" borderId="0" xfId="0" applyNumberFormat="1" applyFont="1"/>
    <xf numFmtId="0" fontId="14" fillId="0" borderId="0" xfId="0" applyFont="1" applyAlignment="1">
      <alignment horizontal="center" vertical="center" wrapText="1"/>
    </xf>
    <xf numFmtId="3" fontId="13" fillId="0" borderId="47" xfId="0" applyNumberFormat="1" applyFont="1" applyBorder="1" applyAlignment="1">
      <alignment vertical="center"/>
    </xf>
    <xf numFmtId="3" fontId="14" fillId="0" borderId="32" xfId="0" applyNumberFormat="1" applyFont="1" applyBorder="1" applyAlignment="1">
      <alignment vertical="center"/>
    </xf>
    <xf numFmtId="3" fontId="33" fillId="0" borderId="4" xfId="0" applyNumberFormat="1" applyFont="1" applyBorder="1" applyAlignment="1">
      <alignment horizontal="center" vertical="center" wrapText="1"/>
    </xf>
    <xf numFmtId="3" fontId="33" fillId="0" borderId="4" xfId="0" applyNumberFormat="1" applyFont="1" applyBorder="1" applyAlignment="1">
      <alignment vertical="center" wrapText="1"/>
    </xf>
    <xf numFmtId="3" fontId="33" fillId="0" borderId="7" xfId="0" applyNumberFormat="1" applyFont="1" applyBorder="1" applyAlignment="1">
      <alignment horizontal="center" vertical="center" wrapText="1"/>
    </xf>
    <xf numFmtId="3" fontId="33" fillId="0" borderId="7" xfId="0" applyNumberFormat="1" applyFont="1" applyBorder="1" applyAlignment="1">
      <alignment vertical="center" wrapText="1"/>
    </xf>
    <xf numFmtId="3" fontId="14" fillId="0" borderId="50" xfId="14" applyNumberFormat="1" applyFont="1" applyBorder="1" applyAlignment="1">
      <alignment horizontal="right" vertical="center"/>
    </xf>
    <xf numFmtId="0" fontId="14" fillId="0" borderId="12" xfId="14" applyFont="1" applyBorder="1" applyAlignment="1">
      <alignment horizontal="left" vertical="center"/>
    </xf>
    <xf numFmtId="3" fontId="14" fillId="0" borderId="13" xfId="14" applyNumberFormat="1" applyFont="1" applyBorder="1" applyAlignment="1">
      <alignment horizontal="right" vertical="center"/>
    </xf>
    <xf numFmtId="3" fontId="14" fillId="0" borderId="68" xfId="14" applyNumberFormat="1" applyFont="1" applyBorder="1" applyAlignment="1">
      <alignment horizontal="right" vertical="center"/>
    </xf>
    <xf numFmtId="3" fontId="14" fillId="0" borderId="8" xfId="14" applyNumberFormat="1" applyFont="1" applyBorder="1" applyAlignment="1">
      <alignment horizontal="right" vertical="center"/>
    </xf>
    <xf numFmtId="0" fontId="14" fillId="0" borderId="4" xfId="14" applyFont="1" applyBorder="1" applyAlignment="1">
      <alignment horizontal="left" vertical="center"/>
    </xf>
    <xf numFmtId="3" fontId="14" fillId="0" borderId="7" xfId="14" applyNumberFormat="1" applyFont="1" applyBorder="1" applyAlignment="1">
      <alignment horizontal="right" vertical="center"/>
    </xf>
    <xf numFmtId="0" fontId="52" fillId="0" borderId="0" xfId="0" applyFont="1" applyAlignment="1">
      <alignment vertical="center" wrapText="1"/>
    </xf>
    <xf numFmtId="3" fontId="24" fillId="0" borderId="7" xfId="0" applyNumberFormat="1" applyFont="1" applyBorder="1"/>
    <xf numFmtId="3" fontId="14" fillId="0" borderId="70" xfId="0" applyNumberFormat="1" applyFont="1" applyBorder="1" applyAlignment="1">
      <alignment vertical="center"/>
    </xf>
    <xf numFmtId="3" fontId="14" fillId="0" borderId="54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4" fillId="0" borderId="74" xfId="12" applyNumberFormat="1" applyFont="1" applyBorder="1" applyAlignment="1">
      <alignment vertical="center"/>
    </xf>
    <xf numFmtId="3" fontId="14" fillId="0" borderId="77" xfId="12" applyNumberFormat="1" applyFont="1" applyBorder="1" applyAlignment="1">
      <alignment horizontal="center" vertical="center"/>
    </xf>
    <xf numFmtId="3" fontId="14" fillId="0" borderId="74" xfId="0" applyNumberFormat="1" applyFont="1" applyBorder="1" applyAlignment="1">
      <alignment horizontal="right" vertical="center"/>
    </xf>
    <xf numFmtId="0" fontId="14" fillId="0" borderId="7" xfId="0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right" vertical="center"/>
    </xf>
    <xf numFmtId="0" fontId="13" fillId="0" borderId="24" xfId="9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3" fontId="4" fillId="0" borderId="80" xfId="0" applyNumberFormat="1" applyFont="1" applyBorder="1" applyAlignment="1">
      <alignment vertical="center"/>
    </xf>
    <xf numFmtId="3" fontId="22" fillId="0" borderId="87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 wrapText="1"/>
    </xf>
    <xf numFmtId="3" fontId="4" fillId="0" borderId="9" xfId="0" applyNumberFormat="1" applyFont="1" applyBorder="1" applyAlignment="1">
      <alignment vertical="center" wrapText="1"/>
    </xf>
    <xf numFmtId="3" fontId="4" fillId="0" borderId="85" xfId="0" applyNumberFormat="1" applyFont="1" applyBorder="1" applyAlignment="1">
      <alignment vertical="center"/>
    </xf>
    <xf numFmtId="3" fontId="4" fillId="0" borderId="87" xfId="0" applyNumberFormat="1" applyFont="1" applyBorder="1" applyAlignment="1">
      <alignment vertical="center"/>
    </xf>
    <xf numFmtId="0" fontId="4" fillId="0" borderId="85" xfId="0" applyFont="1" applyBorder="1" applyAlignment="1">
      <alignment vertical="center"/>
    </xf>
    <xf numFmtId="0" fontId="4" fillId="0" borderId="87" xfId="0" applyFont="1" applyBorder="1" applyAlignment="1">
      <alignment vertical="center"/>
    </xf>
    <xf numFmtId="3" fontId="4" fillId="0" borderId="13" xfId="0" applyNumberFormat="1" applyFont="1" applyBorder="1" applyAlignment="1">
      <alignment vertical="center"/>
    </xf>
    <xf numFmtId="3" fontId="4" fillId="0" borderId="14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3" fillId="0" borderId="79" xfId="0" applyNumberFormat="1" applyFont="1" applyBorder="1" applyAlignment="1">
      <alignment vertical="center"/>
    </xf>
    <xf numFmtId="3" fontId="13" fillId="0" borderId="87" xfId="0" applyNumberFormat="1" applyFont="1" applyBorder="1" applyAlignment="1">
      <alignment vertical="center"/>
    </xf>
    <xf numFmtId="3" fontId="14" fillId="0" borderId="87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vertical="center"/>
    </xf>
    <xf numFmtId="3" fontId="14" fillId="0" borderId="84" xfId="0" applyNumberFormat="1" applyFont="1" applyBorder="1" applyAlignment="1">
      <alignment vertical="center"/>
    </xf>
    <xf numFmtId="3" fontId="2" fillId="0" borderId="76" xfId="1" applyNumberFormat="1" applyFont="1" applyBorder="1" applyAlignment="1">
      <alignment vertical="center"/>
    </xf>
    <xf numFmtId="3" fontId="5" fillId="0" borderId="76" xfId="1" applyNumberFormat="1" applyFont="1" applyBorder="1" applyAlignment="1">
      <alignment vertical="center"/>
    </xf>
    <xf numFmtId="3" fontId="10" fillId="0" borderId="76" xfId="1" applyNumberFormat="1" applyFont="1" applyBorder="1" applyAlignment="1">
      <alignment vertical="center"/>
    </xf>
    <xf numFmtId="3" fontId="10" fillId="0" borderId="97" xfId="1" applyNumberFormat="1" applyFont="1" applyBorder="1" applyAlignment="1">
      <alignment vertical="center"/>
    </xf>
    <xf numFmtId="3" fontId="2" fillId="0" borderId="74" xfId="1" applyNumberFormat="1" applyFont="1" applyBorder="1" applyAlignment="1">
      <alignment vertical="center"/>
    </xf>
    <xf numFmtId="3" fontId="2" fillId="0" borderId="97" xfId="1" applyNumberFormat="1" applyFont="1" applyBorder="1" applyAlignment="1">
      <alignment vertical="center"/>
    </xf>
    <xf numFmtId="3" fontId="2" fillId="0" borderId="69" xfId="1" applyNumberFormat="1" applyFont="1" applyBorder="1" applyAlignment="1">
      <alignment vertical="center"/>
    </xf>
    <xf numFmtId="3" fontId="10" fillId="0" borderId="86" xfId="1" applyNumberFormat="1" applyFont="1" applyBorder="1" applyAlignment="1">
      <alignment vertical="center"/>
    </xf>
    <xf numFmtId="3" fontId="2" fillId="0" borderId="8" xfId="1" applyNumberFormat="1" applyFont="1" applyBorder="1" applyAlignment="1">
      <alignment vertical="center"/>
    </xf>
    <xf numFmtId="3" fontId="2" fillId="0" borderId="86" xfId="1" applyNumberFormat="1" applyFont="1" applyBorder="1" applyAlignment="1">
      <alignment vertical="center"/>
    </xf>
    <xf numFmtId="3" fontId="2" fillId="0" borderId="39" xfId="1" applyNumberFormat="1" applyFont="1" applyBorder="1" applyAlignment="1">
      <alignment vertical="center"/>
    </xf>
    <xf numFmtId="49" fontId="10" fillId="0" borderId="85" xfId="1" applyNumberFormat="1" applyFont="1" applyBorder="1" applyAlignment="1">
      <alignment vertical="center" wrapText="1"/>
    </xf>
    <xf numFmtId="3" fontId="12" fillId="0" borderId="76" xfId="1" applyNumberFormat="1" applyFont="1" applyBorder="1" applyAlignment="1">
      <alignment vertical="center"/>
    </xf>
    <xf numFmtId="0" fontId="4" fillId="0" borderId="79" xfId="0" applyFont="1" applyBorder="1" applyAlignment="1">
      <alignment horizontal="left" vertical="center"/>
    </xf>
    <xf numFmtId="0" fontId="5" fillId="0" borderId="79" xfId="0" applyFont="1" applyBorder="1" applyAlignment="1">
      <alignment horizontal="left" vertical="center"/>
    </xf>
    <xf numFmtId="0" fontId="6" fillId="0" borderId="79" xfId="0" applyFont="1" applyBorder="1" applyAlignment="1">
      <alignment horizontal="left" vertical="center"/>
    </xf>
    <xf numFmtId="0" fontId="2" fillId="0" borderId="85" xfId="1" applyFont="1" applyBorder="1" applyAlignment="1">
      <alignment vertical="center" wrapText="1"/>
    </xf>
    <xf numFmtId="3" fontId="2" fillId="0" borderId="77" xfId="1" applyNumberFormat="1" applyFont="1" applyBorder="1" applyAlignment="1">
      <alignment horizontal="right" vertical="center"/>
    </xf>
    <xf numFmtId="0" fontId="2" fillId="0" borderId="76" xfId="1" applyFont="1" applyBorder="1" applyAlignment="1">
      <alignment horizontal="center" vertical="center"/>
    </xf>
    <xf numFmtId="3" fontId="5" fillId="0" borderId="77" xfId="1" applyNumberFormat="1" applyFont="1" applyBorder="1" applyAlignment="1">
      <alignment vertical="center"/>
    </xf>
    <xf numFmtId="3" fontId="4" fillId="0" borderId="77" xfId="1" applyNumberFormat="1" applyFont="1" applyBorder="1" applyAlignment="1">
      <alignment vertical="center"/>
    </xf>
    <xf numFmtId="3" fontId="2" fillId="0" borderId="82" xfId="1" applyNumberFormat="1" applyFont="1" applyBorder="1" applyAlignment="1">
      <alignment horizontal="right" vertical="center"/>
    </xf>
    <xf numFmtId="3" fontId="5" fillId="0" borderId="82" xfId="1" applyNumberFormat="1" applyFont="1" applyBorder="1" applyAlignment="1">
      <alignment vertical="center"/>
    </xf>
    <xf numFmtId="3" fontId="4" fillId="0" borderId="82" xfId="1" applyNumberFormat="1" applyFont="1" applyBorder="1" applyAlignment="1">
      <alignment vertical="center"/>
    </xf>
    <xf numFmtId="0" fontId="10" fillId="0" borderId="85" xfId="0" applyFont="1" applyBorder="1" applyAlignment="1">
      <alignment vertical="center"/>
    </xf>
    <xf numFmtId="0" fontId="2" fillId="0" borderId="77" xfId="1" applyFont="1" applyBorder="1" applyAlignment="1">
      <alignment horizontal="center" vertical="center"/>
    </xf>
    <xf numFmtId="3" fontId="6" fillId="0" borderId="76" xfId="1" applyNumberFormat="1" applyFont="1" applyBorder="1" applyAlignment="1">
      <alignment vertical="center"/>
    </xf>
    <xf numFmtId="3" fontId="2" fillId="2" borderId="77" xfId="1" applyNumberFormat="1" applyFont="1" applyFill="1" applyBorder="1" applyAlignment="1">
      <alignment vertical="center"/>
    </xf>
    <xf numFmtId="3" fontId="2" fillId="2" borderId="76" xfId="1" applyNumberFormat="1" applyFont="1" applyFill="1" applyBorder="1" applyAlignment="1">
      <alignment vertical="center"/>
    </xf>
    <xf numFmtId="0" fontId="2" fillId="0" borderId="82" xfId="1" applyFont="1" applyBorder="1" applyAlignment="1">
      <alignment horizontal="center" vertical="center"/>
    </xf>
    <xf numFmtId="3" fontId="2" fillId="2" borderId="82" xfId="1" applyNumberFormat="1" applyFont="1" applyFill="1" applyBorder="1" applyAlignment="1">
      <alignment vertical="center"/>
    </xf>
    <xf numFmtId="3" fontId="4" fillId="0" borderId="77" xfId="0" applyNumberFormat="1" applyFont="1" applyBorder="1" applyAlignment="1">
      <alignment vertical="center"/>
    </xf>
    <xf numFmtId="3" fontId="4" fillId="0" borderId="76" xfId="0" applyNumberFormat="1" applyFont="1" applyBorder="1" applyAlignment="1">
      <alignment vertical="center"/>
    </xf>
    <xf numFmtId="3" fontId="5" fillId="0" borderId="76" xfId="0" applyNumberFormat="1" applyFont="1" applyBorder="1" applyAlignment="1">
      <alignment vertical="center"/>
    </xf>
    <xf numFmtId="3" fontId="5" fillId="0" borderId="97" xfId="0" applyNumberFormat="1" applyFont="1" applyBorder="1" applyAlignment="1">
      <alignment vertical="center"/>
    </xf>
    <xf numFmtId="3" fontId="4" fillId="0" borderId="74" xfId="0" applyNumberFormat="1" applyFont="1" applyBorder="1" applyAlignment="1">
      <alignment vertical="center"/>
    </xf>
    <xf numFmtId="3" fontId="5" fillId="0" borderId="77" xfId="0" applyNumberFormat="1" applyFont="1" applyBorder="1" applyAlignment="1">
      <alignment vertical="center"/>
    </xf>
    <xf numFmtId="3" fontId="4" fillId="0" borderId="97" xfId="0" applyNumberFormat="1" applyFont="1" applyBorder="1" applyAlignment="1">
      <alignment vertical="center"/>
    </xf>
    <xf numFmtId="3" fontId="5" fillId="0" borderId="69" xfId="0" applyNumberFormat="1" applyFont="1" applyBorder="1" applyAlignment="1">
      <alignment vertical="center"/>
    </xf>
    <xf numFmtId="0" fontId="3" fillId="0" borderId="69" xfId="0" applyFont="1" applyBorder="1" applyAlignment="1">
      <alignment vertical="center"/>
    </xf>
    <xf numFmtId="3" fontId="3" fillId="0" borderId="54" xfId="0" applyNumberFormat="1" applyFont="1" applyBorder="1" applyAlignment="1">
      <alignment vertical="center"/>
    </xf>
    <xf numFmtId="3" fontId="35" fillId="0" borderId="98" xfId="0" applyNumberFormat="1" applyFont="1" applyBorder="1" applyAlignment="1">
      <alignment vertical="center"/>
    </xf>
    <xf numFmtId="3" fontId="4" fillId="0" borderId="81" xfId="0" applyNumberFormat="1" applyFont="1" applyBorder="1" applyAlignment="1">
      <alignment horizontal="center" vertical="center" wrapText="1"/>
    </xf>
    <xf numFmtId="3" fontId="4" fillId="0" borderId="82" xfId="0" applyNumberFormat="1" applyFont="1" applyBorder="1" applyAlignment="1">
      <alignment vertical="center"/>
    </xf>
    <xf numFmtId="3" fontId="5" fillId="0" borderId="80" xfId="0" applyNumberFormat="1" applyFont="1" applyBorder="1" applyAlignment="1">
      <alignment vertical="center"/>
    </xf>
    <xf numFmtId="3" fontId="5" fillId="0" borderId="86" xfId="0" applyNumberFormat="1" applyFont="1" applyBorder="1" applyAlignment="1">
      <alignment vertical="center"/>
    </xf>
    <xf numFmtId="3" fontId="4" fillId="0" borderId="8" xfId="0" applyNumberFormat="1" applyFont="1" applyBorder="1" applyAlignment="1">
      <alignment vertical="center"/>
    </xf>
    <xf numFmtId="3" fontId="5" fillId="0" borderId="82" xfId="0" applyNumberFormat="1" applyFont="1" applyBorder="1" applyAlignment="1">
      <alignment vertical="center"/>
    </xf>
    <xf numFmtId="3" fontId="4" fillId="0" borderId="86" xfId="0" applyNumberFormat="1" applyFont="1" applyBorder="1" applyAlignment="1">
      <alignment vertical="center"/>
    </xf>
    <xf numFmtId="3" fontId="5" fillId="0" borderId="39" xfId="0" applyNumberFormat="1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3" fontId="3" fillId="0" borderId="51" xfId="0" applyNumberFormat="1" applyFont="1" applyBorder="1" applyAlignment="1">
      <alignment vertical="center"/>
    </xf>
    <xf numFmtId="3" fontId="35" fillId="0" borderId="81" xfId="0" applyNumberFormat="1" applyFont="1" applyBorder="1" applyAlignment="1">
      <alignment vertical="center"/>
    </xf>
    <xf numFmtId="3" fontId="6" fillId="0" borderId="76" xfId="0" applyNumberFormat="1" applyFont="1" applyBorder="1" applyAlignment="1">
      <alignment vertical="center"/>
    </xf>
    <xf numFmtId="0" fontId="4" fillId="0" borderId="92" xfId="0" applyFont="1" applyBorder="1" applyAlignment="1">
      <alignment horizontal="left" vertical="center"/>
    </xf>
    <xf numFmtId="0" fontId="4" fillId="0" borderId="79" xfId="0" applyFont="1" applyBorder="1" applyAlignment="1">
      <alignment horizontal="center" vertical="center"/>
    </xf>
    <xf numFmtId="3" fontId="6" fillId="0" borderId="80" xfId="0" applyNumberFormat="1" applyFont="1" applyBorder="1" applyAlignment="1">
      <alignment vertical="center"/>
    </xf>
    <xf numFmtId="0" fontId="6" fillId="0" borderId="79" xfId="0" applyFont="1" applyBorder="1" applyAlignment="1">
      <alignment horizontal="left" vertical="center" wrapText="1"/>
    </xf>
    <xf numFmtId="0" fontId="4" fillId="0" borderId="85" xfId="0" applyFont="1" applyBorder="1" applyAlignment="1">
      <alignment horizontal="left" vertical="center"/>
    </xf>
    <xf numFmtId="0" fontId="13" fillId="0" borderId="63" xfId="0" applyFont="1" applyBorder="1" applyAlignment="1">
      <alignment vertical="center" wrapText="1"/>
    </xf>
    <xf numFmtId="0" fontId="42" fillId="0" borderId="63" xfId="0" applyFont="1" applyBorder="1"/>
    <xf numFmtId="0" fontId="38" fillId="0" borderId="63" xfId="0" applyFont="1" applyBorder="1"/>
    <xf numFmtId="0" fontId="38" fillId="0" borderId="63" xfId="0" applyFont="1" applyBorder="1" applyAlignment="1">
      <alignment wrapText="1"/>
    </xf>
    <xf numFmtId="0" fontId="42" fillId="0" borderId="63" xfId="0" applyFont="1" applyBorder="1" applyAlignment="1">
      <alignment wrapText="1"/>
    </xf>
    <xf numFmtId="3" fontId="13" fillId="0" borderId="88" xfId="0" applyNumberFormat="1" applyFont="1" applyBorder="1" applyAlignment="1">
      <alignment vertical="center"/>
    </xf>
    <xf numFmtId="0" fontId="14" fillId="0" borderId="0" xfId="14" applyFont="1" applyAlignment="1">
      <alignment horizontal="center"/>
    </xf>
    <xf numFmtId="3" fontId="13" fillId="0" borderId="0" xfId="9" applyNumberFormat="1" applyFont="1" applyAlignment="1">
      <alignment horizontal="center" vertical="center"/>
    </xf>
    <xf numFmtId="3" fontId="11" fillId="0" borderId="0" xfId="9" applyNumberFormat="1" applyFont="1" applyAlignment="1">
      <alignment vertical="center"/>
    </xf>
    <xf numFmtId="3" fontId="14" fillId="0" borderId="0" xfId="9" applyNumberFormat="1" applyFont="1" applyAlignment="1">
      <alignment vertical="center"/>
    </xf>
    <xf numFmtId="3" fontId="17" fillId="0" borderId="0" xfId="9" applyNumberFormat="1" applyFont="1" applyAlignment="1">
      <alignment vertical="center"/>
    </xf>
    <xf numFmtId="0" fontId="14" fillId="0" borderId="34" xfId="0" applyFont="1" applyBorder="1" applyAlignment="1">
      <alignment horizontal="center" vertical="center" wrapText="1"/>
    </xf>
    <xf numFmtId="0" fontId="14" fillId="0" borderId="53" xfId="12" applyFont="1" applyBorder="1" applyAlignment="1">
      <alignment vertical="center" wrapText="1"/>
    </xf>
    <xf numFmtId="0" fontId="17" fillId="0" borderId="63" xfId="0" applyFont="1" applyBorder="1" applyAlignment="1">
      <alignment vertical="center" wrapText="1"/>
    </xf>
    <xf numFmtId="0" fontId="20" fillId="0" borderId="63" xfId="0" applyFont="1" applyBorder="1" applyAlignment="1">
      <alignment wrapText="1"/>
    </xf>
    <xf numFmtId="49" fontId="20" fillId="0" borderId="63" xfId="4" applyNumberFormat="1" applyFont="1" applyBorder="1" applyAlignment="1">
      <alignment horizontal="left" vertical="center" wrapText="1"/>
    </xf>
    <xf numFmtId="0" fontId="14" fillId="0" borderId="63" xfId="12" applyFont="1" applyBorder="1" applyAlignment="1">
      <alignment vertical="center" wrapText="1"/>
    </xf>
    <xf numFmtId="49" fontId="31" fillId="0" borderId="63" xfId="0" applyNumberFormat="1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3" fillId="0" borderId="63" xfId="12" applyFont="1" applyBorder="1" applyAlignment="1">
      <alignment vertical="center" wrapText="1"/>
    </xf>
    <xf numFmtId="0" fontId="17" fillId="0" borderId="63" xfId="12" applyFont="1" applyBorder="1" applyAlignment="1">
      <alignment vertical="center" wrapText="1"/>
    </xf>
    <xf numFmtId="0" fontId="42" fillId="0" borderId="96" xfId="0" applyFont="1" applyBorder="1"/>
    <xf numFmtId="0" fontId="13" fillId="3" borderId="63" xfId="12" applyFont="1" applyFill="1" applyBorder="1" applyAlignment="1">
      <alignment vertical="center" wrapText="1"/>
    </xf>
    <xf numFmtId="0" fontId="14" fillId="0" borderId="15" xfId="12" applyFont="1" applyBorder="1" applyAlignment="1">
      <alignment vertical="center" wrapText="1"/>
    </xf>
    <xf numFmtId="3" fontId="14" fillId="0" borderId="6" xfId="17" applyNumberFormat="1" applyFont="1" applyBorder="1" applyAlignment="1">
      <alignment horizontal="center" vertical="center" wrapText="1"/>
    </xf>
    <xf numFmtId="3" fontId="14" fillId="0" borderId="81" xfId="17" applyNumberFormat="1" applyFont="1" applyBorder="1" applyAlignment="1">
      <alignment horizontal="center" vertical="center" wrapText="1"/>
    </xf>
    <xf numFmtId="14" fontId="13" fillId="0" borderId="89" xfId="0" applyNumberFormat="1" applyFont="1" applyBorder="1" applyAlignment="1">
      <alignment horizontal="center" vertical="center" wrapText="1"/>
    </xf>
    <xf numFmtId="14" fontId="13" fillId="2" borderId="89" xfId="0" applyNumberFormat="1" applyFont="1" applyFill="1" applyBorder="1" applyAlignment="1">
      <alignment horizontal="center" vertical="center"/>
    </xf>
    <xf numFmtId="3" fontId="13" fillId="0" borderId="89" xfId="0" applyNumberFormat="1" applyFont="1" applyBorder="1" applyAlignment="1">
      <alignment vertical="center"/>
    </xf>
    <xf numFmtId="3" fontId="13" fillId="0" borderId="95" xfId="0" applyNumberFormat="1" applyFont="1" applyBorder="1" applyAlignment="1">
      <alignment vertical="center"/>
    </xf>
    <xf numFmtId="14" fontId="13" fillId="0" borderId="89" xfId="0" applyNumberFormat="1" applyFont="1" applyBorder="1" applyAlignment="1">
      <alignment horizontal="center" vertical="center"/>
    </xf>
    <xf numFmtId="0" fontId="13" fillId="0" borderId="53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13" fillId="0" borderId="78" xfId="9" applyFont="1" applyBorder="1" applyAlignment="1">
      <alignment vertical="center" wrapText="1"/>
    </xf>
    <xf numFmtId="3" fontId="13" fillId="0" borderId="50" xfId="9" applyNumberFormat="1" applyFont="1" applyBorder="1" applyAlignment="1">
      <alignment vertical="center"/>
    </xf>
    <xf numFmtId="3" fontId="13" fillId="0" borderId="103" xfId="0" applyNumberFormat="1" applyFont="1" applyBorder="1" applyAlignment="1">
      <alignment horizontal="right" vertical="center" wrapText="1"/>
    </xf>
    <xf numFmtId="3" fontId="14" fillId="0" borderId="103" xfId="0" applyNumberFormat="1" applyFont="1" applyFill="1" applyBorder="1" applyAlignment="1">
      <alignment horizontal="right" vertical="center" wrapText="1"/>
    </xf>
    <xf numFmtId="3" fontId="13" fillId="0" borderId="103" xfId="0" applyNumberFormat="1" applyFont="1" applyFill="1" applyBorder="1" applyAlignment="1">
      <alignment horizontal="right" vertical="center" wrapText="1"/>
    </xf>
    <xf numFmtId="3" fontId="14" fillId="0" borderId="103" xfId="0" applyNumberFormat="1" applyFont="1" applyBorder="1" applyAlignment="1">
      <alignment horizontal="right" vertical="center" wrapText="1"/>
    </xf>
    <xf numFmtId="3" fontId="13" fillId="0" borderId="103" xfId="0" applyNumberFormat="1" applyFont="1" applyBorder="1" applyAlignment="1">
      <alignment vertical="center"/>
    </xf>
    <xf numFmtId="3" fontId="11" fillId="0" borderId="103" xfId="0" applyNumberFormat="1" applyFont="1" applyBorder="1" applyAlignment="1">
      <alignment horizontal="right" vertical="center" wrapText="1"/>
    </xf>
    <xf numFmtId="3" fontId="11" fillId="0" borderId="103" xfId="0" applyNumberFormat="1" applyFont="1" applyBorder="1" applyAlignment="1">
      <alignment vertical="center"/>
    </xf>
    <xf numFmtId="3" fontId="14" fillId="0" borderId="103" xfId="0" applyNumberFormat="1" applyFont="1" applyBorder="1" applyAlignment="1">
      <alignment vertical="center"/>
    </xf>
    <xf numFmtId="3" fontId="13" fillId="0" borderId="108" xfId="0" applyNumberFormat="1" applyFont="1" applyBorder="1" applyAlignment="1">
      <alignment horizontal="right" vertical="center" wrapText="1"/>
    </xf>
    <xf numFmtId="3" fontId="13" fillId="0" borderId="108" xfId="0" applyNumberFormat="1" applyFont="1" applyFill="1" applyBorder="1" applyAlignment="1">
      <alignment horizontal="right" vertical="center" wrapText="1"/>
    </xf>
    <xf numFmtId="3" fontId="14" fillId="0" borderId="108" xfId="0" applyNumberFormat="1" applyFont="1" applyBorder="1" applyAlignment="1">
      <alignment horizontal="right" vertical="center" wrapText="1"/>
    </xf>
    <xf numFmtId="3" fontId="13" fillId="0" borderId="108" xfId="0" applyNumberFormat="1" applyFont="1" applyBorder="1" applyAlignment="1">
      <alignment vertical="center"/>
    </xf>
    <xf numFmtId="3" fontId="14" fillId="0" borderId="106" xfId="0" applyNumberFormat="1" applyFont="1" applyBorder="1" applyAlignment="1">
      <alignment vertical="center" wrapText="1"/>
    </xf>
    <xf numFmtId="3" fontId="14" fillId="0" borderId="106" xfId="0" applyNumberFormat="1" applyFont="1" applyBorder="1" applyAlignment="1">
      <alignment vertical="center" shrinkToFit="1"/>
    </xf>
    <xf numFmtId="3" fontId="14" fillId="0" borderId="109" xfId="0" applyNumberFormat="1" applyFont="1" applyBorder="1" applyAlignment="1">
      <alignment vertical="center" shrinkToFit="1"/>
    </xf>
    <xf numFmtId="3" fontId="14" fillId="0" borderId="105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105" xfId="0" applyNumberFormat="1" applyFont="1" applyBorder="1" applyAlignment="1">
      <alignment vertical="center"/>
    </xf>
    <xf numFmtId="3" fontId="22" fillId="0" borderId="105" xfId="0" applyNumberFormat="1" applyFont="1" applyBorder="1" applyAlignment="1">
      <alignment vertical="center"/>
    </xf>
    <xf numFmtId="3" fontId="4" fillId="0" borderId="103" xfId="0" applyNumberFormat="1" applyFont="1" applyBorder="1" applyAlignment="1">
      <alignment vertical="center" wrapText="1"/>
    </xf>
    <xf numFmtId="37" fontId="4" fillId="0" borderId="103" xfId="0" applyNumberFormat="1" applyFont="1" applyBorder="1" applyAlignment="1">
      <alignment vertical="center" wrapText="1"/>
    </xf>
    <xf numFmtId="37" fontId="5" fillId="0" borderId="103" xfId="0" applyNumberFormat="1" applyFont="1" applyBorder="1" applyAlignment="1">
      <alignment vertical="center" wrapText="1"/>
    </xf>
    <xf numFmtId="3" fontId="5" fillId="0" borderId="103" xfId="0" applyNumberFormat="1" applyFont="1" applyBorder="1" applyAlignment="1">
      <alignment vertical="center" wrapText="1"/>
    </xf>
    <xf numFmtId="3" fontId="6" fillId="0" borderId="103" xfId="0" applyNumberFormat="1" applyFont="1" applyBorder="1" applyAlignment="1">
      <alignment vertical="center" wrapText="1"/>
    </xf>
    <xf numFmtId="3" fontId="34" fillId="0" borderId="0" xfId="22" applyNumberFormat="1" applyFont="1"/>
    <xf numFmtId="3" fontId="14" fillId="0" borderId="115" xfId="9" applyNumberFormat="1" applyFont="1" applyBorder="1" applyAlignment="1">
      <alignment horizontal="right" vertical="center"/>
    </xf>
    <xf numFmtId="3" fontId="14" fillId="0" borderId="103" xfId="9" applyNumberFormat="1" applyFont="1" applyBorder="1" applyAlignment="1">
      <alignment horizontal="right" vertical="center"/>
    </xf>
    <xf numFmtId="3" fontId="13" fillId="0" borderId="86" xfId="14" applyNumberFormat="1" applyFont="1" applyBorder="1" applyAlignment="1">
      <alignment horizontal="right" vertical="center"/>
    </xf>
    <xf numFmtId="0" fontId="14" fillId="0" borderId="7" xfId="14" applyFont="1" applyBorder="1" applyAlignment="1">
      <alignment horizontal="left" vertical="center" wrapText="1"/>
    </xf>
    <xf numFmtId="3" fontId="14" fillId="0" borderId="115" xfId="14" applyNumberFormat="1" applyFont="1" applyBorder="1" applyAlignment="1">
      <alignment horizontal="right" vertical="center"/>
    </xf>
    <xf numFmtId="0" fontId="14" fillId="0" borderId="0" xfId="14" applyFont="1"/>
    <xf numFmtId="3" fontId="13" fillId="0" borderId="116" xfId="9" applyNumberFormat="1" applyFont="1" applyBorder="1" applyAlignment="1">
      <alignment horizontal="right" vertical="center" wrapText="1"/>
    </xf>
    <xf numFmtId="3" fontId="13" fillId="0" borderId="115" xfId="9" applyNumberFormat="1" applyFont="1" applyBorder="1" applyAlignment="1">
      <alignment horizontal="right" vertical="center" wrapText="1"/>
    </xf>
    <xf numFmtId="3" fontId="13" fillId="0" borderId="116" xfId="9" applyNumberFormat="1" applyFont="1" applyBorder="1" applyAlignment="1">
      <alignment horizontal="right" vertical="center"/>
    </xf>
    <xf numFmtId="3" fontId="13" fillId="0" borderId="115" xfId="9" applyNumberFormat="1" applyFont="1" applyBorder="1" applyAlignment="1">
      <alignment horizontal="right" vertical="center"/>
    </xf>
    <xf numFmtId="0" fontId="14" fillId="0" borderId="116" xfId="9" applyFont="1" applyBorder="1" applyAlignment="1">
      <alignment vertical="center" wrapText="1"/>
    </xf>
    <xf numFmtId="0" fontId="14" fillId="0" borderId="85" xfId="9" applyFont="1" applyBorder="1" applyAlignment="1">
      <alignment vertical="center" wrapText="1"/>
    </xf>
    <xf numFmtId="3" fontId="13" fillId="0" borderId="64" xfId="14" applyNumberFormat="1" applyFont="1" applyBorder="1" applyAlignment="1">
      <alignment horizontal="right" vertical="center"/>
    </xf>
    <xf numFmtId="3" fontId="14" fillId="0" borderId="10" xfId="14" applyNumberFormat="1" applyFont="1" applyBorder="1" applyAlignment="1">
      <alignment horizontal="right" vertical="center"/>
    </xf>
    <xf numFmtId="3" fontId="14" fillId="0" borderId="9" xfId="9" applyNumberFormat="1" applyFont="1" applyBorder="1" applyAlignment="1">
      <alignment horizontal="right" vertical="center"/>
    </xf>
    <xf numFmtId="0" fontId="34" fillId="0" borderId="0" xfId="22" applyFont="1" applyAlignment="1">
      <alignment wrapText="1"/>
    </xf>
    <xf numFmtId="0" fontId="34" fillId="0" borderId="0" xfId="22" applyFont="1"/>
    <xf numFmtId="3" fontId="57" fillId="0" borderId="0" xfId="22" applyNumberFormat="1" applyFont="1"/>
    <xf numFmtId="49" fontId="34" fillId="0" borderId="0" xfId="22" applyNumberFormat="1" applyFont="1" applyAlignment="1">
      <alignment horizontal="center"/>
    </xf>
    <xf numFmtId="0" fontId="13" fillId="0" borderId="53" xfId="14" applyFont="1" applyBorder="1" applyAlignment="1">
      <alignment horizontal="left" vertical="center" wrapText="1"/>
    </xf>
    <xf numFmtId="0" fontId="13" fillId="2" borderId="118" xfId="9" applyFont="1" applyFill="1" applyBorder="1" applyAlignment="1">
      <alignment vertical="center" wrapText="1"/>
    </xf>
    <xf numFmtId="49" fontId="13" fillId="2" borderId="118" xfId="10" applyNumberFormat="1" applyFont="1" applyFill="1" applyBorder="1" applyAlignment="1">
      <alignment horizontal="left" vertical="center" wrapText="1"/>
    </xf>
    <xf numFmtId="0" fontId="13" fillId="0" borderId="118" xfId="0" applyFont="1" applyBorder="1" applyAlignment="1">
      <alignment vertical="center" wrapText="1"/>
    </xf>
    <xf numFmtId="49" fontId="20" fillId="2" borderId="118" xfId="10" applyNumberFormat="1" applyFont="1" applyFill="1" applyBorder="1" applyAlignment="1">
      <alignment horizontal="left" vertical="center" wrapText="1"/>
    </xf>
    <xf numFmtId="0" fontId="13" fillId="0" borderId="118" xfId="14" applyFont="1" applyBorder="1" applyAlignment="1">
      <alignment vertical="center" wrapText="1"/>
    </xf>
    <xf numFmtId="3" fontId="13" fillId="0" borderId="50" xfId="14" applyNumberFormat="1" applyFont="1" applyBorder="1" applyAlignment="1">
      <alignment horizontal="right" vertical="center"/>
    </xf>
    <xf numFmtId="3" fontId="13" fillId="0" borderId="116" xfId="10" applyNumberFormat="1" applyFont="1" applyBorder="1" applyAlignment="1">
      <alignment horizontal="right" vertical="center" wrapText="1"/>
    </xf>
    <xf numFmtId="3" fontId="13" fillId="0" borderId="116" xfId="0" applyNumberFormat="1" applyFont="1" applyBorder="1" applyAlignment="1">
      <alignment horizontal="right" vertical="center" wrapText="1"/>
    </xf>
    <xf numFmtId="3" fontId="20" fillId="0" borderId="116" xfId="10" applyNumberFormat="1" applyFont="1" applyBorder="1" applyAlignment="1">
      <alignment horizontal="right" vertical="center" wrapText="1"/>
    </xf>
    <xf numFmtId="3" fontId="14" fillId="0" borderId="116" xfId="14" applyNumberFormat="1" applyFont="1" applyBorder="1" applyAlignment="1">
      <alignment horizontal="right" vertical="center"/>
    </xf>
    <xf numFmtId="0" fontId="13" fillId="0" borderId="118" xfId="14" applyFont="1" applyFill="1" applyBorder="1" applyAlignment="1">
      <alignment vertical="center" wrapText="1"/>
    </xf>
    <xf numFmtId="3" fontId="13" fillId="0" borderId="116" xfId="9" applyNumberFormat="1" applyFont="1" applyFill="1" applyBorder="1" applyAlignment="1">
      <alignment horizontal="right" vertical="center" wrapText="1"/>
    </xf>
    <xf numFmtId="3" fontId="13" fillId="0" borderId="116" xfId="9" applyNumberFormat="1" applyFont="1" applyFill="1" applyBorder="1" applyAlignment="1">
      <alignment horizontal="right" vertical="center"/>
    </xf>
    <xf numFmtId="0" fontId="13" fillId="0" borderId="15" xfId="14" applyFont="1" applyFill="1" applyBorder="1" applyAlignment="1">
      <alignment vertical="center" wrapText="1"/>
    </xf>
    <xf numFmtId="0" fontId="13" fillId="0" borderId="75" xfId="0" applyFont="1" applyBorder="1" applyAlignment="1">
      <alignment horizontal="justify" vertical="center" wrapText="1"/>
    </xf>
    <xf numFmtId="0" fontId="13" fillId="0" borderId="119" xfId="0" applyFont="1" applyBorder="1" applyAlignment="1">
      <alignment horizontal="justify" vertical="center" wrapText="1"/>
    </xf>
    <xf numFmtId="0" fontId="17" fillId="0" borderId="119" xfId="0" applyFont="1" applyBorder="1" applyAlignment="1">
      <alignment horizontal="justify" vertical="center" wrapText="1"/>
    </xf>
    <xf numFmtId="0" fontId="13" fillId="0" borderId="119" xfId="0" applyFont="1" applyBorder="1" applyAlignment="1">
      <alignment horizontal="left" vertical="center" wrapText="1"/>
    </xf>
    <xf numFmtId="0" fontId="14" fillId="0" borderId="119" xfId="0" applyFont="1" applyBorder="1" applyAlignment="1">
      <alignment horizontal="justify" vertical="center" wrapText="1"/>
    </xf>
    <xf numFmtId="49" fontId="13" fillId="0" borderId="119" xfId="0" applyNumberFormat="1" applyFont="1" applyBorder="1" applyAlignment="1">
      <alignment horizontal="justify" vertical="center" wrapText="1"/>
    </xf>
    <xf numFmtId="0" fontId="13" fillId="0" borderId="117" xfId="0" applyFont="1" applyBorder="1" applyAlignment="1">
      <alignment horizontal="justify" vertical="center" wrapText="1"/>
    </xf>
    <xf numFmtId="167" fontId="13" fillId="0" borderId="0" xfId="0" applyNumberFormat="1" applyFont="1" applyFill="1" applyAlignment="1">
      <alignment vertical="center"/>
    </xf>
    <xf numFmtId="2" fontId="14" fillId="0" borderId="74" xfId="0" applyNumberFormat="1" applyFont="1" applyFill="1" applyBorder="1" applyAlignment="1">
      <alignment horizontal="center" vertical="center" wrapText="1"/>
    </xf>
    <xf numFmtId="3" fontId="13" fillId="0" borderId="105" xfId="0" applyNumberFormat="1" applyFont="1" applyBorder="1" applyAlignment="1">
      <alignment horizontal="right" vertical="center" wrapText="1"/>
    </xf>
    <xf numFmtId="3" fontId="13" fillId="0" borderId="120" xfId="0" applyNumberFormat="1" applyFont="1" applyBorder="1" applyAlignment="1">
      <alignment vertical="center"/>
    </xf>
    <xf numFmtId="3" fontId="14" fillId="0" borderId="120" xfId="0" applyNumberFormat="1" applyFont="1" applyBorder="1" applyAlignment="1">
      <alignment vertical="center"/>
    </xf>
    <xf numFmtId="3" fontId="13" fillId="0" borderId="105" xfId="0" applyNumberFormat="1" applyFont="1" applyBorder="1" applyAlignment="1">
      <alignment vertical="center"/>
    </xf>
    <xf numFmtId="3" fontId="13" fillId="0" borderId="97" xfId="0" applyNumberFormat="1" applyFont="1" applyBorder="1" applyAlignment="1">
      <alignment vertical="center"/>
    </xf>
    <xf numFmtId="3" fontId="14" fillId="0" borderId="116" xfId="0" applyNumberFormat="1" applyFont="1" applyFill="1" applyBorder="1" applyAlignment="1">
      <alignment horizontal="right" vertical="center" wrapText="1"/>
    </xf>
    <xf numFmtId="3" fontId="13" fillId="0" borderId="116" xfId="0" applyNumberFormat="1" applyFont="1" applyFill="1" applyBorder="1" applyAlignment="1">
      <alignment horizontal="right" vertical="center" wrapText="1"/>
    </xf>
    <xf numFmtId="3" fontId="14" fillId="0" borderId="116" xfId="0" applyNumberFormat="1" applyFont="1" applyBorder="1" applyAlignment="1">
      <alignment horizontal="right" vertical="center" wrapText="1"/>
    </xf>
    <xf numFmtId="3" fontId="13" fillId="0" borderId="116" xfId="0" applyNumberFormat="1" applyFont="1" applyBorder="1" applyAlignment="1">
      <alignment vertical="center"/>
    </xf>
    <xf numFmtId="3" fontId="11" fillId="0" borderId="116" xfId="0" applyNumberFormat="1" applyFont="1" applyBorder="1" applyAlignment="1">
      <alignment horizontal="right" vertical="center" wrapText="1"/>
    </xf>
    <xf numFmtId="3" fontId="11" fillId="0" borderId="116" xfId="0" applyNumberFormat="1" applyFont="1" applyBorder="1" applyAlignment="1">
      <alignment vertical="center"/>
    </xf>
    <xf numFmtId="3" fontId="14" fillId="0" borderId="116" xfId="0" applyNumberFormat="1" applyFont="1" applyBorder="1" applyAlignment="1">
      <alignment vertical="center"/>
    </xf>
    <xf numFmtId="3" fontId="14" fillId="0" borderId="93" xfId="0" applyNumberFormat="1" applyFont="1" applyFill="1" applyBorder="1" applyAlignment="1">
      <alignment horizontal="right" vertical="center" wrapText="1"/>
    </xf>
    <xf numFmtId="3" fontId="13" fillId="0" borderId="105" xfId="0" applyNumberFormat="1" applyFont="1" applyFill="1" applyBorder="1" applyAlignment="1">
      <alignment horizontal="right" vertical="center" wrapText="1"/>
    </xf>
    <xf numFmtId="3" fontId="4" fillId="0" borderId="10" xfId="0" applyNumberFormat="1" applyFont="1" applyBorder="1" applyAlignment="1">
      <alignment vertical="center" wrapText="1"/>
    </xf>
    <xf numFmtId="3" fontId="4" fillId="0" borderId="10" xfId="0" applyNumberFormat="1" applyFont="1" applyBorder="1" applyAlignment="1">
      <alignment vertical="center"/>
    </xf>
    <xf numFmtId="3" fontId="4" fillId="0" borderId="8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vertical="center" wrapText="1"/>
    </xf>
    <xf numFmtId="37" fontId="4" fillId="0" borderId="116" xfId="0" applyNumberFormat="1" applyFont="1" applyBorder="1" applyAlignment="1">
      <alignment vertical="center" wrapText="1"/>
    </xf>
    <xf numFmtId="37" fontId="5" fillId="0" borderId="116" xfId="0" applyNumberFormat="1" applyFont="1" applyBorder="1" applyAlignment="1">
      <alignment vertical="center" wrapText="1"/>
    </xf>
    <xf numFmtId="3" fontId="5" fillId="0" borderId="116" xfId="0" applyNumberFormat="1" applyFont="1" applyBorder="1" applyAlignment="1">
      <alignment vertical="center" wrapText="1"/>
    </xf>
    <xf numFmtId="3" fontId="6" fillId="0" borderId="116" xfId="0" applyNumberFormat="1" applyFont="1" applyBorder="1" applyAlignment="1">
      <alignment vertical="center" wrapText="1"/>
    </xf>
    <xf numFmtId="0" fontId="20" fillId="0" borderId="0" xfId="0" applyFont="1" applyFill="1"/>
    <xf numFmtId="0" fontId="29" fillId="0" borderId="0" xfId="0" applyFont="1" applyFill="1" applyAlignment="1">
      <alignment vertical="center"/>
    </xf>
    <xf numFmtId="0" fontId="28" fillId="0" borderId="101" xfId="0" applyFont="1" applyFill="1" applyBorder="1" applyAlignment="1">
      <alignment horizontal="center" vertical="center" wrapText="1"/>
    </xf>
    <xf numFmtId="3" fontId="13" fillId="0" borderId="116" xfId="14" applyNumberFormat="1" applyFont="1" applyBorder="1" applyAlignment="1">
      <alignment horizontal="right" vertical="center"/>
    </xf>
    <xf numFmtId="3" fontId="13" fillId="0" borderId="116" xfId="14" applyNumberFormat="1" applyFont="1" applyFill="1" applyBorder="1" applyAlignment="1">
      <alignment horizontal="right" vertical="center"/>
    </xf>
    <xf numFmtId="3" fontId="13" fillId="0" borderId="6" xfId="14" applyNumberFormat="1" applyFont="1" applyFill="1" applyBorder="1" applyAlignment="1">
      <alignment horizontal="right" vertical="center"/>
    </xf>
    <xf numFmtId="0" fontId="13" fillId="0" borderId="0" xfId="14" applyFont="1" applyFill="1" applyAlignment="1">
      <alignment vertical="center"/>
    </xf>
    <xf numFmtId="3" fontId="33" fillId="0" borderId="50" xfId="0" applyNumberFormat="1" applyFont="1" applyBorder="1" applyAlignment="1">
      <alignment vertical="center" wrapText="1"/>
    </xf>
    <xf numFmtId="3" fontId="13" fillId="0" borderId="115" xfId="0" applyNumberFormat="1" applyFont="1" applyBorder="1" applyAlignment="1">
      <alignment vertical="center"/>
    </xf>
    <xf numFmtId="3" fontId="13" fillId="2" borderId="115" xfId="0" applyNumberFormat="1" applyFont="1" applyFill="1" applyBorder="1" applyAlignment="1">
      <alignment vertical="center"/>
    </xf>
    <xf numFmtId="3" fontId="14" fillId="0" borderId="115" xfId="0" applyNumberFormat="1" applyFont="1" applyBorder="1" applyAlignment="1">
      <alignment vertical="center"/>
    </xf>
    <xf numFmtId="0" fontId="7" fillId="0" borderId="0" xfId="0" applyFont="1" applyFill="1"/>
    <xf numFmtId="3" fontId="13" fillId="0" borderId="0" xfId="0" applyNumberFormat="1" applyFont="1" applyFill="1" applyAlignment="1">
      <alignment vertical="center"/>
    </xf>
    <xf numFmtId="49" fontId="17" fillId="0" borderId="0" xfId="0" applyNumberFormat="1" applyFont="1" applyFill="1" applyAlignment="1">
      <alignment vertical="center"/>
    </xf>
    <xf numFmtId="49" fontId="13" fillId="0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14" fontId="13" fillId="0" borderId="89" xfId="0" applyNumberFormat="1" applyFont="1" applyFill="1" applyBorder="1" applyAlignment="1">
      <alignment horizontal="center" vertical="center" wrapText="1"/>
    </xf>
    <xf numFmtId="14" fontId="13" fillId="0" borderId="89" xfId="0" applyNumberFormat="1" applyFont="1" applyFill="1" applyBorder="1" applyAlignment="1">
      <alignment horizontal="center" vertical="center"/>
    </xf>
    <xf numFmtId="3" fontId="13" fillId="0" borderId="88" xfId="0" applyNumberFormat="1" applyFont="1" applyFill="1" applyBorder="1" applyAlignment="1">
      <alignment vertical="center"/>
    </xf>
    <xf numFmtId="3" fontId="13" fillId="0" borderId="79" xfId="0" applyNumberFormat="1" applyFont="1" applyFill="1" applyBorder="1" applyAlignment="1">
      <alignment vertical="center"/>
    </xf>
    <xf numFmtId="3" fontId="13" fillId="0" borderId="89" xfId="0" applyNumberFormat="1" applyFont="1" applyFill="1" applyBorder="1" applyAlignment="1">
      <alignment vertical="center"/>
    </xf>
    <xf numFmtId="3" fontId="13" fillId="0" borderId="95" xfId="0" applyNumberFormat="1" applyFont="1" applyFill="1" applyBorder="1" applyAlignment="1">
      <alignment vertical="center"/>
    </xf>
    <xf numFmtId="0" fontId="13" fillId="0" borderId="63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3" fontId="14" fillId="0" borderId="70" xfId="14" applyNumberFormat="1" applyFont="1" applyBorder="1" applyAlignment="1">
      <alignment horizontal="right" vertical="center"/>
    </xf>
    <xf numFmtId="3" fontId="14" fillId="0" borderId="122" xfId="14" applyNumberFormat="1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4" fillId="0" borderId="8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4" fillId="0" borderId="81" xfId="0" applyFont="1" applyFill="1" applyBorder="1" applyAlignment="1">
      <alignment horizontal="center" vertical="center" wrapText="1"/>
    </xf>
    <xf numFmtId="0" fontId="24" fillId="0" borderId="86" xfId="0" applyFont="1" applyFill="1" applyBorder="1" applyAlignment="1">
      <alignment horizontal="center" vertical="center" wrapText="1"/>
    </xf>
    <xf numFmtId="3" fontId="13" fillId="0" borderId="115" xfId="0" applyNumberFormat="1" applyFont="1" applyFill="1" applyBorder="1" applyAlignment="1">
      <alignment vertical="center"/>
    </xf>
    <xf numFmtId="3" fontId="13" fillId="0" borderId="116" xfId="0" applyNumberFormat="1" applyFont="1" applyFill="1" applyBorder="1" applyAlignment="1">
      <alignment vertical="center"/>
    </xf>
    <xf numFmtId="3" fontId="13" fillId="0" borderId="103" xfId="0" applyNumberFormat="1" applyFont="1" applyFill="1" applyBorder="1" applyAlignment="1">
      <alignment vertical="center"/>
    </xf>
    <xf numFmtId="3" fontId="13" fillId="0" borderId="85" xfId="0" applyNumberFormat="1" applyFont="1" applyFill="1" applyBorder="1" applyAlignment="1">
      <alignment vertical="center"/>
    </xf>
    <xf numFmtId="3" fontId="13" fillId="0" borderId="86" xfId="0" applyNumberFormat="1" applyFont="1" applyFill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3" fontId="13" fillId="0" borderId="108" xfId="0" applyNumberFormat="1" applyFont="1" applyFill="1" applyBorder="1" applyAlignment="1">
      <alignment vertical="center"/>
    </xf>
    <xf numFmtId="3" fontId="13" fillId="0" borderId="83" xfId="0" applyNumberFormat="1" applyFont="1" applyFill="1" applyBorder="1" applyAlignment="1">
      <alignment vertical="center"/>
    </xf>
    <xf numFmtId="0" fontId="24" fillId="0" borderId="122" xfId="0" applyFont="1" applyFill="1" applyBorder="1" applyAlignment="1">
      <alignment horizontal="center" vertical="center" wrapText="1"/>
    </xf>
    <xf numFmtId="3" fontId="14" fillId="0" borderId="82" xfId="0" applyNumberFormat="1" applyFont="1" applyBorder="1" applyAlignment="1">
      <alignment vertical="center"/>
    </xf>
    <xf numFmtId="3" fontId="13" fillId="0" borderId="122" xfId="0" applyNumberFormat="1" applyFont="1" applyFill="1" applyBorder="1" applyAlignment="1">
      <alignment vertical="center"/>
    </xf>
    <xf numFmtId="3" fontId="13" fillId="0" borderId="81" xfId="0" applyNumberFormat="1" applyFont="1" applyFill="1" applyBorder="1" applyAlignment="1">
      <alignment vertical="center"/>
    </xf>
    <xf numFmtId="3" fontId="13" fillId="0" borderId="123" xfId="0" applyNumberFormat="1" applyFont="1" applyFill="1" applyBorder="1" applyAlignment="1">
      <alignment vertical="center"/>
    </xf>
    <xf numFmtId="3" fontId="33" fillId="0" borderId="54" xfId="0" applyNumberFormat="1" applyFont="1" applyBorder="1" applyAlignment="1">
      <alignment vertical="center" wrapText="1"/>
    </xf>
    <xf numFmtId="3" fontId="33" fillId="0" borderId="74" xfId="0" applyNumberFormat="1" applyFont="1" applyBorder="1" applyAlignment="1">
      <alignment vertical="center" wrapText="1"/>
    </xf>
    <xf numFmtId="3" fontId="33" fillId="0" borderId="51" xfId="0" applyNumberFormat="1" applyFont="1" applyBorder="1" applyAlignment="1">
      <alignment vertical="center" wrapText="1"/>
    </xf>
    <xf numFmtId="3" fontId="33" fillId="0" borderId="8" xfId="0" applyNumberFormat="1" applyFont="1" applyBorder="1" applyAlignment="1">
      <alignment vertical="center" wrapText="1"/>
    </xf>
    <xf numFmtId="3" fontId="33" fillId="0" borderId="8" xfId="0" applyNumberFormat="1" applyFont="1" applyFill="1" applyBorder="1" applyAlignment="1">
      <alignment horizontal="center" vertical="center" wrapText="1"/>
    </xf>
    <xf numFmtId="3" fontId="14" fillId="0" borderId="120" xfId="9" applyNumberFormat="1" applyFont="1" applyBorder="1" applyAlignment="1">
      <alignment horizontal="right" vertical="center"/>
    </xf>
    <xf numFmtId="3" fontId="14" fillId="0" borderId="74" xfId="14" applyNumberFormat="1" applyFont="1" applyBorder="1" applyAlignment="1">
      <alignment horizontal="right" vertical="center"/>
    </xf>
    <xf numFmtId="3" fontId="14" fillId="0" borderId="120" xfId="14" applyNumberFormat="1" applyFont="1" applyBorder="1" applyAlignment="1">
      <alignment horizontal="right" vertical="center"/>
    </xf>
    <xf numFmtId="3" fontId="13" fillId="0" borderId="105" xfId="14" applyNumberFormat="1" applyFont="1" applyBorder="1" applyAlignment="1">
      <alignment horizontal="right" vertical="center"/>
    </xf>
    <xf numFmtId="3" fontId="13" fillId="0" borderId="115" xfId="14" applyNumberFormat="1" applyFont="1" applyBorder="1" applyAlignment="1">
      <alignment horizontal="right" vertical="center"/>
    </xf>
    <xf numFmtId="0" fontId="13" fillId="0" borderId="119" xfId="9" applyFont="1" applyBorder="1" applyAlignment="1">
      <alignment vertical="center" wrapText="1"/>
    </xf>
    <xf numFmtId="0" fontId="13" fillId="0" borderId="119" xfId="9" applyFont="1" applyBorder="1" applyAlignment="1">
      <alignment vertical="center"/>
    </xf>
    <xf numFmtId="0" fontId="13" fillId="0" borderId="124" xfId="9" applyFont="1" applyBorder="1" applyAlignment="1">
      <alignment vertical="center"/>
    </xf>
    <xf numFmtId="3" fontId="13" fillId="0" borderId="81" xfId="9" applyNumberFormat="1" applyFont="1" applyBorder="1" applyAlignment="1">
      <alignment horizontal="right" vertical="center" wrapText="1"/>
    </xf>
    <xf numFmtId="3" fontId="13" fillId="0" borderId="81" xfId="9" applyNumberFormat="1" applyFont="1" applyBorder="1" applyAlignment="1">
      <alignment horizontal="right" vertical="center"/>
    </xf>
    <xf numFmtId="3" fontId="14" fillId="0" borderId="81" xfId="9" applyNumberFormat="1" applyFont="1" applyBorder="1" applyAlignment="1">
      <alignment horizontal="right" vertical="center"/>
    </xf>
    <xf numFmtId="3" fontId="14" fillId="0" borderId="123" xfId="9" applyNumberFormat="1" applyFont="1" applyBorder="1" applyAlignment="1">
      <alignment horizontal="right" vertical="center"/>
    </xf>
    <xf numFmtId="3" fontId="14" fillId="0" borderId="8" xfId="9" applyNumberFormat="1" applyFont="1" applyBorder="1" applyAlignment="1">
      <alignment horizontal="right" vertical="center"/>
    </xf>
    <xf numFmtId="3" fontId="13" fillId="0" borderId="104" xfId="9" applyNumberFormat="1" applyFont="1" applyBorder="1" applyAlignment="1">
      <alignment horizontal="right" vertical="center"/>
    </xf>
    <xf numFmtId="3" fontId="14" fillId="0" borderId="122" xfId="14" applyNumberFormat="1" applyFont="1" applyFill="1" applyBorder="1" applyAlignment="1">
      <alignment horizontal="center" vertical="center" wrapText="1"/>
    </xf>
    <xf numFmtId="3" fontId="14" fillId="0" borderId="81" xfId="14" applyNumberFormat="1" applyFont="1" applyFill="1" applyBorder="1" applyAlignment="1">
      <alignment horizontal="center" vertical="center" wrapText="1"/>
    </xf>
    <xf numFmtId="0" fontId="13" fillId="0" borderId="0" xfId="14" applyFont="1" applyAlignment="1">
      <alignment horizontal="center" vertical="center"/>
    </xf>
    <xf numFmtId="3" fontId="14" fillId="0" borderId="0" xfId="14" applyNumberFormat="1" applyFont="1" applyAlignment="1">
      <alignment horizontal="right"/>
    </xf>
    <xf numFmtId="3" fontId="13" fillId="0" borderId="40" xfId="14" applyNumberFormat="1" applyFont="1" applyBorder="1" applyAlignment="1">
      <alignment horizontal="right" vertical="center"/>
    </xf>
    <xf numFmtId="3" fontId="13" fillId="0" borderId="51" xfId="14" applyNumberFormat="1" applyFont="1" applyBorder="1" applyAlignment="1">
      <alignment horizontal="right" vertical="center"/>
    </xf>
    <xf numFmtId="3" fontId="13" fillId="0" borderId="115" xfId="14" applyNumberFormat="1" applyFont="1" applyFill="1" applyBorder="1" applyAlignment="1">
      <alignment horizontal="right" vertical="center"/>
    </xf>
    <xf numFmtId="3" fontId="13" fillId="0" borderId="81" xfId="14" applyNumberFormat="1" applyFont="1" applyFill="1" applyBorder="1" applyAlignment="1">
      <alignment horizontal="right" vertical="center"/>
    </xf>
    <xf numFmtId="3" fontId="14" fillId="0" borderId="38" xfId="14" applyNumberFormat="1" applyFont="1" applyBorder="1" applyAlignment="1">
      <alignment horizontal="right" vertical="center"/>
    </xf>
    <xf numFmtId="3" fontId="13" fillId="0" borderId="115" xfId="10" applyNumberFormat="1" applyFont="1" applyBorder="1" applyAlignment="1">
      <alignment horizontal="right" vertical="center" wrapText="1"/>
    </xf>
    <xf numFmtId="3" fontId="13" fillId="0" borderId="115" xfId="0" applyNumberFormat="1" applyFont="1" applyBorder="1" applyAlignment="1">
      <alignment horizontal="right" vertical="center" wrapText="1"/>
    </xf>
    <xf numFmtId="3" fontId="20" fillId="0" borderId="115" xfId="10" applyNumberFormat="1" applyFont="1" applyBorder="1" applyAlignment="1">
      <alignment horizontal="right" vertical="center" wrapText="1"/>
    </xf>
    <xf numFmtId="3" fontId="13" fillId="0" borderId="115" xfId="9" applyNumberFormat="1" applyFont="1" applyFill="1" applyBorder="1" applyAlignment="1">
      <alignment horizontal="right" vertical="center" wrapText="1"/>
    </xf>
    <xf numFmtId="3" fontId="13" fillId="0" borderId="122" xfId="9" applyNumberFormat="1" applyFont="1" applyFill="1" applyBorder="1" applyAlignment="1">
      <alignment horizontal="right" vertical="center" wrapText="1"/>
    </xf>
    <xf numFmtId="3" fontId="13" fillId="0" borderId="81" xfId="9" applyNumberFormat="1" applyFont="1" applyFill="1" applyBorder="1" applyAlignment="1">
      <alignment horizontal="right" vertical="center" wrapText="1"/>
    </xf>
    <xf numFmtId="3" fontId="13" fillId="0" borderId="115" xfId="9" applyNumberFormat="1" applyFont="1" applyFill="1" applyBorder="1" applyAlignment="1">
      <alignment horizontal="right" vertical="center"/>
    </xf>
    <xf numFmtId="3" fontId="13" fillId="0" borderId="122" xfId="9" applyNumberFormat="1" applyFont="1" applyFill="1" applyBorder="1" applyAlignment="1">
      <alignment horizontal="right" vertical="center"/>
    </xf>
    <xf numFmtId="3" fontId="13" fillId="0" borderId="81" xfId="9" applyNumberFormat="1" applyFont="1" applyFill="1" applyBorder="1" applyAlignment="1">
      <alignment horizontal="right" vertical="center"/>
    </xf>
    <xf numFmtId="3" fontId="14" fillId="0" borderId="54" xfId="9" applyNumberFormat="1" applyFont="1" applyBorder="1" applyAlignment="1">
      <alignment horizontal="right" vertical="center"/>
    </xf>
    <xf numFmtId="3" fontId="14" fillId="0" borderId="120" xfId="9" applyNumberFormat="1" applyFont="1" applyFill="1" applyBorder="1" applyAlignment="1">
      <alignment horizontal="right" vertical="center"/>
    </xf>
    <xf numFmtId="3" fontId="14" fillId="0" borderId="98" xfId="9" applyNumberFormat="1" applyFont="1" applyFill="1" applyBorder="1" applyAlignment="1">
      <alignment horizontal="right" vertical="center"/>
    </xf>
    <xf numFmtId="3" fontId="14" fillId="0" borderId="85" xfId="14" applyNumberFormat="1" applyFont="1" applyFill="1" applyBorder="1" applyAlignment="1">
      <alignment horizontal="center" vertical="center" wrapText="1"/>
    </xf>
    <xf numFmtId="3" fontId="14" fillId="0" borderId="51" xfId="9" applyNumberFormat="1" applyFont="1" applyBorder="1" applyAlignment="1">
      <alignment horizontal="right" vertical="center"/>
    </xf>
    <xf numFmtId="3" fontId="14" fillId="0" borderId="115" xfId="9" applyNumberFormat="1" applyFont="1" applyFill="1" applyBorder="1" applyAlignment="1">
      <alignment horizontal="right" vertical="center"/>
    </xf>
    <xf numFmtId="3" fontId="14" fillId="0" borderId="81" xfId="9" applyNumberFormat="1" applyFont="1" applyFill="1" applyBorder="1" applyAlignment="1">
      <alignment horizontal="right" vertical="center"/>
    </xf>
    <xf numFmtId="3" fontId="14" fillId="0" borderId="84" xfId="14" applyNumberFormat="1" applyFont="1" applyBorder="1" applyAlignment="1">
      <alignment horizontal="right" vertical="center"/>
    </xf>
    <xf numFmtId="3" fontId="24" fillId="0" borderId="74" xfId="0" applyNumberFormat="1" applyFont="1" applyBorder="1"/>
    <xf numFmtId="3" fontId="24" fillId="0" borderId="8" xfId="0" applyNumberFormat="1" applyFont="1" applyBorder="1"/>
    <xf numFmtId="2" fontId="13" fillId="0" borderId="120" xfId="0" applyNumberFormat="1" applyFont="1" applyFill="1" applyBorder="1" applyAlignment="1">
      <alignment horizontal="center" vertical="center" wrapText="1"/>
    </xf>
    <xf numFmtId="2" fontId="11" fillId="0" borderId="120" xfId="0" applyNumberFormat="1" applyFont="1" applyFill="1" applyBorder="1" applyAlignment="1">
      <alignment horizontal="center" vertical="center" wrapText="1"/>
    </xf>
    <xf numFmtId="2" fontId="14" fillId="0" borderId="120" xfId="0" applyNumberFormat="1" applyFont="1" applyFill="1" applyBorder="1" applyAlignment="1">
      <alignment horizontal="center" vertical="center" wrapText="1"/>
    </xf>
    <xf numFmtId="2" fontId="13" fillId="0" borderId="98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2" fontId="13" fillId="0" borderId="55" xfId="0" applyNumberFormat="1" applyFont="1" applyBorder="1" applyAlignment="1">
      <alignment horizontal="center" vertical="center" wrapText="1"/>
    </xf>
    <xf numFmtId="2" fontId="13" fillId="0" borderId="119" xfId="0" applyNumberFormat="1" applyFont="1" applyBorder="1" applyAlignment="1">
      <alignment horizontal="center" vertical="center" wrapText="1"/>
    </xf>
    <xf numFmtId="2" fontId="11" fillId="0" borderId="119" xfId="0" applyNumberFormat="1" applyFont="1" applyBorder="1" applyAlignment="1">
      <alignment horizontal="center" vertical="center" wrapText="1"/>
    </xf>
    <xf numFmtId="2" fontId="14" fillId="0" borderId="119" xfId="0" applyNumberFormat="1" applyFont="1" applyBorder="1" applyAlignment="1">
      <alignment horizontal="center" vertical="center" wrapText="1"/>
    </xf>
    <xf numFmtId="2" fontId="13" fillId="0" borderId="119" xfId="0" applyNumberFormat="1" applyFont="1" applyBorder="1" applyAlignment="1">
      <alignment horizontal="center" vertical="center"/>
    </xf>
    <xf numFmtId="2" fontId="13" fillId="0" borderId="124" xfId="0" applyNumberFormat="1" applyFont="1" applyBorder="1" applyAlignment="1">
      <alignment horizontal="center" vertical="center" wrapText="1"/>
    </xf>
    <xf numFmtId="2" fontId="13" fillId="0" borderId="51" xfId="0" applyNumberFormat="1" applyFont="1" applyFill="1" applyBorder="1" applyAlignment="1">
      <alignment horizontal="center" vertical="center" wrapText="1"/>
    </xf>
    <xf numFmtId="2" fontId="13" fillId="0" borderId="115" xfId="0" applyNumberFormat="1" applyFont="1" applyFill="1" applyBorder="1" applyAlignment="1">
      <alignment horizontal="center" vertical="center" wrapText="1"/>
    </xf>
    <xf numFmtId="2" fontId="11" fillId="0" borderId="115" xfId="0" applyNumberFormat="1" applyFont="1" applyFill="1" applyBorder="1" applyAlignment="1">
      <alignment horizontal="center" vertical="center" wrapText="1"/>
    </xf>
    <xf numFmtId="2" fontId="14" fillId="0" borderId="115" xfId="0" applyNumberFormat="1" applyFont="1" applyFill="1" applyBorder="1" applyAlignment="1">
      <alignment horizontal="center" vertical="center" wrapText="1"/>
    </xf>
    <xf numFmtId="2" fontId="13" fillId="0" borderId="115" xfId="0" applyNumberFormat="1" applyFont="1" applyFill="1" applyBorder="1" applyAlignment="1">
      <alignment horizontal="center" vertical="center"/>
    </xf>
    <xf numFmtId="2" fontId="13" fillId="0" borderId="81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3" fillId="0" borderId="90" xfId="0" applyNumberFormat="1" applyFont="1" applyFill="1" applyBorder="1" applyAlignment="1">
      <alignment horizontal="center" vertical="center"/>
    </xf>
    <xf numFmtId="2" fontId="14" fillId="0" borderId="10" xfId="0" applyNumberFormat="1" applyFont="1" applyFill="1" applyBorder="1" applyAlignment="1">
      <alignment horizontal="center" vertical="center"/>
    </xf>
    <xf numFmtId="0" fontId="14" fillId="0" borderId="78" xfId="0" applyFont="1" applyBorder="1" applyAlignment="1">
      <alignment horizontal="center" vertical="center" wrapText="1"/>
    </xf>
    <xf numFmtId="2" fontId="13" fillId="0" borderId="34" xfId="0" applyNumberFormat="1" applyFont="1" applyBorder="1" applyAlignment="1">
      <alignment horizontal="center" vertical="center"/>
    </xf>
    <xf numFmtId="2" fontId="14" fillId="0" borderId="4" xfId="0" applyNumberFormat="1" applyFont="1" applyBorder="1" applyAlignment="1">
      <alignment horizontal="center" vertical="center"/>
    </xf>
    <xf numFmtId="0" fontId="14" fillId="0" borderId="86" xfId="0" applyFont="1" applyFill="1" applyBorder="1" applyAlignment="1">
      <alignment horizontal="center" vertical="center" wrapText="1"/>
    </xf>
    <xf numFmtId="2" fontId="13" fillId="0" borderId="43" xfId="0" applyNumberFormat="1" applyFont="1" applyFill="1" applyBorder="1" applyAlignment="1">
      <alignment horizontal="center" vertical="center"/>
    </xf>
    <xf numFmtId="2" fontId="14" fillId="0" borderId="8" xfId="0" applyNumberFormat="1" applyFont="1" applyFill="1" applyBorder="1" applyAlignment="1">
      <alignment horizontal="center" vertical="center"/>
    </xf>
    <xf numFmtId="3" fontId="14" fillId="0" borderId="34" xfId="0" applyNumberFormat="1" applyFont="1" applyBorder="1" applyAlignment="1">
      <alignment horizontal="center" vertical="center"/>
    </xf>
    <xf numFmtId="3" fontId="14" fillId="0" borderId="4" xfId="0" applyNumberFormat="1" applyFont="1" applyBorder="1" applyAlignment="1">
      <alignment vertical="center"/>
    </xf>
    <xf numFmtId="3" fontId="14" fillId="0" borderId="55" xfId="0" applyNumberFormat="1" applyFont="1" applyBorder="1" applyAlignment="1">
      <alignment vertical="center"/>
    </xf>
    <xf numFmtId="3" fontId="14" fillId="0" borderId="119" xfId="0" applyNumberFormat="1" applyFont="1" applyBorder="1" applyAlignment="1">
      <alignment horizontal="center" vertical="center"/>
    </xf>
    <xf numFmtId="3" fontId="13" fillId="0" borderId="119" xfId="0" applyNumberFormat="1" applyFont="1" applyBorder="1" applyAlignment="1">
      <alignment vertical="center"/>
    </xf>
    <xf numFmtId="3" fontId="17" fillId="0" borderId="119" xfId="0" applyNumberFormat="1" applyFont="1" applyBorder="1" applyAlignment="1">
      <alignment vertical="center"/>
    </xf>
    <xf numFmtId="3" fontId="14" fillId="0" borderId="119" xfId="0" applyNumberFormat="1" applyFont="1" applyBorder="1" applyAlignment="1">
      <alignment vertical="center"/>
    </xf>
    <xf numFmtId="3" fontId="13" fillId="0" borderId="78" xfId="0" applyNumberFormat="1" applyFont="1" applyBorder="1" applyAlignment="1">
      <alignment vertical="center"/>
    </xf>
    <xf numFmtId="3" fontId="17" fillId="0" borderId="120" xfId="0" applyNumberFormat="1" applyFont="1" applyBorder="1" applyAlignment="1">
      <alignment vertical="center"/>
    </xf>
    <xf numFmtId="3" fontId="14" fillId="0" borderId="120" xfId="0" applyNumberFormat="1" applyFont="1" applyBorder="1" applyAlignment="1">
      <alignment horizontal="center" vertical="center"/>
    </xf>
    <xf numFmtId="3" fontId="14" fillId="0" borderId="43" xfId="0" applyNumberFormat="1" applyFont="1" applyFill="1" applyBorder="1" applyAlignment="1">
      <alignment horizontal="center" vertical="center"/>
    </xf>
    <xf numFmtId="3" fontId="14" fillId="0" borderId="51" xfId="0" applyNumberFormat="1" applyFont="1" applyBorder="1" applyAlignment="1">
      <alignment vertical="center"/>
    </xf>
    <xf numFmtId="3" fontId="17" fillId="0" borderId="115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horizontal="center" vertical="center"/>
    </xf>
    <xf numFmtId="3" fontId="13" fillId="0" borderId="86" xfId="0" applyNumberFormat="1" applyFont="1" applyBorder="1" applyAlignment="1">
      <alignment vertical="center"/>
    </xf>
    <xf numFmtId="3" fontId="14" fillId="0" borderId="10" xfId="12" applyNumberFormat="1" applyFont="1" applyFill="1" applyBorder="1" applyAlignment="1">
      <alignment horizontal="center" vertical="center"/>
    </xf>
    <xf numFmtId="3" fontId="13" fillId="0" borderId="116" xfId="12" applyNumberFormat="1" applyFont="1" applyBorder="1" applyAlignment="1">
      <alignment vertical="center"/>
    </xf>
    <xf numFmtId="3" fontId="13" fillId="0" borderId="105" xfId="12" applyNumberFormat="1" applyFont="1" applyBorder="1" applyAlignment="1">
      <alignment vertical="center"/>
    </xf>
    <xf numFmtId="3" fontId="17" fillId="0" borderId="116" xfId="12" applyNumberFormat="1" applyFont="1" applyBorder="1" applyAlignment="1">
      <alignment vertical="center"/>
    </xf>
    <xf numFmtId="3" fontId="17" fillId="0" borderId="105" xfId="12" applyNumberFormat="1" applyFont="1" applyBorder="1" applyAlignment="1">
      <alignment vertical="center"/>
    </xf>
    <xf numFmtId="3" fontId="14" fillId="0" borderId="10" xfId="12" applyNumberFormat="1" applyFont="1" applyBorder="1" applyAlignment="1">
      <alignment vertical="center"/>
    </xf>
    <xf numFmtId="3" fontId="14" fillId="0" borderId="125" xfId="12" applyNumberFormat="1" applyFont="1" applyBorder="1" applyAlignment="1">
      <alignment horizontal="center" vertical="center"/>
    </xf>
    <xf numFmtId="3" fontId="14" fillId="0" borderId="93" xfId="12" applyNumberFormat="1" applyFont="1" applyBorder="1" applyAlignment="1">
      <alignment horizontal="center" vertical="center"/>
    </xf>
    <xf numFmtId="3" fontId="14" fillId="0" borderId="116" xfId="12" applyNumberFormat="1" applyFont="1" applyBorder="1" applyAlignment="1">
      <alignment horizontal="center" vertical="center"/>
    </xf>
    <xf numFmtId="3" fontId="14" fillId="0" borderId="105" xfId="12" applyNumberFormat="1" applyFont="1" applyBorder="1" applyAlignment="1">
      <alignment horizontal="center" vertical="center"/>
    </xf>
    <xf numFmtId="3" fontId="13" fillId="0" borderId="85" xfId="12" applyNumberFormat="1" applyFont="1" applyBorder="1" applyAlignment="1">
      <alignment vertical="center"/>
    </xf>
    <xf numFmtId="3" fontId="13" fillId="0" borderId="64" xfId="12" applyNumberFormat="1" applyFont="1" applyBorder="1" applyAlignment="1">
      <alignment vertical="center"/>
    </xf>
    <xf numFmtId="3" fontId="13" fillId="0" borderId="120" xfId="12" applyNumberFormat="1" applyFont="1" applyBorder="1" applyAlignment="1">
      <alignment vertical="center"/>
    </xf>
    <xf numFmtId="3" fontId="17" fillId="0" borderId="120" xfId="12" applyNumberFormat="1" applyFont="1" applyBorder="1" applyAlignment="1">
      <alignment vertical="center"/>
    </xf>
    <xf numFmtId="3" fontId="14" fillId="0" borderId="120" xfId="12" applyNumberFormat="1" applyFont="1" applyBorder="1" applyAlignment="1">
      <alignment horizontal="center" vertical="center"/>
    </xf>
    <xf numFmtId="3" fontId="13" fillId="0" borderId="97" xfId="12" applyNumberFormat="1" applyFont="1" applyBorder="1" applyAlignment="1">
      <alignment vertical="center"/>
    </xf>
    <xf numFmtId="0" fontId="14" fillId="0" borderId="10" xfId="0" applyFont="1" applyFill="1" applyBorder="1" applyAlignment="1">
      <alignment horizontal="center" vertical="center"/>
    </xf>
    <xf numFmtId="3" fontId="14" fillId="0" borderId="10" xfId="0" applyNumberFormat="1" applyFont="1" applyBorder="1" applyAlignment="1">
      <alignment horizontal="right" vertical="center"/>
    </xf>
    <xf numFmtId="3" fontId="14" fillId="0" borderId="74" xfId="9" applyNumberFormat="1" applyFont="1" applyBorder="1" applyAlignment="1">
      <alignment vertical="center"/>
    </xf>
    <xf numFmtId="3" fontId="14" fillId="0" borderId="54" xfId="9" applyNumberFormat="1" applyFont="1" applyBorder="1" applyAlignment="1">
      <alignment vertical="center"/>
    </xf>
    <xf numFmtId="3" fontId="14" fillId="0" borderId="56" xfId="9" applyNumberFormat="1" applyFont="1" applyBorder="1" applyAlignment="1">
      <alignment vertical="center"/>
    </xf>
    <xf numFmtId="3" fontId="13" fillId="0" borderId="54" xfId="9" applyNumberFormat="1" applyFont="1" applyBorder="1" applyAlignment="1">
      <alignment vertical="center"/>
    </xf>
    <xf numFmtId="3" fontId="14" fillId="0" borderId="7" xfId="9" applyNumberFormat="1" applyFont="1" applyBorder="1" applyAlignment="1">
      <alignment vertical="center"/>
    </xf>
    <xf numFmtId="0" fontId="14" fillId="0" borderId="10" xfId="9" applyFont="1" applyFill="1" applyBorder="1" applyAlignment="1">
      <alignment horizontal="center" vertical="center" wrapText="1"/>
    </xf>
    <xf numFmtId="3" fontId="14" fillId="0" borderId="10" xfId="9" applyNumberFormat="1" applyFont="1" applyBorder="1" applyAlignment="1">
      <alignment vertical="center"/>
    </xf>
    <xf numFmtId="3" fontId="14" fillId="0" borderId="41" xfId="9" applyNumberFormat="1" applyFont="1" applyBorder="1" applyAlignment="1">
      <alignment vertical="center"/>
    </xf>
    <xf numFmtId="3" fontId="13" fillId="0" borderId="127" xfId="9" applyNumberFormat="1" applyFont="1" applyBorder="1" applyAlignment="1">
      <alignment vertical="center"/>
    </xf>
    <xf numFmtId="3" fontId="14" fillId="0" borderId="90" xfId="9" applyNumberFormat="1" applyFont="1" applyBorder="1" applyAlignment="1">
      <alignment vertical="center"/>
    </xf>
    <xf numFmtId="3" fontId="13" fillId="0" borderId="41" xfId="9" applyNumberFormat="1" applyFont="1" applyBorder="1" applyAlignment="1">
      <alignment vertical="center"/>
    </xf>
    <xf numFmtId="0" fontId="14" fillId="0" borderId="7" xfId="9" applyFont="1" applyBorder="1" applyAlignment="1">
      <alignment horizontal="center" vertical="center" wrapText="1"/>
    </xf>
    <xf numFmtId="3" fontId="14" fillId="0" borderId="19" xfId="9" applyNumberFormat="1" applyFont="1" applyBorder="1" applyAlignment="1">
      <alignment vertical="center"/>
    </xf>
    <xf numFmtId="0" fontId="14" fillId="0" borderId="34" xfId="9" applyFont="1" applyBorder="1" applyAlignment="1">
      <alignment vertical="center" wrapText="1"/>
    </xf>
    <xf numFmtId="0" fontId="14" fillId="0" borderId="119" xfId="9" applyFont="1" applyBorder="1" applyAlignment="1">
      <alignment vertical="center" wrapText="1"/>
    </xf>
    <xf numFmtId="0" fontId="14" fillId="2" borderId="119" xfId="9" applyFont="1" applyFill="1" applyBorder="1" applyAlignment="1">
      <alignment vertical="center" wrapText="1"/>
    </xf>
    <xf numFmtId="49" fontId="20" fillId="0" borderId="119" xfId="18" applyNumberFormat="1" applyFont="1" applyBorder="1" applyAlignment="1">
      <alignment horizontal="left" vertical="center" wrapText="1"/>
    </xf>
    <xf numFmtId="0" fontId="13" fillId="0" borderId="75" xfId="9" applyFont="1" applyBorder="1" applyAlignment="1">
      <alignment vertical="center" wrapText="1"/>
    </xf>
    <xf numFmtId="0" fontId="42" fillId="0" borderId="119" xfId="0" applyFont="1" applyBorder="1"/>
    <xf numFmtId="0" fontId="20" fillId="0" borderId="119" xfId="0" applyFont="1" applyFill="1" applyBorder="1"/>
    <xf numFmtId="3" fontId="14" fillId="0" borderId="50" xfId="9" applyNumberFormat="1" applyFont="1" applyBorder="1" applyAlignment="1">
      <alignment vertical="center"/>
    </xf>
    <xf numFmtId="3" fontId="4" fillId="0" borderId="115" xfId="0" applyNumberFormat="1" applyFont="1" applyBorder="1" applyAlignment="1">
      <alignment vertical="center" wrapText="1"/>
    </xf>
    <xf numFmtId="3" fontId="4" fillId="0" borderId="115" xfId="0" applyNumberFormat="1" applyFont="1" applyBorder="1" applyAlignment="1">
      <alignment vertical="center"/>
    </xf>
    <xf numFmtId="37" fontId="4" fillId="0" borderId="115" xfId="0" applyNumberFormat="1" applyFont="1" applyBorder="1" applyAlignment="1">
      <alignment vertical="center" wrapText="1"/>
    </xf>
    <xf numFmtId="37" fontId="5" fillId="0" borderId="115" xfId="0" applyNumberFormat="1" applyFont="1" applyBorder="1" applyAlignment="1">
      <alignment vertical="center" wrapText="1"/>
    </xf>
    <xf numFmtId="3" fontId="5" fillId="0" borderId="115" xfId="0" applyNumberFormat="1" applyFont="1" applyBorder="1" applyAlignment="1">
      <alignment vertical="center" wrapText="1"/>
    </xf>
    <xf numFmtId="3" fontId="6" fillId="0" borderId="115" xfId="0" applyNumberFormat="1" applyFont="1" applyBorder="1" applyAlignment="1">
      <alignment vertical="center" wrapText="1"/>
    </xf>
    <xf numFmtId="3" fontId="22" fillId="0" borderId="115" xfId="0" applyNumberFormat="1" applyFont="1" applyBorder="1" applyAlignment="1">
      <alignment vertical="center"/>
    </xf>
    <xf numFmtId="3" fontId="4" fillId="0" borderId="103" xfId="0" applyNumberFormat="1" applyFont="1" applyBorder="1" applyAlignment="1">
      <alignment vertical="center"/>
    </xf>
    <xf numFmtId="3" fontId="22" fillId="0" borderId="103" xfId="0" applyNumberFormat="1" applyFont="1" applyBorder="1" applyAlignment="1">
      <alignment vertical="center"/>
    </xf>
    <xf numFmtId="3" fontId="4" fillId="0" borderId="125" xfId="0" applyNumberFormat="1" applyFont="1" applyBorder="1" applyAlignment="1">
      <alignment vertical="center" wrapText="1"/>
    </xf>
    <xf numFmtId="3" fontId="4" fillId="0" borderId="82" xfId="0" applyNumberFormat="1" applyFont="1" applyBorder="1" applyAlignment="1">
      <alignment vertical="center" wrapText="1"/>
    </xf>
    <xf numFmtId="3" fontId="4" fillId="0" borderId="111" xfId="0" applyNumberFormat="1" applyFont="1" applyBorder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" fontId="6" fillId="0" borderId="85" xfId="0" applyNumberFormat="1" applyFont="1" applyBorder="1" applyAlignment="1">
      <alignment vertical="center" wrapText="1"/>
    </xf>
    <xf numFmtId="3" fontId="6" fillId="0" borderId="86" xfId="0" applyNumberFormat="1" applyFont="1" applyBorder="1" applyAlignment="1">
      <alignment vertical="center" wrapText="1"/>
    </xf>
    <xf numFmtId="3" fontId="22" fillId="0" borderId="86" xfId="0" applyNumberFormat="1" applyFont="1" applyBorder="1" applyAlignment="1">
      <alignment vertical="center"/>
    </xf>
    <xf numFmtId="3" fontId="4" fillId="0" borderId="8" xfId="0" applyNumberFormat="1" applyFont="1" applyBorder="1" applyAlignment="1">
      <alignment vertical="center" wrapText="1"/>
    </xf>
    <xf numFmtId="0" fontId="4" fillId="0" borderId="86" xfId="0" applyFont="1" applyBorder="1" applyAlignment="1">
      <alignment vertical="center"/>
    </xf>
    <xf numFmtId="3" fontId="4" fillId="0" borderId="38" xfId="0" applyNumberFormat="1" applyFont="1" applyBorder="1" applyAlignment="1">
      <alignment vertical="center"/>
    </xf>
    <xf numFmtId="3" fontId="4" fillId="0" borderId="112" xfId="0" applyNumberFormat="1" applyFont="1" applyBorder="1" applyAlignment="1">
      <alignment vertical="center" wrapText="1"/>
    </xf>
    <xf numFmtId="3" fontId="4" fillId="0" borderId="108" xfId="0" applyNumberFormat="1" applyFont="1" applyBorder="1" applyAlignment="1">
      <alignment vertical="center" wrapText="1"/>
    </xf>
    <xf numFmtId="37" fontId="4" fillId="0" borderId="108" xfId="0" applyNumberFormat="1" applyFont="1" applyBorder="1" applyAlignment="1">
      <alignment vertical="center" wrapText="1"/>
    </xf>
    <xf numFmtId="37" fontId="5" fillId="0" borderId="108" xfId="0" applyNumberFormat="1" applyFont="1" applyBorder="1" applyAlignment="1">
      <alignment vertical="center" wrapText="1"/>
    </xf>
    <xf numFmtId="3" fontId="5" fillId="0" borderId="108" xfId="0" applyNumberFormat="1" applyFont="1" applyBorder="1" applyAlignment="1">
      <alignment vertical="center" wrapText="1"/>
    </xf>
    <xf numFmtId="3" fontId="6" fillId="0" borderId="108" xfId="0" applyNumberFormat="1" applyFont="1" applyBorder="1" applyAlignment="1">
      <alignment vertical="center" wrapText="1"/>
    </xf>
    <xf numFmtId="3" fontId="6" fillId="0" borderId="83" xfId="0" applyNumberFormat="1" applyFont="1" applyBorder="1" applyAlignment="1">
      <alignment vertical="center" wrapText="1"/>
    </xf>
    <xf numFmtId="3" fontId="4" fillId="0" borderId="32" xfId="0" applyNumberFormat="1" applyFont="1" applyBorder="1" applyAlignment="1">
      <alignment vertical="center" wrapText="1"/>
    </xf>
    <xf numFmtId="3" fontId="4" fillId="0" borderId="83" xfId="0" applyNumberFormat="1" applyFont="1" applyBorder="1" applyAlignment="1">
      <alignment vertical="center"/>
    </xf>
    <xf numFmtId="3" fontId="4" fillId="0" borderId="32" xfId="0" applyNumberFormat="1" applyFont="1" applyBorder="1" applyAlignment="1">
      <alignment vertical="center"/>
    </xf>
    <xf numFmtId="3" fontId="4" fillId="0" borderId="48" xfId="0" applyNumberFormat="1" applyFont="1" applyBorder="1" applyAlignment="1">
      <alignment vertical="center"/>
    </xf>
    <xf numFmtId="3" fontId="4" fillId="0" borderId="111" xfId="0" applyNumberFormat="1" applyFont="1" applyBorder="1" applyAlignment="1">
      <alignment vertical="center" wrapText="1"/>
    </xf>
    <xf numFmtId="3" fontId="6" fillId="0" borderId="87" xfId="0" applyNumberFormat="1" applyFont="1" applyBorder="1" applyAlignment="1">
      <alignment vertical="center" wrapText="1"/>
    </xf>
    <xf numFmtId="3" fontId="22" fillId="0" borderId="127" xfId="0" applyNumberFormat="1" applyFont="1" applyBorder="1" applyAlignment="1">
      <alignment vertical="center"/>
    </xf>
    <xf numFmtId="3" fontId="4" fillId="0" borderId="127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horizontal="right" vertical="center" wrapText="1"/>
    </xf>
    <xf numFmtId="3" fontId="14" fillId="0" borderId="115" xfId="0" applyNumberFormat="1" applyFont="1" applyFill="1" applyBorder="1" applyAlignment="1">
      <alignment horizontal="right" vertical="center" wrapText="1"/>
    </xf>
    <xf numFmtId="3" fontId="13" fillId="0" borderId="115" xfId="0" applyNumberFormat="1" applyFont="1" applyFill="1" applyBorder="1" applyAlignment="1">
      <alignment horizontal="right" vertical="center" wrapText="1"/>
    </xf>
    <xf numFmtId="3" fontId="11" fillId="0" borderId="115" xfId="0" applyNumberFormat="1" applyFont="1" applyBorder="1" applyAlignment="1">
      <alignment horizontal="right" vertical="center" wrapText="1"/>
    </xf>
    <xf numFmtId="3" fontId="11" fillId="0" borderId="115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horizontal="right" vertical="center" wrapText="1"/>
    </xf>
    <xf numFmtId="3" fontId="14" fillId="0" borderId="82" xfId="0" applyNumberFormat="1" applyFont="1" applyFill="1" applyBorder="1" applyAlignment="1">
      <alignment horizontal="right" vertical="center" wrapText="1"/>
    </xf>
    <xf numFmtId="3" fontId="14" fillId="0" borderId="111" xfId="0" applyNumberFormat="1" applyFont="1" applyFill="1" applyBorder="1" applyAlignment="1">
      <alignment horizontal="right" vertical="center" wrapText="1"/>
    </xf>
    <xf numFmtId="0" fontId="14" fillId="0" borderId="81" xfId="0" applyFont="1" applyFill="1" applyBorder="1" applyAlignment="1">
      <alignment horizontal="center" vertical="center" wrapText="1"/>
    </xf>
    <xf numFmtId="3" fontId="13" fillId="0" borderId="85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3" fontId="14" fillId="0" borderId="86" xfId="0" applyNumberFormat="1" applyFont="1" applyBorder="1" applyAlignment="1">
      <alignment vertical="center"/>
    </xf>
    <xf numFmtId="3" fontId="14" fillId="0" borderId="112" xfId="0" applyNumberFormat="1" applyFont="1" applyFill="1" applyBorder="1" applyAlignment="1">
      <alignment horizontal="right" vertical="center" wrapText="1"/>
    </xf>
    <xf numFmtId="3" fontId="14" fillId="0" borderId="108" xfId="0" applyNumberFormat="1" applyFont="1" applyFill="1" applyBorder="1" applyAlignment="1">
      <alignment horizontal="right" vertical="center" wrapText="1"/>
    </xf>
    <xf numFmtId="3" fontId="14" fillId="0" borderId="108" xfId="0" applyNumberFormat="1" applyFont="1" applyBorder="1" applyAlignment="1">
      <alignment vertical="center"/>
    </xf>
    <xf numFmtId="3" fontId="13" fillId="0" borderId="83" xfId="0" applyNumberFormat="1" applyFont="1" applyBorder="1" applyAlignment="1">
      <alignment vertical="center"/>
    </xf>
    <xf numFmtId="3" fontId="14" fillId="0" borderId="112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3" fontId="14" fillId="0" borderId="48" xfId="0" applyNumberFormat="1" applyFont="1" applyBorder="1" applyAlignment="1">
      <alignment vertical="center"/>
    </xf>
    <xf numFmtId="0" fontId="14" fillId="0" borderId="102" xfId="0" applyFont="1" applyFill="1" applyBorder="1" applyAlignment="1">
      <alignment horizontal="center" vertical="center" wrapText="1"/>
    </xf>
    <xf numFmtId="3" fontId="14" fillId="0" borderId="105" xfId="0" applyNumberFormat="1" applyFont="1" applyFill="1" applyBorder="1" applyAlignment="1">
      <alignment horizontal="right" vertical="center" wrapText="1"/>
    </xf>
    <xf numFmtId="3" fontId="14" fillId="0" borderId="105" xfId="0" applyNumberFormat="1" applyFont="1" applyBorder="1" applyAlignment="1">
      <alignment horizontal="right" vertical="center" wrapText="1"/>
    </xf>
    <xf numFmtId="3" fontId="11" fillId="0" borderId="105" xfId="0" applyNumberFormat="1" applyFont="1" applyBorder="1" applyAlignment="1">
      <alignment horizontal="right" vertical="center" wrapText="1"/>
    </xf>
    <xf numFmtId="3" fontId="11" fillId="0" borderId="105" xfId="0" applyNumberFormat="1" applyFont="1" applyBorder="1" applyAlignment="1">
      <alignment vertical="center"/>
    </xf>
    <xf numFmtId="3" fontId="13" fillId="0" borderId="127" xfId="0" applyNumberFormat="1" applyFont="1" applyBorder="1" applyAlignment="1">
      <alignment vertical="center"/>
    </xf>
    <xf numFmtId="3" fontId="14" fillId="0" borderId="127" xfId="0" applyNumberFormat="1" applyFont="1" applyBorder="1" applyAlignment="1">
      <alignment vertical="center"/>
    </xf>
    <xf numFmtId="3" fontId="14" fillId="2" borderId="125" xfId="0" applyNumberFormat="1" applyFont="1" applyFill="1" applyBorder="1" applyAlignment="1">
      <alignment horizontal="right" vertical="center" wrapText="1"/>
    </xf>
    <xf numFmtId="3" fontId="14" fillId="2" borderId="82" xfId="0" applyNumberFormat="1" applyFont="1" applyFill="1" applyBorder="1" applyAlignment="1">
      <alignment horizontal="right" vertical="center" wrapText="1"/>
    </xf>
    <xf numFmtId="3" fontId="14" fillId="2" borderId="111" xfId="0" applyNumberFormat="1" applyFont="1" applyFill="1" applyBorder="1" applyAlignment="1">
      <alignment horizontal="right" vertical="center" wrapText="1"/>
    </xf>
    <xf numFmtId="3" fontId="13" fillId="2" borderId="116" xfId="0" applyNumberFormat="1" applyFont="1" applyFill="1" applyBorder="1" applyAlignment="1">
      <alignment horizontal="right" vertical="center" wrapText="1"/>
    </xf>
    <xf numFmtId="3" fontId="13" fillId="2" borderId="115" xfId="0" applyNumberFormat="1" applyFont="1" applyFill="1" applyBorder="1" applyAlignment="1">
      <alignment horizontal="right" vertical="center" wrapText="1"/>
    </xf>
    <xf numFmtId="3" fontId="13" fillId="2" borderId="103" xfId="0" applyNumberFormat="1" applyFont="1" applyFill="1" applyBorder="1" applyAlignment="1">
      <alignment horizontal="right" vertical="center" wrapText="1"/>
    </xf>
    <xf numFmtId="3" fontId="14" fillId="2" borderId="116" xfId="0" applyNumberFormat="1" applyFont="1" applyFill="1" applyBorder="1" applyAlignment="1">
      <alignment horizontal="right" vertical="center" wrapText="1"/>
    </xf>
    <xf numFmtId="3" fontId="14" fillId="2" borderId="115" xfId="0" applyNumberFormat="1" applyFont="1" applyFill="1" applyBorder="1" applyAlignment="1">
      <alignment horizontal="right" vertical="center" wrapText="1"/>
    </xf>
    <xf numFmtId="3" fontId="14" fillId="2" borderId="103" xfId="0" applyNumberFormat="1" applyFont="1" applyFill="1" applyBorder="1" applyAlignment="1">
      <alignment horizontal="right" vertical="center" wrapText="1"/>
    </xf>
    <xf numFmtId="3" fontId="13" fillId="2" borderId="116" xfId="0" applyNumberFormat="1" applyFont="1" applyFill="1" applyBorder="1" applyAlignment="1">
      <alignment vertical="center"/>
    </xf>
    <xf numFmtId="3" fontId="13" fillId="2" borderId="103" xfId="0" applyNumberFormat="1" applyFont="1" applyFill="1" applyBorder="1" applyAlignment="1">
      <alignment vertical="center"/>
    </xf>
    <xf numFmtId="3" fontId="11" fillId="2" borderId="116" xfId="0" applyNumberFormat="1" applyFont="1" applyFill="1" applyBorder="1" applyAlignment="1">
      <alignment horizontal="right" vertical="center" wrapText="1"/>
    </xf>
    <xf numFmtId="3" fontId="11" fillId="2" borderId="115" xfId="0" applyNumberFormat="1" applyFont="1" applyFill="1" applyBorder="1" applyAlignment="1">
      <alignment horizontal="right" vertical="center" wrapText="1"/>
    </xf>
    <xf numFmtId="3" fontId="11" fillId="2" borderId="103" xfId="0" applyNumberFormat="1" applyFont="1" applyFill="1" applyBorder="1" applyAlignment="1">
      <alignment horizontal="right" vertical="center" wrapText="1"/>
    </xf>
    <xf numFmtId="3" fontId="11" fillId="2" borderId="116" xfId="0" applyNumberFormat="1" applyFont="1" applyFill="1" applyBorder="1" applyAlignment="1">
      <alignment vertical="center"/>
    </xf>
    <xf numFmtId="3" fontId="11" fillId="2" borderId="115" xfId="0" applyNumberFormat="1" applyFont="1" applyFill="1" applyBorder="1" applyAlignment="1">
      <alignment vertical="center"/>
    </xf>
    <xf numFmtId="3" fontId="11" fillId="2" borderId="103" xfId="0" applyNumberFormat="1" applyFont="1" applyFill="1" applyBorder="1" applyAlignment="1">
      <alignment vertical="center"/>
    </xf>
    <xf numFmtId="3" fontId="14" fillId="2" borderId="116" xfId="0" applyNumberFormat="1" applyFont="1" applyFill="1" applyBorder="1" applyAlignment="1">
      <alignment vertical="center"/>
    </xf>
    <xf numFmtId="3" fontId="14" fillId="2" borderId="115" xfId="0" applyNumberFormat="1" applyFont="1" applyFill="1" applyBorder="1" applyAlignment="1">
      <alignment vertical="center"/>
    </xf>
    <xf numFmtId="3" fontId="14" fillId="2" borderId="103" xfId="0" applyNumberFormat="1" applyFont="1" applyFill="1" applyBorder="1" applyAlignment="1">
      <alignment vertical="center"/>
    </xf>
    <xf numFmtId="3" fontId="13" fillId="2" borderId="85" xfId="0" applyNumberFormat="1" applyFont="1" applyFill="1" applyBorder="1" applyAlignment="1">
      <alignment vertical="center"/>
    </xf>
    <xf numFmtId="3" fontId="13" fillId="2" borderId="86" xfId="0" applyNumberFormat="1" applyFont="1" applyFill="1" applyBorder="1" applyAlignment="1">
      <alignment vertical="center"/>
    </xf>
    <xf numFmtId="3" fontId="13" fillId="2" borderId="8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8" xfId="0" applyNumberFormat="1" applyFont="1" applyFill="1" applyBorder="1" applyAlignment="1">
      <alignment vertical="center"/>
    </xf>
    <xf numFmtId="3" fontId="14" fillId="2" borderId="9" xfId="0" applyNumberFormat="1" applyFont="1" applyFill="1" applyBorder="1" applyAlignment="1">
      <alignment vertical="center"/>
    </xf>
    <xf numFmtId="3" fontId="14" fillId="2" borderId="125" xfId="0" applyNumberFormat="1" applyFont="1" applyFill="1" applyBorder="1" applyAlignment="1">
      <alignment vertical="center"/>
    </xf>
    <xf numFmtId="3" fontId="14" fillId="2" borderId="82" xfId="0" applyNumberFormat="1" applyFont="1" applyFill="1" applyBorder="1" applyAlignment="1">
      <alignment vertical="center"/>
    </xf>
    <xf numFmtId="3" fontId="14" fillId="2" borderId="111" xfId="0" applyNumberFormat="1" applyFont="1" applyFill="1" applyBorder="1" applyAlignment="1">
      <alignment vertical="center"/>
    </xf>
    <xf numFmtId="3" fontId="14" fillId="2" borderId="85" xfId="0" applyNumberFormat="1" applyFont="1" applyFill="1" applyBorder="1" applyAlignment="1">
      <alignment vertical="center"/>
    </xf>
    <xf numFmtId="3" fontId="14" fillId="2" borderId="86" xfId="0" applyNumberFormat="1" applyFont="1" applyFill="1" applyBorder="1" applyAlignment="1">
      <alignment vertical="center"/>
    </xf>
    <xf numFmtId="3" fontId="14" fillId="2" borderId="87" xfId="0" applyNumberFormat="1" applyFont="1" applyFill="1" applyBorder="1" applyAlignment="1">
      <alignment vertical="center"/>
    </xf>
    <xf numFmtId="3" fontId="14" fillId="2" borderId="13" xfId="0" applyNumberFormat="1" applyFont="1" applyFill="1" applyBorder="1" applyAlignment="1">
      <alignment vertical="center"/>
    </xf>
    <xf numFmtId="3" fontId="14" fillId="2" borderId="38" xfId="0" applyNumberFormat="1" applyFont="1" applyFill="1" applyBorder="1" applyAlignment="1">
      <alignment vertical="center"/>
    </xf>
    <xf numFmtId="3" fontId="14" fillId="2" borderId="14" xfId="0" applyNumberFormat="1" applyFont="1" applyFill="1" applyBorder="1" applyAlignment="1">
      <alignment vertical="center"/>
    </xf>
    <xf numFmtId="0" fontId="14" fillId="0" borderId="6" xfId="0" applyFont="1" applyFill="1" applyBorder="1" applyAlignment="1">
      <alignment horizontal="center" vertical="center" wrapText="1"/>
    </xf>
    <xf numFmtId="3" fontId="14" fillId="0" borderId="125" xfId="0" applyNumberFormat="1" applyFont="1" applyFill="1" applyBorder="1" applyAlignment="1">
      <alignment horizontal="right" vertical="center" wrapText="1"/>
    </xf>
    <xf numFmtId="3" fontId="2" fillId="0" borderId="115" xfId="1" applyNumberFormat="1" applyFont="1" applyBorder="1" applyAlignment="1">
      <alignment vertical="center"/>
    </xf>
    <xf numFmtId="3" fontId="2" fillId="0" borderId="105" xfId="1" applyNumberFormat="1" applyFont="1" applyBorder="1" applyAlignment="1">
      <alignment vertical="center"/>
    </xf>
    <xf numFmtId="3" fontId="4" fillId="0" borderId="115" xfId="1" applyNumberFormat="1" applyFont="1" applyBorder="1" applyAlignment="1">
      <alignment vertical="center"/>
    </xf>
    <xf numFmtId="3" fontId="4" fillId="0" borderId="105" xfId="1" applyNumberFormat="1" applyFont="1" applyBorder="1" applyAlignment="1">
      <alignment vertical="center"/>
    </xf>
    <xf numFmtId="3" fontId="5" fillId="0" borderId="115" xfId="1" applyNumberFormat="1" applyFont="1" applyBorder="1" applyAlignment="1">
      <alignment vertical="center"/>
    </xf>
    <xf numFmtId="3" fontId="5" fillId="0" borderId="105" xfId="1" applyNumberFormat="1" applyFont="1" applyBorder="1" applyAlignment="1">
      <alignment vertical="center"/>
    </xf>
    <xf numFmtId="3" fontId="10" fillId="0" borderId="115" xfId="1" applyNumberFormat="1" applyFont="1" applyBorder="1" applyAlignment="1">
      <alignment vertical="center"/>
    </xf>
    <xf numFmtId="3" fontId="10" fillId="0" borderId="105" xfId="1" applyNumberFormat="1" applyFont="1" applyBorder="1" applyAlignment="1">
      <alignment vertical="center"/>
    </xf>
    <xf numFmtId="3" fontId="2" fillId="0" borderId="115" xfId="1" applyNumberFormat="1" applyFont="1" applyFill="1" applyBorder="1" applyAlignment="1">
      <alignment vertical="center"/>
    </xf>
    <xf numFmtId="3" fontId="2" fillId="0" borderId="105" xfId="1" applyNumberFormat="1" applyFont="1" applyFill="1" applyBorder="1" applyAlignment="1">
      <alignment vertical="center"/>
    </xf>
    <xf numFmtId="3" fontId="10" fillId="0" borderId="127" xfId="1" applyNumberFormat="1" applyFont="1" applyBorder="1" applyAlignment="1">
      <alignment vertical="center"/>
    </xf>
    <xf numFmtId="3" fontId="2" fillId="0" borderId="10" xfId="1" applyNumberFormat="1" applyFont="1" applyBorder="1" applyAlignment="1">
      <alignment vertical="center"/>
    </xf>
    <xf numFmtId="3" fontId="2" fillId="0" borderId="127" xfId="1" applyNumberFormat="1" applyFont="1" applyBorder="1" applyAlignment="1">
      <alignment vertical="center"/>
    </xf>
    <xf numFmtId="3" fontId="2" fillId="0" borderId="91" xfId="1" applyNumberFormat="1" applyFont="1" applyBorder="1" applyAlignment="1">
      <alignment vertical="center"/>
    </xf>
    <xf numFmtId="49" fontId="2" fillId="0" borderId="116" xfId="1" applyNumberFormat="1" applyFont="1" applyBorder="1" applyAlignment="1">
      <alignment vertical="center" wrapText="1"/>
    </xf>
    <xf numFmtId="3" fontId="2" fillId="0" borderId="120" xfId="1" applyNumberFormat="1" applyFont="1" applyBorder="1" applyAlignment="1">
      <alignment vertical="center"/>
    </xf>
    <xf numFmtId="0" fontId="2" fillId="0" borderId="116" xfId="1" applyFont="1" applyBorder="1" applyAlignment="1">
      <alignment vertical="center" wrapText="1"/>
    </xf>
    <xf numFmtId="3" fontId="4" fillId="0" borderId="120" xfId="1" applyNumberFormat="1" applyFont="1" applyBorder="1" applyAlignment="1">
      <alignment vertical="center"/>
    </xf>
    <xf numFmtId="49" fontId="5" fillId="0" borderId="116" xfId="1" applyNumberFormat="1" applyFont="1" applyBorder="1" applyAlignment="1">
      <alignment vertical="center" wrapText="1"/>
    </xf>
    <xf numFmtId="3" fontId="5" fillId="0" borderId="120" xfId="1" applyNumberFormat="1" applyFont="1" applyBorder="1" applyAlignment="1">
      <alignment vertical="center"/>
    </xf>
    <xf numFmtId="0" fontId="5" fillId="0" borderId="116" xfId="1" applyFont="1" applyBorder="1" applyAlignment="1">
      <alignment vertical="center" wrapText="1"/>
    </xf>
    <xf numFmtId="49" fontId="10" fillId="0" borderId="116" xfId="1" applyNumberFormat="1" applyFont="1" applyBorder="1" applyAlignment="1">
      <alignment vertical="center" wrapText="1"/>
    </xf>
    <xf numFmtId="3" fontId="10" fillId="0" borderId="120" xfId="1" applyNumberFormat="1" applyFont="1" applyBorder="1" applyAlignment="1">
      <alignment vertical="center"/>
    </xf>
    <xf numFmtId="3" fontId="12" fillId="0" borderId="115" xfId="1" applyNumberFormat="1" applyFont="1" applyBorder="1" applyAlignment="1">
      <alignment vertical="center"/>
    </xf>
    <xf numFmtId="3" fontId="12" fillId="0" borderId="105" xfId="1" applyNumberFormat="1" applyFont="1" applyBorder="1" applyAlignment="1">
      <alignment vertical="center"/>
    </xf>
    <xf numFmtId="3" fontId="2" fillId="0" borderId="120" xfId="1" applyNumberFormat="1" applyFont="1" applyFill="1" applyBorder="1" applyAlignment="1">
      <alignment vertical="center"/>
    </xf>
    <xf numFmtId="0" fontId="10" fillId="0" borderId="116" xfId="1" applyFont="1" applyBorder="1" applyAlignment="1">
      <alignment vertical="center" wrapText="1"/>
    </xf>
    <xf numFmtId="0" fontId="2" fillId="0" borderId="125" xfId="1" applyFont="1" applyBorder="1" applyAlignment="1">
      <alignment horizontal="left" vertical="center" wrapText="1"/>
    </xf>
    <xf numFmtId="0" fontId="2" fillId="0" borderId="125" xfId="1" applyFont="1" applyBorder="1" applyAlignment="1">
      <alignment horizontal="center" vertical="center" wrapText="1"/>
    </xf>
    <xf numFmtId="0" fontId="2" fillId="0" borderId="93" xfId="1" applyFont="1" applyBorder="1" applyAlignment="1">
      <alignment horizontal="center" vertical="center"/>
    </xf>
    <xf numFmtId="0" fontId="2" fillId="0" borderId="116" xfId="1" applyFont="1" applyBorder="1" applyAlignment="1">
      <alignment horizontal="center" vertical="center" wrapText="1"/>
    </xf>
    <xf numFmtId="0" fontId="2" fillId="0" borderId="115" xfId="1" applyFont="1" applyBorder="1" applyAlignment="1">
      <alignment horizontal="center" vertical="center"/>
    </xf>
    <xf numFmtId="0" fontId="2" fillId="0" borderId="120" xfId="1" applyFont="1" applyBorder="1" applyAlignment="1">
      <alignment horizontal="center" vertical="center"/>
    </xf>
    <xf numFmtId="0" fontId="2" fillId="0" borderId="105" xfId="1" applyFont="1" applyBorder="1" applyAlignment="1">
      <alignment horizontal="center" vertical="center"/>
    </xf>
    <xf numFmtId="49" fontId="5" fillId="0" borderId="125" xfId="1" applyNumberFormat="1" applyFont="1" applyBorder="1" applyAlignment="1">
      <alignment vertical="center" wrapText="1"/>
    </xf>
    <xf numFmtId="0" fontId="2" fillId="0" borderId="116" xfId="1" applyFont="1" applyBorder="1" applyAlignment="1">
      <alignment horizontal="left" vertical="center" wrapText="1"/>
    </xf>
    <xf numFmtId="0" fontId="12" fillId="0" borderId="116" xfId="0" applyFont="1" applyBorder="1" applyAlignment="1">
      <alignment vertical="center" wrapText="1"/>
    </xf>
    <xf numFmtId="3" fontId="6" fillId="0" borderId="115" xfId="1" applyNumberFormat="1" applyFont="1" applyBorder="1" applyAlignment="1">
      <alignment vertical="center"/>
    </xf>
    <xf numFmtId="3" fontId="6" fillId="0" borderId="105" xfId="1" applyNumberFormat="1" applyFont="1" applyBorder="1" applyAlignment="1">
      <alignment vertical="center"/>
    </xf>
    <xf numFmtId="3" fontId="12" fillId="0" borderId="116" xfId="1" applyNumberFormat="1" applyFont="1" applyBorder="1" applyAlignment="1">
      <alignment vertical="center" wrapText="1"/>
    </xf>
    <xf numFmtId="49" fontId="2" fillId="0" borderId="125" xfId="1" applyNumberFormat="1" applyFont="1" applyBorder="1" applyAlignment="1">
      <alignment vertical="center" wrapText="1"/>
    </xf>
    <xf numFmtId="0" fontId="2" fillId="2" borderId="125" xfId="1" applyFont="1" applyFill="1" applyBorder="1" applyAlignment="1">
      <alignment vertical="center" wrapText="1"/>
    </xf>
    <xf numFmtId="3" fontId="2" fillId="2" borderId="93" xfId="1" applyNumberFormat="1" applyFont="1" applyFill="1" applyBorder="1" applyAlignment="1">
      <alignment vertical="center"/>
    </xf>
    <xf numFmtId="0" fontId="2" fillId="2" borderId="116" xfId="1" applyFont="1" applyFill="1" applyBorder="1" applyAlignment="1">
      <alignment vertical="center" wrapText="1"/>
    </xf>
    <xf numFmtId="3" fontId="2" fillId="2" borderId="115" xfId="1" applyNumberFormat="1" applyFont="1" applyFill="1" applyBorder="1" applyAlignment="1">
      <alignment vertical="center"/>
    </xf>
    <xf numFmtId="3" fontId="2" fillId="2" borderId="105" xfId="1" applyNumberFormat="1" applyFont="1" applyFill="1" applyBorder="1" applyAlignment="1">
      <alignment vertical="center"/>
    </xf>
    <xf numFmtId="3" fontId="2" fillId="0" borderId="93" xfId="1" applyNumberFormat="1" applyFont="1" applyBorder="1" applyAlignment="1">
      <alignment horizontal="right" vertical="center"/>
    </xf>
    <xf numFmtId="3" fontId="5" fillId="0" borderId="93" xfId="1" applyNumberFormat="1" applyFont="1" applyBorder="1" applyAlignment="1">
      <alignment vertical="center"/>
    </xf>
    <xf numFmtId="3" fontId="4" fillId="0" borderId="93" xfId="1" applyNumberFormat="1" applyFont="1" applyBorder="1" applyAlignment="1">
      <alignment vertical="center"/>
    </xf>
    <xf numFmtId="0" fontId="2" fillId="0" borderId="13" xfId="1" applyFont="1" applyBorder="1" applyAlignment="1">
      <alignment vertical="center" wrapText="1"/>
    </xf>
    <xf numFmtId="3" fontId="2" fillId="0" borderId="38" xfId="1" applyNumberFormat="1" applyFont="1" applyBorder="1" applyAlignment="1">
      <alignment vertical="center"/>
    </xf>
    <xf numFmtId="3" fontId="2" fillId="0" borderId="84" xfId="1" applyNumberFormat="1" applyFont="1" applyBorder="1" applyAlignment="1">
      <alignment vertical="center"/>
    </xf>
    <xf numFmtId="3" fontId="4" fillId="0" borderId="81" xfId="0" applyNumberFormat="1" applyFont="1" applyFill="1" applyBorder="1" applyAlignment="1">
      <alignment horizontal="center" vertical="center" wrapText="1"/>
    </xf>
    <xf numFmtId="3" fontId="5" fillId="0" borderId="115" xfId="0" applyNumberFormat="1" applyFont="1" applyBorder="1" applyAlignment="1">
      <alignment vertical="center"/>
    </xf>
    <xf numFmtId="3" fontId="6" fillId="0" borderId="115" xfId="0" applyNumberFormat="1" applyFont="1" applyBorder="1" applyAlignment="1">
      <alignment vertical="center"/>
    </xf>
    <xf numFmtId="0" fontId="61" fillId="0" borderId="0" xfId="0" applyFont="1" applyAlignment="1">
      <alignment vertical="center"/>
    </xf>
    <xf numFmtId="0" fontId="62" fillId="0" borderId="0" xfId="0" applyFont="1"/>
    <xf numFmtId="0" fontId="63" fillId="0" borderId="0" xfId="0" applyFont="1" applyAlignment="1">
      <alignment vertical="center"/>
    </xf>
    <xf numFmtId="0" fontId="38" fillId="0" borderId="0" xfId="0" applyFont="1"/>
    <xf numFmtId="0" fontId="62" fillId="0" borderId="51" xfId="0" applyFont="1" applyFill="1" applyBorder="1"/>
    <xf numFmtId="3" fontId="62" fillId="0" borderId="51" xfId="0" applyNumberFormat="1" applyFont="1" applyBorder="1"/>
    <xf numFmtId="3" fontId="62" fillId="0" borderId="52" xfId="0" applyNumberFormat="1" applyFont="1" applyBorder="1"/>
    <xf numFmtId="0" fontId="62" fillId="0" borderId="82" xfId="0" applyFont="1" applyFill="1" applyBorder="1"/>
    <xf numFmtId="3" fontId="62" fillId="0" borderId="82" xfId="0" applyNumberFormat="1" applyFont="1" applyBorder="1"/>
    <xf numFmtId="0" fontId="64" fillId="0" borderId="0" xfId="0" applyFont="1"/>
    <xf numFmtId="3" fontId="64" fillId="0" borderId="38" xfId="0" applyNumberFormat="1" applyFont="1" applyBorder="1"/>
    <xf numFmtId="3" fontId="64" fillId="0" borderId="14" xfId="0" applyNumberFormat="1" applyFont="1" applyBorder="1"/>
    <xf numFmtId="3" fontId="64" fillId="0" borderId="39" xfId="0" applyNumberFormat="1" applyFont="1" applyBorder="1"/>
    <xf numFmtId="3" fontId="64" fillId="0" borderId="23" xfId="0" applyNumberFormat="1" applyFont="1" applyBorder="1"/>
    <xf numFmtId="0" fontId="62" fillId="0" borderId="51" xfId="0" applyFont="1" applyFill="1" applyBorder="1" applyAlignment="1">
      <alignment vertical="center"/>
    </xf>
    <xf numFmtId="0" fontId="64" fillId="0" borderId="82" xfId="0" applyFont="1" applyFill="1" applyBorder="1"/>
    <xf numFmtId="3" fontId="64" fillId="0" borderId="82" xfId="0" applyNumberFormat="1" applyFont="1" applyBorder="1"/>
    <xf numFmtId="0" fontId="64" fillId="0" borderId="51" xfId="0" applyFont="1" applyFill="1" applyBorder="1"/>
    <xf numFmtId="3" fontId="64" fillId="0" borderId="51" xfId="0" applyNumberFormat="1" applyFont="1" applyBorder="1"/>
    <xf numFmtId="3" fontId="64" fillId="0" borderId="52" xfId="0" applyNumberFormat="1" applyFont="1" applyBorder="1"/>
    <xf numFmtId="0" fontId="62" fillId="0" borderId="0" xfId="0" applyFont="1" applyFill="1"/>
    <xf numFmtId="3" fontId="62" fillId="0" borderId="111" xfId="0" applyNumberFormat="1" applyFont="1" applyBorder="1"/>
    <xf numFmtId="3" fontId="64" fillId="0" borderId="111" xfId="0" applyNumberFormat="1" applyFont="1" applyBorder="1"/>
    <xf numFmtId="2" fontId="13" fillId="0" borderId="52" xfId="0" applyNumberFormat="1" applyFont="1" applyFill="1" applyBorder="1" applyAlignment="1">
      <alignment horizontal="center" vertical="center" wrapText="1"/>
    </xf>
    <xf numFmtId="2" fontId="13" fillId="0" borderId="103" xfId="0" applyNumberFormat="1" applyFont="1" applyFill="1" applyBorder="1" applyAlignment="1">
      <alignment horizontal="center" vertical="center" wrapText="1"/>
    </xf>
    <xf numFmtId="2" fontId="11" fillId="0" borderId="103" xfId="0" applyNumberFormat="1" applyFont="1" applyFill="1" applyBorder="1" applyAlignment="1">
      <alignment horizontal="center" vertical="center" wrapText="1"/>
    </xf>
    <xf numFmtId="2" fontId="13" fillId="0" borderId="103" xfId="0" applyNumberFormat="1" applyFont="1" applyFill="1" applyBorder="1" applyAlignment="1">
      <alignment horizontal="center" vertical="center"/>
    </xf>
    <xf numFmtId="2" fontId="14" fillId="0" borderId="103" xfId="0" applyNumberFormat="1" applyFont="1" applyFill="1" applyBorder="1" applyAlignment="1">
      <alignment horizontal="center" vertical="center" wrapText="1"/>
    </xf>
    <xf numFmtId="3" fontId="13" fillId="0" borderId="137" xfId="0" applyNumberFormat="1" applyFont="1" applyBorder="1" applyAlignment="1">
      <alignment vertical="center"/>
    </xf>
    <xf numFmtId="3" fontId="13" fillId="0" borderId="131" xfId="0" applyNumberFormat="1" applyFont="1" applyBorder="1" applyAlignment="1">
      <alignment vertical="center"/>
    </xf>
    <xf numFmtId="3" fontId="13" fillId="0" borderId="138" xfId="0" applyNumberFormat="1" applyFont="1" applyBorder="1" applyAlignment="1">
      <alignment vertical="center"/>
    </xf>
    <xf numFmtId="0" fontId="13" fillId="0" borderId="136" xfId="0" applyFont="1" applyBorder="1" applyAlignment="1">
      <alignment vertical="center" wrapText="1"/>
    </xf>
    <xf numFmtId="0" fontId="13" fillId="0" borderId="137" xfId="0" applyFont="1" applyBorder="1" applyAlignment="1">
      <alignment vertical="center" wrapText="1"/>
    </xf>
    <xf numFmtId="3" fontId="17" fillId="0" borderId="137" xfId="0" applyNumberFormat="1" applyFont="1" applyBorder="1" applyAlignment="1">
      <alignment vertical="center"/>
    </xf>
    <xf numFmtId="3" fontId="17" fillId="0" borderId="131" xfId="0" applyNumberFormat="1" applyFont="1" applyBorder="1" applyAlignment="1">
      <alignment vertical="center"/>
    </xf>
    <xf numFmtId="3" fontId="17" fillId="0" borderId="138" xfId="0" applyNumberFormat="1" applyFont="1" applyBorder="1" applyAlignment="1">
      <alignment vertical="center"/>
    </xf>
    <xf numFmtId="3" fontId="13" fillId="0" borderId="132" xfId="0" applyNumberFormat="1" applyFont="1" applyBorder="1" applyAlignment="1">
      <alignment vertical="center"/>
    </xf>
    <xf numFmtId="3" fontId="14" fillId="0" borderId="137" xfId="0" applyNumberFormat="1" applyFont="1" applyBorder="1" applyAlignment="1">
      <alignment vertical="center"/>
    </xf>
    <xf numFmtId="3" fontId="14" fillId="0" borderId="131" xfId="0" applyNumberFormat="1" applyFont="1" applyBorder="1" applyAlignment="1">
      <alignment vertical="center"/>
    </xf>
    <xf numFmtId="3" fontId="14" fillId="0" borderId="138" xfId="0" applyNumberFormat="1" applyFont="1" applyBorder="1" applyAlignment="1">
      <alignment vertical="center"/>
    </xf>
    <xf numFmtId="3" fontId="13" fillId="0" borderId="139" xfId="0" applyNumberFormat="1" applyFont="1" applyBorder="1" applyAlignment="1">
      <alignment vertical="center"/>
    </xf>
    <xf numFmtId="3" fontId="13" fillId="0" borderId="134" xfId="0" applyNumberFormat="1" applyFont="1" applyBorder="1" applyAlignment="1">
      <alignment vertical="center"/>
    </xf>
    <xf numFmtId="3" fontId="13" fillId="0" borderId="140" xfId="0" applyNumberFormat="1" applyFont="1" applyBorder="1" applyAlignment="1">
      <alignment vertical="center"/>
    </xf>
    <xf numFmtId="0" fontId="38" fillId="0" borderId="136" xfId="0" applyFont="1" applyBorder="1"/>
    <xf numFmtId="3" fontId="13" fillId="0" borderId="130" xfId="12" applyNumberFormat="1" applyFont="1" applyBorder="1" applyAlignment="1">
      <alignment vertical="center"/>
    </xf>
    <xf numFmtId="3" fontId="13" fillId="0" borderId="141" xfId="12" applyNumberFormat="1" applyFont="1" applyBorder="1" applyAlignment="1">
      <alignment vertical="center"/>
    </xf>
    <xf numFmtId="3" fontId="13" fillId="0" borderId="138" xfId="12" applyNumberFormat="1" applyFont="1" applyBorder="1" applyAlignment="1">
      <alignment vertical="center"/>
    </xf>
    <xf numFmtId="3" fontId="14" fillId="0" borderId="50" xfId="12" applyNumberFormat="1" applyFont="1" applyBorder="1" applyAlignment="1">
      <alignment vertical="center"/>
    </xf>
    <xf numFmtId="3" fontId="14" fillId="0" borderId="41" xfId="12" applyNumberFormat="1" applyFont="1" applyBorder="1" applyAlignment="1">
      <alignment vertical="center"/>
    </xf>
    <xf numFmtId="3" fontId="14" fillId="0" borderId="54" xfId="12" applyNumberFormat="1" applyFont="1" applyBorder="1" applyAlignment="1">
      <alignment vertical="center"/>
    </xf>
    <xf numFmtId="3" fontId="17" fillId="0" borderId="130" xfId="12" applyNumberFormat="1" applyFont="1" applyBorder="1" applyAlignment="1">
      <alignment vertical="center"/>
    </xf>
    <xf numFmtId="3" fontId="17" fillId="0" borderId="141" xfId="12" applyNumberFormat="1" applyFont="1" applyBorder="1" applyAlignment="1">
      <alignment vertical="center"/>
    </xf>
    <xf numFmtId="3" fontId="17" fillId="0" borderId="138" xfId="12" applyNumberFormat="1" applyFont="1" applyBorder="1" applyAlignment="1">
      <alignment vertical="center"/>
    </xf>
    <xf numFmtId="3" fontId="13" fillId="0" borderId="130" xfId="12" applyNumberFormat="1" applyFont="1" applyFill="1" applyBorder="1" applyAlignment="1">
      <alignment vertical="center"/>
    </xf>
    <xf numFmtId="3" fontId="13" fillId="0" borderId="141" xfId="12" applyNumberFormat="1" applyFont="1" applyFill="1" applyBorder="1" applyAlignment="1">
      <alignment vertical="center"/>
    </xf>
    <xf numFmtId="3" fontId="13" fillId="0" borderId="138" xfId="12" applyNumberFormat="1" applyFont="1" applyFill="1" applyBorder="1" applyAlignment="1">
      <alignment vertical="center"/>
    </xf>
    <xf numFmtId="3" fontId="14" fillId="0" borderId="130" xfId="12" applyNumberFormat="1" applyFont="1" applyBorder="1" applyAlignment="1">
      <alignment vertical="center"/>
    </xf>
    <xf numFmtId="3" fontId="14" fillId="0" borderId="141" xfId="12" applyNumberFormat="1" applyFont="1" applyBorder="1" applyAlignment="1">
      <alignment vertical="center"/>
    </xf>
    <xf numFmtId="3" fontId="14" fillId="0" borderId="138" xfId="12" applyNumberFormat="1" applyFont="1" applyBorder="1" applyAlignment="1">
      <alignment vertical="center"/>
    </xf>
    <xf numFmtId="3" fontId="14" fillId="0" borderId="133" xfId="12" applyNumberFormat="1" applyFont="1" applyBorder="1" applyAlignment="1">
      <alignment vertical="center"/>
    </xf>
    <xf numFmtId="3" fontId="14" fillId="0" borderId="142" xfId="12" applyNumberFormat="1" applyFont="1" applyBorder="1" applyAlignment="1">
      <alignment vertical="center"/>
    </xf>
    <xf numFmtId="3" fontId="14" fillId="0" borderId="140" xfId="12" applyNumberFormat="1" applyFont="1" applyBorder="1" applyAlignment="1">
      <alignment vertical="center"/>
    </xf>
    <xf numFmtId="3" fontId="13" fillId="0" borderId="50" xfId="0" applyNumberFormat="1" applyFont="1" applyBorder="1" applyAlignment="1">
      <alignment horizontal="right" vertical="center"/>
    </xf>
    <xf numFmtId="3" fontId="13" fillId="0" borderId="41" xfId="0" applyNumberFormat="1" applyFont="1" applyBorder="1" applyAlignment="1">
      <alignment horizontal="right" vertical="center"/>
    </xf>
    <xf numFmtId="3" fontId="13" fillId="0" borderId="54" xfId="0" applyNumberFormat="1" applyFont="1" applyBorder="1" applyAlignment="1">
      <alignment horizontal="right" vertical="center"/>
    </xf>
    <xf numFmtId="3" fontId="13" fillId="0" borderId="130" xfId="0" applyNumberFormat="1" applyFont="1" applyBorder="1" applyAlignment="1">
      <alignment horizontal="right" vertical="center"/>
    </xf>
    <xf numFmtId="3" fontId="13" fillId="0" borderId="141" xfId="0" applyNumberFormat="1" applyFont="1" applyBorder="1" applyAlignment="1">
      <alignment horizontal="right" vertical="center"/>
    </xf>
    <xf numFmtId="3" fontId="13" fillId="0" borderId="138" xfId="0" applyNumberFormat="1" applyFont="1" applyBorder="1" applyAlignment="1">
      <alignment horizontal="right" vertical="center"/>
    </xf>
    <xf numFmtId="3" fontId="13" fillId="0" borderId="130" xfId="0" applyNumberFormat="1" applyFont="1" applyFill="1" applyBorder="1" applyAlignment="1">
      <alignment horizontal="right" vertical="center"/>
    </xf>
    <xf numFmtId="3" fontId="13" fillId="0" borderId="141" xfId="0" applyNumberFormat="1" applyFont="1" applyFill="1" applyBorder="1" applyAlignment="1">
      <alignment horizontal="right" vertical="center"/>
    </xf>
    <xf numFmtId="3" fontId="13" fillId="0" borderId="138" xfId="0" applyNumberFormat="1" applyFont="1" applyFill="1" applyBorder="1" applyAlignment="1">
      <alignment horizontal="right" vertical="center"/>
    </xf>
    <xf numFmtId="3" fontId="14" fillId="0" borderId="130" xfId="0" applyNumberFormat="1" applyFont="1" applyBorder="1" applyAlignment="1">
      <alignment horizontal="right" vertical="center"/>
    </xf>
    <xf numFmtId="3" fontId="14" fillId="0" borderId="141" xfId="0" applyNumberFormat="1" applyFont="1" applyBorder="1" applyAlignment="1">
      <alignment horizontal="right" vertical="center"/>
    </xf>
    <xf numFmtId="3" fontId="14" fillId="0" borderId="138" xfId="0" applyNumberFormat="1" applyFont="1" applyBorder="1" applyAlignment="1">
      <alignment horizontal="right" vertical="center"/>
    </xf>
    <xf numFmtId="3" fontId="17" fillId="0" borderId="130" xfId="0" applyNumberFormat="1" applyFont="1" applyBorder="1" applyAlignment="1">
      <alignment horizontal="right" vertical="center"/>
    </xf>
    <xf numFmtId="3" fontId="17" fillId="0" borderId="141" xfId="0" applyNumberFormat="1" applyFont="1" applyBorder="1" applyAlignment="1">
      <alignment horizontal="right" vertical="center"/>
    </xf>
    <xf numFmtId="3" fontId="17" fillId="0" borderId="138" xfId="0" applyNumberFormat="1" applyFont="1" applyBorder="1" applyAlignment="1">
      <alignment horizontal="right" vertical="center"/>
    </xf>
    <xf numFmtId="3" fontId="13" fillId="0" borderId="133" xfId="0" applyNumberFormat="1" applyFont="1" applyBorder="1" applyAlignment="1">
      <alignment horizontal="right" vertical="center"/>
    </xf>
    <xf numFmtId="3" fontId="13" fillId="0" borderId="142" xfId="0" applyNumberFormat="1" applyFont="1" applyBorder="1" applyAlignment="1">
      <alignment horizontal="right" vertical="center"/>
    </xf>
    <xf numFmtId="3" fontId="13" fillId="0" borderId="140" xfId="0" applyNumberFormat="1" applyFont="1" applyBorder="1" applyAlignment="1">
      <alignment horizontal="right" vertical="center"/>
    </xf>
    <xf numFmtId="3" fontId="14" fillId="0" borderId="130" xfId="9" applyNumberFormat="1" applyFont="1" applyBorder="1" applyAlignment="1">
      <alignment vertical="center"/>
    </xf>
    <xf numFmtId="3" fontId="14" fillId="0" borderId="141" xfId="9" applyNumberFormat="1" applyFont="1" applyBorder="1" applyAlignment="1">
      <alignment vertical="center"/>
    </xf>
    <xf numFmtId="3" fontId="14" fillId="0" borderId="138" xfId="9" applyNumberFormat="1" applyFont="1" applyBorder="1" applyAlignment="1">
      <alignment vertical="center"/>
    </xf>
    <xf numFmtId="3" fontId="13" fillId="0" borderId="130" xfId="9" applyNumberFormat="1" applyFont="1" applyBorder="1" applyAlignment="1">
      <alignment vertical="center"/>
    </xf>
    <xf numFmtId="3" fontId="13" fillId="0" borderId="141" xfId="9" applyNumberFormat="1" applyFont="1" applyBorder="1" applyAlignment="1">
      <alignment vertical="center"/>
    </xf>
    <xf numFmtId="3" fontId="13" fillId="0" borderId="138" xfId="9" applyNumberFormat="1" applyFont="1" applyBorder="1" applyAlignment="1">
      <alignment vertical="center"/>
    </xf>
    <xf numFmtId="3" fontId="20" fillId="0" borderId="130" xfId="10" applyNumberFormat="1" applyFont="1" applyBorder="1" applyAlignment="1">
      <alignment vertical="center"/>
    </xf>
    <xf numFmtId="3" fontId="20" fillId="0" borderId="141" xfId="10" applyNumberFormat="1" applyFont="1" applyBorder="1" applyAlignment="1">
      <alignment vertical="center"/>
    </xf>
    <xf numFmtId="3" fontId="20" fillId="0" borderId="138" xfId="10" applyNumberFormat="1" applyFont="1" applyBorder="1" applyAlignment="1">
      <alignment vertical="center"/>
    </xf>
    <xf numFmtId="3" fontId="13" fillId="0" borderId="143" xfId="9" applyNumberFormat="1" applyFont="1" applyBorder="1" applyAlignment="1">
      <alignment vertical="center"/>
    </xf>
    <xf numFmtId="3" fontId="13" fillId="0" borderId="144" xfId="9" applyNumberFormat="1" applyFont="1" applyBorder="1" applyAlignment="1">
      <alignment vertical="center"/>
    </xf>
    <xf numFmtId="3" fontId="13" fillId="0" borderId="133" xfId="9" applyNumberFormat="1" applyFont="1" applyBorder="1" applyAlignment="1">
      <alignment vertical="center"/>
    </xf>
    <xf numFmtId="3" fontId="13" fillId="0" borderId="142" xfId="9" applyNumberFormat="1" applyFont="1" applyBorder="1" applyAlignment="1">
      <alignment vertical="center"/>
    </xf>
    <xf numFmtId="3" fontId="13" fillId="0" borderId="140" xfId="9" applyNumberFormat="1" applyFont="1" applyBorder="1" applyAlignment="1">
      <alignment vertical="center"/>
    </xf>
    <xf numFmtId="0" fontId="42" fillId="0" borderId="145" xfId="0" applyFont="1" applyBorder="1" applyAlignment="1">
      <alignment wrapText="1"/>
    </xf>
    <xf numFmtId="3" fontId="17" fillId="0" borderId="0" xfId="0" applyNumberFormat="1" applyFont="1" applyFill="1" applyAlignment="1">
      <alignment vertical="center"/>
    </xf>
    <xf numFmtId="3" fontId="17" fillId="0" borderId="0" xfId="0" applyNumberFormat="1" applyFont="1" applyAlignment="1">
      <alignment vertical="center"/>
    </xf>
    <xf numFmtId="37" fontId="5" fillId="0" borderId="116" xfId="0" applyNumberFormat="1" applyFont="1" applyFill="1" applyBorder="1" applyAlignment="1">
      <alignment vertical="center" wrapText="1"/>
    </xf>
    <xf numFmtId="172" fontId="24" fillId="0" borderId="59" xfId="23" applyNumberFormat="1" applyFont="1" applyBorder="1" applyAlignment="1">
      <alignment vertical="center"/>
    </xf>
    <xf numFmtId="0" fontId="7" fillId="0" borderId="60" xfId="4" applyFont="1" applyBorder="1" applyAlignment="1">
      <alignment vertical="center"/>
    </xf>
    <xf numFmtId="172" fontId="7" fillId="0" borderId="59" xfId="23" applyNumberFormat="1" applyFont="1" applyBorder="1" applyAlignment="1">
      <alignment vertical="center"/>
    </xf>
    <xf numFmtId="164" fontId="24" fillId="5" borderId="60" xfId="23" applyFont="1" applyFill="1" applyBorder="1" applyAlignment="1">
      <alignment vertical="center" wrapText="1"/>
    </xf>
    <xf numFmtId="164" fontId="7" fillId="5" borderId="60" xfId="23" applyFont="1" applyFill="1" applyBorder="1" applyAlignment="1">
      <alignment vertical="center" wrapText="1"/>
    </xf>
    <xf numFmtId="164" fontId="7" fillId="0" borderId="60" xfId="23" applyFont="1" applyBorder="1" applyAlignment="1">
      <alignment vertical="center" wrapText="1"/>
    </xf>
    <xf numFmtId="172" fontId="7" fillId="0" borderId="59" xfId="4" applyNumberFormat="1" applyFont="1" applyBorder="1" applyAlignment="1">
      <alignment horizontal="right" vertical="center"/>
    </xf>
    <xf numFmtId="172" fontId="7" fillId="0" borderId="59" xfId="4" applyNumberFormat="1" applyFont="1" applyBorder="1" applyAlignment="1">
      <alignment vertical="center"/>
    </xf>
    <xf numFmtId="0" fontId="7" fillId="0" borderId="60" xfId="4" applyFont="1" applyBorder="1" applyAlignment="1">
      <alignment vertical="center" wrapText="1"/>
    </xf>
    <xf numFmtId="0" fontId="7" fillId="0" borderId="60" xfId="4" applyFont="1" applyBorder="1" applyAlignment="1">
      <alignment vertical="top" wrapText="1"/>
    </xf>
    <xf numFmtId="164" fontId="7" fillId="0" borderId="71" xfId="23" applyFont="1" applyBorder="1" applyAlignment="1">
      <alignment vertical="center" wrapText="1"/>
    </xf>
    <xf numFmtId="0" fontId="20" fillId="0" borderId="60" xfId="4" applyFont="1" applyBorder="1" applyAlignment="1">
      <alignment wrapText="1"/>
    </xf>
    <xf numFmtId="172" fontId="24" fillId="0" borderId="148" xfId="23" applyNumberFormat="1" applyFont="1" applyBorder="1" applyAlignment="1">
      <alignment vertical="center"/>
    </xf>
    <xf numFmtId="172" fontId="24" fillId="0" borderId="149" xfId="23" applyNumberFormat="1" applyFont="1" applyBorder="1" applyAlignment="1">
      <alignment vertical="center"/>
    </xf>
    <xf numFmtId="172" fontId="7" fillId="0" borderId="148" xfId="23" applyNumberFormat="1" applyFont="1" applyBorder="1" applyAlignment="1">
      <alignment vertical="center"/>
    </xf>
    <xf numFmtId="172" fontId="7" fillId="0" borderId="149" xfId="23" applyNumberFormat="1" applyFont="1" applyBorder="1" applyAlignment="1">
      <alignment vertical="center"/>
    </xf>
    <xf numFmtId="172" fontId="7" fillId="0" borderId="148" xfId="4" applyNumberFormat="1" applyFont="1" applyBorder="1" applyAlignment="1">
      <alignment horizontal="right" vertical="center"/>
    </xf>
    <xf numFmtId="172" fontId="7" fillId="0" borderId="149" xfId="4" applyNumberFormat="1" applyFont="1" applyBorder="1" applyAlignment="1">
      <alignment horizontal="right" vertical="center"/>
    </xf>
    <xf numFmtId="172" fontId="7" fillId="0" borderId="148" xfId="4" applyNumberFormat="1" applyFont="1" applyBorder="1" applyAlignment="1">
      <alignment vertical="center"/>
    </xf>
    <xf numFmtId="172" fontId="7" fillId="0" borderId="149" xfId="4" applyNumberFormat="1" applyFont="1" applyBorder="1" applyAlignment="1">
      <alignment vertical="center"/>
    </xf>
    <xf numFmtId="0" fontId="64" fillId="0" borderId="128" xfId="0" applyFont="1" applyBorder="1" applyAlignment="1">
      <alignment horizontal="center" vertical="center" wrapText="1"/>
    </xf>
    <xf numFmtId="0" fontId="64" fillId="0" borderId="128" xfId="0" applyFont="1" applyBorder="1" applyAlignment="1">
      <alignment horizontal="center" vertical="center"/>
    </xf>
    <xf numFmtId="0" fontId="60" fillId="0" borderId="131" xfId="0" applyFont="1" applyFill="1" applyBorder="1" applyAlignment="1">
      <alignment vertical="center" wrapText="1"/>
    </xf>
    <xf numFmtId="3" fontId="62" fillId="0" borderId="131" xfId="0" applyNumberFormat="1" applyFont="1" applyBorder="1"/>
    <xf numFmtId="3" fontId="62" fillId="0" borderId="132" xfId="0" applyNumberFormat="1" applyFont="1" applyBorder="1"/>
    <xf numFmtId="0" fontId="62" fillId="0" borderId="131" xfId="0" applyFont="1" applyFill="1" applyBorder="1"/>
    <xf numFmtId="0" fontId="64" fillId="0" borderId="131" xfId="0" applyFont="1" applyFill="1" applyBorder="1"/>
    <xf numFmtId="3" fontId="64" fillId="0" borderId="131" xfId="0" applyNumberFormat="1" applyFont="1" applyBorder="1"/>
    <xf numFmtId="3" fontId="64" fillId="0" borderId="132" xfId="0" applyNumberFormat="1" applyFont="1" applyBorder="1"/>
    <xf numFmtId="0" fontId="59" fillId="0" borderId="131" xfId="0" applyFont="1" applyFill="1" applyBorder="1" applyAlignment="1">
      <alignment vertical="center" wrapText="1"/>
    </xf>
    <xf numFmtId="3" fontId="62" fillId="0" borderId="134" xfId="0" applyNumberFormat="1" applyFont="1" applyBorder="1"/>
    <xf numFmtId="3" fontId="62" fillId="0" borderId="135" xfId="0" applyNumberFormat="1" applyFont="1" applyBorder="1"/>
    <xf numFmtId="164" fontId="67" fillId="0" borderId="101" xfId="23" applyFont="1" applyBorder="1" applyAlignment="1">
      <alignment vertical="center" wrapText="1"/>
    </xf>
    <xf numFmtId="3" fontId="28" fillId="0" borderId="50" xfId="0" applyNumberFormat="1" applyFont="1" applyBorder="1" applyAlignment="1">
      <alignment horizontal="right" vertical="center" wrapText="1"/>
    </xf>
    <xf numFmtId="3" fontId="28" fillId="0" borderId="51" xfId="0" applyNumberFormat="1" applyFont="1" applyBorder="1" applyAlignment="1">
      <alignment horizontal="right" vertical="center" wrapText="1"/>
    </xf>
    <xf numFmtId="3" fontId="24" fillId="0" borderId="51" xfId="0" applyNumberFormat="1" applyFont="1" applyBorder="1" applyAlignment="1">
      <alignment vertical="center"/>
    </xf>
    <xf numFmtId="3" fontId="24" fillId="0" borderId="52" xfId="0" applyNumberFormat="1" applyFont="1" applyBorder="1" applyAlignment="1">
      <alignment vertical="center"/>
    </xf>
    <xf numFmtId="3" fontId="28" fillId="0" borderId="130" xfId="0" applyNumberFormat="1" applyFont="1" applyBorder="1" applyAlignment="1">
      <alignment horizontal="right" vertical="center" wrapText="1"/>
    </xf>
    <xf numFmtId="3" fontId="28" fillId="0" borderId="131" xfId="0" applyNumberFormat="1" applyFont="1" applyBorder="1" applyAlignment="1">
      <alignment horizontal="right" vertical="center" wrapText="1"/>
    </xf>
    <xf numFmtId="3" fontId="24" fillId="0" borderId="131" xfId="0" applyNumberFormat="1" applyFont="1" applyBorder="1" applyAlignment="1">
      <alignment vertical="center"/>
    </xf>
    <xf numFmtId="3" fontId="24" fillId="0" borderId="132" xfId="0" applyNumberFormat="1" applyFont="1" applyBorder="1" applyAlignment="1">
      <alignment vertical="center"/>
    </xf>
    <xf numFmtId="3" fontId="28" fillId="0" borderId="132" xfId="0" applyNumberFormat="1" applyFont="1" applyBorder="1" applyAlignment="1">
      <alignment horizontal="right" vertical="center" wrapText="1"/>
    </xf>
    <xf numFmtId="3" fontId="29" fillId="0" borderId="130" xfId="0" applyNumberFormat="1" applyFont="1" applyBorder="1" applyAlignment="1">
      <alignment horizontal="right" vertical="center" wrapText="1"/>
    </xf>
    <xf numFmtId="3" fontId="29" fillId="0" borderId="131" xfId="0" applyNumberFormat="1" applyFont="1" applyBorder="1" applyAlignment="1">
      <alignment horizontal="right" vertical="center" wrapText="1"/>
    </xf>
    <xf numFmtId="3" fontId="7" fillId="0" borderId="131" xfId="0" applyNumberFormat="1" applyFont="1" applyBorder="1" applyAlignment="1">
      <alignment vertical="center"/>
    </xf>
    <xf numFmtId="3" fontId="7" fillId="0" borderId="132" xfId="0" applyNumberFormat="1" applyFont="1" applyBorder="1" applyAlignment="1">
      <alignment vertical="center"/>
    </xf>
    <xf numFmtId="3" fontId="28" fillId="0" borderId="130" xfId="0" applyNumberFormat="1" applyFont="1" applyBorder="1" applyAlignment="1">
      <alignment vertical="center"/>
    </xf>
    <xf numFmtId="3" fontId="28" fillId="0" borderId="131" xfId="0" applyNumberFormat="1" applyFont="1" applyBorder="1" applyAlignment="1">
      <alignment vertical="center"/>
    </xf>
    <xf numFmtId="3" fontId="28" fillId="0" borderId="132" xfId="0" applyNumberFormat="1" applyFont="1" applyBorder="1" applyAlignment="1">
      <alignment vertical="center"/>
    </xf>
    <xf numFmtId="3" fontId="28" fillId="0" borderId="133" xfId="0" applyNumberFormat="1" applyFont="1" applyBorder="1" applyAlignment="1">
      <alignment vertical="center"/>
    </xf>
    <xf numFmtId="3" fontId="28" fillId="0" borderId="134" xfId="0" applyNumberFormat="1" applyFont="1" applyBorder="1" applyAlignment="1">
      <alignment vertical="center"/>
    </xf>
    <xf numFmtId="3" fontId="28" fillId="0" borderId="135" xfId="0" applyNumberFormat="1" applyFont="1" applyBorder="1" applyAlignment="1">
      <alignment vertical="center"/>
    </xf>
    <xf numFmtId="3" fontId="14" fillId="0" borderId="134" xfId="14" applyNumberFormat="1" applyFont="1" applyFill="1" applyBorder="1" applyAlignment="1">
      <alignment horizontal="center" vertical="center" wrapText="1"/>
    </xf>
    <xf numFmtId="0" fontId="14" fillId="0" borderId="134" xfId="0" applyFont="1" applyFill="1" applyBorder="1" applyAlignment="1">
      <alignment horizontal="center" vertical="center" wrapText="1"/>
    </xf>
    <xf numFmtId="0" fontId="38" fillId="0" borderId="145" xfId="0" applyFont="1" applyBorder="1" applyAlignment="1">
      <alignment wrapText="1"/>
    </xf>
    <xf numFmtId="0" fontId="42" fillId="0" borderId="146" xfId="0" applyFont="1" applyBorder="1"/>
    <xf numFmtId="0" fontId="60" fillId="0" borderId="39" xfId="0" applyFont="1" applyFill="1" applyBorder="1" applyAlignment="1">
      <alignment vertical="center" wrapText="1"/>
    </xf>
    <xf numFmtId="0" fontId="60" fillId="0" borderId="38" xfId="0" applyFont="1" applyFill="1" applyBorder="1" applyAlignment="1">
      <alignment vertical="center" wrapText="1"/>
    </xf>
    <xf numFmtId="0" fontId="59" fillId="0" borderId="38" xfId="0" applyFont="1" applyFill="1" applyBorder="1" applyAlignment="1">
      <alignment vertical="center" wrapText="1"/>
    </xf>
    <xf numFmtId="0" fontId="59" fillId="0" borderId="39" xfId="0" applyFont="1" applyFill="1" applyBorder="1" applyAlignment="1">
      <alignment vertical="center" wrapText="1"/>
    </xf>
    <xf numFmtId="49" fontId="31" fillId="0" borderId="0" xfId="16" applyNumberFormat="1" applyFont="1" applyAlignment="1">
      <alignment vertical="center"/>
    </xf>
    <xf numFmtId="49" fontId="32" fillId="0" borderId="0" xfId="16" applyNumberFormat="1" applyFont="1" applyAlignment="1">
      <alignment vertical="center"/>
    </xf>
    <xf numFmtId="49" fontId="33" fillId="0" borderId="0" xfId="16" applyNumberFormat="1" applyFont="1" applyAlignment="1">
      <alignment vertical="center"/>
    </xf>
    <xf numFmtId="0" fontId="7" fillId="0" borderId="63" xfId="0" applyFont="1" applyBorder="1" applyAlignment="1">
      <alignment wrapText="1"/>
    </xf>
    <xf numFmtId="0" fontId="13" fillId="0" borderId="118" xfId="9" applyFont="1" applyFill="1" applyBorder="1" applyAlignment="1">
      <alignment vertical="center" wrapText="1"/>
    </xf>
    <xf numFmtId="3" fontId="14" fillId="0" borderId="116" xfId="14" applyNumberFormat="1" applyFont="1" applyFill="1" applyBorder="1" applyAlignment="1">
      <alignment horizontal="right" vertical="center"/>
    </xf>
    <xf numFmtId="0" fontId="24" fillId="0" borderId="19" xfId="0" applyFont="1" applyBorder="1" applyAlignment="1">
      <alignment horizontal="center"/>
    </xf>
    <xf numFmtId="0" fontId="24" fillId="0" borderId="43" xfId="0" applyFont="1" applyFill="1" applyBorder="1" applyAlignment="1">
      <alignment horizontal="center"/>
    </xf>
    <xf numFmtId="0" fontId="24" fillId="0" borderId="56" xfId="0" applyFont="1" applyFill="1" applyBorder="1" applyAlignment="1">
      <alignment horizontal="center"/>
    </xf>
    <xf numFmtId="3" fontId="13" fillId="0" borderId="131" xfId="4" applyNumberFormat="1" applyFont="1" applyBorder="1" applyAlignment="1">
      <alignment vertical="center"/>
    </xf>
    <xf numFmtId="0" fontId="24" fillId="0" borderId="34" xfId="0" applyFont="1" applyBorder="1" applyAlignment="1">
      <alignment horizontal="center"/>
    </xf>
    <xf numFmtId="3" fontId="13" fillId="0" borderId="50" xfId="4" applyNumberFormat="1" applyFont="1" applyBorder="1" applyAlignment="1">
      <alignment vertical="center"/>
    </xf>
    <xf numFmtId="3" fontId="13" fillId="0" borderId="51" xfId="4" applyNumberFormat="1" applyFont="1" applyBorder="1" applyAlignment="1">
      <alignment vertical="center"/>
    </xf>
    <xf numFmtId="3" fontId="13" fillId="0" borderId="52" xfId="4" applyNumberFormat="1" applyFont="1" applyBorder="1" applyAlignment="1">
      <alignment vertical="center"/>
    </xf>
    <xf numFmtId="3" fontId="13" fillId="0" borderId="130" xfId="4" applyNumberFormat="1" applyFont="1" applyBorder="1" applyAlignment="1">
      <alignment vertical="center"/>
    </xf>
    <xf numFmtId="3" fontId="13" fillId="0" borderId="132" xfId="4" applyNumberFormat="1" applyFont="1" applyBorder="1" applyAlignment="1">
      <alignment vertical="center"/>
    </xf>
    <xf numFmtId="3" fontId="13" fillId="0" borderId="133" xfId="4" applyNumberFormat="1" applyFont="1" applyBorder="1" applyAlignment="1">
      <alignment vertical="center"/>
    </xf>
    <xf numFmtId="3" fontId="13" fillId="0" borderId="134" xfId="4" applyNumberFormat="1" applyFont="1" applyBorder="1" applyAlignment="1">
      <alignment vertical="center"/>
    </xf>
    <xf numFmtId="3" fontId="13" fillId="0" borderId="135" xfId="4" applyNumberFormat="1" applyFont="1" applyBorder="1" applyAlignment="1">
      <alignment vertical="center"/>
    </xf>
    <xf numFmtId="0" fontId="38" fillId="0" borderId="136" xfId="0" applyFont="1" applyBorder="1" applyAlignment="1">
      <alignment wrapText="1"/>
    </xf>
    <xf numFmtId="0" fontId="13" fillId="0" borderId="136" xfId="12" applyFont="1" applyBorder="1" applyAlignment="1">
      <alignment vertical="center" wrapText="1"/>
    </xf>
    <xf numFmtId="3" fontId="13" fillId="0" borderId="0" xfId="0" applyNumberFormat="1" applyFont="1" applyAlignment="1">
      <alignment horizontal="center" vertical="center"/>
    </xf>
    <xf numFmtId="0" fontId="0" fillId="0" borderId="0" xfId="0" applyFill="1"/>
    <xf numFmtId="0" fontId="48" fillId="0" borderId="143" xfId="5" applyFont="1" applyBorder="1" applyAlignment="1">
      <alignment horizontal="center" vertical="center" wrapText="1"/>
    </xf>
    <xf numFmtId="0" fontId="48" fillId="0" borderId="128" xfId="5" applyFont="1" applyBorder="1" applyAlignment="1">
      <alignment horizontal="center" vertical="center" wrapText="1"/>
    </xf>
    <xf numFmtId="0" fontId="48" fillId="0" borderId="147" xfId="5" applyFont="1" applyBorder="1" applyAlignment="1">
      <alignment horizontal="center" vertical="center" wrapText="1"/>
    </xf>
    <xf numFmtId="0" fontId="48" fillId="0" borderId="143" xfId="5" applyFont="1" applyBorder="1" applyAlignment="1">
      <alignment horizontal="center" vertical="center"/>
    </xf>
    <xf numFmtId="0" fontId="48" fillId="0" borderId="128" xfId="5" applyFont="1" applyBorder="1" applyAlignment="1">
      <alignment horizontal="center" vertical="center"/>
    </xf>
    <xf numFmtId="3" fontId="48" fillId="0" borderId="147" xfId="5" applyNumberFormat="1" applyFont="1" applyBorder="1" applyAlignment="1">
      <alignment horizontal="center" vertical="center" wrapText="1"/>
    </xf>
    <xf numFmtId="3" fontId="48" fillId="0" borderId="143" xfId="5" applyNumberFormat="1" applyFont="1" applyBorder="1" applyAlignment="1">
      <alignment horizontal="center" vertical="center" wrapText="1"/>
    </xf>
    <xf numFmtId="0" fontId="69" fillId="0" borderId="147" xfId="5" applyFont="1" applyBorder="1" applyAlignment="1">
      <alignment horizontal="center" vertical="center" wrapText="1"/>
    </xf>
    <xf numFmtId="0" fontId="47" fillId="0" borderId="53" xfId="5" applyFont="1" applyBorder="1" applyAlignment="1">
      <alignment horizontal="left" vertical="center"/>
    </xf>
    <xf numFmtId="3" fontId="48" fillId="0" borderId="54" xfId="5" applyNumberFormat="1" applyFont="1" applyBorder="1" applyAlignment="1">
      <alignment vertical="center"/>
    </xf>
    <xf numFmtId="3" fontId="48" fillId="0" borderId="40" xfId="5" applyNumberFormat="1" applyFont="1" applyFill="1" applyBorder="1" applyAlignment="1">
      <alignment vertical="center"/>
    </xf>
    <xf numFmtId="3" fontId="47" fillId="0" borderId="50" xfId="5" applyNumberFormat="1" applyFont="1" applyBorder="1" applyAlignment="1">
      <alignment vertical="center"/>
    </xf>
    <xf numFmtId="3" fontId="47" fillId="0" borderId="51" xfId="5" applyNumberFormat="1" applyFont="1" applyBorder="1" applyAlignment="1">
      <alignment vertical="center"/>
    </xf>
    <xf numFmtId="3" fontId="47" fillId="0" borderId="52" xfId="5" applyNumberFormat="1" applyFont="1" applyBorder="1" applyAlignment="1">
      <alignment vertical="center"/>
    </xf>
    <xf numFmtId="0" fontId="47" fillId="0" borderId="52" xfId="5" applyFont="1" applyBorder="1" applyAlignment="1">
      <alignment vertical="center"/>
    </xf>
    <xf numFmtId="0" fontId="47" fillId="0" borderId="33" xfId="5" applyFont="1" applyFill="1" applyBorder="1" applyAlignment="1">
      <alignment horizontal="left" vertical="center"/>
    </xf>
    <xf numFmtId="3" fontId="48" fillId="0" borderId="138" xfId="5" applyNumberFormat="1" applyFont="1" applyBorder="1" applyAlignment="1">
      <alignment vertical="center"/>
    </xf>
    <xf numFmtId="3" fontId="48" fillId="0" borderId="99" xfId="5" applyNumberFormat="1" applyFont="1" applyFill="1" applyBorder="1" applyAlignment="1">
      <alignment vertical="center"/>
    </xf>
    <xf numFmtId="3" fontId="47" fillId="0" borderId="125" xfId="5" applyNumberFormat="1" applyFont="1" applyBorder="1" applyAlignment="1">
      <alignment vertical="center"/>
    </xf>
    <xf numFmtId="3" fontId="47" fillId="0" borderId="82" xfId="5" applyNumberFormat="1" applyFont="1" applyBorder="1" applyAlignment="1">
      <alignment vertical="center"/>
    </xf>
    <xf numFmtId="3" fontId="47" fillId="0" borderId="111" xfId="5" applyNumberFormat="1" applyFont="1" applyBorder="1" applyAlignment="1">
      <alignment vertical="center"/>
    </xf>
    <xf numFmtId="0" fontId="47" fillId="0" borderId="111" xfId="5" applyFont="1" applyBorder="1" applyAlignment="1">
      <alignment vertical="center"/>
    </xf>
    <xf numFmtId="3" fontId="48" fillId="0" borderId="77" xfId="5" applyNumberFormat="1" applyFont="1" applyBorder="1" applyAlignment="1">
      <alignment vertical="center"/>
    </xf>
    <xf numFmtId="0" fontId="47" fillId="0" borderId="136" xfId="5" applyFont="1" applyBorder="1" applyAlignment="1">
      <alignment horizontal="left" vertical="center"/>
    </xf>
    <xf numFmtId="3" fontId="48" fillId="2" borderId="77" xfId="5" applyNumberFormat="1" applyFont="1" applyFill="1" applyBorder="1" applyAlignment="1">
      <alignment vertical="center"/>
    </xf>
    <xf numFmtId="3" fontId="48" fillId="0" borderId="104" xfId="5" applyNumberFormat="1" applyFont="1" applyFill="1" applyBorder="1" applyAlignment="1">
      <alignment vertical="center"/>
    </xf>
    <xf numFmtId="3" fontId="47" fillId="2" borderId="130" xfId="5" applyNumberFormat="1" applyFont="1" applyFill="1" applyBorder="1" applyAlignment="1">
      <alignment horizontal="right" vertical="center"/>
    </xf>
    <xf numFmtId="3" fontId="47" fillId="2" borderId="131" xfId="5" applyNumberFormat="1" applyFont="1" applyFill="1" applyBorder="1" applyAlignment="1">
      <alignment horizontal="right" vertical="center"/>
    </xf>
    <xf numFmtId="3" fontId="47" fillId="2" borderId="131" xfId="5" applyNumberFormat="1" applyFont="1" applyFill="1" applyBorder="1" applyAlignment="1">
      <alignment vertical="center"/>
    </xf>
    <xf numFmtId="3" fontId="47" fillId="2" borderId="132" xfId="5" applyNumberFormat="1" applyFont="1" applyFill="1" applyBorder="1" applyAlignment="1">
      <alignment horizontal="right" vertical="center"/>
    </xf>
    <xf numFmtId="3" fontId="47" fillId="2" borderId="132" xfId="5" applyNumberFormat="1" applyFont="1" applyFill="1" applyBorder="1" applyAlignment="1">
      <alignment vertical="center"/>
    </xf>
    <xf numFmtId="3" fontId="48" fillId="2" borderId="138" xfId="5" applyNumberFormat="1" applyFont="1" applyFill="1" applyBorder="1" applyAlignment="1">
      <alignment vertical="center"/>
    </xf>
    <xf numFmtId="0" fontId="47" fillId="2" borderId="132" xfId="5" applyFont="1" applyFill="1" applyBorder="1" applyAlignment="1">
      <alignment vertical="center"/>
    </xf>
    <xf numFmtId="3" fontId="47" fillId="2" borderId="130" xfId="5" applyNumberFormat="1" applyFont="1" applyFill="1" applyBorder="1" applyAlignment="1">
      <alignment vertical="center"/>
    </xf>
    <xf numFmtId="3" fontId="47" fillId="0" borderId="130" xfId="5" applyNumberFormat="1" applyFont="1" applyBorder="1" applyAlignment="1">
      <alignment horizontal="right" vertical="center"/>
    </xf>
    <xf numFmtId="3" fontId="47" fillId="0" borderId="131" xfId="5" applyNumberFormat="1" applyFont="1" applyBorder="1" applyAlignment="1">
      <alignment horizontal="right" vertical="center"/>
    </xf>
    <xf numFmtId="3" fontId="47" fillId="0" borderId="131" xfId="5" applyNumberFormat="1" applyFont="1" applyBorder="1" applyAlignment="1">
      <alignment vertical="center"/>
    </xf>
    <xf numFmtId="3" fontId="47" fillId="0" borderId="132" xfId="5" applyNumberFormat="1" applyFont="1" applyBorder="1" applyAlignment="1">
      <alignment horizontal="right" vertical="center"/>
    </xf>
    <xf numFmtId="0" fontId="47" fillId="0" borderId="132" xfId="5" applyFont="1" applyBorder="1" applyAlignment="1">
      <alignment vertical="center"/>
    </xf>
    <xf numFmtId="0" fontId="47" fillId="0" borderId="136" xfId="5" applyFont="1" applyFill="1" applyBorder="1" applyAlignment="1">
      <alignment horizontal="left" vertical="center"/>
    </xf>
    <xf numFmtId="3" fontId="47" fillId="0" borderId="130" xfId="5" applyNumberFormat="1" applyFont="1" applyBorder="1" applyAlignment="1">
      <alignment vertical="center"/>
    </xf>
    <xf numFmtId="3" fontId="47" fillId="0" borderId="132" xfId="5" applyNumberFormat="1" applyFont="1" applyBorder="1" applyAlignment="1">
      <alignment vertical="center"/>
    </xf>
    <xf numFmtId="3" fontId="47" fillId="0" borderId="130" xfId="5" applyNumberFormat="1" applyFont="1" applyFill="1" applyBorder="1" applyAlignment="1">
      <alignment vertical="center"/>
    </xf>
    <xf numFmtId="3" fontId="47" fillId="0" borderId="131" xfId="5" applyNumberFormat="1" applyFont="1" applyFill="1" applyBorder="1" applyAlignment="1">
      <alignment vertical="center"/>
    </xf>
    <xf numFmtId="3" fontId="47" fillId="0" borderId="132" xfId="5" applyNumberFormat="1" applyFont="1" applyFill="1" applyBorder="1" applyAlignment="1">
      <alignment vertical="center"/>
    </xf>
    <xf numFmtId="0" fontId="47" fillId="0" borderId="132" xfId="5" applyFont="1" applyFill="1" applyBorder="1" applyAlignment="1">
      <alignment vertical="center"/>
    </xf>
    <xf numFmtId="0" fontId="47" fillId="0" borderId="131" xfId="5" applyFont="1" applyBorder="1" applyAlignment="1">
      <alignment horizontal="right" vertical="center"/>
    </xf>
    <xf numFmtId="11" fontId="47" fillId="0" borderId="136" xfId="5" applyNumberFormat="1" applyFont="1" applyFill="1" applyBorder="1" applyAlignment="1">
      <alignment horizontal="left" vertical="center"/>
    </xf>
    <xf numFmtId="3" fontId="47" fillId="0" borderId="130" xfId="5" applyNumberFormat="1" applyFont="1" applyFill="1" applyBorder="1" applyAlignment="1">
      <alignment horizontal="right" vertical="center"/>
    </xf>
    <xf numFmtId="3" fontId="68" fillId="0" borderId="104" xfId="5" applyNumberFormat="1" applyFont="1" applyFill="1" applyBorder="1" applyAlignment="1">
      <alignment vertical="center"/>
    </xf>
    <xf numFmtId="3" fontId="47" fillId="0" borderId="125" xfId="5" applyNumberFormat="1" applyFont="1" applyBorder="1" applyAlignment="1">
      <alignment horizontal="right" vertical="center"/>
    </xf>
    <xf numFmtId="3" fontId="47" fillId="0" borderId="82" xfId="5" applyNumberFormat="1" applyFont="1" applyBorder="1" applyAlignment="1">
      <alignment horizontal="right" vertical="center"/>
    </xf>
    <xf numFmtId="3" fontId="47" fillId="0" borderId="111" xfId="5" applyNumberFormat="1" applyFont="1" applyBorder="1" applyAlignment="1">
      <alignment horizontal="right" vertical="center"/>
    </xf>
    <xf numFmtId="3" fontId="48" fillId="0" borderId="138" xfId="5" applyNumberFormat="1" applyFont="1" applyFill="1" applyBorder="1" applyAlignment="1">
      <alignment vertical="center"/>
    </xf>
    <xf numFmtId="3" fontId="48" fillId="0" borderId="144" xfId="5" applyNumberFormat="1" applyFont="1" applyBorder="1" applyAlignment="1">
      <alignment vertical="center"/>
    </xf>
    <xf numFmtId="3" fontId="48" fillId="0" borderId="65" xfId="5" applyNumberFormat="1" applyFont="1" applyFill="1" applyBorder="1" applyAlignment="1">
      <alignment vertical="center"/>
    </xf>
    <xf numFmtId="3" fontId="47" fillId="0" borderId="143" xfId="5" applyNumberFormat="1" applyFont="1" applyBorder="1" applyAlignment="1">
      <alignment horizontal="right" vertical="center"/>
    </xf>
    <xf numFmtId="3" fontId="47" fillId="0" borderId="128" xfId="5" applyNumberFormat="1" applyFont="1" applyBorder="1" applyAlignment="1">
      <alignment horizontal="right" vertical="center"/>
    </xf>
    <xf numFmtId="3" fontId="47" fillId="0" borderId="147" xfId="5" applyNumberFormat="1" applyFont="1" applyBorder="1" applyAlignment="1">
      <alignment horizontal="right" vertical="center"/>
    </xf>
    <xf numFmtId="0" fontId="47" fillId="0" borderId="147" xfId="5" applyFont="1" applyBorder="1" applyAlignment="1">
      <alignment vertical="center"/>
    </xf>
    <xf numFmtId="3" fontId="47" fillId="0" borderId="131" xfId="5" applyNumberFormat="1" applyFont="1" applyFill="1" applyBorder="1" applyAlignment="1">
      <alignment horizontal="right" vertical="center"/>
    </xf>
    <xf numFmtId="3" fontId="47" fillId="0" borderId="132" xfId="5" applyNumberFormat="1" applyFont="1" applyFill="1" applyBorder="1" applyAlignment="1">
      <alignment horizontal="right" vertical="center"/>
    </xf>
    <xf numFmtId="3" fontId="48" fillId="0" borderId="69" xfId="5" applyNumberFormat="1" applyFont="1" applyBorder="1" applyAlignment="1">
      <alignment vertical="center"/>
    </xf>
    <xf numFmtId="3" fontId="48" fillId="0" borderId="0" xfId="5" applyNumberFormat="1" applyFont="1" applyFill="1" applyBorder="1" applyAlignment="1">
      <alignment vertical="center"/>
    </xf>
    <xf numFmtId="3" fontId="47" fillId="0" borderId="26" xfId="5" applyNumberFormat="1" applyFont="1" applyBorder="1" applyAlignment="1">
      <alignment horizontal="right" vertical="center"/>
    </xf>
    <xf numFmtId="3" fontId="47" fillId="0" borderId="39" xfId="5" applyNumberFormat="1" applyFont="1" applyBorder="1" applyAlignment="1">
      <alignment horizontal="right" vertical="center"/>
    </xf>
    <xf numFmtId="3" fontId="47" fillId="0" borderId="23" xfId="5" applyNumberFormat="1" applyFont="1" applyBorder="1" applyAlignment="1">
      <alignment horizontal="right" vertical="center"/>
    </xf>
    <xf numFmtId="3" fontId="47" fillId="0" borderId="91" xfId="5" applyNumberFormat="1" applyFont="1" applyBorder="1" applyAlignment="1">
      <alignment horizontal="right" vertical="center"/>
    </xf>
    <xf numFmtId="0" fontId="47" fillId="0" borderId="23" xfId="5" applyFont="1" applyBorder="1" applyAlignment="1">
      <alignment vertical="center"/>
    </xf>
    <xf numFmtId="3" fontId="48" fillId="0" borderId="53" xfId="5" applyNumberFormat="1" applyFont="1" applyBorder="1" applyAlignment="1">
      <alignment vertical="center"/>
    </xf>
    <xf numFmtId="3" fontId="48" fillId="0" borderId="53" xfId="5" applyNumberFormat="1" applyFont="1" applyFill="1" applyBorder="1" applyAlignment="1">
      <alignment vertical="center"/>
    </xf>
    <xf numFmtId="3" fontId="48" fillId="0" borderId="50" xfId="5" applyNumberFormat="1" applyFont="1" applyBorder="1" applyAlignment="1">
      <alignment vertical="center"/>
    </xf>
    <xf numFmtId="3" fontId="48" fillId="0" borderId="51" xfId="5" applyNumberFormat="1" applyFont="1" applyBorder="1" applyAlignment="1">
      <alignment vertical="center"/>
    </xf>
    <xf numFmtId="3" fontId="48" fillId="0" borderId="52" xfId="5" applyNumberFormat="1" applyFont="1" applyBorder="1" applyAlignment="1">
      <alignment vertical="center"/>
    </xf>
    <xf numFmtId="3" fontId="48" fillId="0" borderId="41" xfId="5" applyNumberFormat="1" applyFont="1" applyBorder="1" applyAlignment="1">
      <alignment vertical="center"/>
    </xf>
    <xf numFmtId="3" fontId="48" fillId="0" borderId="33" xfId="5" applyNumberFormat="1" applyFont="1" applyBorder="1" applyAlignment="1">
      <alignment vertical="center"/>
    </xf>
    <xf numFmtId="3" fontId="48" fillId="0" borderId="136" xfId="5" applyNumberFormat="1" applyFont="1" applyFill="1" applyBorder="1" applyAlignment="1">
      <alignment vertical="center"/>
    </xf>
    <xf numFmtId="3" fontId="48" fillId="0" borderId="130" xfId="5" applyNumberFormat="1" applyFont="1" applyFill="1" applyBorder="1" applyAlignment="1">
      <alignment vertical="center"/>
    </xf>
    <xf numFmtId="3" fontId="48" fillId="0" borderId="131" xfId="5" applyNumberFormat="1" applyFont="1" applyFill="1" applyBorder="1" applyAlignment="1">
      <alignment vertical="center"/>
    </xf>
    <xf numFmtId="3" fontId="48" fillId="0" borderId="132" xfId="5" applyNumberFormat="1" applyFont="1" applyFill="1" applyBorder="1" applyAlignment="1">
      <alignment vertical="center"/>
    </xf>
    <xf numFmtId="3" fontId="48" fillId="0" borderId="131" xfId="5" applyNumberFormat="1" applyFont="1" applyBorder="1" applyAlignment="1">
      <alignment vertical="center"/>
    </xf>
    <xf numFmtId="3" fontId="48" fillId="0" borderId="132" xfId="5" applyNumberFormat="1" applyFont="1" applyBorder="1" applyAlignment="1">
      <alignment vertical="center"/>
    </xf>
    <xf numFmtId="3" fontId="48" fillId="0" borderId="141" xfId="5" applyNumberFormat="1" applyFont="1" applyBorder="1" applyAlignment="1">
      <alignment vertical="center"/>
    </xf>
    <xf numFmtId="3" fontId="48" fillId="0" borderId="33" xfId="5" applyNumberFormat="1" applyFont="1" applyFill="1" applyBorder="1" applyAlignment="1">
      <alignment vertical="center"/>
    </xf>
    <xf numFmtId="3" fontId="48" fillId="0" borderId="96" xfId="5" applyNumberFormat="1" applyFont="1" applyFill="1" applyBorder="1" applyAlignment="1">
      <alignment vertical="center"/>
    </xf>
    <xf numFmtId="3" fontId="48" fillId="0" borderId="26" xfId="5" applyNumberFormat="1" applyFont="1" applyFill="1" applyBorder="1" applyAlignment="1">
      <alignment vertical="center"/>
    </xf>
    <xf numFmtId="3" fontId="48" fillId="0" borderId="39" xfId="5" applyNumberFormat="1" applyFont="1" applyFill="1" applyBorder="1" applyAlignment="1">
      <alignment vertical="center"/>
    </xf>
    <xf numFmtId="3" fontId="48" fillId="0" borderId="23" xfId="5" applyNumberFormat="1" applyFont="1" applyFill="1" applyBorder="1" applyAlignment="1">
      <alignment vertical="center"/>
    </xf>
    <xf numFmtId="3" fontId="48" fillId="0" borderId="91" xfId="5" applyNumberFormat="1" applyFont="1" applyFill="1" applyBorder="1" applyAlignment="1">
      <alignment vertical="center"/>
    </xf>
    <xf numFmtId="0" fontId="48" fillId="0" borderId="53" xfId="5" applyFont="1" applyFill="1" applyBorder="1" applyAlignment="1">
      <alignment horizontal="left" vertical="center"/>
    </xf>
    <xf numFmtId="3" fontId="48" fillId="0" borderId="50" xfId="5" applyNumberFormat="1" applyFont="1" applyFill="1" applyBorder="1" applyAlignment="1">
      <alignment vertical="center"/>
    </xf>
    <xf numFmtId="3" fontId="48" fillId="0" borderId="51" xfId="5" applyNumberFormat="1" applyFont="1" applyFill="1" applyBorder="1" applyAlignment="1">
      <alignment vertical="center"/>
    </xf>
    <xf numFmtId="3" fontId="48" fillId="0" borderId="52" xfId="5" applyNumberFormat="1" applyFont="1" applyFill="1" applyBorder="1" applyAlignment="1">
      <alignment vertical="center"/>
    </xf>
    <xf numFmtId="3" fontId="48" fillId="0" borderId="41" xfId="5" applyNumberFormat="1" applyFont="1" applyFill="1" applyBorder="1" applyAlignment="1">
      <alignment vertical="center"/>
    </xf>
    <xf numFmtId="3" fontId="48" fillId="0" borderId="141" xfId="5" applyNumberFormat="1" applyFont="1" applyFill="1" applyBorder="1" applyAlignment="1">
      <alignment vertical="center"/>
    </xf>
    <xf numFmtId="3" fontId="48" fillId="0" borderId="13" xfId="5" applyNumberFormat="1" applyFont="1" applyFill="1" applyBorder="1" applyAlignment="1">
      <alignment vertical="center"/>
    </xf>
    <xf numFmtId="3" fontId="48" fillId="0" borderId="38" xfId="5" applyNumberFormat="1" applyFont="1" applyFill="1" applyBorder="1" applyAlignment="1">
      <alignment vertical="center"/>
    </xf>
    <xf numFmtId="3" fontId="48" fillId="0" borderId="14" xfId="5" applyNumberFormat="1" applyFont="1" applyFill="1" applyBorder="1" applyAlignment="1">
      <alignment vertical="center"/>
    </xf>
    <xf numFmtId="3" fontId="48" fillId="0" borderId="21" xfId="5" applyNumberFormat="1" applyFont="1" applyFill="1" applyBorder="1" applyAlignment="1">
      <alignment vertical="center"/>
    </xf>
    <xf numFmtId="3" fontId="48" fillId="0" borderId="68" xfId="5" applyNumberFormat="1" applyFont="1" applyFill="1" applyBorder="1" applyAlignment="1">
      <alignment vertical="center"/>
    </xf>
    <xf numFmtId="3" fontId="48" fillId="0" borderId="84" xfId="5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4" fillId="0" borderId="147" xfId="0" applyFont="1" applyBorder="1" applyAlignment="1">
      <alignment horizontal="center" vertical="center" wrapText="1"/>
    </xf>
    <xf numFmtId="0" fontId="14" fillId="0" borderId="128" xfId="0" applyFont="1" applyBorder="1" applyAlignment="1">
      <alignment horizontal="center" vertical="center" wrapText="1"/>
    </xf>
    <xf numFmtId="0" fontId="2" fillId="0" borderId="102" xfId="1" applyFont="1" applyFill="1" applyBorder="1" applyAlignment="1">
      <alignment horizontal="center" vertical="center" wrapText="1"/>
    </xf>
    <xf numFmtId="0" fontId="71" fillId="0" borderId="143" xfId="5" applyFont="1" applyBorder="1" applyAlignment="1">
      <alignment horizontal="center" vertical="center" wrapText="1"/>
    </xf>
    <xf numFmtId="0" fontId="71" fillId="0" borderId="128" xfId="5" applyFont="1" applyBorder="1" applyAlignment="1">
      <alignment horizontal="center" vertical="center" wrapText="1"/>
    </xf>
    <xf numFmtId="0" fontId="71" fillId="0" borderId="147" xfId="5" applyFont="1" applyBorder="1" applyAlignment="1">
      <alignment horizontal="center" vertical="center" wrapText="1"/>
    </xf>
    <xf numFmtId="0" fontId="71" fillId="0" borderId="143" xfId="5" applyFont="1" applyBorder="1" applyAlignment="1">
      <alignment horizontal="center" vertical="center"/>
    </xf>
    <xf numFmtId="0" fontId="71" fillId="0" borderId="128" xfId="5" applyFont="1" applyBorder="1" applyAlignment="1">
      <alignment horizontal="center" vertical="center"/>
    </xf>
    <xf numFmtId="3" fontId="71" fillId="0" borderId="147" xfId="5" applyNumberFormat="1" applyFont="1" applyBorder="1" applyAlignment="1">
      <alignment horizontal="center" vertical="center" wrapText="1"/>
    </xf>
    <xf numFmtId="3" fontId="71" fillId="0" borderId="143" xfId="5" applyNumberFormat="1" applyFont="1" applyBorder="1" applyAlignment="1">
      <alignment horizontal="center" vertical="center" wrapText="1"/>
    </xf>
    <xf numFmtId="3" fontId="70" fillId="0" borderId="82" xfId="6" applyNumberFormat="1" applyFont="1" applyBorder="1" applyAlignment="1">
      <alignment horizontal="right" vertical="center"/>
    </xf>
    <xf numFmtId="3" fontId="70" fillId="0" borderId="82" xfId="6" applyNumberFormat="1" applyFont="1" applyBorder="1" applyAlignment="1">
      <alignment vertical="center"/>
    </xf>
    <xf numFmtId="3" fontId="72" fillId="0" borderId="82" xfId="6" applyNumberFormat="1" applyFont="1" applyBorder="1" applyAlignment="1">
      <alignment horizontal="right" vertical="center"/>
    </xf>
    <xf numFmtId="0" fontId="72" fillId="0" borderId="111" xfId="6" applyFont="1" applyBorder="1" applyAlignment="1">
      <alignment vertical="center"/>
    </xf>
    <xf numFmtId="0" fontId="58" fillId="0" borderId="131" xfId="5" applyFont="1" applyFill="1" applyBorder="1" applyAlignment="1">
      <alignment horizontal="left" vertical="center"/>
    </xf>
    <xf numFmtId="3" fontId="70" fillId="0" borderId="131" xfId="6" applyNumberFormat="1" applyFont="1" applyBorder="1" applyAlignment="1">
      <alignment vertical="center"/>
    </xf>
    <xf numFmtId="3" fontId="72" fillId="0" borderId="131" xfId="6" applyNumberFormat="1" applyFont="1" applyBorder="1" applyAlignment="1">
      <alignment horizontal="right" vertical="center"/>
    </xf>
    <xf numFmtId="0" fontId="72" fillId="0" borderId="132" xfId="6" applyFont="1" applyBorder="1" applyAlignment="1">
      <alignment vertical="center"/>
    </xf>
    <xf numFmtId="3" fontId="70" fillId="0" borderId="131" xfId="6" applyNumberFormat="1" applyFont="1" applyBorder="1" applyAlignment="1">
      <alignment horizontal="right" vertical="center"/>
    </xf>
    <xf numFmtId="3" fontId="72" fillId="0" borderId="131" xfId="6" applyNumberFormat="1" applyFont="1" applyBorder="1" applyAlignment="1">
      <alignment vertical="center"/>
    </xf>
    <xf numFmtId="3" fontId="72" fillId="0" borderId="132" xfId="6" applyNumberFormat="1" applyFont="1" applyBorder="1" applyAlignment="1">
      <alignment horizontal="right" vertical="center"/>
    </xf>
    <xf numFmtId="3" fontId="70" fillId="0" borderId="132" xfId="6" applyNumberFormat="1" applyFont="1" applyBorder="1" applyAlignment="1">
      <alignment vertical="center"/>
    </xf>
    <xf numFmtId="0" fontId="58" fillId="0" borderId="38" xfId="5" applyFont="1" applyFill="1" applyBorder="1" applyAlignment="1">
      <alignment horizontal="left" vertical="center"/>
    </xf>
    <xf numFmtId="3" fontId="70" fillId="0" borderId="38" xfId="6" applyNumberFormat="1" applyFont="1" applyBorder="1" applyAlignment="1">
      <alignment vertical="center"/>
    </xf>
    <xf numFmtId="3" fontId="70" fillId="0" borderId="14" xfId="6" applyNumberFormat="1" applyFont="1" applyBorder="1" applyAlignment="1">
      <alignment vertical="center"/>
    </xf>
    <xf numFmtId="3" fontId="70" fillId="0" borderId="132" xfId="6" applyNumberFormat="1" applyFont="1" applyBorder="1" applyAlignment="1">
      <alignment horizontal="right" vertical="center"/>
    </xf>
    <xf numFmtId="3" fontId="70" fillId="0" borderId="111" xfId="6" applyNumberFormat="1" applyFont="1" applyBorder="1" applyAlignment="1">
      <alignment horizontal="right" vertical="center"/>
    </xf>
    <xf numFmtId="3" fontId="70" fillId="0" borderId="39" xfId="6" applyNumberFormat="1" applyFont="1" applyBorder="1" applyAlignment="1">
      <alignment vertical="center"/>
    </xf>
    <xf numFmtId="3" fontId="70" fillId="0" borderId="51" xfId="6" applyNumberFormat="1" applyFont="1" applyBorder="1" applyAlignment="1">
      <alignment vertical="center"/>
    </xf>
    <xf numFmtId="3" fontId="70" fillId="0" borderId="52" xfId="6" applyNumberFormat="1" applyFont="1" applyBorder="1" applyAlignment="1">
      <alignment vertical="center"/>
    </xf>
    <xf numFmtId="0" fontId="72" fillId="0" borderId="51" xfId="6" applyFont="1" applyFill="1" applyBorder="1" applyAlignment="1">
      <alignment horizontal="left" vertical="center"/>
    </xf>
    <xf numFmtId="3" fontId="70" fillId="0" borderId="23" xfId="6" applyNumberFormat="1" applyFont="1" applyBorder="1" applyAlignment="1">
      <alignment vertical="center"/>
    </xf>
    <xf numFmtId="3" fontId="70" fillId="0" borderId="141" xfId="6" applyNumberFormat="1" applyFont="1" applyBorder="1" applyAlignment="1">
      <alignment vertical="center"/>
    </xf>
    <xf numFmtId="3" fontId="70" fillId="0" borderId="141" xfId="6" applyNumberFormat="1" applyFont="1" applyBorder="1" applyAlignment="1">
      <alignment horizontal="right" vertical="center"/>
    </xf>
    <xf numFmtId="3" fontId="70" fillId="0" borderId="84" xfId="6" applyNumberFormat="1" applyFont="1" applyBorder="1" applyAlignment="1">
      <alignment vertical="center"/>
    </xf>
    <xf numFmtId="3" fontId="72" fillId="0" borderId="93" xfId="6" applyNumberFormat="1" applyFont="1" applyBorder="1" applyAlignment="1">
      <alignment horizontal="right" vertical="center"/>
    </xf>
    <xf numFmtId="3" fontId="72" fillId="0" borderId="141" xfId="6" applyNumberFormat="1" applyFont="1" applyBorder="1" applyAlignment="1">
      <alignment horizontal="right" vertical="center"/>
    </xf>
    <xf numFmtId="3" fontId="72" fillId="0" borderId="141" xfId="6" applyNumberFormat="1" applyFont="1" applyBorder="1" applyAlignment="1">
      <alignment vertical="center"/>
    </xf>
    <xf numFmtId="3" fontId="70" fillId="0" borderId="53" xfId="6" applyNumberFormat="1" applyFont="1" applyBorder="1" applyAlignment="1">
      <alignment vertical="center"/>
    </xf>
    <xf numFmtId="3" fontId="70" fillId="0" borderId="136" xfId="6" applyNumberFormat="1" applyFont="1" applyBorder="1" applyAlignment="1">
      <alignment vertical="center"/>
    </xf>
    <xf numFmtId="3" fontId="70" fillId="0" borderId="136" xfId="6" applyNumberFormat="1" applyFont="1" applyBorder="1" applyAlignment="1">
      <alignment horizontal="right" vertical="center"/>
    </xf>
    <xf numFmtId="3" fontId="70" fillId="0" borderId="55" xfId="6" applyNumberFormat="1" applyFont="1" applyBorder="1" applyAlignment="1">
      <alignment vertical="center"/>
    </xf>
    <xf numFmtId="3" fontId="70" fillId="0" borderId="75" xfId="6" applyNumberFormat="1" applyFont="1" applyBorder="1" applyAlignment="1">
      <alignment vertical="center"/>
    </xf>
    <xf numFmtId="3" fontId="70" fillId="0" borderId="137" xfId="6" applyNumberFormat="1" applyFont="1" applyBorder="1" applyAlignment="1">
      <alignment vertical="center"/>
    </xf>
    <xf numFmtId="3" fontId="70" fillId="0" borderId="137" xfId="6" applyNumberFormat="1" applyFont="1" applyBorder="1" applyAlignment="1">
      <alignment horizontal="right" vertical="center"/>
    </xf>
    <xf numFmtId="3" fontId="70" fillId="0" borderId="68" xfId="6" applyNumberFormat="1" applyFont="1" applyBorder="1" applyAlignment="1">
      <alignment vertical="center"/>
    </xf>
    <xf numFmtId="3" fontId="72" fillId="0" borderId="50" xfId="6" applyNumberFormat="1" applyFont="1" applyBorder="1" applyAlignment="1">
      <alignment horizontal="right" vertical="center"/>
    </xf>
    <xf numFmtId="3" fontId="72" fillId="0" borderId="51" xfId="6" applyNumberFormat="1" applyFont="1" applyBorder="1" applyAlignment="1">
      <alignment horizontal="right" vertical="center"/>
    </xf>
    <xf numFmtId="0" fontId="72" fillId="0" borderId="52" xfId="6" applyFont="1" applyBorder="1" applyAlignment="1">
      <alignment vertical="center"/>
    </xf>
    <xf numFmtId="3" fontId="72" fillId="0" borderId="125" xfId="6" applyNumberFormat="1" applyFont="1" applyBorder="1" applyAlignment="1">
      <alignment horizontal="right" vertical="center"/>
    </xf>
    <xf numFmtId="3" fontId="72" fillId="0" borderId="130" xfId="6" applyNumberFormat="1" applyFont="1" applyBorder="1" applyAlignment="1">
      <alignment horizontal="right" vertical="center"/>
    </xf>
    <xf numFmtId="3" fontId="72" fillId="0" borderId="130" xfId="6" applyNumberFormat="1" applyFont="1" applyBorder="1" applyAlignment="1">
      <alignment vertical="center"/>
    </xf>
    <xf numFmtId="3" fontId="70" fillId="0" borderId="130" xfId="6" applyNumberFormat="1" applyFont="1" applyBorder="1" applyAlignment="1">
      <alignment vertical="center"/>
    </xf>
    <xf numFmtId="3" fontId="70" fillId="0" borderId="13" xfId="6" applyNumberFormat="1" applyFont="1" applyBorder="1" applyAlignment="1">
      <alignment vertical="center"/>
    </xf>
    <xf numFmtId="3" fontId="72" fillId="0" borderId="41" xfId="6" applyNumberFormat="1" applyFont="1" applyBorder="1" applyAlignment="1">
      <alignment horizontal="right" vertical="center"/>
    </xf>
    <xf numFmtId="3" fontId="70" fillId="0" borderId="125" xfId="6" applyNumberFormat="1" applyFont="1" applyBorder="1" applyAlignment="1">
      <alignment vertical="center"/>
    </xf>
    <xf numFmtId="3" fontId="72" fillId="0" borderId="52" xfId="6" applyNumberFormat="1" applyFont="1" applyBorder="1" applyAlignment="1">
      <alignment horizontal="right" vertical="center"/>
    </xf>
    <xf numFmtId="3" fontId="72" fillId="0" borderId="111" xfId="6" applyNumberFormat="1" applyFont="1" applyBorder="1" applyAlignment="1">
      <alignment horizontal="right" vertical="center"/>
    </xf>
    <xf numFmtId="3" fontId="72" fillId="0" borderId="132" xfId="6" applyNumberFormat="1" applyFont="1" applyBorder="1" applyAlignment="1">
      <alignment vertical="center"/>
    </xf>
    <xf numFmtId="3" fontId="72" fillId="0" borderId="133" xfId="6" applyNumberFormat="1" applyFont="1" applyBorder="1" applyAlignment="1">
      <alignment horizontal="right" vertical="center"/>
    </xf>
    <xf numFmtId="3" fontId="72" fillId="0" borderId="134" xfId="6" applyNumberFormat="1" applyFont="1" applyBorder="1" applyAlignment="1">
      <alignment horizontal="right" vertical="center"/>
    </xf>
    <xf numFmtId="3" fontId="72" fillId="0" borderId="135" xfId="6" applyNumberFormat="1" applyFont="1" applyBorder="1" applyAlignment="1">
      <alignment horizontal="right" vertical="center"/>
    </xf>
    <xf numFmtId="0" fontId="58" fillId="0" borderId="47" xfId="5" applyFont="1" applyFill="1" applyBorder="1" applyAlignment="1">
      <alignment horizontal="left" vertical="center"/>
    </xf>
    <xf numFmtId="0" fontId="58" fillId="0" borderId="112" xfId="5" applyFont="1" applyFill="1" applyBorder="1" applyAlignment="1">
      <alignment horizontal="left" vertical="center"/>
    </xf>
    <xf numFmtId="0" fontId="58" fillId="0" borderId="108" xfId="5" applyFont="1" applyFill="1" applyBorder="1" applyAlignment="1">
      <alignment horizontal="left" vertical="center"/>
    </xf>
    <xf numFmtId="0" fontId="72" fillId="0" borderId="108" xfId="6" applyFont="1" applyFill="1" applyBorder="1" applyAlignment="1">
      <alignment horizontal="left" vertical="center"/>
    </xf>
    <xf numFmtId="0" fontId="58" fillId="0" borderId="48" xfId="5" applyFont="1" applyFill="1" applyBorder="1" applyAlignment="1">
      <alignment horizontal="left" vertical="center"/>
    </xf>
    <xf numFmtId="3" fontId="70" fillId="0" borderId="53" xfId="6" applyNumberFormat="1" applyFont="1" applyBorder="1" applyAlignment="1">
      <alignment horizontal="right" vertical="center"/>
    </xf>
    <xf numFmtId="3" fontId="70" fillId="0" borderId="33" xfId="6" applyNumberFormat="1" applyFont="1" applyBorder="1" applyAlignment="1">
      <alignment horizontal="right" vertical="center"/>
    </xf>
    <xf numFmtId="3" fontId="70" fillId="0" borderId="21" xfId="6" applyNumberFormat="1" applyFont="1" applyBorder="1" applyAlignment="1">
      <alignment vertical="center"/>
    </xf>
    <xf numFmtId="3" fontId="70" fillId="0" borderId="38" xfId="6" applyNumberFormat="1" applyFont="1" applyBorder="1" applyAlignment="1">
      <alignment horizontal="right" vertical="center"/>
    </xf>
    <xf numFmtId="3" fontId="70" fillId="0" borderId="14" xfId="6" applyNumberFormat="1" applyFont="1" applyBorder="1" applyAlignment="1">
      <alignment horizontal="right" vertical="center"/>
    </xf>
    <xf numFmtId="3" fontId="70" fillId="0" borderId="41" xfId="6" applyNumberFormat="1" applyFont="1" applyBorder="1" applyAlignment="1">
      <alignment vertical="center"/>
    </xf>
    <xf numFmtId="3" fontId="70" fillId="0" borderId="93" xfId="6" applyNumberFormat="1" applyFont="1" applyBorder="1" applyAlignment="1">
      <alignment horizontal="right" vertical="center"/>
    </xf>
    <xf numFmtId="3" fontId="70" fillId="0" borderId="84" xfId="6" applyNumberFormat="1" applyFont="1" applyBorder="1" applyAlignment="1">
      <alignment horizontal="right" vertical="center"/>
    </xf>
    <xf numFmtId="3" fontId="70" fillId="0" borderId="21" xfId="6" applyNumberFormat="1" applyFont="1" applyBorder="1" applyAlignment="1">
      <alignment horizontal="right" vertical="center"/>
    </xf>
    <xf numFmtId="3" fontId="70" fillId="0" borderId="40" xfId="6" applyNumberFormat="1" applyFont="1" applyBorder="1" applyAlignment="1">
      <alignment vertical="center"/>
    </xf>
    <xf numFmtId="3" fontId="70" fillId="0" borderId="104" xfId="6" applyNumberFormat="1" applyFont="1" applyBorder="1" applyAlignment="1">
      <alignment vertical="center"/>
    </xf>
    <xf numFmtId="3" fontId="70" fillId="0" borderId="104" xfId="6" applyNumberFormat="1" applyFont="1" applyBorder="1" applyAlignment="1">
      <alignment horizontal="right" vertical="center"/>
    </xf>
    <xf numFmtId="3" fontId="70" fillId="0" borderId="99" xfId="6" applyNumberFormat="1" applyFont="1" applyBorder="1" applyAlignment="1">
      <alignment horizontal="right" vertical="center"/>
    </xf>
    <xf numFmtId="3" fontId="70" fillId="0" borderId="68" xfId="6" applyNumberFormat="1" applyFont="1" applyBorder="1" applyAlignment="1">
      <alignment horizontal="right" vertical="center"/>
    </xf>
    <xf numFmtId="3" fontId="70" fillId="0" borderId="130" xfId="6" applyNumberFormat="1" applyFont="1" applyBorder="1" applyAlignment="1">
      <alignment horizontal="right" vertical="center"/>
    </xf>
    <xf numFmtId="3" fontId="70" fillId="0" borderId="125" xfId="6" applyNumberFormat="1" applyFont="1" applyBorder="1" applyAlignment="1">
      <alignment horizontal="right" vertical="center"/>
    </xf>
    <xf numFmtId="3" fontId="70" fillId="0" borderId="13" xfId="6" applyNumberFormat="1" applyFont="1" applyBorder="1" applyAlignment="1">
      <alignment horizontal="right" vertical="center"/>
    </xf>
    <xf numFmtId="3" fontId="72" fillId="0" borderId="38" xfId="6" applyNumberFormat="1" applyFont="1" applyBorder="1" applyAlignment="1">
      <alignment horizontal="right" vertical="center"/>
    </xf>
    <xf numFmtId="0" fontId="72" fillId="0" borderId="14" xfId="6" applyFont="1" applyBorder="1" applyAlignment="1">
      <alignment vertical="center"/>
    </xf>
    <xf numFmtId="3" fontId="70" fillId="0" borderId="48" xfId="6" applyNumberFormat="1" applyFont="1" applyBorder="1" applyAlignment="1">
      <alignment vertical="center"/>
    </xf>
    <xf numFmtId="3" fontId="72" fillId="0" borderId="84" xfId="6" applyNumberFormat="1" applyFont="1" applyBorder="1" applyAlignment="1">
      <alignment horizontal="right" vertical="center"/>
    </xf>
    <xf numFmtId="3" fontId="72" fillId="0" borderId="14" xfId="6" applyNumberFormat="1" applyFont="1" applyBorder="1" applyAlignment="1">
      <alignment horizontal="right" vertical="center"/>
    </xf>
    <xf numFmtId="3" fontId="72" fillId="0" borderId="13" xfId="6" applyNumberFormat="1" applyFont="1" applyBorder="1" applyAlignment="1">
      <alignment horizontal="right" vertical="center"/>
    </xf>
    <xf numFmtId="0" fontId="72" fillId="0" borderId="47" xfId="6" applyFont="1" applyFill="1" applyBorder="1" applyAlignment="1">
      <alignment horizontal="left" vertical="center"/>
    </xf>
    <xf numFmtId="0" fontId="58" fillId="0" borderId="126" xfId="5" applyFont="1" applyFill="1" applyBorder="1" applyAlignment="1">
      <alignment horizontal="left" vertical="center"/>
    </xf>
    <xf numFmtId="3" fontId="70" fillId="0" borderId="91" xfId="6" applyNumberFormat="1" applyFont="1" applyBorder="1" applyAlignment="1">
      <alignment vertical="center"/>
    </xf>
    <xf numFmtId="3" fontId="70" fillId="0" borderId="96" xfId="6" applyNumberFormat="1" applyFont="1" applyBorder="1" applyAlignment="1">
      <alignment vertical="center"/>
    </xf>
    <xf numFmtId="3" fontId="70" fillId="0" borderId="50" xfId="6" applyNumberFormat="1" applyFont="1" applyBorder="1" applyAlignment="1">
      <alignment vertical="center"/>
    </xf>
    <xf numFmtId="3" fontId="70" fillId="0" borderId="12" xfId="6" applyNumberFormat="1" applyFont="1" applyBorder="1" applyAlignment="1">
      <alignment vertical="center"/>
    </xf>
    <xf numFmtId="3" fontId="70" fillId="0" borderId="25" xfId="6" applyNumberFormat="1" applyFont="1" applyBorder="1" applyAlignment="1">
      <alignment vertical="center"/>
    </xf>
    <xf numFmtId="3" fontId="70" fillId="0" borderId="47" xfId="6" applyNumberFormat="1" applyFont="1" applyBorder="1" applyAlignment="1">
      <alignment vertical="center"/>
    </xf>
    <xf numFmtId="3" fontId="70" fillId="0" borderId="108" xfId="6" applyNumberFormat="1" applyFont="1" applyBorder="1" applyAlignment="1">
      <alignment vertical="center"/>
    </xf>
    <xf numFmtId="3" fontId="34" fillId="0" borderId="51" xfId="0" applyNumberFormat="1" applyFont="1" applyBorder="1" applyAlignment="1">
      <alignment vertical="center"/>
    </xf>
    <xf numFmtId="3" fontId="57" fillId="0" borderId="52" xfId="0" applyNumberFormat="1" applyFont="1" applyBorder="1" applyAlignment="1">
      <alignment vertical="center"/>
    </xf>
    <xf numFmtId="3" fontId="34" fillId="0" borderId="131" xfId="0" applyNumberFormat="1" applyFont="1" applyBorder="1" applyAlignment="1">
      <alignment vertical="center"/>
    </xf>
    <xf numFmtId="3" fontId="57" fillId="0" borderId="132" xfId="0" applyNumberFormat="1" applyFont="1" applyBorder="1" applyAlignment="1">
      <alignment vertical="center"/>
    </xf>
    <xf numFmtId="0" fontId="57" fillId="0" borderId="131" xfId="0" applyFont="1" applyBorder="1" applyAlignment="1">
      <alignment vertical="center" wrapText="1"/>
    </xf>
    <xf numFmtId="3" fontId="57" fillId="0" borderId="131" xfId="0" applyNumberFormat="1" applyFont="1" applyBorder="1" applyAlignment="1">
      <alignment vertical="center" wrapText="1"/>
    </xf>
    <xf numFmtId="3" fontId="34" fillId="2" borderId="131" xfId="0" applyNumberFormat="1" applyFont="1" applyFill="1" applyBorder="1" applyAlignment="1">
      <alignment vertical="center"/>
    </xf>
    <xf numFmtId="3" fontId="57" fillId="0" borderId="131" xfId="0" applyNumberFormat="1" applyFont="1" applyBorder="1" applyAlignment="1">
      <alignment vertical="center"/>
    </xf>
    <xf numFmtId="3" fontId="57" fillId="0" borderId="51" xfId="0" applyNumberFormat="1" applyFont="1" applyBorder="1" applyAlignment="1">
      <alignment vertical="center"/>
    </xf>
    <xf numFmtId="3" fontId="57" fillId="0" borderId="131" xfId="10" applyNumberFormat="1" applyFont="1" applyFill="1" applyBorder="1" applyAlignment="1">
      <alignment vertical="center" wrapText="1"/>
    </xf>
    <xf numFmtId="3" fontId="57" fillId="0" borderId="134" xfId="10" applyNumberFormat="1" applyFont="1" applyFill="1" applyBorder="1" applyAlignment="1">
      <alignment vertical="center" wrapText="1"/>
    </xf>
    <xf numFmtId="3" fontId="57" fillId="0" borderId="134" xfId="0" applyNumberFormat="1" applyFont="1" applyBorder="1" applyAlignment="1">
      <alignment vertical="center"/>
    </xf>
    <xf numFmtId="3" fontId="57" fillId="0" borderId="135" xfId="0" applyNumberFormat="1" applyFont="1" applyBorder="1" applyAlignment="1">
      <alignment vertical="center"/>
    </xf>
    <xf numFmtId="3" fontId="34" fillId="0" borderId="41" xfId="0" applyNumberFormat="1" applyFont="1" applyBorder="1" applyAlignment="1">
      <alignment vertical="center"/>
    </xf>
    <xf numFmtId="3" fontId="34" fillId="0" borderId="141" xfId="0" applyNumberFormat="1" applyFont="1" applyBorder="1" applyAlignment="1">
      <alignment vertical="center"/>
    </xf>
    <xf numFmtId="0" fontId="57" fillId="0" borderId="141" xfId="0" applyFont="1" applyBorder="1" applyAlignment="1">
      <alignment vertical="center" wrapText="1"/>
    </xf>
    <xf numFmtId="3" fontId="34" fillId="2" borderId="141" xfId="0" applyNumberFormat="1" applyFont="1" applyFill="1" applyBorder="1" applyAlignment="1">
      <alignment vertical="center"/>
    </xf>
    <xf numFmtId="3" fontId="57" fillId="0" borderId="141" xfId="0" applyNumberFormat="1" applyFont="1" applyBorder="1" applyAlignment="1">
      <alignment vertical="center"/>
    </xf>
    <xf numFmtId="3" fontId="57" fillId="0" borderId="41" xfId="0" applyNumberFormat="1" applyFont="1" applyBorder="1" applyAlignment="1">
      <alignment vertical="center"/>
    </xf>
    <xf numFmtId="3" fontId="57" fillId="0" borderId="141" xfId="10" applyNumberFormat="1" applyFont="1" applyFill="1" applyBorder="1" applyAlignment="1">
      <alignment vertical="center" wrapText="1"/>
    </xf>
    <xf numFmtId="3" fontId="57" fillId="0" borderId="142" xfId="10" applyNumberFormat="1" applyFont="1" applyFill="1" applyBorder="1" applyAlignment="1">
      <alignment vertical="center" wrapText="1"/>
    </xf>
    <xf numFmtId="0" fontId="14" fillId="0" borderId="143" xfId="0" applyFont="1" applyBorder="1" applyAlignment="1">
      <alignment horizontal="center" vertical="center" wrapText="1"/>
    </xf>
    <xf numFmtId="0" fontId="34" fillId="0" borderId="50" xfId="0" applyFont="1" applyBorder="1" applyAlignment="1">
      <alignment vertical="center" wrapText="1"/>
    </xf>
    <xf numFmtId="3" fontId="34" fillId="0" borderId="52" xfId="0" applyNumberFormat="1" applyFont="1" applyBorder="1" applyAlignment="1">
      <alignment vertical="center"/>
    </xf>
    <xf numFmtId="0" fontId="34" fillId="0" borderId="130" xfId="0" applyFont="1" applyBorder="1" applyAlignment="1">
      <alignment vertical="center" wrapText="1"/>
    </xf>
    <xf numFmtId="3" fontId="34" fillId="0" borderId="132" xfId="0" applyNumberFormat="1" applyFont="1" applyBorder="1" applyAlignment="1">
      <alignment vertical="center"/>
    </xf>
    <xf numFmtId="0" fontId="57" fillId="0" borderId="130" xfId="0" applyFont="1" applyBorder="1" applyAlignment="1">
      <alignment vertical="center" wrapText="1"/>
    </xf>
    <xf numFmtId="0" fontId="57" fillId="0" borderId="132" xfId="0" applyFont="1" applyBorder="1" applyAlignment="1">
      <alignment vertical="center" wrapText="1"/>
    </xf>
    <xf numFmtId="0" fontId="34" fillId="2" borderId="130" xfId="0" applyFont="1" applyFill="1" applyBorder="1" applyAlignment="1">
      <alignment vertical="center" wrapText="1"/>
    </xf>
    <xf numFmtId="3" fontId="34" fillId="2" borderId="132" xfId="0" applyNumberFormat="1" applyFont="1" applyFill="1" applyBorder="1" applyAlignment="1">
      <alignment vertical="center"/>
    </xf>
    <xf numFmtId="3" fontId="34" fillId="0" borderId="130" xfId="0" applyNumberFormat="1" applyFont="1" applyBorder="1" applyAlignment="1">
      <alignment vertical="center" wrapText="1"/>
    </xf>
    <xf numFmtId="3" fontId="57" fillId="0" borderId="50" xfId="0" applyNumberFormat="1" applyFont="1" applyBorder="1" applyAlignment="1">
      <alignment vertical="center"/>
    </xf>
    <xf numFmtId="3" fontId="57" fillId="0" borderId="130" xfId="0" applyNumberFormat="1" applyFont="1" applyBorder="1" applyAlignment="1">
      <alignment vertical="center"/>
    </xf>
    <xf numFmtId="3" fontId="57" fillId="0" borderId="130" xfId="10" applyNumberFormat="1" applyFont="1" applyFill="1" applyBorder="1" applyAlignment="1">
      <alignment vertical="center" wrapText="1"/>
    </xf>
    <xf numFmtId="3" fontId="57" fillId="0" borderId="132" xfId="10" applyNumberFormat="1" applyFont="1" applyFill="1" applyBorder="1" applyAlignment="1">
      <alignment vertical="center" wrapText="1"/>
    </xf>
    <xf numFmtId="3" fontId="57" fillId="0" borderId="133" xfId="10" applyNumberFormat="1" applyFont="1" applyFill="1" applyBorder="1" applyAlignment="1">
      <alignment vertical="center" wrapText="1"/>
    </xf>
    <xf numFmtId="3" fontId="57" fillId="0" borderId="135" xfId="10" applyNumberFormat="1" applyFont="1" applyFill="1" applyBorder="1" applyAlignment="1">
      <alignment vertical="center" wrapText="1"/>
    </xf>
    <xf numFmtId="3" fontId="34" fillId="0" borderId="50" xfId="0" applyNumberFormat="1" applyFont="1" applyBorder="1" applyAlignment="1">
      <alignment vertical="center"/>
    </xf>
    <xf numFmtId="3" fontId="34" fillId="0" borderId="130" xfId="0" applyNumberFormat="1" applyFont="1" applyBorder="1" applyAlignment="1">
      <alignment vertical="center"/>
    </xf>
    <xf numFmtId="3" fontId="34" fillId="2" borderId="130" xfId="0" applyNumberFormat="1" applyFont="1" applyFill="1" applyBorder="1" applyAlignment="1">
      <alignment vertical="center"/>
    </xf>
    <xf numFmtId="0" fontId="13" fillId="0" borderId="52" xfId="0" applyFont="1" applyFill="1" applyBorder="1" applyAlignment="1">
      <alignment vertical="center" wrapText="1"/>
    </xf>
    <xf numFmtId="0" fontId="13" fillId="0" borderId="132" xfId="0" applyFont="1" applyFill="1" applyBorder="1" applyAlignment="1">
      <alignment vertical="center" wrapText="1"/>
    </xf>
    <xf numFmtId="0" fontId="14" fillId="0" borderId="132" xfId="0" applyFont="1" applyFill="1" applyBorder="1" applyAlignment="1">
      <alignment vertical="center" wrapText="1"/>
    </xf>
    <xf numFmtId="0" fontId="14" fillId="0" borderId="52" xfId="0" applyFont="1" applyFill="1" applyBorder="1" applyAlignment="1">
      <alignment vertical="center" wrapText="1"/>
    </xf>
    <xf numFmtId="3" fontId="14" fillId="0" borderId="132" xfId="0" applyNumberFormat="1" applyFont="1" applyFill="1" applyBorder="1" applyAlignment="1">
      <alignment vertical="center" wrapText="1"/>
    </xf>
    <xf numFmtId="0" fontId="14" fillId="0" borderId="135" xfId="0" applyFont="1" applyFill="1" applyBorder="1" applyAlignment="1">
      <alignment vertical="center" wrapText="1"/>
    </xf>
    <xf numFmtId="0" fontId="20" fillId="0" borderId="63" xfId="0" applyFont="1" applyBorder="1" applyAlignment="1"/>
    <xf numFmtId="0" fontId="13" fillId="0" borderId="0" xfId="17" applyFont="1" applyAlignment="1">
      <alignment horizontal="left"/>
    </xf>
    <xf numFmtId="0" fontId="14" fillId="0" borderId="7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3" fillId="0" borderId="41" xfId="0" applyFont="1" applyBorder="1" applyAlignment="1">
      <alignment horizontal="left" vertical="center"/>
    </xf>
    <xf numFmtId="0" fontId="13" fillId="0" borderId="94" xfId="0" applyFont="1" applyBorder="1" applyAlignment="1">
      <alignment horizontal="left" vertical="center"/>
    </xf>
    <xf numFmtId="0" fontId="20" fillId="0" borderId="94" xfId="0" applyFont="1" applyBorder="1" applyAlignment="1">
      <alignment horizontal="left" vertical="center"/>
    </xf>
    <xf numFmtId="0" fontId="20" fillId="0" borderId="94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13" fillId="0" borderId="94" xfId="0" applyFont="1" applyFill="1" applyBorder="1" applyAlignment="1">
      <alignment horizontal="left" vertical="center"/>
    </xf>
    <xf numFmtId="0" fontId="20" fillId="0" borderId="63" xfId="0" applyFont="1" applyBorder="1" applyAlignment="1">
      <alignment vertical="center" wrapText="1"/>
    </xf>
    <xf numFmtId="3" fontId="31" fillId="0" borderId="130" xfId="0" applyNumberFormat="1" applyFont="1" applyBorder="1" applyAlignment="1">
      <alignment vertical="center" wrapText="1"/>
    </xf>
    <xf numFmtId="3" fontId="31" fillId="0" borderId="131" xfId="0" applyNumberFormat="1" applyFont="1" applyBorder="1" applyAlignment="1">
      <alignment vertical="center" wrapText="1"/>
    </xf>
    <xf numFmtId="3" fontId="31" fillId="0" borderId="138" xfId="0" applyNumberFormat="1" applyFont="1" applyBorder="1" applyAlignment="1">
      <alignment vertical="center" wrapText="1"/>
    </xf>
    <xf numFmtId="3" fontId="33" fillId="0" borderId="143" xfId="0" applyNumberFormat="1" applyFont="1" applyBorder="1" applyAlignment="1">
      <alignment vertical="center" wrapText="1"/>
    </xf>
    <xf numFmtId="3" fontId="33" fillId="0" borderId="128" xfId="0" applyNumberFormat="1" applyFont="1" applyBorder="1" applyAlignment="1">
      <alignment vertical="center" wrapText="1"/>
    </xf>
    <xf numFmtId="3" fontId="13" fillId="0" borderId="137" xfId="0" applyNumberFormat="1" applyFont="1" applyBorder="1" applyAlignment="1">
      <alignment vertical="center" wrapText="1"/>
    </xf>
    <xf numFmtId="3" fontId="13" fillId="0" borderId="144" xfId="0" applyNumberFormat="1" applyFont="1" applyBorder="1" applyAlignment="1">
      <alignment vertical="center" wrapText="1"/>
    </xf>
    <xf numFmtId="49" fontId="31" fillId="0" borderId="137" xfId="0" applyNumberFormat="1" applyFont="1" applyBorder="1" applyAlignment="1">
      <alignment vertical="center" wrapText="1"/>
    </xf>
    <xf numFmtId="49" fontId="13" fillId="0" borderId="137" xfId="0" applyNumberFormat="1" applyFont="1" applyBorder="1" applyAlignment="1">
      <alignment vertical="center" wrapText="1"/>
    </xf>
    <xf numFmtId="3" fontId="17" fillId="0" borderId="137" xfId="0" applyNumberFormat="1" applyFont="1" applyBorder="1" applyAlignment="1">
      <alignment vertical="center" wrapText="1"/>
    </xf>
    <xf numFmtId="3" fontId="17" fillId="0" borderId="130" xfId="0" applyNumberFormat="1" applyFont="1" applyBorder="1" applyAlignment="1">
      <alignment vertical="center" wrapText="1"/>
    </xf>
    <xf numFmtId="3" fontId="17" fillId="0" borderId="131" xfId="0" applyNumberFormat="1" applyFont="1" applyBorder="1" applyAlignment="1">
      <alignment vertical="center" wrapText="1"/>
    </xf>
    <xf numFmtId="3" fontId="17" fillId="0" borderId="138" xfId="0" applyNumberFormat="1" applyFont="1" applyBorder="1" applyAlignment="1">
      <alignment vertical="center" wrapText="1"/>
    </xf>
    <xf numFmtId="3" fontId="17" fillId="0" borderId="138" xfId="0" applyNumberFormat="1" applyFont="1" applyFill="1" applyBorder="1" applyAlignment="1">
      <alignment vertical="center"/>
    </xf>
    <xf numFmtId="0" fontId="13" fillId="0" borderId="137" xfId="9" applyFont="1" applyBorder="1" applyAlignment="1">
      <alignment vertical="center" wrapText="1"/>
    </xf>
    <xf numFmtId="3" fontId="14" fillId="0" borderId="77" xfId="14" applyNumberFormat="1" applyFont="1" applyFill="1" applyBorder="1" applyAlignment="1">
      <alignment horizontal="center" vertical="center" wrapText="1"/>
    </xf>
    <xf numFmtId="0" fontId="28" fillId="0" borderId="75" xfId="0" applyFont="1" applyFill="1" applyBorder="1" applyAlignment="1">
      <alignment vertical="center" wrapText="1"/>
    </xf>
    <xf numFmtId="0" fontId="28" fillId="0" borderId="137" xfId="0" applyFont="1" applyFill="1" applyBorder="1" applyAlignment="1">
      <alignment horizontal="left" vertical="center" wrapText="1" indent="2"/>
    </xf>
    <xf numFmtId="0" fontId="28" fillId="0" borderId="137" xfId="0" applyFont="1" applyFill="1" applyBorder="1" applyAlignment="1">
      <alignment vertical="center" wrapText="1"/>
    </xf>
    <xf numFmtId="0" fontId="29" fillId="0" borderId="137" xfId="0" applyFont="1" applyFill="1" applyBorder="1" applyAlignment="1">
      <alignment vertical="center" wrapText="1"/>
    </xf>
    <xf numFmtId="0" fontId="29" fillId="0" borderId="137" xfId="0" applyFont="1" applyFill="1" applyBorder="1" applyAlignment="1">
      <alignment horizontal="left" vertical="center" wrapText="1" indent="2"/>
    </xf>
    <xf numFmtId="0" fontId="28" fillId="0" borderId="90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4" fillId="0" borderId="83" xfId="0" applyFont="1" applyFill="1" applyBorder="1" applyAlignment="1">
      <alignment horizontal="center" vertical="center" wrapText="1"/>
    </xf>
    <xf numFmtId="0" fontId="24" fillId="0" borderId="123" xfId="0" applyFont="1" applyFill="1" applyBorder="1" applyAlignment="1">
      <alignment horizontal="center" vertical="center" wrapText="1"/>
    </xf>
    <xf numFmtId="3" fontId="33" fillId="0" borderId="74" xfId="0" applyNumberFormat="1" applyFont="1" applyFill="1" applyBorder="1" applyAlignment="1">
      <alignment horizontal="center" vertical="center" wrapText="1"/>
    </xf>
    <xf numFmtId="0" fontId="76" fillId="0" borderId="0" xfId="0" applyFont="1"/>
    <xf numFmtId="0" fontId="76" fillId="0" borderId="0" xfId="0" applyFont="1" applyAlignment="1">
      <alignment horizontal="center"/>
    </xf>
    <xf numFmtId="3" fontId="76" fillId="0" borderId="0" xfId="0" applyNumberFormat="1" applyFont="1"/>
    <xf numFmtId="0" fontId="76" fillId="0" borderId="57" xfId="0" applyFont="1" applyBorder="1"/>
    <xf numFmtId="0" fontId="76" fillId="0" borderId="57" xfId="0" applyFont="1" applyBorder="1" applyAlignment="1">
      <alignment horizontal="center"/>
    </xf>
    <xf numFmtId="49" fontId="83" fillId="0" borderId="73" xfId="0" applyNumberFormat="1" applyFont="1" applyBorder="1" applyAlignment="1">
      <alignment wrapText="1"/>
    </xf>
    <xf numFmtId="0" fontId="76" fillId="5" borderId="58" xfId="0" applyFont="1" applyFill="1" applyBorder="1"/>
    <xf numFmtId="0" fontId="76" fillId="5" borderId="58" xfId="0" applyFont="1" applyFill="1" applyBorder="1" applyAlignment="1">
      <alignment horizontal="center"/>
    </xf>
    <xf numFmtId="3" fontId="76" fillId="5" borderId="58" xfId="0" applyNumberFormat="1" applyFont="1" applyFill="1" applyBorder="1"/>
    <xf numFmtId="0" fontId="80" fillId="5" borderId="58" xfId="0" applyFont="1" applyFill="1" applyBorder="1"/>
    <xf numFmtId="0" fontId="80" fillId="5" borderId="58" xfId="0" applyFont="1" applyFill="1" applyBorder="1" applyAlignment="1">
      <alignment horizontal="center"/>
    </xf>
    <xf numFmtId="49" fontId="83" fillId="0" borderId="73" xfId="0" applyNumberFormat="1" applyFont="1" applyBorder="1"/>
    <xf numFmtId="0" fontId="99" fillId="5" borderId="58" xfId="0" applyFont="1" applyFill="1" applyBorder="1"/>
    <xf numFmtId="49" fontId="86" fillId="0" borderId="59" xfId="0" applyNumberFormat="1" applyFont="1" applyBorder="1"/>
    <xf numFmtId="168" fontId="100" fillId="5" borderId="58" xfId="0" applyNumberFormat="1" applyFont="1" applyFill="1" applyBorder="1" applyAlignment="1">
      <alignment horizontal="right"/>
    </xf>
    <xf numFmtId="3" fontId="85" fillId="5" borderId="58" xfId="0" applyNumberFormat="1" applyFont="1" applyFill="1" applyBorder="1" applyAlignment="1">
      <alignment horizontal="center"/>
    </xf>
    <xf numFmtId="49" fontId="44" fillId="0" borderId="59" xfId="0" applyNumberFormat="1" applyFont="1" applyBorder="1"/>
    <xf numFmtId="0" fontId="34" fillId="5" borderId="58" xfId="0" applyFont="1" applyFill="1" applyBorder="1"/>
    <xf numFmtId="3" fontId="42" fillId="5" borderId="58" xfId="0" applyNumberFormat="1" applyFont="1" applyFill="1" applyBorder="1" applyAlignment="1">
      <alignment horizontal="center"/>
    </xf>
    <xf numFmtId="49" fontId="84" fillId="0" borderId="59" xfId="0" applyNumberFormat="1" applyFont="1" applyBorder="1"/>
    <xf numFmtId="3" fontId="85" fillId="5" borderId="58" xfId="0" applyNumberFormat="1" applyFont="1" applyFill="1" applyBorder="1"/>
    <xf numFmtId="0" fontId="85" fillId="5" borderId="58" xfId="0" applyFont="1" applyFill="1" applyBorder="1"/>
    <xf numFmtId="49" fontId="83" fillId="0" borderId="59" xfId="0" applyNumberFormat="1" applyFont="1" applyBorder="1"/>
    <xf numFmtId="3" fontId="76" fillId="0" borderId="58" xfId="0" applyNumberFormat="1" applyFont="1" applyBorder="1"/>
    <xf numFmtId="0" fontId="0" fillId="0" borderId="58" xfId="0" applyFont="1" applyBorder="1" applyAlignment="1">
      <alignment horizontal="center" wrapText="1"/>
    </xf>
    <xf numFmtId="0" fontId="88" fillId="0" borderId="58" xfId="0" applyFont="1" applyBorder="1" applyAlignment="1">
      <alignment horizontal="center"/>
    </xf>
    <xf numFmtId="3" fontId="0" fillId="0" borderId="0" xfId="0" applyNumberFormat="1"/>
    <xf numFmtId="0" fontId="76" fillId="0" borderId="131" xfId="0" applyFont="1" applyBorder="1"/>
    <xf numFmtId="0" fontId="76" fillId="0" borderId="131" xfId="0" applyFont="1" applyBorder="1" applyAlignment="1">
      <alignment horizontal="center"/>
    </xf>
    <xf numFmtId="0" fontId="81" fillId="0" borderId="0" xfId="0" applyFont="1" applyAlignment="1">
      <alignment horizontal="center" vertical="center" wrapText="1"/>
    </xf>
    <xf numFmtId="49" fontId="46" fillId="0" borderId="0" xfId="0" applyNumberFormat="1" applyFont="1"/>
    <xf numFmtId="3" fontId="20" fillId="0" borderId="0" xfId="0" applyNumberFormat="1" applyFont="1" applyAlignment="1">
      <alignment horizontal="center"/>
    </xf>
    <xf numFmtId="3" fontId="95" fillId="0" borderId="0" xfId="0" applyNumberFormat="1" applyFont="1" applyAlignment="1">
      <alignment horizontal="center"/>
    </xf>
    <xf numFmtId="49" fontId="77" fillId="0" borderId="0" xfId="0" applyNumberFormat="1" applyFont="1"/>
    <xf numFmtId="49" fontId="43" fillId="0" borderId="58" xfId="0" applyNumberFormat="1" applyFont="1" applyBorder="1"/>
    <xf numFmtId="0" fontId="47" fillId="0" borderId="0" xfId="0" applyFont="1"/>
    <xf numFmtId="0" fontId="47" fillId="0" borderId="0" xfId="0" applyFont="1" applyAlignment="1">
      <alignment horizontal="center"/>
    </xf>
    <xf numFmtId="49" fontId="77" fillId="0" borderId="58" xfId="0" applyNumberFormat="1" applyFont="1" applyFill="1" applyBorder="1"/>
    <xf numFmtId="0" fontId="20" fillId="0" borderId="60" xfId="0" applyFont="1" applyFill="1" applyBorder="1"/>
    <xf numFmtId="0" fontId="47" fillId="0" borderId="113" xfId="0" applyFont="1" applyFill="1" applyBorder="1" applyAlignment="1">
      <alignment horizontal="center"/>
    </xf>
    <xf numFmtId="49" fontId="81" fillId="0" borderId="58" xfId="0" applyNumberFormat="1" applyFont="1" applyFill="1" applyBorder="1"/>
    <xf numFmtId="0" fontId="21" fillId="0" borderId="60" xfId="0" applyFont="1" applyFill="1" applyBorder="1"/>
    <xf numFmtId="0" fontId="48" fillId="0" borderId="113" xfId="0" applyFont="1" applyFill="1" applyBorder="1" applyAlignment="1">
      <alignment horizontal="center"/>
    </xf>
    <xf numFmtId="49" fontId="48" fillId="0" borderId="58" xfId="0" applyNumberFormat="1" applyFont="1" applyFill="1" applyBorder="1" applyAlignment="1">
      <alignment horizontal="left"/>
    </xf>
    <xf numFmtId="3" fontId="42" fillId="0" borderId="57" xfId="0" applyNumberFormat="1" applyFont="1" applyFill="1" applyBorder="1"/>
    <xf numFmtId="0" fontId="42" fillId="0" borderId="57" xfId="0" applyFont="1" applyFill="1" applyBorder="1" applyAlignment="1">
      <alignment horizontal="center"/>
    </xf>
    <xf numFmtId="3" fontId="20" fillId="0" borderId="57" xfId="0" applyNumberFormat="1" applyFont="1" applyFill="1" applyBorder="1"/>
    <xf numFmtId="3" fontId="42" fillId="0" borderId="58" xfId="0" applyNumberFormat="1" applyFont="1" applyFill="1" applyBorder="1"/>
    <xf numFmtId="0" fontId="42" fillId="0" borderId="58" xfId="0" applyFont="1" applyFill="1" applyBorder="1" applyAlignment="1">
      <alignment horizontal="center"/>
    </xf>
    <xf numFmtId="0" fontId="47" fillId="0" borderId="15" xfId="5" applyFont="1" applyFill="1" applyBorder="1" applyAlignment="1">
      <alignment horizontal="left" vertical="center"/>
    </xf>
    <xf numFmtId="3" fontId="4" fillId="0" borderId="98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 applyAlignment="1">
      <alignment vertical="center" wrapText="1"/>
    </xf>
    <xf numFmtId="0" fontId="10" fillId="0" borderId="0" xfId="1" applyFont="1" applyFill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 wrapText="1"/>
    </xf>
    <xf numFmtId="0" fontId="2" fillId="0" borderId="81" xfId="1" applyFont="1" applyFill="1" applyBorder="1" applyAlignment="1">
      <alignment horizontal="center" vertical="center" wrapText="1"/>
    </xf>
    <xf numFmtId="0" fontId="2" fillId="0" borderId="98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49" fontId="2" fillId="0" borderId="50" xfId="1" applyNumberFormat="1" applyFont="1" applyFill="1" applyBorder="1" applyAlignment="1">
      <alignment vertical="center" wrapText="1"/>
    </xf>
    <xf numFmtId="3" fontId="2" fillId="0" borderId="51" xfId="1" applyNumberFormat="1" applyFont="1" applyFill="1" applyBorder="1" applyAlignment="1">
      <alignment vertical="center"/>
    </xf>
    <xf numFmtId="3" fontId="2" fillId="0" borderId="41" xfId="1" applyNumberFormat="1" applyFont="1" applyFill="1" applyBorder="1" applyAlignment="1">
      <alignment vertical="center"/>
    </xf>
    <xf numFmtId="3" fontId="2" fillId="0" borderId="54" xfId="1" applyNumberFormat="1" applyFont="1" applyFill="1" applyBorder="1" applyAlignment="1">
      <alignment vertical="center"/>
    </xf>
    <xf numFmtId="0" fontId="2" fillId="0" borderId="50" xfId="1" applyFont="1" applyFill="1" applyBorder="1" applyAlignment="1">
      <alignment horizontal="left" vertical="center" wrapText="1"/>
    </xf>
    <xf numFmtId="49" fontId="2" fillId="0" borderId="116" xfId="1" applyNumberFormat="1" applyFont="1" applyFill="1" applyBorder="1" applyAlignment="1">
      <alignment vertical="center" wrapText="1"/>
    </xf>
    <xf numFmtId="0" fontId="2" fillId="0" borderId="116" xfId="1" applyFont="1" applyFill="1" applyBorder="1" applyAlignment="1">
      <alignment vertical="center" wrapText="1"/>
    </xf>
    <xf numFmtId="3" fontId="2" fillId="0" borderId="76" xfId="1" applyNumberFormat="1" applyFont="1" applyFill="1" applyBorder="1" applyAlignment="1">
      <alignment vertical="center"/>
    </xf>
    <xf numFmtId="3" fontId="4" fillId="0" borderId="115" xfId="1" applyNumberFormat="1" applyFont="1" applyFill="1" applyBorder="1" applyAlignment="1">
      <alignment vertical="center"/>
    </xf>
    <xf numFmtId="3" fontId="4" fillId="0" borderId="105" xfId="1" applyNumberFormat="1" applyFont="1" applyFill="1" applyBorder="1" applyAlignment="1">
      <alignment vertical="center"/>
    </xf>
    <xf numFmtId="3" fontId="4" fillId="0" borderId="120" xfId="1" applyNumberFormat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vertical="center"/>
    </xf>
    <xf numFmtId="0" fontId="4" fillId="0" borderId="116" xfId="0" applyFont="1" applyFill="1" applyBorder="1" applyAlignment="1">
      <alignment horizontal="left" vertical="center" wrapText="1"/>
    </xf>
    <xf numFmtId="49" fontId="5" fillId="0" borderId="116" xfId="1" applyNumberFormat="1" applyFont="1" applyFill="1" applyBorder="1" applyAlignment="1">
      <alignment vertical="center" wrapText="1"/>
    </xf>
    <xf numFmtId="3" fontId="5" fillId="0" borderId="115" xfId="1" applyNumberFormat="1" applyFont="1" applyFill="1" applyBorder="1" applyAlignment="1">
      <alignment vertical="center"/>
    </xf>
    <xf numFmtId="3" fontId="5" fillId="0" borderId="105" xfId="1" applyNumberFormat="1" applyFont="1" applyFill="1" applyBorder="1" applyAlignment="1">
      <alignment vertical="center"/>
    </xf>
    <xf numFmtId="3" fontId="5" fillId="0" borderId="120" xfId="1" applyNumberFormat="1" applyFont="1" applyFill="1" applyBorder="1" applyAlignment="1">
      <alignment vertical="center"/>
    </xf>
    <xf numFmtId="3" fontId="5" fillId="0" borderId="0" xfId="1" applyNumberFormat="1" applyFont="1" applyFill="1" applyBorder="1" applyAlignment="1">
      <alignment vertical="center"/>
    </xf>
    <xf numFmtId="0" fontId="5" fillId="0" borderId="116" xfId="1" applyFont="1" applyFill="1" applyBorder="1" applyAlignment="1">
      <alignment vertical="center" wrapText="1"/>
    </xf>
    <xf numFmtId="3" fontId="5" fillId="0" borderId="76" xfId="1" applyNumberFormat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49" fontId="10" fillId="0" borderId="116" xfId="1" applyNumberFormat="1" applyFont="1" applyFill="1" applyBorder="1" applyAlignment="1">
      <alignment vertical="center" wrapText="1"/>
    </xf>
    <xf numFmtId="3" fontId="10" fillId="0" borderId="115" xfId="1" applyNumberFormat="1" applyFont="1" applyFill="1" applyBorder="1" applyAlignment="1">
      <alignment vertical="center"/>
    </xf>
    <xf numFmtId="3" fontId="10" fillId="0" borderId="105" xfId="1" applyNumberFormat="1" applyFont="1" applyFill="1" applyBorder="1" applyAlignment="1">
      <alignment vertical="center"/>
    </xf>
    <xf numFmtId="3" fontId="10" fillId="0" borderId="12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vertical="center"/>
    </xf>
    <xf numFmtId="3" fontId="4" fillId="0" borderId="76" xfId="1" applyNumberFormat="1" applyFont="1" applyFill="1" applyBorder="1" applyAlignment="1">
      <alignment vertical="center"/>
    </xf>
    <xf numFmtId="3" fontId="10" fillId="0" borderId="76" xfId="1" applyNumberFormat="1" applyFont="1" applyFill="1" applyBorder="1" applyAlignment="1">
      <alignment vertical="center"/>
    </xf>
    <xf numFmtId="0" fontId="5" fillId="0" borderId="116" xfId="0" applyFont="1" applyFill="1" applyBorder="1" applyAlignment="1">
      <alignment horizontal="left" vertical="center"/>
    </xf>
    <xf numFmtId="0" fontId="5" fillId="0" borderId="116" xfId="0" applyFont="1" applyFill="1" applyBorder="1" applyAlignment="1">
      <alignment horizontal="left" vertical="center" wrapText="1"/>
    </xf>
    <xf numFmtId="0" fontId="6" fillId="0" borderId="116" xfId="0" applyFont="1" applyFill="1" applyBorder="1" applyAlignment="1">
      <alignment horizontal="left" vertical="center"/>
    </xf>
    <xf numFmtId="3" fontId="11" fillId="0" borderId="115" xfId="3" applyNumberFormat="1" applyFont="1" applyFill="1" applyBorder="1" applyAlignment="1">
      <alignment vertical="center"/>
    </xf>
    <xf numFmtId="3" fontId="11" fillId="0" borderId="105" xfId="3" applyNumberFormat="1" applyFont="1" applyFill="1" applyBorder="1" applyAlignment="1">
      <alignment vertical="center"/>
    </xf>
    <xf numFmtId="3" fontId="11" fillId="0" borderId="76" xfId="3" applyNumberFormat="1" applyFont="1" applyFill="1" applyBorder="1" applyAlignment="1">
      <alignment vertical="center"/>
    </xf>
    <xf numFmtId="0" fontId="6" fillId="0" borderId="116" xfId="0" applyFont="1" applyFill="1" applyBorder="1" applyAlignment="1">
      <alignment vertical="center" wrapText="1"/>
    </xf>
    <xf numFmtId="0" fontId="6" fillId="0" borderId="116" xfId="0" applyFont="1" applyFill="1" applyBorder="1" applyAlignment="1">
      <alignment vertical="center"/>
    </xf>
    <xf numFmtId="3" fontId="12" fillId="0" borderId="115" xfId="1" applyNumberFormat="1" applyFont="1" applyFill="1" applyBorder="1" applyAlignment="1">
      <alignment vertical="center"/>
    </xf>
    <xf numFmtId="3" fontId="12" fillId="0" borderId="105" xfId="1" applyNumberFormat="1" applyFont="1" applyFill="1" applyBorder="1" applyAlignment="1">
      <alignment vertical="center"/>
    </xf>
    <xf numFmtId="3" fontId="12" fillId="0" borderId="76" xfId="1" applyNumberFormat="1" applyFont="1" applyFill="1" applyBorder="1" applyAlignment="1">
      <alignment vertical="center"/>
    </xf>
    <xf numFmtId="0" fontId="10" fillId="0" borderId="116" xfId="2" applyFont="1" applyFill="1" applyBorder="1" applyAlignment="1">
      <alignment vertical="center" wrapText="1"/>
    </xf>
    <xf numFmtId="0" fontId="11" fillId="0" borderId="116" xfId="3" applyFont="1" applyFill="1" applyBorder="1" applyAlignment="1">
      <alignment vertical="center" wrapText="1"/>
    </xf>
    <xf numFmtId="0" fontId="13" fillId="0" borderId="116" xfId="0" applyFont="1" applyFill="1" applyBorder="1" applyAlignment="1">
      <alignment vertical="center" wrapText="1"/>
    </xf>
    <xf numFmtId="0" fontId="13" fillId="0" borderId="116" xfId="0" applyFont="1" applyFill="1" applyBorder="1" applyAlignment="1">
      <alignment vertical="center"/>
    </xf>
    <xf numFmtId="0" fontId="10" fillId="0" borderId="116" xfId="1" applyFont="1" applyFill="1" applyBorder="1" applyAlignment="1">
      <alignment vertical="center" wrapText="1"/>
    </xf>
    <xf numFmtId="49" fontId="10" fillId="0" borderId="85" xfId="1" applyNumberFormat="1" applyFont="1" applyFill="1" applyBorder="1" applyAlignment="1">
      <alignment vertical="center" wrapText="1"/>
    </xf>
    <xf numFmtId="3" fontId="10" fillId="0" borderId="86" xfId="1" applyNumberFormat="1" applyFont="1" applyFill="1" applyBorder="1" applyAlignment="1">
      <alignment vertical="center"/>
    </xf>
    <xf numFmtId="3" fontId="10" fillId="0" borderId="127" xfId="1" applyNumberFormat="1" applyFont="1" applyFill="1" applyBorder="1" applyAlignment="1">
      <alignment vertical="center"/>
    </xf>
    <xf numFmtId="3" fontId="10" fillId="0" borderId="97" xfId="1" applyNumberFormat="1" applyFont="1" applyFill="1" applyBorder="1" applyAlignment="1">
      <alignment vertical="center"/>
    </xf>
    <xf numFmtId="0" fontId="10" fillId="0" borderId="85" xfId="1" applyFont="1" applyFill="1" applyBorder="1" applyAlignment="1">
      <alignment vertical="center" wrapText="1"/>
    </xf>
    <xf numFmtId="3" fontId="14" fillId="0" borderId="7" xfId="0" applyNumberFormat="1" applyFont="1" applyFill="1" applyBorder="1" applyAlignment="1">
      <alignment vertical="center" shrinkToFit="1"/>
    </xf>
    <xf numFmtId="3" fontId="2" fillId="0" borderId="8" xfId="1" applyNumberFormat="1" applyFont="1" applyFill="1" applyBorder="1" applyAlignment="1">
      <alignment vertical="center"/>
    </xf>
    <xf numFmtId="3" fontId="2" fillId="0" borderId="10" xfId="1" applyNumberFormat="1" applyFont="1" applyFill="1" applyBorder="1" applyAlignment="1">
      <alignment vertical="center"/>
    </xf>
    <xf numFmtId="3" fontId="2" fillId="0" borderId="74" xfId="1" applyNumberFormat="1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2" fillId="0" borderId="125" xfId="1" applyFont="1" applyFill="1" applyBorder="1" applyAlignment="1">
      <alignment vertical="center" wrapText="1"/>
    </xf>
    <xf numFmtId="3" fontId="2" fillId="0" borderId="82" xfId="1" applyNumberFormat="1" applyFont="1" applyFill="1" applyBorder="1" applyAlignment="1">
      <alignment vertical="center"/>
    </xf>
    <xf numFmtId="3" fontId="2" fillId="0" borderId="93" xfId="1" applyNumberFormat="1" applyFont="1" applyFill="1" applyBorder="1" applyAlignment="1">
      <alignment vertical="center"/>
    </xf>
    <xf numFmtId="3" fontId="2" fillId="0" borderId="77" xfId="1" applyNumberFormat="1" applyFont="1" applyFill="1" applyBorder="1" applyAlignment="1">
      <alignment vertical="center"/>
    </xf>
    <xf numFmtId="3" fontId="14" fillId="0" borderId="116" xfId="0" applyNumberFormat="1" applyFont="1" applyFill="1" applyBorder="1" applyAlignment="1">
      <alignment vertical="center" wrapText="1"/>
    </xf>
    <xf numFmtId="3" fontId="15" fillId="0" borderId="115" xfId="1" applyNumberFormat="1" applyFont="1" applyFill="1" applyBorder="1" applyAlignment="1">
      <alignment vertical="center"/>
    </xf>
    <xf numFmtId="3" fontId="15" fillId="0" borderId="105" xfId="1" applyNumberFormat="1" applyFont="1" applyFill="1" applyBorder="1" applyAlignment="1">
      <alignment vertical="center"/>
    </xf>
    <xf numFmtId="3" fontId="15" fillId="0" borderId="76" xfId="1" applyNumberFormat="1" applyFont="1" applyFill="1" applyBorder="1" applyAlignment="1">
      <alignment vertical="center"/>
    </xf>
    <xf numFmtId="3" fontId="14" fillId="0" borderId="85" xfId="0" applyNumberFormat="1" applyFont="1" applyFill="1" applyBorder="1" applyAlignment="1">
      <alignment vertical="center" wrapText="1"/>
    </xf>
    <xf numFmtId="3" fontId="2" fillId="0" borderId="86" xfId="1" applyNumberFormat="1" applyFont="1" applyFill="1" applyBorder="1" applyAlignment="1">
      <alignment vertical="center"/>
    </xf>
    <xf numFmtId="3" fontId="2" fillId="0" borderId="127" xfId="1" applyNumberFormat="1" applyFont="1" applyFill="1" applyBorder="1" applyAlignment="1">
      <alignment vertical="center"/>
    </xf>
    <xf numFmtId="3" fontId="2" fillId="0" borderId="97" xfId="1" applyNumberFormat="1" applyFont="1" applyFill="1" applyBorder="1" applyAlignment="1">
      <alignment vertical="center"/>
    </xf>
    <xf numFmtId="0" fontId="2" fillId="0" borderId="85" xfId="1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/>
    </xf>
    <xf numFmtId="0" fontId="2" fillId="0" borderId="26" xfId="1" applyFont="1" applyFill="1" applyBorder="1" applyAlignment="1">
      <alignment vertical="center" wrapText="1"/>
    </xf>
    <xf numFmtId="3" fontId="2" fillId="0" borderId="39" xfId="1" applyNumberFormat="1" applyFont="1" applyFill="1" applyBorder="1" applyAlignment="1">
      <alignment vertical="center"/>
    </xf>
    <xf numFmtId="3" fontId="2" fillId="0" borderId="91" xfId="1" applyNumberFormat="1" applyFont="1" applyFill="1" applyBorder="1" applyAlignment="1">
      <alignment vertical="center"/>
    </xf>
    <xf numFmtId="3" fontId="2" fillId="0" borderId="69" xfId="1" applyNumberFormat="1" applyFont="1" applyFill="1" applyBorder="1" applyAlignment="1">
      <alignment vertical="center"/>
    </xf>
    <xf numFmtId="0" fontId="2" fillId="0" borderId="7" xfId="2" applyFont="1" applyFill="1" applyBorder="1" applyAlignment="1">
      <alignment vertical="center" wrapText="1"/>
    </xf>
    <xf numFmtId="3" fontId="2" fillId="0" borderId="8" xfId="2" applyNumberFormat="1" applyFont="1" applyFill="1" applyBorder="1" applyAlignment="1">
      <alignment vertical="center"/>
    </xf>
    <xf numFmtId="3" fontId="2" fillId="0" borderId="10" xfId="2" applyNumberFormat="1" applyFont="1" applyFill="1" applyBorder="1" applyAlignment="1">
      <alignment vertical="center"/>
    </xf>
    <xf numFmtId="3" fontId="2" fillId="0" borderId="74" xfId="2" applyNumberFormat="1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 wrapText="1"/>
    </xf>
    <xf numFmtId="0" fontId="10" fillId="0" borderId="0" xfId="2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 wrapText="1"/>
    </xf>
    <xf numFmtId="0" fontId="2" fillId="0" borderId="81" xfId="1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 wrapText="1"/>
    </xf>
    <xf numFmtId="0" fontId="14" fillId="0" borderId="123" xfId="0" applyFont="1" applyFill="1" applyBorder="1" applyAlignment="1">
      <alignment horizontal="center" vertical="center" wrapText="1"/>
    </xf>
    <xf numFmtId="0" fontId="14" fillId="0" borderId="140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14" fillId="0" borderId="74" xfId="9" applyFont="1" applyFill="1" applyBorder="1" applyAlignment="1">
      <alignment horizontal="center" vertical="center" wrapText="1"/>
    </xf>
    <xf numFmtId="0" fontId="14" fillId="0" borderId="74" xfId="0" applyFont="1" applyFill="1" applyBorder="1" applyAlignment="1">
      <alignment horizontal="center" vertical="center"/>
    </xf>
    <xf numFmtId="3" fontId="14" fillId="0" borderId="74" xfId="12" applyNumberFormat="1" applyFont="1" applyFill="1" applyBorder="1" applyAlignment="1">
      <alignment horizontal="center" vertical="center"/>
    </xf>
    <xf numFmtId="3" fontId="14" fillId="0" borderId="56" xfId="0" applyNumberFormat="1" applyFont="1" applyFill="1" applyBorder="1" applyAlignment="1">
      <alignment horizontal="center" vertical="center"/>
    </xf>
    <xf numFmtId="0" fontId="14" fillId="0" borderId="70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28" fillId="0" borderId="139" xfId="0" applyFont="1" applyFill="1" applyBorder="1" applyAlignment="1">
      <alignment horizontal="left" vertical="center" wrapText="1" indent="2"/>
    </xf>
    <xf numFmtId="3" fontId="14" fillId="0" borderId="100" xfId="14" applyNumberFormat="1" applyFont="1" applyFill="1" applyBorder="1" applyAlignment="1">
      <alignment horizontal="center" vertical="center" wrapText="1"/>
    </xf>
    <xf numFmtId="3" fontId="14" fillId="0" borderId="65" xfId="14" applyNumberFormat="1" applyFont="1" applyFill="1" applyBorder="1" applyAlignment="1">
      <alignment horizontal="center" vertical="center" wrapText="1"/>
    </xf>
    <xf numFmtId="3" fontId="14" fillId="0" borderId="97" xfId="14" applyNumberFormat="1" applyFont="1" applyFill="1" applyBorder="1" applyAlignment="1">
      <alignment horizontal="center" vertical="center" wrapText="1"/>
    </xf>
    <xf numFmtId="0" fontId="57" fillId="0" borderId="4" xfId="9" applyFont="1" applyBorder="1" applyAlignment="1">
      <alignment horizontal="center" vertical="center" wrapText="1"/>
    </xf>
    <xf numFmtId="0" fontId="57" fillId="0" borderId="4" xfId="9" applyFont="1" applyBorder="1" applyAlignment="1">
      <alignment vertical="center" wrapText="1"/>
    </xf>
    <xf numFmtId="3" fontId="57" fillId="0" borderId="4" xfId="9" applyNumberFormat="1" applyFont="1" applyBorder="1" applyAlignment="1">
      <alignment vertical="center"/>
    </xf>
    <xf numFmtId="3" fontId="57" fillId="0" borderId="8" xfId="9" applyNumberFormat="1" applyFont="1" applyFill="1" applyBorder="1" applyAlignment="1">
      <alignment vertical="center"/>
    </xf>
    <xf numFmtId="3" fontId="57" fillId="0" borderId="74" xfId="9" applyNumberFormat="1" applyFont="1" applyFill="1" applyBorder="1" applyAlignment="1">
      <alignment vertical="center"/>
    </xf>
    <xf numFmtId="0" fontId="34" fillId="0" borderId="53" xfId="9" applyFont="1" applyBorder="1" applyAlignment="1">
      <alignment vertical="center" wrapText="1"/>
    </xf>
    <xf numFmtId="3" fontId="34" fillId="0" borderId="55" xfId="9" applyNumberFormat="1" applyFont="1" applyBorder="1" applyAlignment="1">
      <alignment vertical="center"/>
    </xf>
    <xf numFmtId="3" fontId="34" fillId="0" borderId="51" xfId="9" applyNumberFormat="1" applyFont="1" applyFill="1" applyBorder="1" applyAlignment="1">
      <alignment vertical="center"/>
    </xf>
    <xf numFmtId="3" fontId="34" fillId="0" borderId="54" xfId="9" applyNumberFormat="1" applyFont="1" applyFill="1" applyBorder="1" applyAlignment="1">
      <alignment vertical="center"/>
    </xf>
    <xf numFmtId="3" fontId="57" fillId="0" borderId="137" xfId="9" applyNumberFormat="1" applyFont="1" applyBorder="1" applyAlignment="1">
      <alignment vertical="center"/>
    </xf>
    <xf numFmtId="3" fontId="57" fillId="0" borderId="131" xfId="9" applyNumberFormat="1" applyFont="1" applyFill="1" applyBorder="1" applyAlignment="1">
      <alignment vertical="center"/>
    </xf>
    <xf numFmtId="3" fontId="57" fillId="0" borderId="138" xfId="9" applyNumberFormat="1" applyFont="1" applyFill="1" applyBorder="1" applyAlignment="1">
      <alignment vertical="center"/>
    </xf>
    <xf numFmtId="3" fontId="34" fillId="0" borderId="137" xfId="9" applyNumberFormat="1" applyFont="1" applyBorder="1" applyAlignment="1">
      <alignment vertical="center"/>
    </xf>
    <xf numFmtId="3" fontId="34" fillId="0" borderId="131" xfId="9" applyNumberFormat="1" applyFont="1" applyFill="1" applyBorder="1" applyAlignment="1">
      <alignment vertical="center"/>
    </xf>
    <xf numFmtId="3" fontId="34" fillId="0" borderId="138" xfId="9" applyNumberFormat="1" applyFont="1" applyFill="1" applyBorder="1" applyAlignment="1">
      <alignment vertical="center"/>
    </xf>
    <xf numFmtId="3" fontId="34" fillId="0" borderId="132" xfId="9" applyNumberFormat="1" applyFont="1" applyFill="1" applyBorder="1" applyAlignment="1">
      <alignment vertical="center"/>
    </xf>
    <xf numFmtId="3" fontId="34" fillId="0" borderId="137" xfId="9" applyNumberFormat="1" applyFont="1" applyBorder="1" applyAlignment="1">
      <alignment vertical="center" wrapText="1"/>
    </xf>
    <xf numFmtId="3" fontId="34" fillId="0" borderId="131" xfId="9" applyNumberFormat="1" applyFont="1" applyFill="1" applyBorder="1" applyAlignment="1">
      <alignment vertical="center" wrapText="1"/>
    </xf>
    <xf numFmtId="3" fontId="34" fillId="0" borderId="138" xfId="9" applyNumberFormat="1" applyFont="1" applyFill="1" applyBorder="1" applyAlignment="1">
      <alignment vertical="center" wrapText="1"/>
    </xf>
    <xf numFmtId="3" fontId="34" fillId="0" borderId="132" xfId="9" applyNumberFormat="1" applyFont="1" applyFill="1" applyBorder="1" applyAlignment="1">
      <alignment vertical="center" wrapText="1"/>
    </xf>
    <xf numFmtId="49" fontId="42" fillId="2" borderId="136" xfId="10" applyNumberFormat="1" applyFont="1" applyFill="1" applyBorder="1" applyAlignment="1">
      <alignment vertical="center" wrapText="1"/>
    </xf>
    <xf numFmtId="49" fontId="42" fillId="2" borderId="33" xfId="10" applyNumberFormat="1" applyFont="1" applyFill="1" applyBorder="1" applyAlignment="1">
      <alignment vertical="center" wrapText="1"/>
    </xf>
    <xf numFmtId="3" fontId="34" fillId="0" borderId="75" xfId="9" applyNumberFormat="1" applyFont="1" applyBorder="1" applyAlignment="1">
      <alignment vertical="center" wrapText="1"/>
    </xf>
    <xf numFmtId="3" fontId="34" fillId="0" borderId="82" xfId="9" applyNumberFormat="1" applyFont="1" applyFill="1" applyBorder="1" applyAlignment="1">
      <alignment vertical="center" wrapText="1"/>
    </xf>
    <xf numFmtId="3" fontId="42" fillId="0" borderId="137" xfId="10" applyNumberFormat="1" applyFont="1" applyBorder="1" applyAlignment="1">
      <alignment vertical="center"/>
    </xf>
    <xf numFmtId="3" fontId="42" fillId="0" borderId="131" xfId="10" applyNumberFormat="1" applyFont="1" applyFill="1" applyBorder="1" applyAlignment="1">
      <alignment vertical="center"/>
    </xf>
    <xf numFmtId="3" fontId="38" fillId="0" borderId="137" xfId="10" applyNumberFormat="1" applyFont="1" applyFill="1" applyBorder="1" applyAlignment="1">
      <alignment vertical="center"/>
    </xf>
    <xf numFmtId="3" fontId="38" fillId="0" borderId="131" xfId="10" applyNumberFormat="1" applyFont="1" applyFill="1" applyBorder="1" applyAlignment="1">
      <alignment vertical="center"/>
    </xf>
    <xf numFmtId="3" fontId="38" fillId="0" borderId="138" xfId="10" applyNumberFormat="1" applyFont="1" applyFill="1" applyBorder="1" applyAlignment="1">
      <alignment vertical="center"/>
    </xf>
    <xf numFmtId="3" fontId="38" fillId="0" borderId="137" xfId="9" applyNumberFormat="1" applyFont="1" applyBorder="1" applyAlignment="1">
      <alignment vertical="center"/>
    </xf>
    <xf numFmtId="3" fontId="38" fillId="0" borderId="131" xfId="9" applyNumberFormat="1" applyFont="1" applyFill="1" applyBorder="1" applyAlignment="1">
      <alignment vertical="center"/>
    </xf>
    <xf numFmtId="3" fontId="42" fillId="0" borderId="146" xfId="10" applyNumberFormat="1" applyFont="1" applyBorder="1" applyAlignment="1">
      <alignment vertical="center"/>
    </xf>
    <xf numFmtId="3" fontId="42" fillId="0" borderId="128" xfId="10" applyNumberFormat="1" applyFont="1" applyFill="1" applyBorder="1" applyAlignment="1">
      <alignment vertical="center"/>
    </xf>
    <xf numFmtId="3" fontId="42" fillId="0" borderId="147" xfId="10" applyNumberFormat="1" applyFont="1" applyFill="1" applyBorder="1" applyAlignment="1">
      <alignment vertical="center"/>
    </xf>
    <xf numFmtId="3" fontId="42" fillId="0" borderId="144" xfId="10" applyNumberFormat="1" applyFont="1" applyFill="1" applyBorder="1" applyAlignment="1">
      <alignment vertical="center"/>
    </xf>
    <xf numFmtId="49" fontId="42" fillId="2" borderId="15" xfId="10" applyNumberFormat="1" applyFont="1" applyFill="1" applyBorder="1" applyAlignment="1">
      <alignment horizontal="left" vertical="center" wrapText="1"/>
    </xf>
    <xf numFmtId="3" fontId="42" fillId="0" borderId="139" xfId="10" applyNumberFormat="1" applyFont="1" applyBorder="1" applyAlignment="1">
      <alignment vertical="center"/>
    </xf>
    <xf numFmtId="3" fontId="42" fillId="0" borderId="134" xfId="10" applyNumberFormat="1" applyFont="1" applyFill="1" applyBorder="1" applyAlignment="1">
      <alignment vertical="center"/>
    </xf>
    <xf numFmtId="3" fontId="42" fillId="0" borderId="140" xfId="10" applyNumberFormat="1" applyFont="1" applyFill="1" applyBorder="1" applyAlignment="1">
      <alignment vertical="center"/>
    </xf>
    <xf numFmtId="0" fontId="57" fillId="2" borderId="4" xfId="9" applyFont="1" applyFill="1" applyBorder="1" applyAlignment="1">
      <alignment vertical="center" wrapText="1"/>
    </xf>
    <xf numFmtId="3" fontId="67" fillId="0" borderId="34" xfId="9" applyNumberFormat="1" applyFont="1" applyBorder="1" applyAlignment="1">
      <alignment vertical="center"/>
    </xf>
    <xf numFmtId="3" fontId="67" fillId="0" borderId="43" xfId="9" applyNumberFormat="1" applyFont="1" applyFill="1" applyBorder="1" applyAlignment="1">
      <alignment vertical="center"/>
    </xf>
    <xf numFmtId="3" fontId="67" fillId="0" borderId="56" xfId="9" applyNumberFormat="1" applyFont="1" applyFill="1" applyBorder="1" applyAlignment="1">
      <alignment vertical="center"/>
    </xf>
    <xf numFmtId="0" fontId="57" fillId="2" borderId="55" xfId="9" applyFont="1" applyFill="1" applyBorder="1" applyAlignment="1">
      <alignment vertical="center" wrapText="1"/>
    </xf>
    <xf numFmtId="3" fontId="67" fillId="0" borderId="50" xfId="9" applyNumberFormat="1" applyFont="1" applyBorder="1" applyAlignment="1">
      <alignment vertical="center"/>
    </xf>
    <xf numFmtId="3" fontId="67" fillId="0" borderId="51" xfId="9" applyNumberFormat="1" applyFont="1" applyFill="1" applyBorder="1" applyAlignment="1">
      <alignment vertical="center"/>
    </xf>
    <xf numFmtId="3" fontId="67" fillId="0" borderId="52" xfId="9" applyNumberFormat="1" applyFont="1" applyFill="1" applyBorder="1" applyAlignment="1">
      <alignment vertical="center"/>
    </xf>
    <xf numFmtId="0" fontId="34" fillId="2" borderId="75" xfId="9" applyFont="1" applyFill="1" applyBorder="1" applyAlignment="1">
      <alignment vertical="center" wrapText="1"/>
    </xf>
    <xf numFmtId="3" fontId="38" fillId="0" borderId="130" xfId="9" applyNumberFormat="1" applyFont="1" applyBorder="1" applyAlignment="1">
      <alignment vertical="center"/>
    </xf>
    <xf numFmtId="3" fontId="42" fillId="0" borderId="130" xfId="10" applyNumberFormat="1" applyFont="1" applyBorder="1" applyAlignment="1">
      <alignment vertical="center"/>
    </xf>
    <xf numFmtId="3" fontId="34" fillId="0" borderId="130" xfId="9" applyNumberFormat="1" applyFont="1" applyBorder="1" applyAlignment="1">
      <alignment vertical="center"/>
    </xf>
    <xf numFmtId="0" fontId="34" fillId="2" borderId="137" xfId="9" applyFont="1" applyFill="1" applyBorder="1" applyAlignment="1">
      <alignment vertical="center" wrapText="1"/>
    </xf>
    <xf numFmtId="3" fontId="57" fillId="0" borderId="130" xfId="9" applyNumberFormat="1" applyFont="1" applyBorder="1" applyAlignment="1">
      <alignment vertical="center"/>
    </xf>
    <xf numFmtId="3" fontId="57" fillId="0" borderId="132" xfId="9" applyNumberFormat="1" applyFont="1" applyFill="1" applyBorder="1" applyAlignment="1">
      <alignment vertical="center"/>
    </xf>
    <xf numFmtId="3" fontId="34" fillId="0" borderId="133" xfId="9" applyNumberFormat="1" applyFont="1" applyBorder="1" applyAlignment="1">
      <alignment vertical="center"/>
    </xf>
    <xf numFmtId="3" fontId="34" fillId="0" borderId="134" xfId="9" applyNumberFormat="1" applyFont="1" applyFill="1" applyBorder="1" applyAlignment="1">
      <alignment vertical="center"/>
    </xf>
    <xf numFmtId="3" fontId="34" fillId="0" borderId="135" xfId="9" applyNumberFormat="1" applyFont="1" applyFill="1" applyBorder="1" applyAlignment="1">
      <alignment vertical="center"/>
    </xf>
    <xf numFmtId="0" fontId="57" fillId="2" borderId="101" xfId="9" applyFont="1" applyFill="1" applyBorder="1" applyAlignment="1">
      <alignment vertical="center" wrapText="1"/>
    </xf>
    <xf numFmtId="3" fontId="57" fillId="0" borderId="12" xfId="9" applyNumberFormat="1" applyFont="1" applyBorder="1" applyAlignment="1">
      <alignment vertical="center"/>
    </xf>
    <xf numFmtId="3" fontId="57" fillId="0" borderId="8" xfId="9" applyNumberFormat="1" applyFont="1" applyBorder="1" applyAlignment="1">
      <alignment vertical="center"/>
    </xf>
    <xf numFmtId="3" fontId="57" fillId="0" borderId="70" xfId="9" applyNumberFormat="1" applyFont="1" applyBorder="1" applyAlignment="1">
      <alignment vertical="center"/>
    </xf>
    <xf numFmtId="0" fontId="34" fillId="2" borderId="55" xfId="9" applyFont="1" applyFill="1" applyBorder="1" applyAlignment="1">
      <alignment vertical="center" wrapText="1"/>
    </xf>
    <xf numFmtId="172" fontId="67" fillId="0" borderId="150" xfId="23" applyNumberFormat="1" applyFont="1" applyBorder="1" applyAlignment="1">
      <alignment vertical="center"/>
    </xf>
    <xf numFmtId="172" fontId="67" fillId="0" borderId="58" xfId="23" applyNumberFormat="1" applyFont="1" applyBorder="1" applyAlignment="1">
      <alignment vertical="center"/>
    </xf>
    <xf numFmtId="172" fontId="67" fillId="0" borderId="149" xfId="23" applyNumberFormat="1" applyFont="1" applyBorder="1" applyAlignment="1">
      <alignment vertical="center"/>
    </xf>
    <xf numFmtId="0" fontId="38" fillId="0" borderId="151" xfId="4" applyFont="1" applyBorder="1" applyAlignment="1">
      <alignment horizontal="right" vertical="center" wrapText="1"/>
    </xf>
    <xf numFmtId="0" fontId="38" fillId="0" borderId="114" xfId="4" applyFont="1" applyBorder="1" applyAlignment="1">
      <alignment horizontal="right" vertical="center" wrapText="1"/>
    </xf>
    <xf numFmtId="0" fontId="38" fillId="0" borderId="152" xfId="4" applyFont="1" applyBorder="1" applyAlignment="1">
      <alignment horizontal="right" vertical="center" wrapText="1"/>
    </xf>
    <xf numFmtId="0" fontId="38" fillId="0" borderId="150" xfId="4" applyFont="1" applyBorder="1" applyAlignment="1">
      <alignment horizontal="right" vertical="center" wrapText="1"/>
    </xf>
    <xf numFmtId="0" fontId="38" fillId="0" borderId="58" xfId="4" applyFont="1" applyBorder="1" applyAlignment="1">
      <alignment horizontal="right" vertical="center" wrapText="1"/>
    </xf>
    <xf numFmtId="0" fontId="38" fillId="0" borderId="153" xfId="4" applyFont="1" applyBorder="1" applyAlignment="1">
      <alignment horizontal="right" vertical="center" wrapText="1"/>
    </xf>
    <xf numFmtId="0" fontId="38" fillId="0" borderId="150" xfId="4" applyFont="1" applyBorder="1" applyAlignment="1">
      <alignment vertical="center"/>
    </xf>
    <xf numFmtId="0" fontId="38" fillId="0" borderId="58" xfId="4" applyFont="1" applyBorder="1" applyAlignment="1">
      <alignment vertical="center"/>
    </xf>
    <xf numFmtId="0" fontId="38" fillId="0" borderId="149" xfId="4" applyFont="1" applyBorder="1" applyAlignment="1">
      <alignment vertical="center"/>
    </xf>
    <xf numFmtId="172" fontId="38" fillId="0" borderId="150" xfId="23" applyNumberFormat="1" applyFont="1" applyBorder="1" applyAlignment="1">
      <alignment vertical="center"/>
    </xf>
    <xf numFmtId="172" fontId="38" fillId="0" borderId="58" xfId="23" applyNumberFormat="1" applyFont="1" applyBorder="1" applyAlignment="1">
      <alignment vertical="center"/>
    </xf>
    <xf numFmtId="172" fontId="38" fillId="0" borderId="153" xfId="23" applyNumberFormat="1" applyFont="1" applyBorder="1" applyAlignment="1">
      <alignment vertical="center"/>
    </xf>
    <xf numFmtId="172" fontId="38" fillId="0" borderId="149" xfId="23" applyNumberFormat="1" applyFont="1" applyBorder="1" applyAlignment="1">
      <alignment vertical="center"/>
    </xf>
    <xf numFmtId="172" fontId="38" fillId="0" borderId="150" xfId="4" applyNumberFormat="1" applyFont="1" applyBorder="1" applyAlignment="1">
      <alignment vertical="center"/>
    </xf>
    <xf numFmtId="172" fontId="38" fillId="0" borderId="58" xfId="4" applyNumberFormat="1" applyFont="1" applyBorder="1" applyAlignment="1">
      <alignment vertical="center"/>
    </xf>
    <xf numFmtId="172" fontId="38" fillId="0" borderId="153" xfId="4" applyNumberFormat="1" applyFont="1" applyBorder="1" applyAlignment="1">
      <alignment vertical="center"/>
    </xf>
    <xf numFmtId="172" fontId="38" fillId="0" borderId="150" xfId="4" applyNumberFormat="1" applyFont="1" applyBorder="1" applyAlignment="1">
      <alignment horizontal="right" vertical="center"/>
    </xf>
    <xf numFmtId="172" fontId="38" fillId="0" borderId="58" xfId="4" applyNumberFormat="1" applyFont="1" applyBorder="1" applyAlignment="1">
      <alignment horizontal="right" vertical="center"/>
    </xf>
    <xf numFmtId="172" fontId="38" fillId="0" borderId="153" xfId="4" applyNumberFormat="1" applyFont="1" applyBorder="1" applyAlignment="1">
      <alignment horizontal="right" vertical="center"/>
    </xf>
    <xf numFmtId="172" fontId="38" fillId="5" borderId="150" xfId="4" applyNumberFormat="1" applyFont="1" applyFill="1" applyBorder="1" applyAlignment="1">
      <alignment horizontal="right" wrapText="1"/>
    </xf>
    <xf numFmtId="172" fontId="38" fillId="0" borderId="58" xfId="4" applyNumberFormat="1" applyFont="1" applyBorder="1" applyAlignment="1">
      <alignment horizontal="right" wrapText="1"/>
    </xf>
    <xf numFmtId="172" fontId="38" fillId="0" borderId="153" xfId="4" applyNumberFormat="1" applyFont="1" applyBorder="1" applyAlignment="1">
      <alignment horizontal="right" wrapText="1"/>
    </xf>
    <xf numFmtId="172" fontId="38" fillId="5" borderId="151" xfId="4" applyNumberFormat="1" applyFont="1" applyFill="1" applyBorder="1" applyAlignment="1">
      <alignment horizontal="right" wrapText="1"/>
    </xf>
    <xf numFmtId="172" fontId="38" fillId="0" borderId="114" xfId="4" applyNumberFormat="1" applyFont="1" applyBorder="1" applyAlignment="1">
      <alignment horizontal="right" wrapText="1"/>
    </xf>
    <xf numFmtId="172" fontId="38" fillId="0" borderId="152" xfId="4" applyNumberFormat="1" applyFont="1" applyBorder="1" applyAlignment="1">
      <alignment horizontal="right" wrapText="1"/>
    </xf>
    <xf numFmtId="172" fontId="38" fillId="0" borderId="151" xfId="23" applyNumberFormat="1" applyFont="1" applyBorder="1" applyAlignment="1">
      <alignment vertical="center"/>
    </xf>
    <xf numFmtId="172" fontId="38" fillId="0" borderId="114" xfId="23" applyNumberFormat="1" applyFont="1" applyBorder="1" applyAlignment="1">
      <alignment vertical="center"/>
    </xf>
    <xf numFmtId="172" fontId="38" fillId="0" borderId="152" xfId="23" applyNumberFormat="1" applyFont="1" applyBorder="1" applyAlignment="1">
      <alignment vertical="center"/>
    </xf>
    <xf numFmtId="3" fontId="57" fillId="0" borderId="7" xfId="0" applyNumberFormat="1" applyFont="1" applyBorder="1" applyAlignment="1">
      <alignment vertical="center"/>
    </xf>
    <xf numFmtId="3" fontId="57" fillId="0" borderId="8" xfId="0" applyNumberFormat="1" applyFont="1" applyBorder="1" applyAlignment="1">
      <alignment vertical="center"/>
    </xf>
    <xf numFmtId="3" fontId="57" fillId="0" borderId="9" xfId="0" applyNumberFormat="1" applyFont="1" applyBorder="1" applyAlignment="1">
      <alignment vertical="center"/>
    </xf>
    <xf numFmtId="0" fontId="42" fillId="0" borderId="136" xfId="0" applyFont="1" applyBorder="1" applyAlignment="1">
      <alignment wrapText="1"/>
    </xf>
    <xf numFmtId="172" fontId="67" fillId="0" borderId="154" xfId="23" applyNumberFormat="1" applyFont="1" applyBorder="1" applyAlignment="1">
      <alignment vertical="center"/>
    </xf>
    <xf numFmtId="172" fontId="67" fillId="0" borderId="57" xfId="23" applyNumberFormat="1" applyFont="1" applyBorder="1" applyAlignment="1">
      <alignment vertical="center"/>
    </xf>
    <xf numFmtId="172" fontId="67" fillId="0" borderId="155" xfId="23" applyNumberFormat="1" applyFont="1" applyBorder="1" applyAlignment="1">
      <alignment vertical="center"/>
    </xf>
    <xf numFmtId="172" fontId="38" fillId="0" borderId="156" xfId="23" applyNumberFormat="1" applyFont="1" applyBorder="1" applyAlignment="1">
      <alignment vertical="center"/>
    </xf>
    <xf numFmtId="172" fontId="38" fillId="0" borderId="121" xfId="23" applyNumberFormat="1" applyFont="1" applyBorder="1" applyAlignment="1">
      <alignment vertical="center"/>
    </xf>
    <xf numFmtId="172" fontId="38" fillId="0" borderId="157" xfId="23" applyNumberFormat="1" applyFont="1" applyBorder="1" applyAlignment="1">
      <alignment vertical="center"/>
    </xf>
    <xf numFmtId="3" fontId="14" fillId="0" borderId="98" xfId="14" applyNumberFormat="1" applyFont="1" applyFill="1" applyBorder="1" applyAlignment="1">
      <alignment horizontal="center" vertical="center" wrapText="1"/>
    </xf>
    <xf numFmtId="0" fontId="14" fillId="0" borderId="110" xfId="14" applyFont="1" applyFill="1" applyBorder="1" applyAlignment="1">
      <alignment horizontal="left" vertical="center" wrapText="1"/>
    </xf>
    <xf numFmtId="3" fontId="14" fillId="0" borderId="82" xfId="14" applyNumberFormat="1" applyFont="1" applyFill="1" applyBorder="1" applyAlignment="1">
      <alignment horizontal="center" vertical="center" wrapText="1"/>
    </xf>
    <xf numFmtId="3" fontId="14" fillId="0" borderId="112" xfId="14" applyNumberFormat="1" applyFont="1" applyFill="1" applyBorder="1" applyAlignment="1">
      <alignment horizontal="center" vertical="center" wrapText="1"/>
    </xf>
    <xf numFmtId="0" fontId="14" fillId="0" borderId="50" xfId="14" applyFont="1" applyFill="1" applyBorder="1" applyAlignment="1">
      <alignment horizontal="center" vertical="center"/>
    </xf>
    <xf numFmtId="3" fontId="14" fillId="0" borderId="51" xfId="14" applyNumberFormat="1" applyFont="1" applyFill="1" applyBorder="1" applyAlignment="1">
      <alignment horizontal="center" vertical="center" wrapText="1"/>
    </xf>
    <xf numFmtId="49" fontId="13" fillId="0" borderId="51" xfId="14" applyNumberFormat="1" applyFont="1" applyFill="1" applyBorder="1" applyAlignment="1">
      <alignment horizontal="center" vertical="center" wrapText="1"/>
    </xf>
    <xf numFmtId="49" fontId="13" fillId="0" borderId="54" xfId="14" applyNumberFormat="1" applyFont="1" applyFill="1" applyBorder="1" applyAlignment="1">
      <alignment horizontal="center" vertical="center" wrapText="1"/>
    </xf>
    <xf numFmtId="0" fontId="14" fillId="0" borderId="116" xfId="14" applyFont="1" applyFill="1" applyBorder="1" applyAlignment="1">
      <alignment horizontal="right" vertical="center" wrapText="1"/>
    </xf>
    <xf numFmtId="3" fontId="14" fillId="0" borderId="115" xfId="14" applyNumberFormat="1" applyFont="1" applyFill="1" applyBorder="1" applyAlignment="1">
      <alignment horizontal="right" vertical="center" wrapText="1"/>
    </xf>
    <xf numFmtId="3" fontId="14" fillId="0" borderId="108" xfId="14" applyNumberFormat="1" applyFont="1" applyFill="1" applyBorder="1" applyAlignment="1">
      <alignment horizontal="right" vertical="center" wrapText="1"/>
    </xf>
    <xf numFmtId="0" fontId="14" fillId="0" borderId="130" xfId="14" applyFont="1" applyFill="1" applyBorder="1" applyAlignment="1">
      <alignment horizontal="right" vertical="center"/>
    </xf>
    <xf numFmtId="3" fontId="14" fillId="0" borderId="131" xfId="14" applyNumberFormat="1" applyFont="1" applyFill="1" applyBorder="1" applyAlignment="1">
      <alignment horizontal="right" vertical="center" wrapText="1"/>
    </xf>
    <xf numFmtId="3" fontId="14" fillId="0" borderId="131" xfId="9" applyNumberFormat="1" applyFont="1" applyFill="1" applyBorder="1" applyAlignment="1">
      <alignment horizontal="right" vertical="center"/>
    </xf>
    <xf numFmtId="3" fontId="14" fillId="0" borderId="132" xfId="9" applyNumberFormat="1" applyFont="1" applyFill="1" applyBorder="1" applyAlignment="1">
      <alignment horizontal="right" vertical="center"/>
    </xf>
    <xf numFmtId="0" fontId="13" fillId="0" borderId="85" xfId="9" applyFont="1" applyFill="1" applyBorder="1" applyAlignment="1">
      <alignment vertical="center" wrapText="1"/>
    </xf>
    <xf numFmtId="3" fontId="13" fillId="0" borderId="86" xfId="14" applyNumberFormat="1" applyFont="1" applyFill="1" applyBorder="1" applyAlignment="1">
      <alignment horizontal="right" vertical="center"/>
    </xf>
    <xf numFmtId="3" fontId="13" fillId="0" borderId="83" xfId="14" applyNumberFormat="1" applyFont="1" applyFill="1" applyBorder="1" applyAlignment="1">
      <alignment horizontal="right" vertical="center"/>
    </xf>
    <xf numFmtId="0" fontId="13" fillId="0" borderId="133" xfId="9" applyFont="1" applyFill="1" applyBorder="1" applyAlignment="1">
      <alignment vertical="center" wrapText="1"/>
    </xf>
    <xf numFmtId="3" fontId="13" fillId="0" borderId="134" xfId="9" applyNumberFormat="1" applyFont="1" applyFill="1" applyBorder="1" applyAlignment="1">
      <alignment horizontal="right" vertical="center" wrapText="1"/>
    </xf>
    <xf numFmtId="3" fontId="13" fillId="0" borderId="134" xfId="9" applyNumberFormat="1" applyFont="1" applyFill="1" applyBorder="1" applyAlignment="1">
      <alignment horizontal="right" vertical="center"/>
    </xf>
    <xf numFmtId="3" fontId="14" fillId="0" borderId="134" xfId="9" applyNumberFormat="1" applyFont="1" applyFill="1" applyBorder="1" applyAlignment="1">
      <alignment horizontal="right" vertical="center"/>
    </xf>
    <xf numFmtId="3" fontId="14" fillId="0" borderId="135" xfId="9" applyNumberFormat="1" applyFont="1" applyFill="1" applyBorder="1" applyAlignment="1">
      <alignment horizontal="right" vertical="center"/>
    </xf>
    <xf numFmtId="0" fontId="14" fillId="0" borderId="7" xfId="14" applyFont="1" applyFill="1" applyBorder="1" applyAlignment="1">
      <alignment horizontal="left" vertical="center" wrapText="1"/>
    </xf>
    <xf numFmtId="3" fontId="14" fillId="0" borderId="8" xfId="14" applyNumberFormat="1" applyFont="1" applyFill="1" applyBorder="1" applyAlignment="1">
      <alignment horizontal="right" vertical="center"/>
    </xf>
    <xf numFmtId="3" fontId="14" fillId="0" borderId="32" xfId="14" applyNumberFormat="1" applyFont="1" applyFill="1" applyBorder="1" applyAlignment="1">
      <alignment horizontal="right" vertical="center"/>
    </xf>
    <xf numFmtId="0" fontId="14" fillId="0" borderId="7" xfId="14" applyFont="1" applyFill="1" applyBorder="1" applyAlignment="1">
      <alignment horizontal="left" vertical="center"/>
    </xf>
    <xf numFmtId="3" fontId="14" fillId="0" borderId="74" xfId="14" applyNumberFormat="1" applyFont="1" applyFill="1" applyBorder="1" applyAlignment="1">
      <alignment horizontal="right" vertical="center"/>
    </xf>
    <xf numFmtId="3" fontId="14" fillId="0" borderId="82" xfId="14" applyNumberFormat="1" applyFont="1" applyFill="1" applyBorder="1" applyAlignment="1">
      <alignment horizontal="right" vertical="center"/>
    </xf>
    <xf numFmtId="3" fontId="14" fillId="0" borderId="112" xfId="14" applyNumberFormat="1" applyFont="1" applyFill="1" applyBorder="1" applyAlignment="1">
      <alignment horizontal="right" vertical="center"/>
    </xf>
    <xf numFmtId="0" fontId="14" fillId="0" borderId="125" xfId="14" applyFont="1" applyFill="1" applyBorder="1" applyAlignment="1">
      <alignment horizontal="left" vertical="center"/>
    </xf>
    <xf numFmtId="3" fontId="14" fillId="0" borderId="77" xfId="14" applyNumberFormat="1" applyFont="1" applyFill="1" applyBorder="1" applyAlignment="1">
      <alignment horizontal="right" vertical="center"/>
    </xf>
    <xf numFmtId="0" fontId="14" fillId="0" borderId="116" xfId="14" applyFont="1" applyFill="1" applyBorder="1" applyAlignment="1">
      <alignment horizontal="left" vertical="center" wrapText="1"/>
    </xf>
    <xf numFmtId="3" fontId="14" fillId="0" borderId="115" xfId="14" applyNumberFormat="1" applyFont="1" applyFill="1" applyBorder="1" applyAlignment="1">
      <alignment horizontal="right" vertical="center"/>
    </xf>
    <xf numFmtId="3" fontId="14" fillId="0" borderId="108" xfId="14" applyNumberFormat="1" applyFont="1" applyFill="1" applyBorder="1" applyAlignment="1">
      <alignment horizontal="right" vertical="center"/>
    </xf>
    <xf numFmtId="0" fontId="14" fillId="0" borderId="116" xfId="14" applyFont="1" applyFill="1" applyBorder="1" applyAlignment="1">
      <alignment horizontal="left" vertical="center"/>
    </xf>
    <xf numFmtId="3" fontId="14" fillId="0" borderId="120" xfId="14" applyNumberFormat="1" applyFont="1" applyFill="1" applyBorder="1" applyAlignment="1">
      <alignment horizontal="right" vertical="center"/>
    </xf>
    <xf numFmtId="0" fontId="14" fillId="0" borderId="85" xfId="14" applyFont="1" applyFill="1" applyBorder="1" applyAlignment="1">
      <alignment horizontal="left" vertical="center" wrapText="1"/>
    </xf>
    <xf numFmtId="3" fontId="14" fillId="0" borderId="86" xfId="14" applyNumberFormat="1" applyFont="1" applyFill="1" applyBorder="1" applyAlignment="1">
      <alignment horizontal="right" vertical="center"/>
    </xf>
    <xf numFmtId="3" fontId="14" fillId="0" borderId="83" xfId="14" applyNumberFormat="1" applyFont="1" applyFill="1" applyBorder="1" applyAlignment="1">
      <alignment horizontal="right" vertical="center"/>
    </xf>
    <xf numFmtId="0" fontId="14" fillId="0" borderId="85" xfId="14" applyFont="1" applyFill="1" applyBorder="1" applyAlignment="1">
      <alignment horizontal="left" vertical="center"/>
    </xf>
    <xf numFmtId="3" fontId="14" fillId="0" borderId="97" xfId="14" applyNumberFormat="1" applyFont="1" applyFill="1" applyBorder="1" applyAlignment="1">
      <alignment horizontal="right" vertical="center"/>
    </xf>
    <xf numFmtId="3" fontId="14" fillId="0" borderId="7" xfId="14" applyNumberFormat="1" applyFont="1" applyFill="1" applyBorder="1" applyAlignment="1">
      <alignment horizontal="left" vertical="center"/>
    </xf>
    <xf numFmtId="0" fontId="34" fillId="0" borderId="0" xfId="22" applyFont="1" applyFill="1" applyAlignment="1">
      <alignment wrapText="1"/>
    </xf>
    <xf numFmtId="3" fontId="34" fillId="0" borderId="0" xfId="22" applyNumberFormat="1" applyFont="1" applyFill="1"/>
    <xf numFmtId="0" fontId="34" fillId="0" borderId="0" xfId="22" applyFont="1" applyFill="1"/>
    <xf numFmtId="0" fontId="14" fillId="0" borderId="0" xfId="14" applyFont="1" applyFill="1" applyAlignment="1">
      <alignment horizontal="center"/>
    </xf>
    <xf numFmtId="0" fontId="14" fillId="0" borderId="0" xfId="14" applyFont="1" applyFill="1"/>
    <xf numFmtId="0" fontId="13" fillId="0" borderId="0" xfId="14" applyFont="1" applyFill="1" applyAlignment="1">
      <alignment wrapText="1"/>
    </xf>
    <xf numFmtId="3" fontId="13" fillId="0" borderId="0" xfId="14" applyNumberFormat="1" applyFont="1" applyFill="1"/>
    <xf numFmtId="0" fontId="13" fillId="0" borderId="0" xfId="14" applyFont="1" applyFill="1"/>
    <xf numFmtId="3" fontId="14" fillId="0" borderId="0" xfId="14" applyNumberFormat="1" applyFont="1" applyFill="1"/>
    <xf numFmtId="49" fontId="13" fillId="0" borderId="0" xfId="14" applyNumberFormat="1" applyFont="1" applyFill="1" applyAlignment="1">
      <alignment horizontal="center"/>
    </xf>
    <xf numFmtId="3" fontId="14" fillId="0" borderId="123" xfId="14" applyNumberFormat="1" applyFont="1" applyFill="1" applyBorder="1" applyAlignment="1">
      <alignment horizontal="center" vertical="center" wrapText="1"/>
    </xf>
    <xf numFmtId="0" fontId="14" fillId="0" borderId="125" xfId="14" applyFont="1" applyFill="1" applyBorder="1" applyAlignment="1">
      <alignment horizontal="left" vertical="center" wrapText="1"/>
    </xf>
    <xf numFmtId="3" fontId="14" fillId="0" borderId="41" xfId="14" applyNumberFormat="1" applyFont="1" applyFill="1" applyBorder="1" applyAlignment="1">
      <alignment horizontal="center" vertical="center" wrapText="1"/>
    </xf>
    <xf numFmtId="0" fontId="14" fillId="0" borderId="55" xfId="14" applyFont="1" applyFill="1" applyBorder="1" applyAlignment="1">
      <alignment horizontal="center" vertical="center"/>
    </xf>
    <xf numFmtId="3" fontId="14" fillId="0" borderId="52" xfId="14" applyNumberFormat="1" applyFont="1" applyFill="1" applyBorder="1" applyAlignment="1">
      <alignment horizontal="center" vertical="center" wrapText="1"/>
    </xf>
    <xf numFmtId="0" fontId="13" fillId="0" borderId="116" xfId="9" applyFont="1" applyFill="1" applyBorder="1" applyAlignment="1">
      <alignment vertical="center" wrapText="1"/>
    </xf>
    <xf numFmtId="3" fontId="13" fillId="0" borderId="105" xfId="14" applyNumberFormat="1" applyFont="1" applyFill="1" applyBorder="1" applyAlignment="1">
      <alignment horizontal="right" vertical="center"/>
    </xf>
    <xf numFmtId="0" fontId="13" fillId="0" borderId="119" xfId="9" applyFont="1" applyFill="1" applyBorder="1" applyAlignment="1">
      <alignment vertical="center" wrapText="1"/>
    </xf>
    <xf numFmtId="3" fontId="14" fillId="0" borderId="103" xfId="9" applyNumberFormat="1" applyFont="1" applyFill="1" applyBorder="1" applyAlignment="1">
      <alignment horizontal="right" vertical="center"/>
    </xf>
    <xf numFmtId="0" fontId="13" fillId="0" borderId="119" xfId="9" applyFont="1" applyFill="1" applyBorder="1" applyAlignment="1">
      <alignment vertical="center"/>
    </xf>
    <xf numFmtId="0" fontId="14" fillId="0" borderId="116" xfId="9" applyFont="1" applyFill="1" applyBorder="1" applyAlignment="1">
      <alignment vertical="center" wrapText="1"/>
    </xf>
    <xf numFmtId="0" fontId="57" fillId="0" borderId="136" xfId="9" applyFont="1" applyBorder="1" applyAlignment="1">
      <alignment vertical="center" wrapText="1"/>
    </xf>
    <xf numFmtId="0" fontId="34" fillId="2" borderId="136" xfId="9" applyFont="1" applyFill="1" applyBorder="1" applyAlignment="1">
      <alignment vertical="center" wrapText="1"/>
    </xf>
    <xf numFmtId="49" fontId="34" fillId="2" borderId="136" xfId="10" applyNumberFormat="1" applyFont="1" applyFill="1" applyBorder="1" applyAlignment="1">
      <alignment horizontal="left" vertical="center" wrapText="1"/>
    </xf>
    <xf numFmtId="0" fontId="34" fillId="0" borderId="136" xfId="0" applyFont="1" applyBorder="1" applyAlignment="1">
      <alignment vertical="center" wrapText="1"/>
    </xf>
    <xf numFmtId="49" fontId="42" fillId="2" borderId="136" xfId="10" applyNumberFormat="1" applyFont="1" applyFill="1" applyBorder="1" applyAlignment="1">
      <alignment horizontal="left" vertical="center" wrapText="1"/>
    </xf>
    <xf numFmtId="0" fontId="42" fillId="0" borderId="136" xfId="0" applyFont="1" applyBorder="1"/>
    <xf numFmtId="0" fontId="57" fillId="2" borderId="136" xfId="9" applyFont="1" applyFill="1" applyBorder="1" applyAlignment="1">
      <alignment vertical="center" wrapText="1"/>
    </xf>
    <xf numFmtId="3" fontId="34" fillId="0" borderId="111" xfId="9" applyNumberFormat="1" applyFont="1" applyFill="1" applyBorder="1" applyAlignment="1">
      <alignment vertical="center" wrapText="1"/>
    </xf>
    <xf numFmtId="0" fontId="34" fillId="0" borderId="136" xfId="9" applyFont="1" applyBorder="1" applyAlignment="1">
      <alignment vertical="center" wrapText="1"/>
    </xf>
    <xf numFmtId="3" fontId="42" fillId="0" borderId="132" xfId="10" applyNumberFormat="1" applyFont="1" applyFill="1" applyBorder="1" applyAlignment="1">
      <alignment vertical="center"/>
    </xf>
    <xf numFmtId="49" fontId="38" fillId="2" borderId="136" xfId="10" applyNumberFormat="1" applyFont="1" applyFill="1" applyBorder="1" applyAlignment="1">
      <alignment horizontal="left" vertical="center" wrapText="1"/>
    </xf>
    <xf numFmtId="49" fontId="34" fillId="2" borderId="136" xfId="9" applyNumberFormat="1" applyFont="1" applyFill="1" applyBorder="1" applyAlignment="1">
      <alignment vertical="center" wrapText="1"/>
    </xf>
    <xf numFmtId="3" fontId="38" fillId="0" borderId="132" xfId="9" applyNumberFormat="1" applyFont="1" applyFill="1" applyBorder="1" applyAlignment="1">
      <alignment vertical="center"/>
    </xf>
    <xf numFmtId="0" fontId="38" fillId="0" borderId="136" xfId="0" applyFont="1" applyBorder="1" applyAlignment="1">
      <alignment horizontal="left" vertical="center"/>
    </xf>
    <xf numFmtId="49" fontId="42" fillId="2" borderId="145" xfId="10" applyNumberFormat="1" applyFont="1" applyFill="1" applyBorder="1" applyAlignment="1">
      <alignment horizontal="left" vertical="center" wrapText="1"/>
    </xf>
    <xf numFmtId="0" fontId="42" fillId="0" borderId="137" xfId="0" applyFont="1" applyBorder="1"/>
    <xf numFmtId="49" fontId="42" fillId="2" borderId="137" xfId="10" applyNumberFormat="1" applyFont="1" applyFill="1" applyBorder="1" applyAlignment="1">
      <alignment horizontal="left" vertical="center" wrapText="1"/>
    </xf>
    <xf numFmtId="0" fontId="38" fillId="0" borderId="137" xfId="0" applyFont="1" applyBorder="1"/>
    <xf numFmtId="0" fontId="101" fillId="2" borderId="137" xfId="9" applyFont="1" applyFill="1" applyBorder="1" applyAlignment="1">
      <alignment vertical="center" wrapText="1"/>
    </xf>
    <xf numFmtId="0" fontId="34" fillId="2" borderId="146" xfId="9" applyFont="1" applyFill="1" applyBorder="1" applyAlignment="1">
      <alignment vertical="center" wrapText="1"/>
    </xf>
    <xf numFmtId="164" fontId="67" fillId="5" borderId="150" xfId="23" applyFont="1" applyFill="1" applyBorder="1" applyAlignment="1">
      <alignment vertical="center" wrapText="1"/>
    </xf>
    <xf numFmtId="0" fontId="38" fillId="0" borderId="150" xfId="4" applyFont="1" applyBorder="1" applyAlignment="1">
      <alignment horizontal="left" vertical="center"/>
    </xf>
    <xf numFmtId="164" fontId="38" fillId="5" borderId="150" xfId="23" applyFont="1" applyFill="1" applyBorder="1" applyAlignment="1">
      <alignment vertical="center" wrapText="1"/>
    </xf>
    <xf numFmtId="164" fontId="38" fillId="5" borderId="156" xfId="23" applyFont="1" applyFill="1" applyBorder="1" applyAlignment="1">
      <alignment vertical="center" wrapText="1"/>
    </xf>
    <xf numFmtId="164" fontId="67" fillId="5" borderId="154" xfId="23" applyFont="1" applyFill="1" applyBorder="1" applyAlignment="1">
      <alignment vertical="center" wrapText="1"/>
    </xf>
    <xf numFmtId="0" fontId="38" fillId="0" borderId="25" xfId="4" applyFont="1" applyBorder="1" applyAlignment="1">
      <alignment vertical="center"/>
    </xf>
    <xf numFmtId="164" fontId="38" fillId="0" borderId="150" xfId="23" applyFont="1" applyFill="1" applyBorder="1" applyAlignment="1">
      <alignment vertical="center" wrapText="1"/>
    </xf>
    <xf numFmtId="0" fontId="42" fillId="0" borderId="150" xfId="4" applyFont="1" applyBorder="1" applyAlignment="1">
      <alignment vertical="center"/>
    </xf>
    <xf numFmtId="49" fontId="38" fillId="5" borderId="151" xfId="4" applyNumberFormat="1" applyFont="1" applyFill="1" applyBorder="1" applyAlignment="1">
      <alignment vertical="center" wrapText="1"/>
    </xf>
    <xf numFmtId="49" fontId="38" fillId="5" borderId="150" xfId="4" applyNumberFormat="1" applyFont="1" applyFill="1" applyBorder="1" applyAlignment="1">
      <alignment vertical="center" wrapText="1"/>
    </xf>
    <xf numFmtId="164" fontId="38" fillId="5" borderId="151" xfId="23" applyFont="1" applyFill="1" applyBorder="1" applyAlignment="1">
      <alignment vertical="center" wrapText="1"/>
    </xf>
    <xf numFmtId="49" fontId="14" fillId="0" borderId="137" xfId="4" applyNumberFormat="1" applyFont="1" applyBorder="1" applyAlignment="1">
      <alignment horizontal="left" vertical="center" wrapText="1"/>
    </xf>
    <xf numFmtId="49" fontId="14" fillId="0" borderId="25" xfId="4" applyNumberFormat="1" applyFont="1" applyBorder="1" applyAlignment="1">
      <alignment horizontal="left" vertical="center" wrapText="1"/>
    </xf>
    <xf numFmtId="3" fontId="33" fillId="0" borderId="75" xfId="0" applyNumberFormat="1" applyFont="1" applyBorder="1" applyAlignment="1">
      <alignment vertical="center" wrapText="1"/>
    </xf>
    <xf numFmtId="3" fontId="32" fillId="0" borderId="137" xfId="0" applyNumberFormat="1" applyFont="1" applyBorder="1" applyAlignment="1">
      <alignment vertical="center" wrapText="1"/>
    </xf>
    <xf numFmtId="3" fontId="32" fillId="0" borderId="130" xfId="0" applyNumberFormat="1" applyFont="1" applyBorder="1" applyAlignment="1">
      <alignment vertical="center" wrapText="1"/>
    </xf>
    <xf numFmtId="3" fontId="32" fillId="0" borderId="131" xfId="0" applyNumberFormat="1" applyFont="1" applyBorder="1" applyAlignment="1">
      <alignment vertical="center" wrapText="1"/>
    </xf>
    <xf numFmtId="3" fontId="32" fillId="0" borderId="138" xfId="0" applyNumberFormat="1" applyFont="1" applyBorder="1" applyAlignment="1">
      <alignment vertical="center" wrapText="1"/>
    </xf>
    <xf numFmtId="3" fontId="33" fillId="0" borderId="137" xfId="0" applyNumberFormat="1" applyFont="1" applyBorder="1" applyAlignment="1">
      <alignment vertical="center" wrapText="1"/>
    </xf>
    <xf numFmtId="3" fontId="33" fillId="0" borderId="130" xfId="0" applyNumberFormat="1" applyFont="1" applyBorder="1" applyAlignment="1">
      <alignment vertical="center" wrapText="1"/>
    </xf>
    <xf numFmtId="3" fontId="33" fillId="0" borderId="131" xfId="0" applyNumberFormat="1" applyFont="1" applyBorder="1" applyAlignment="1">
      <alignment vertical="center" wrapText="1"/>
    </xf>
    <xf numFmtId="3" fontId="33" fillId="0" borderId="138" xfId="0" applyNumberFormat="1" applyFont="1" applyBorder="1" applyAlignment="1">
      <alignment vertical="center" wrapText="1"/>
    </xf>
    <xf numFmtId="3" fontId="31" fillId="0" borderId="137" xfId="0" applyNumberFormat="1" applyFont="1" applyBorder="1" applyAlignment="1">
      <alignment vertical="center" wrapText="1"/>
    </xf>
    <xf numFmtId="3" fontId="31" fillId="0" borderId="137" xfId="0" applyNumberFormat="1" applyFont="1" applyBorder="1" applyAlignment="1">
      <alignment vertical="center"/>
    </xf>
    <xf numFmtId="3" fontId="31" fillId="0" borderId="130" xfId="0" applyNumberFormat="1" applyFont="1" applyBorder="1" applyAlignment="1">
      <alignment vertical="center"/>
    </xf>
    <xf numFmtId="3" fontId="31" fillId="0" borderId="131" xfId="0" applyNumberFormat="1" applyFont="1" applyBorder="1" applyAlignment="1">
      <alignment vertical="center"/>
    </xf>
    <xf numFmtId="3" fontId="31" fillId="0" borderId="138" xfId="0" applyNumberFormat="1" applyFont="1" applyBorder="1" applyAlignment="1">
      <alignment vertical="center"/>
    </xf>
    <xf numFmtId="49" fontId="7" fillId="0" borderId="25" xfId="0" applyNumberFormat="1" applyFont="1" applyBorder="1" applyAlignment="1">
      <alignment wrapText="1"/>
    </xf>
    <xf numFmtId="3" fontId="31" fillId="0" borderId="133" xfId="0" applyNumberFormat="1" applyFont="1" applyBorder="1" applyAlignment="1">
      <alignment vertical="center"/>
    </xf>
    <xf numFmtId="3" fontId="31" fillId="0" borderId="134" xfId="0" applyNumberFormat="1" applyFont="1" applyBorder="1" applyAlignment="1">
      <alignment vertical="center"/>
    </xf>
    <xf numFmtId="3" fontId="31" fillId="0" borderId="140" xfId="0" applyNumberFormat="1" applyFont="1" applyBorder="1" applyAlignment="1">
      <alignment vertical="center"/>
    </xf>
    <xf numFmtId="3" fontId="20" fillId="0" borderId="160" xfId="0" applyNumberFormat="1" applyFont="1" applyBorder="1" applyAlignment="1">
      <alignment horizontal="center" vertical="center" wrapText="1"/>
    </xf>
    <xf numFmtId="49" fontId="43" fillId="0" borderId="0" xfId="0" applyNumberFormat="1" applyFont="1" applyBorder="1" applyAlignment="1">
      <alignment wrapText="1"/>
    </xf>
    <xf numFmtId="3" fontId="21" fillId="0" borderId="163" xfId="0" applyNumberFormat="1" applyFont="1" applyFill="1" applyBorder="1" applyAlignment="1">
      <alignment horizontal="center" vertical="center" wrapText="1"/>
    </xf>
    <xf numFmtId="3" fontId="21" fillId="0" borderId="164" xfId="0" applyNumberFormat="1" applyFont="1" applyFill="1" applyBorder="1" applyAlignment="1">
      <alignment horizontal="center" vertical="center" wrapText="1"/>
    </xf>
    <xf numFmtId="3" fontId="20" fillId="0" borderId="72" xfId="0" applyNumberFormat="1" applyFont="1" applyBorder="1"/>
    <xf numFmtId="49" fontId="82" fillId="0" borderId="174" xfId="0" applyNumberFormat="1" applyFont="1" applyBorder="1" applyAlignment="1">
      <alignment horizontal="left" vertical="center"/>
    </xf>
    <xf numFmtId="49" fontId="84" fillId="0" borderId="176" xfId="0" applyNumberFormat="1" applyFont="1" applyBorder="1"/>
    <xf numFmtId="3" fontId="76" fillId="0" borderId="121" xfId="0" applyNumberFormat="1" applyFont="1" applyBorder="1"/>
    <xf numFmtId="0" fontId="88" fillId="0" borderId="121" xfId="0" applyFont="1" applyBorder="1" applyAlignment="1">
      <alignment horizontal="center"/>
    </xf>
    <xf numFmtId="3" fontId="20" fillId="5" borderId="60" xfId="0" applyNumberFormat="1" applyFont="1" applyFill="1" applyBorder="1"/>
    <xf numFmtId="3" fontId="21" fillId="5" borderId="60" xfId="0" applyNumberFormat="1" applyFont="1" applyFill="1" applyBorder="1"/>
    <xf numFmtId="3" fontId="20" fillId="5" borderId="60" xfId="0" applyNumberFormat="1" applyFont="1" applyFill="1" applyBorder="1" applyAlignment="1">
      <alignment horizontal="right"/>
    </xf>
    <xf numFmtId="168" fontId="20" fillId="0" borderId="60" xfId="0" applyNumberFormat="1" applyFont="1" applyBorder="1"/>
    <xf numFmtId="49" fontId="39" fillId="0" borderId="178" xfId="0" applyNumberFormat="1" applyFont="1" applyBorder="1"/>
    <xf numFmtId="3" fontId="76" fillId="0" borderId="131" xfId="0" applyNumberFormat="1" applyFont="1" applyBorder="1"/>
    <xf numFmtId="3" fontId="20" fillId="0" borderId="131" xfId="0" applyNumberFormat="1" applyFont="1" applyBorder="1"/>
    <xf numFmtId="3" fontId="21" fillId="0" borderId="131" xfId="0" applyNumberFormat="1" applyFont="1" applyBorder="1" applyAlignment="1">
      <alignment horizontal="right"/>
    </xf>
    <xf numFmtId="3" fontId="20" fillId="0" borderId="131" xfId="0" applyNumberFormat="1" applyFont="1" applyBorder="1" applyAlignment="1">
      <alignment horizontal="right"/>
    </xf>
    <xf numFmtId="3" fontId="20" fillId="0" borderId="131" xfId="0" applyNumberFormat="1" applyFont="1" applyFill="1" applyBorder="1" applyAlignment="1">
      <alignment horizontal="right"/>
    </xf>
    <xf numFmtId="3" fontId="21" fillId="0" borderId="131" xfId="0" applyNumberFormat="1" applyFont="1" applyFill="1" applyBorder="1" applyAlignment="1">
      <alignment horizontal="right"/>
    </xf>
    <xf numFmtId="171" fontId="20" fillId="0" borderId="131" xfId="21" applyNumberFormat="1" applyFont="1" applyBorder="1" applyAlignment="1">
      <alignment horizontal="right" vertical="center"/>
    </xf>
    <xf numFmtId="3" fontId="20" fillId="0" borderId="82" xfId="0" applyNumberFormat="1" applyFont="1" applyBorder="1"/>
    <xf numFmtId="49" fontId="82" fillId="0" borderId="131" xfId="0" applyNumberFormat="1" applyFont="1" applyBorder="1" applyAlignment="1">
      <alignment horizontal="left" vertical="center"/>
    </xf>
    <xf numFmtId="49" fontId="20" fillId="0" borderId="131" xfId="0" applyNumberFormat="1" applyFont="1" applyBorder="1" applyAlignment="1">
      <alignment horizontal="left" vertical="center"/>
    </xf>
    <xf numFmtId="49" fontId="90" fillId="0" borderId="131" xfId="0" applyNumberFormat="1" applyFont="1" applyBorder="1" applyAlignment="1">
      <alignment horizontal="left" vertical="center"/>
    </xf>
    <xf numFmtId="49" fontId="21" fillId="0" borderId="131" xfId="0" applyNumberFormat="1" applyFont="1" applyBorder="1" applyAlignment="1">
      <alignment horizontal="left" vertical="center"/>
    </xf>
    <xf numFmtId="3" fontId="21" fillId="0" borderId="131" xfId="0" applyNumberFormat="1" applyFont="1" applyBorder="1" applyAlignment="1">
      <alignment horizontal="right" vertical="center"/>
    </xf>
    <xf numFmtId="49" fontId="82" fillId="0" borderId="181" xfId="0" applyNumberFormat="1" applyFont="1" applyBorder="1" applyAlignment="1">
      <alignment horizontal="left" vertical="center"/>
    </xf>
    <xf numFmtId="49" fontId="20" fillId="0" borderId="181" xfId="0" applyNumberFormat="1" applyFont="1" applyBorder="1" applyAlignment="1">
      <alignment horizontal="left" vertical="center"/>
    </xf>
    <xf numFmtId="3" fontId="20" fillId="0" borderId="181" xfId="0" applyNumberFormat="1" applyFont="1" applyBorder="1" applyAlignment="1">
      <alignment horizontal="left" vertical="center"/>
    </xf>
    <xf numFmtId="167" fontId="76" fillId="0" borderId="131" xfId="0" applyNumberFormat="1" applyFont="1" applyBorder="1"/>
    <xf numFmtId="3" fontId="21" fillId="0" borderId="131" xfId="0" applyNumberFormat="1" applyFont="1" applyBorder="1"/>
    <xf numFmtId="0" fontId="76" fillId="5" borderId="131" xfId="0" applyFont="1" applyFill="1" applyBorder="1"/>
    <xf numFmtId="0" fontId="76" fillId="5" borderId="131" xfId="0" applyFont="1" applyFill="1" applyBorder="1" applyAlignment="1">
      <alignment horizontal="center"/>
    </xf>
    <xf numFmtId="3" fontId="20" fillId="5" borderId="131" xfId="0" applyNumberFormat="1" applyFont="1" applyFill="1" applyBorder="1"/>
    <xf numFmtId="3" fontId="21" fillId="5" borderId="131" xfId="0" applyNumberFormat="1" applyFont="1" applyFill="1" applyBorder="1"/>
    <xf numFmtId="0" fontId="91" fillId="0" borderId="131" xfId="0" applyFont="1" applyBorder="1"/>
    <xf numFmtId="0" fontId="80" fillId="0" borderId="131" xfId="0" applyFont="1" applyBorder="1" applyAlignment="1">
      <alignment horizontal="center"/>
    </xf>
    <xf numFmtId="0" fontId="0" fillId="0" borderId="131" xfId="0" applyBorder="1"/>
    <xf numFmtId="0" fontId="0" fillId="0" borderId="131" xfId="0" applyBorder="1" applyAlignment="1">
      <alignment horizontal="center"/>
    </xf>
    <xf numFmtId="0" fontId="88" fillId="0" borderId="131" xfId="0" applyFont="1" applyBorder="1" applyAlignment="1">
      <alignment horizontal="center"/>
    </xf>
    <xf numFmtId="3" fontId="93" fillId="0" borderId="131" xfId="0" applyNumberFormat="1" applyFont="1" applyBorder="1" applyAlignment="1">
      <alignment horizontal="center"/>
    </xf>
    <xf numFmtId="0" fontId="45" fillId="5" borderId="131" xfId="0" applyFont="1" applyFill="1" applyBorder="1" applyAlignment="1">
      <alignment wrapText="1"/>
    </xf>
    <xf numFmtId="0" fontId="0" fillId="5" borderId="131" xfId="0" applyFill="1" applyBorder="1" applyAlignment="1">
      <alignment wrapText="1"/>
    </xf>
    <xf numFmtId="0" fontId="20" fillId="5" borderId="131" xfId="0" applyFont="1" applyFill="1" applyBorder="1" applyAlignment="1">
      <alignment wrapText="1"/>
    </xf>
    <xf numFmtId="0" fontId="88" fillId="5" borderId="131" xfId="0" applyFont="1" applyFill="1" applyBorder="1" applyAlignment="1">
      <alignment horizontal="center" vertical="center" wrapText="1"/>
    </xf>
    <xf numFmtId="0" fontId="50" fillId="0" borderId="131" xfId="0" applyFont="1" applyBorder="1"/>
    <xf numFmtId="0" fontId="0" fillId="0" borderId="131" xfId="0" applyFill="1" applyBorder="1"/>
    <xf numFmtId="3" fontId="20" fillId="0" borderId="131" xfId="0" applyNumberFormat="1" applyFont="1" applyFill="1" applyBorder="1"/>
    <xf numFmtId="0" fontId="76" fillId="0" borderId="131" xfId="0" applyFont="1" applyFill="1" applyBorder="1" applyAlignment="1">
      <alignment wrapText="1"/>
    </xf>
    <xf numFmtId="0" fontId="20" fillId="0" borderId="131" xfId="0" applyFont="1" applyFill="1" applyBorder="1"/>
    <xf numFmtId="169" fontId="48" fillId="9" borderId="131" xfId="0" applyNumberFormat="1" applyFont="1" applyFill="1" applyBorder="1"/>
    <xf numFmtId="49" fontId="42" fillId="0" borderId="59" xfId="0" applyNumberFormat="1" applyFont="1" applyBorder="1" applyAlignment="1">
      <alignment wrapText="1"/>
    </xf>
    <xf numFmtId="49" fontId="83" fillId="0" borderId="59" xfId="0" applyNumberFormat="1" applyFont="1" applyBorder="1" applyAlignment="1">
      <alignment wrapText="1"/>
    </xf>
    <xf numFmtId="49" fontId="82" fillId="0" borderId="141" xfId="0" applyNumberFormat="1" applyFont="1" applyBorder="1" applyAlignment="1">
      <alignment horizontal="left" vertical="center"/>
    </xf>
    <xf numFmtId="49" fontId="90" fillId="0" borderId="141" xfId="0" applyNumberFormat="1" applyFont="1" applyBorder="1" applyAlignment="1">
      <alignment horizontal="left" vertical="center"/>
    </xf>
    <xf numFmtId="49" fontId="85" fillId="0" borderId="141" xfId="0" applyNumberFormat="1" applyFont="1" applyBorder="1" applyAlignment="1">
      <alignment vertical="center" wrapText="1"/>
    </xf>
    <xf numFmtId="49" fontId="81" fillId="0" borderId="141" xfId="0" applyNumberFormat="1" applyFont="1" applyBorder="1" applyAlignment="1">
      <alignment vertical="center" wrapText="1"/>
    </xf>
    <xf numFmtId="49" fontId="81" fillId="5" borderId="141" xfId="0" applyNumberFormat="1" applyFont="1" applyFill="1" applyBorder="1"/>
    <xf numFmtId="2" fontId="85" fillId="5" borderId="141" xfId="0" applyNumberFormat="1" applyFont="1" applyFill="1" applyBorder="1" applyAlignment="1">
      <alignment wrapText="1"/>
    </xf>
    <xf numFmtId="49" fontId="85" fillId="5" borderId="141" xfId="0" applyNumberFormat="1" applyFont="1" applyFill="1" applyBorder="1" applyAlignment="1">
      <alignment wrapText="1"/>
    </xf>
    <xf numFmtId="49" fontId="83" fillId="0" borderId="141" xfId="0" applyNumberFormat="1" applyFont="1" applyBorder="1"/>
    <xf numFmtId="49" fontId="77" fillId="0" borderId="141" xfId="0" applyNumberFormat="1" applyFont="1" applyBorder="1" applyAlignment="1">
      <alignment wrapText="1"/>
    </xf>
    <xf numFmtId="49" fontId="81" fillId="0" borderId="141" xfId="0" applyNumberFormat="1" applyFont="1" applyBorder="1" applyAlignment="1">
      <alignment wrapText="1"/>
    </xf>
    <xf numFmtId="49" fontId="81" fillId="0" borderId="141" xfId="0" applyNumberFormat="1" applyFont="1" applyBorder="1"/>
    <xf numFmtId="49" fontId="77" fillId="0" borderId="141" xfId="0" applyNumberFormat="1" applyFont="1" applyBorder="1"/>
    <xf numFmtId="49" fontId="42" fillId="0" borderId="141" xfId="0" applyNumberFormat="1" applyFont="1" applyBorder="1" applyAlignment="1">
      <alignment wrapText="1"/>
    </xf>
    <xf numFmtId="49" fontId="43" fillId="0" borderId="141" xfId="0" applyNumberFormat="1" applyFont="1" applyBorder="1" applyAlignment="1">
      <alignment wrapText="1"/>
    </xf>
    <xf numFmtId="0" fontId="85" fillId="0" borderId="141" xfId="0" applyFont="1" applyBorder="1" applyAlignment="1">
      <alignment vertical="center" wrapText="1"/>
    </xf>
    <xf numFmtId="49" fontId="85" fillId="5" borderId="141" xfId="0" applyNumberFormat="1" applyFont="1" applyFill="1" applyBorder="1" applyAlignment="1">
      <alignment vertical="center" wrapText="1"/>
    </xf>
    <xf numFmtId="49" fontId="85" fillId="5" borderId="141" xfId="0" applyNumberFormat="1" applyFont="1" applyFill="1" applyBorder="1"/>
    <xf numFmtId="49" fontId="77" fillId="0" borderId="141" xfId="0" applyNumberFormat="1" applyFont="1" applyBorder="1" applyAlignment="1">
      <alignment vertical="center" wrapText="1"/>
    </xf>
    <xf numFmtId="49" fontId="96" fillId="0" borderId="141" xfId="0" applyNumberFormat="1" applyFont="1" applyBorder="1" applyAlignment="1">
      <alignment vertical="center" wrapText="1"/>
    </xf>
    <xf numFmtId="0" fontId="42" fillId="0" borderId="141" xfId="0" applyFont="1" applyBorder="1" applyAlignment="1">
      <alignment wrapText="1"/>
    </xf>
    <xf numFmtId="49" fontId="42" fillId="0" borderId="141" xfId="0" applyNumberFormat="1" applyFont="1" applyBorder="1" applyAlignment="1">
      <alignment vertical="center" wrapText="1"/>
    </xf>
    <xf numFmtId="49" fontId="85" fillId="0" borderId="141" xfId="0" applyNumberFormat="1" applyFont="1" applyBorder="1"/>
    <xf numFmtId="0" fontId="81" fillId="0" borderId="175" xfId="0" applyFont="1" applyBorder="1" applyAlignment="1">
      <alignment horizontal="center" vertical="center" wrapText="1"/>
    </xf>
    <xf numFmtId="0" fontId="81" fillId="0" borderId="169" xfId="0" applyFont="1" applyBorder="1"/>
    <xf numFmtId="0" fontId="85" fillId="0" borderId="170" xfId="0" applyFont="1" applyBorder="1"/>
    <xf numFmtId="0" fontId="81" fillId="0" borderId="170" xfId="0" applyFont="1" applyBorder="1"/>
    <xf numFmtId="0" fontId="81" fillId="0" borderId="177" xfId="0" applyFont="1" applyBorder="1"/>
    <xf numFmtId="0" fontId="81" fillId="5" borderId="170" xfId="0" applyFont="1" applyFill="1" applyBorder="1"/>
    <xf numFmtId="0" fontId="85" fillId="5" borderId="170" xfId="0" applyFont="1" applyFill="1" applyBorder="1"/>
    <xf numFmtId="49" fontId="85" fillId="0" borderId="170" xfId="0" applyNumberFormat="1" applyFont="1" applyBorder="1" applyAlignment="1">
      <alignment vertical="center" wrapText="1"/>
    </xf>
    <xf numFmtId="49" fontId="85" fillId="0" borderId="170" xfId="0" applyNumberFormat="1" applyFont="1" applyBorder="1" applyAlignment="1">
      <alignment wrapText="1"/>
    </xf>
    <xf numFmtId="49" fontId="81" fillId="0" borderId="169" xfId="0" applyNumberFormat="1" applyFont="1" applyBorder="1" applyAlignment="1">
      <alignment vertical="center" wrapText="1"/>
    </xf>
    <xf numFmtId="49" fontId="81" fillId="0" borderId="96" xfId="0" applyNumberFormat="1" applyFont="1" applyBorder="1" applyAlignment="1">
      <alignment vertical="center" wrapText="1"/>
    </xf>
    <xf numFmtId="49" fontId="81" fillId="0" borderId="136" xfId="0" applyNumberFormat="1" applyFont="1" applyBorder="1" applyAlignment="1">
      <alignment vertical="center" wrapText="1"/>
    </xf>
    <xf numFmtId="49" fontId="81" fillId="0" borderId="145" xfId="0" applyNumberFormat="1" applyFont="1" applyBorder="1" applyAlignment="1">
      <alignment vertical="center" wrapText="1"/>
    </xf>
    <xf numFmtId="0" fontId="76" fillId="0" borderId="64" xfId="0" applyFont="1" applyBorder="1"/>
    <xf numFmtId="0" fontId="76" fillId="0" borderId="128" xfId="0" applyFont="1" applyBorder="1"/>
    <xf numFmtId="0" fontId="76" fillId="0" borderId="128" xfId="0" applyFont="1" applyBorder="1" applyAlignment="1">
      <alignment horizontal="center"/>
    </xf>
    <xf numFmtId="0" fontId="50" fillId="0" borderId="128" xfId="0" applyFont="1" applyBorder="1"/>
    <xf numFmtId="3" fontId="20" fillId="0" borderId="128" xfId="0" applyNumberFormat="1" applyFont="1" applyBorder="1"/>
    <xf numFmtId="0" fontId="76" fillId="0" borderId="82" xfId="0" applyFont="1" applyBorder="1"/>
    <xf numFmtId="0" fontId="76" fillId="0" borderId="82" xfId="0" applyFont="1" applyBorder="1" applyAlignment="1">
      <alignment horizontal="center"/>
    </xf>
    <xf numFmtId="0" fontId="76" fillId="7" borderId="185" xfId="0" applyFont="1" applyFill="1" applyBorder="1"/>
    <xf numFmtId="3" fontId="43" fillId="7" borderId="185" xfId="0" applyNumberFormat="1" applyFont="1" applyFill="1" applyBorder="1"/>
    <xf numFmtId="49" fontId="82" fillId="0" borderId="93" xfId="0" applyNumberFormat="1" applyFont="1" applyBorder="1" applyAlignment="1">
      <alignment horizontal="left" vertical="center"/>
    </xf>
    <xf numFmtId="49" fontId="98" fillId="0" borderId="141" xfId="0" applyNumberFormat="1" applyFont="1" applyBorder="1" applyAlignment="1">
      <alignment wrapText="1"/>
    </xf>
    <xf numFmtId="49" fontId="21" fillId="0" borderId="141" xfId="0" applyNumberFormat="1" applyFont="1" applyBorder="1" applyAlignment="1">
      <alignment wrapText="1"/>
    </xf>
    <xf numFmtId="0" fontId="81" fillId="0" borderId="53" xfId="0" applyFont="1" applyBorder="1" applyAlignment="1">
      <alignment horizontal="center" vertical="center" wrapText="1"/>
    </xf>
    <xf numFmtId="0" fontId="81" fillId="0" borderId="136" xfId="0" applyFont="1" applyBorder="1" applyAlignment="1">
      <alignment horizontal="left" vertical="center" wrapText="1"/>
    </xf>
    <xf numFmtId="0" fontId="81" fillId="0" borderId="136" xfId="0" applyFont="1" applyBorder="1"/>
    <xf numFmtId="0" fontId="81" fillId="0" borderId="145" xfId="0" applyFont="1" applyBorder="1"/>
    <xf numFmtId="49" fontId="21" fillId="0" borderId="64" xfId="0" applyNumberFormat="1" applyFont="1" applyBorder="1" applyAlignment="1">
      <alignment wrapText="1"/>
    </xf>
    <xf numFmtId="3" fontId="20" fillId="0" borderId="128" xfId="0" applyNumberFormat="1" applyFont="1" applyFill="1" applyBorder="1"/>
    <xf numFmtId="0" fontId="0" fillId="0" borderId="82" xfId="0" applyFill="1" applyBorder="1"/>
    <xf numFmtId="0" fontId="20" fillId="0" borderId="82" xfId="0" applyFont="1" applyFill="1" applyBorder="1"/>
    <xf numFmtId="3" fontId="20" fillId="0" borderId="82" xfId="0" applyNumberFormat="1" applyFont="1" applyFill="1" applyBorder="1"/>
    <xf numFmtId="3" fontId="43" fillId="7" borderId="8" xfId="0" applyNumberFormat="1" applyFont="1" applyFill="1" applyBorder="1"/>
    <xf numFmtId="0" fontId="77" fillId="8" borderId="7" xfId="0" applyFont="1" applyFill="1" applyBorder="1"/>
    <xf numFmtId="49" fontId="46" fillId="8" borderId="8" xfId="0" applyNumberFormat="1" applyFont="1" applyFill="1" applyBorder="1"/>
    <xf numFmtId="0" fontId="76" fillId="8" borderId="8" xfId="0" applyFont="1" applyFill="1" applyBorder="1"/>
    <xf numFmtId="0" fontId="76" fillId="8" borderId="8" xfId="0" applyFont="1" applyFill="1" applyBorder="1" applyAlignment="1">
      <alignment horizontal="center"/>
    </xf>
    <xf numFmtId="3" fontId="50" fillId="8" borderId="8" xfId="0" applyNumberFormat="1" applyFont="1" applyFill="1" applyBorder="1"/>
    <xf numFmtId="3" fontId="43" fillId="8" borderId="8" xfId="0" applyNumberFormat="1" applyFont="1" applyFill="1" applyBorder="1"/>
    <xf numFmtId="49" fontId="98" fillId="0" borderId="141" xfId="0" applyNumberFormat="1" applyFont="1" applyFill="1" applyBorder="1" applyAlignment="1">
      <alignment horizontal="left" vertical="center" wrapText="1"/>
    </xf>
    <xf numFmtId="0" fontId="81" fillId="0" borderId="136" xfId="0" applyFont="1" applyFill="1" applyBorder="1" applyAlignment="1">
      <alignment horizontal="left" vertical="center" wrapText="1"/>
    </xf>
    <xf numFmtId="0" fontId="81" fillId="0" borderId="145" xfId="0" applyFont="1" applyFill="1" applyBorder="1" applyAlignment="1">
      <alignment horizontal="left" vertical="center" wrapText="1"/>
    </xf>
    <xf numFmtId="49" fontId="89" fillId="0" borderId="64" xfId="0" applyNumberFormat="1" applyFont="1" applyFill="1" applyBorder="1" applyAlignment="1">
      <alignment horizontal="left" vertical="center" wrapText="1"/>
    </xf>
    <xf numFmtId="0" fontId="0" fillId="0" borderId="128" xfId="0" applyFill="1" applyBorder="1"/>
    <xf numFmtId="0" fontId="20" fillId="0" borderId="128" xfId="0" applyFont="1" applyFill="1" applyBorder="1"/>
    <xf numFmtId="3" fontId="76" fillId="0" borderId="112" xfId="0" applyNumberFormat="1" applyFont="1" applyBorder="1"/>
    <xf numFmtId="3" fontId="80" fillId="5" borderId="108" xfId="0" applyNumberFormat="1" applyFont="1" applyFill="1" applyBorder="1"/>
    <xf numFmtId="3" fontId="76" fillId="5" borderId="108" xfId="0" applyNumberFormat="1" applyFont="1" applyFill="1" applyBorder="1"/>
    <xf numFmtId="3" fontId="80" fillId="0" borderId="108" xfId="0" applyNumberFormat="1" applyFont="1" applyBorder="1"/>
    <xf numFmtId="3" fontId="76" fillId="0" borderId="108" xfId="0" applyNumberFormat="1" applyFont="1" applyBorder="1"/>
    <xf numFmtId="3" fontId="76" fillId="0" borderId="108" xfId="0" applyNumberFormat="1" applyFont="1" applyBorder="1" applyAlignment="1">
      <alignment horizontal="right" vertical="center"/>
    </xf>
    <xf numFmtId="3" fontId="80" fillId="0" borderId="108" xfId="0" applyNumberFormat="1" applyFont="1" applyBorder="1" applyAlignment="1">
      <alignment horizontal="right" vertical="center"/>
    </xf>
    <xf numFmtId="49" fontId="82" fillId="0" borderId="0" xfId="0" applyNumberFormat="1" applyFont="1" applyBorder="1" applyAlignment="1">
      <alignment horizontal="left" vertical="center"/>
    </xf>
    <xf numFmtId="3" fontId="81" fillId="0" borderId="108" xfId="0" applyNumberFormat="1" applyFont="1" applyBorder="1"/>
    <xf numFmtId="3" fontId="20" fillId="0" borderId="93" xfId="0" applyNumberFormat="1" applyFont="1" applyBorder="1"/>
    <xf numFmtId="3" fontId="21" fillId="0" borderId="141" xfId="0" applyNumberFormat="1" applyFont="1" applyBorder="1" applyAlignment="1">
      <alignment horizontal="right"/>
    </xf>
    <xf numFmtId="3" fontId="20" fillId="0" borderId="141" xfId="0" applyNumberFormat="1" applyFont="1" applyBorder="1" applyAlignment="1">
      <alignment horizontal="right"/>
    </xf>
    <xf numFmtId="3" fontId="20" fillId="0" borderId="141" xfId="0" applyNumberFormat="1" applyFont="1" applyFill="1" applyBorder="1" applyAlignment="1">
      <alignment horizontal="right"/>
    </xf>
    <xf numFmtId="3" fontId="21" fillId="0" borderId="141" xfId="0" applyNumberFormat="1" applyFont="1" applyFill="1" applyBorder="1" applyAlignment="1">
      <alignment horizontal="right"/>
    </xf>
    <xf numFmtId="171" fontId="20" fillId="0" borderId="141" xfId="21" applyNumberFormat="1" applyFont="1" applyBorder="1" applyAlignment="1">
      <alignment horizontal="right" vertical="center"/>
    </xf>
    <xf numFmtId="3" fontId="21" fillId="0" borderId="141" xfId="0" applyNumberFormat="1" applyFont="1" applyBorder="1" applyAlignment="1">
      <alignment horizontal="right" vertical="center"/>
    </xf>
    <xf numFmtId="3" fontId="20" fillId="0" borderId="141" xfId="0" applyNumberFormat="1" applyFont="1" applyBorder="1"/>
    <xf numFmtId="3" fontId="21" fillId="0" borderId="141" xfId="0" applyNumberFormat="1" applyFont="1" applyBorder="1"/>
    <xf numFmtId="3" fontId="20" fillId="5" borderId="141" xfId="0" applyNumberFormat="1" applyFont="1" applyFill="1" applyBorder="1"/>
    <xf numFmtId="3" fontId="21" fillId="5" borderId="141" xfId="0" applyNumberFormat="1" applyFont="1" applyFill="1" applyBorder="1"/>
    <xf numFmtId="3" fontId="20" fillId="0" borderId="53" xfId="0" applyNumberFormat="1" applyFont="1" applyBorder="1"/>
    <xf numFmtId="3" fontId="21" fillId="0" borderId="136" xfId="0" applyNumberFormat="1" applyFont="1" applyBorder="1" applyAlignment="1">
      <alignment horizontal="right"/>
    </xf>
    <xf numFmtId="3" fontId="20" fillId="0" borderId="136" xfId="0" applyNumberFormat="1" applyFont="1" applyBorder="1" applyAlignment="1">
      <alignment horizontal="right"/>
    </xf>
    <xf numFmtId="3" fontId="89" fillId="0" borderId="136" xfId="21" applyNumberFormat="1" applyFont="1" applyBorder="1" applyAlignment="1">
      <alignment horizontal="right" vertical="center"/>
    </xf>
    <xf numFmtId="3" fontId="21" fillId="0" borderId="136" xfId="0" applyNumberFormat="1" applyFont="1" applyBorder="1" applyAlignment="1">
      <alignment horizontal="right" vertical="center"/>
    </xf>
    <xf numFmtId="3" fontId="20" fillId="0" borderId="96" xfId="0" applyNumberFormat="1" applyFont="1" applyBorder="1" applyAlignment="1">
      <alignment horizontal="left" vertical="center"/>
    </xf>
    <xf numFmtId="3" fontId="20" fillId="0" borderId="136" xfId="0" applyNumberFormat="1" applyFont="1" applyBorder="1"/>
    <xf numFmtId="3" fontId="21" fillId="0" borderId="136" xfId="0" applyNumberFormat="1" applyFont="1" applyBorder="1"/>
    <xf numFmtId="3" fontId="20" fillId="5" borderId="136" xfId="0" applyNumberFormat="1" applyFont="1" applyFill="1" applyBorder="1"/>
    <xf numFmtId="3" fontId="21" fillId="5" borderId="136" xfId="0" applyNumberFormat="1" applyFont="1" applyFill="1" applyBorder="1"/>
    <xf numFmtId="3" fontId="20" fillId="0" borderId="15" xfId="0" applyNumberFormat="1" applyFont="1" applyBorder="1"/>
    <xf numFmtId="3" fontId="80" fillId="5" borderId="108" xfId="0" applyNumberFormat="1" applyFont="1" applyFill="1" applyBorder="1" applyAlignment="1">
      <alignment horizontal="right"/>
    </xf>
    <xf numFmtId="49" fontId="81" fillId="0" borderId="108" xfId="0" applyNumberFormat="1" applyFont="1" applyBorder="1"/>
    <xf numFmtId="49" fontId="81" fillId="0" borderId="129" xfId="0" applyNumberFormat="1" applyFont="1" applyBorder="1"/>
    <xf numFmtId="3" fontId="20" fillId="0" borderId="64" xfId="0" applyNumberFormat="1" applyFont="1" applyBorder="1"/>
    <xf numFmtId="3" fontId="21" fillId="5" borderId="33" xfId="0" applyNumberFormat="1" applyFont="1" applyFill="1" applyBorder="1"/>
    <xf numFmtId="3" fontId="20" fillId="0" borderId="112" xfId="0" applyNumberFormat="1" applyFont="1" applyBorder="1"/>
    <xf numFmtId="3" fontId="21" fillId="0" borderId="108" xfId="0" applyNumberFormat="1" applyFont="1" applyBorder="1" applyAlignment="1">
      <alignment horizontal="right"/>
    </xf>
    <xf numFmtId="3" fontId="20" fillId="0" borderId="108" xfId="0" applyNumberFormat="1" applyFont="1" applyBorder="1" applyAlignment="1">
      <alignment horizontal="right"/>
    </xf>
    <xf numFmtId="3" fontId="20" fillId="0" borderId="108" xfId="0" applyNumberFormat="1" applyFont="1" applyFill="1" applyBorder="1" applyAlignment="1">
      <alignment horizontal="right"/>
    </xf>
    <xf numFmtId="3" fontId="21" fillId="0" borderId="108" xfId="0" applyNumberFormat="1" applyFont="1" applyFill="1" applyBorder="1" applyAlignment="1">
      <alignment horizontal="right"/>
    </xf>
    <xf numFmtId="171" fontId="20" fillId="0" borderId="108" xfId="21" applyNumberFormat="1" applyFont="1" applyBorder="1" applyAlignment="1">
      <alignment horizontal="right" vertical="center"/>
    </xf>
    <xf numFmtId="3" fontId="21" fillId="0" borderId="108" xfId="0" applyNumberFormat="1" applyFont="1" applyBorder="1" applyAlignment="1">
      <alignment horizontal="right" vertical="center"/>
    </xf>
    <xf numFmtId="3" fontId="20" fillId="0" borderId="0" xfId="0" applyNumberFormat="1" applyFont="1" applyBorder="1" applyAlignment="1">
      <alignment horizontal="left" vertical="center"/>
    </xf>
    <xf numFmtId="3" fontId="20" fillId="0" borderId="108" xfId="0" applyNumberFormat="1" applyFont="1" applyBorder="1"/>
    <xf numFmtId="3" fontId="21" fillId="0" borderId="108" xfId="0" applyNumberFormat="1" applyFont="1" applyBorder="1"/>
    <xf numFmtId="3" fontId="20" fillId="5" borderId="108" xfId="0" applyNumberFormat="1" applyFont="1" applyFill="1" applyBorder="1"/>
    <xf numFmtId="3" fontId="21" fillId="5" borderId="108" xfId="0" applyNumberFormat="1" applyFont="1" applyFill="1" applyBorder="1"/>
    <xf numFmtId="3" fontId="21" fillId="11" borderId="108" xfId="0" applyNumberFormat="1" applyFont="1" applyFill="1" applyBorder="1"/>
    <xf numFmtId="3" fontId="20" fillId="6" borderId="108" xfId="0" applyNumberFormat="1" applyFont="1" applyFill="1" applyBorder="1"/>
    <xf numFmtId="3" fontId="20" fillId="0" borderId="129" xfId="0" applyNumberFormat="1" applyFont="1" applyBorder="1"/>
    <xf numFmtId="3" fontId="20" fillId="2" borderId="77" xfId="0" applyNumberFormat="1" applyFont="1" applyFill="1" applyBorder="1"/>
    <xf numFmtId="3" fontId="20" fillId="2" borderId="138" xfId="0" applyNumberFormat="1" applyFont="1" applyFill="1" applyBorder="1"/>
    <xf numFmtId="3" fontId="21" fillId="2" borderId="138" xfId="0" applyNumberFormat="1" applyFont="1" applyFill="1" applyBorder="1"/>
    <xf numFmtId="3" fontId="20" fillId="10" borderId="138" xfId="0" applyNumberFormat="1" applyFont="1" applyFill="1" applyBorder="1"/>
    <xf numFmtId="3" fontId="21" fillId="10" borderId="138" xfId="0" applyNumberFormat="1" applyFont="1" applyFill="1" applyBorder="1"/>
    <xf numFmtId="3" fontId="20" fillId="2" borderId="144" xfId="0" applyNumberFormat="1" applyFont="1" applyFill="1" applyBorder="1"/>
    <xf numFmtId="3" fontId="20" fillId="0" borderId="136" xfId="0" applyNumberFormat="1" applyFont="1" applyFill="1" applyBorder="1" applyAlignment="1">
      <alignment horizontal="right"/>
    </xf>
    <xf numFmtId="3" fontId="21" fillId="0" borderId="136" xfId="0" applyNumberFormat="1" applyFont="1" applyFill="1" applyBorder="1" applyAlignment="1">
      <alignment horizontal="right"/>
    </xf>
    <xf numFmtId="171" fontId="20" fillId="0" borderId="136" xfId="21" applyNumberFormat="1" applyFont="1" applyBorder="1" applyAlignment="1">
      <alignment horizontal="right" vertical="center"/>
    </xf>
    <xf numFmtId="3" fontId="21" fillId="10" borderId="136" xfId="0" applyNumberFormat="1" applyFont="1" applyFill="1" applyBorder="1"/>
    <xf numFmtId="3" fontId="21" fillId="10" borderId="77" xfId="0" applyNumberFormat="1" applyFont="1" applyFill="1" applyBorder="1"/>
    <xf numFmtId="3" fontId="20" fillId="2" borderId="53" xfId="0" applyNumberFormat="1" applyFont="1" applyFill="1" applyBorder="1"/>
    <xf numFmtId="3" fontId="21" fillId="2" borderId="136" xfId="0" applyNumberFormat="1" applyFont="1" applyFill="1" applyBorder="1" applyAlignment="1">
      <alignment horizontal="right"/>
    </xf>
    <xf numFmtId="3" fontId="20" fillId="2" borderId="136" xfId="0" applyNumberFormat="1" applyFont="1" applyFill="1" applyBorder="1" applyAlignment="1">
      <alignment horizontal="right"/>
    </xf>
    <xf numFmtId="171" fontId="20" fillId="2" borderId="136" xfId="21" applyNumberFormat="1" applyFont="1" applyFill="1" applyBorder="1" applyAlignment="1">
      <alignment horizontal="right" vertical="center"/>
    </xf>
    <xf numFmtId="3" fontId="21" fillId="2" borderId="136" xfId="0" applyNumberFormat="1" applyFont="1" applyFill="1" applyBorder="1" applyAlignment="1">
      <alignment horizontal="right" vertical="center"/>
    </xf>
    <xf numFmtId="3" fontId="20" fillId="2" borderId="96" xfId="0" applyNumberFormat="1" applyFont="1" applyFill="1" applyBorder="1" applyAlignment="1">
      <alignment horizontal="left" vertical="center"/>
    </xf>
    <xf numFmtId="3" fontId="20" fillId="2" borderId="136" xfId="0" applyNumberFormat="1" applyFont="1" applyFill="1" applyBorder="1"/>
    <xf numFmtId="3" fontId="21" fillId="2" borderId="136" xfId="0" applyNumberFormat="1" applyFont="1" applyFill="1" applyBorder="1"/>
    <xf numFmtId="3" fontId="20" fillId="10" borderId="136" xfId="0" applyNumberFormat="1" applyFont="1" applyFill="1" applyBorder="1"/>
    <xf numFmtId="3" fontId="20" fillId="2" borderId="15" xfId="0" applyNumberFormat="1" applyFont="1" applyFill="1" applyBorder="1"/>
    <xf numFmtId="3" fontId="95" fillId="0" borderId="108" xfId="0" applyNumberFormat="1" applyFont="1" applyBorder="1" applyAlignment="1">
      <alignment horizontal="center"/>
    </xf>
    <xf numFmtId="3" fontId="20" fillId="0" borderId="136" xfId="0" applyNumberFormat="1" applyFont="1" applyFill="1" applyBorder="1"/>
    <xf numFmtId="3" fontId="20" fillId="0" borderId="15" xfId="0" applyNumberFormat="1" applyFont="1" applyFill="1" applyBorder="1"/>
    <xf numFmtId="3" fontId="76" fillId="0" borderId="112" xfId="0" applyNumberFormat="1" applyFont="1" applyFill="1" applyBorder="1"/>
    <xf numFmtId="3" fontId="76" fillId="0" borderId="108" xfId="0" applyNumberFormat="1" applyFont="1" applyFill="1" applyBorder="1"/>
    <xf numFmtId="3" fontId="76" fillId="0" borderId="129" xfId="0" applyNumberFormat="1" applyFont="1" applyFill="1" applyBorder="1"/>
    <xf numFmtId="3" fontId="76" fillId="7" borderId="32" xfId="0" applyNumberFormat="1" applyFont="1" applyFill="1" applyBorder="1"/>
    <xf numFmtId="3" fontId="80" fillId="8" borderId="32" xfId="0" applyNumberFormat="1" applyFont="1" applyFill="1" applyBorder="1"/>
    <xf numFmtId="3" fontId="20" fillId="0" borderId="93" xfId="0" applyNumberFormat="1" applyFont="1" applyFill="1" applyBorder="1"/>
    <xf numFmtId="3" fontId="20" fillId="0" borderId="141" xfId="0" applyNumberFormat="1" applyFont="1" applyFill="1" applyBorder="1"/>
    <xf numFmtId="3" fontId="20" fillId="0" borderId="64" xfId="0" applyNumberFormat="1" applyFont="1" applyFill="1" applyBorder="1"/>
    <xf numFmtId="3" fontId="43" fillId="7" borderId="10" xfId="0" applyNumberFormat="1" applyFont="1" applyFill="1" applyBorder="1"/>
    <xf numFmtId="3" fontId="43" fillId="8" borderId="10" xfId="0" applyNumberFormat="1" applyFont="1" applyFill="1" applyBorder="1"/>
    <xf numFmtId="3" fontId="20" fillId="0" borderId="53" xfId="0" applyNumberFormat="1" applyFont="1" applyFill="1" applyBorder="1"/>
    <xf numFmtId="3" fontId="20" fillId="0" borderId="145" xfId="0" applyNumberFormat="1" applyFont="1" applyFill="1" applyBorder="1"/>
    <xf numFmtId="3" fontId="43" fillId="7" borderId="101" xfId="0" applyNumberFormat="1" applyFont="1" applyFill="1" applyBorder="1"/>
    <xf numFmtId="3" fontId="43" fillId="8" borderId="101" xfId="0" applyNumberFormat="1" applyFont="1" applyFill="1" applyBorder="1"/>
    <xf numFmtId="3" fontId="43" fillId="7" borderId="32" xfId="0" applyNumberFormat="1" applyFont="1" applyFill="1" applyBorder="1"/>
    <xf numFmtId="3" fontId="43" fillId="7" borderId="74" xfId="0" applyNumberFormat="1" applyFont="1" applyFill="1" applyBorder="1"/>
    <xf numFmtId="3" fontId="20" fillId="0" borderId="112" xfId="0" applyNumberFormat="1" applyFont="1" applyFill="1" applyBorder="1"/>
    <xf numFmtId="3" fontId="20" fillId="0" borderId="108" xfId="0" applyNumberFormat="1" applyFont="1" applyFill="1" applyBorder="1"/>
    <xf numFmtId="3" fontId="20" fillId="0" borderId="129" xfId="0" applyNumberFormat="1" applyFont="1" applyFill="1" applyBorder="1"/>
    <xf numFmtId="3" fontId="43" fillId="8" borderId="32" xfId="0" applyNumberFormat="1" applyFont="1" applyFill="1" applyBorder="1"/>
    <xf numFmtId="3" fontId="43" fillId="8" borderId="74" xfId="0" applyNumberFormat="1" applyFont="1" applyFill="1" applyBorder="1"/>
    <xf numFmtId="3" fontId="43" fillId="7" borderId="186" xfId="0" applyNumberFormat="1" applyFont="1" applyFill="1" applyBorder="1"/>
    <xf numFmtId="0" fontId="76" fillId="7" borderId="187" xfId="0" applyFont="1" applyFill="1" applyBorder="1" applyAlignment="1">
      <alignment horizontal="center"/>
    </xf>
    <xf numFmtId="3" fontId="50" fillId="7" borderId="8" xfId="0" applyNumberFormat="1" applyFont="1" applyFill="1" applyBorder="1"/>
    <xf numFmtId="3" fontId="80" fillId="7" borderId="66" xfId="0" applyNumberFormat="1" applyFont="1" applyFill="1" applyBorder="1"/>
    <xf numFmtId="3" fontId="43" fillId="7" borderId="188" xfId="0" applyNumberFormat="1" applyFont="1" applyFill="1" applyBorder="1"/>
    <xf numFmtId="49" fontId="82" fillId="7" borderId="10" xfId="0" applyNumberFormat="1" applyFont="1" applyFill="1" applyBorder="1" applyAlignment="1">
      <alignment horizontal="left" vertical="center" wrapText="1"/>
    </xf>
    <xf numFmtId="0" fontId="81" fillId="7" borderId="101" xfId="0" applyFont="1" applyFill="1" applyBorder="1" applyAlignment="1">
      <alignment horizontal="center" vertical="center" wrapText="1"/>
    </xf>
    <xf numFmtId="0" fontId="14" fillId="0" borderId="128" xfId="0" applyFont="1" applyBorder="1" applyAlignment="1">
      <alignment horizontal="center" vertical="center" wrapText="1"/>
    </xf>
    <xf numFmtId="0" fontId="102" fillId="0" borderId="0" xfId="14" applyFont="1"/>
    <xf numFmtId="3" fontId="102" fillId="0" borderId="0" xfId="14" applyNumberFormat="1" applyFont="1"/>
    <xf numFmtId="3" fontId="68" fillId="0" borderId="0" xfId="14" applyNumberFormat="1" applyFont="1"/>
    <xf numFmtId="3" fontId="68" fillId="0" borderId="0" xfId="14" applyNumberFormat="1" applyFont="1" applyAlignment="1">
      <alignment horizontal="right"/>
    </xf>
    <xf numFmtId="3" fontId="68" fillId="0" borderId="122" xfId="14" applyNumberFormat="1" applyFont="1" applyFill="1" applyBorder="1" applyAlignment="1">
      <alignment horizontal="center" vertical="center" wrapText="1"/>
    </xf>
    <xf numFmtId="3" fontId="68" fillId="0" borderId="81" xfId="14" applyNumberFormat="1" applyFont="1" applyFill="1" applyBorder="1" applyAlignment="1">
      <alignment horizontal="center" vertical="center" wrapText="1"/>
    </xf>
    <xf numFmtId="3" fontId="68" fillId="0" borderId="44" xfId="14" applyNumberFormat="1" applyFont="1" applyFill="1" applyBorder="1" applyAlignment="1">
      <alignment horizontal="center" vertical="center" wrapText="1"/>
    </xf>
    <xf numFmtId="3" fontId="68" fillId="0" borderId="123" xfId="14" applyNumberFormat="1" applyFont="1" applyFill="1" applyBorder="1" applyAlignment="1">
      <alignment horizontal="center" vertical="center" wrapText="1"/>
    </xf>
    <xf numFmtId="3" fontId="68" fillId="0" borderId="102" xfId="14" applyNumberFormat="1" applyFont="1" applyFill="1" applyBorder="1" applyAlignment="1">
      <alignment horizontal="center" vertical="center" wrapText="1"/>
    </xf>
    <xf numFmtId="3" fontId="68" fillId="0" borderId="107" xfId="14" applyNumberFormat="1" applyFont="1" applyFill="1" applyBorder="1" applyAlignment="1">
      <alignment horizontal="center" vertical="center" wrapText="1"/>
    </xf>
    <xf numFmtId="3" fontId="68" fillId="0" borderId="128" xfId="14" applyNumberFormat="1" applyFont="1" applyFill="1" applyBorder="1" applyAlignment="1">
      <alignment horizontal="center" vertical="center" wrapText="1"/>
    </xf>
    <xf numFmtId="3" fontId="68" fillId="0" borderId="144" xfId="14" applyNumberFormat="1" applyFont="1" applyFill="1" applyBorder="1" applyAlignment="1">
      <alignment horizontal="center" vertical="center" wrapText="1"/>
    </xf>
    <xf numFmtId="3" fontId="68" fillId="0" borderId="143" xfId="14" applyNumberFormat="1" applyFont="1" applyFill="1" applyBorder="1" applyAlignment="1">
      <alignment horizontal="center" vertical="center" wrapText="1"/>
    </xf>
    <xf numFmtId="3" fontId="68" fillId="0" borderId="147" xfId="14" applyNumberFormat="1" applyFont="1" applyFill="1" applyBorder="1" applyAlignment="1">
      <alignment horizontal="center" vertical="center" wrapText="1"/>
    </xf>
    <xf numFmtId="0" fontId="102" fillId="0" borderId="50" xfId="14" applyFont="1" applyBorder="1" applyAlignment="1">
      <alignment vertical="center" wrapText="1"/>
    </xf>
    <xf numFmtId="3" fontId="102" fillId="0" borderId="51" xfId="14" applyNumberFormat="1" applyFont="1" applyBorder="1" applyAlignment="1">
      <alignment vertical="center" wrapText="1"/>
    </xf>
    <xf numFmtId="3" fontId="102" fillId="0" borderId="52" xfId="14" applyNumberFormat="1" applyFont="1" applyFill="1" applyBorder="1" applyAlignment="1">
      <alignment vertical="center" wrapText="1"/>
    </xf>
    <xf numFmtId="0" fontId="102" fillId="0" borderId="40" xfId="14" applyFont="1" applyFill="1" applyBorder="1" applyAlignment="1">
      <alignment vertical="center" wrapText="1"/>
    </xf>
    <xf numFmtId="3" fontId="102" fillId="0" borderId="125" xfId="14" applyNumberFormat="1" applyFont="1" applyFill="1" applyBorder="1" applyAlignment="1">
      <alignment horizontal="right" vertical="center" wrapText="1"/>
    </xf>
    <xf numFmtId="3" fontId="102" fillId="0" borderId="82" xfId="14" applyNumberFormat="1" applyFont="1" applyFill="1" applyBorder="1" applyAlignment="1">
      <alignment horizontal="right" vertical="center" wrapText="1"/>
    </xf>
    <xf numFmtId="3" fontId="102" fillId="0" borderId="112" xfId="14" applyNumberFormat="1" applyFont="1" applyFill="1" applyBorder="1" applyAlignment="1">
      <alignment horizontal="right" vertical="center" wrapText="1"/>
    </xf>
    <xf numFmtId="3" fontId="102" fillId="0" borderId="50" xfId="14" applyNumberFormat="1" applyFont="1" applyFill="1" applyBorder="1" applyAlignment="1">
      <alignment horizontal="right" vertical="center" wrapText="1"/>
    </xf>
    <xf numFmtId="3" fontId="102" fillId="0" borderId="51" xfId="14" applyNumberFormat="1" applyFont="1" applyFill="1" applyBorder="1" applyAlignment="1">
      <alignment horizontal="right" vertical="center" wrapText="1"/>
    </xf>
    <xf numFmtId="3" fontId="102" fillId="0" borderId="52" xfId="14" applyNumberFormat="1" applyFont="1" applyFill="1" applyBorder="1" applyAlignment="1">
      <alignment horizontal="right" vertical="center" wrapText="1"/>
    </xf>
    <xf numFmtId="3" fontId="102" fillId="0" borderId="93" xfId="14" applyNumberFormat="1" applyFont="1" applyFill="1" applyBorder="1" applyAlignment="1">
      <alignment horizontal="right" vertical="center" wrapText="1"/>
    </xf>
    <xf numFmtId="3" fontId="102" fillId="0" borderId="54" xfId="14" applyNumberFormat="1" applyFont="1" applyFill="1" applyBorder="1" applyAlignment="1">
      <alignment horizontal="right" vertical="center" wrapText="1"/>
    </xf>
    <xf numFmtId="3" fontId="68" fillId="0" borderId="50" xfId="14" applyNumberFormat="1" applyFont="1" applyFill="1" applyBorder="1" applyAlignment="1">
      <alignment horizontal="right" vertical="center" wrapText="1"/>
    </xf>
    <xf numFmtId="3" fontId="68" fillId="0" borderId="51" xfId="14" applyNumberFormat="1" applyFont="1" applyFill="1" applyBorder="1" applyAlignment="1">
      <alignment horizontal="right" vertical="center" wrapText="1"/>
    </xf>
    <xf numFmtId="3" fontId="68" fillId="0" borderId="52" xfId="14" applyNumberFormat="1" applyFont="1" applyFill="1" applyBorder="1" applyAlignment="1">
      <alignment horizontal="right" vertical="center" wrapText="1"/>
    </xf>
    <xf numFmtId="0" fontId="102" fillId="0" borderId="130" xfId="14" applyFont="1" applyBorder="1" applyAlignment="1">
      <alignment vertical="center" wrapText="1"/>
    </xf>
    <xf numFmtId="3" fontId="102" fillId="0" borderId="131" xfId="14" applyNumberFormat="1" applyFont="1" applyBorder="1" applyAlignment="1">
      <alignment vertical="center" wrapText="1"/>
    </xf>
    <xf numFmtId="3" fontId="102" fillId="0" borderId="132" xfId="14" applyNumberFormat="1" applyFont="1" applyBorder="1" applyAlignment="1">
      <alignment vertical="center" wrapText="1"/>
    </xf>
    <xf numFmtId="0" fontId="102" fillId="0" borderId="99" xfId="14" applyFont="1" applyBorder="1" applyAlignment="1">
      <alignment vertical="center" wrapText="1"/>
    </xf>
    <xf numFmtId="3" fontId="102" fillId="0" borderId="116" xfId="14" applyNumberFormat="1" applyFont="1" applyBorder="1" applyAlignment="1">
      <alignment horizontal="right" vertical="center" wrapText="1"/>
    </xf>
    <xf numFmtId="3" fontId="102" fillId="0" borderId="115" xfId="14" applyNumberFormat="1" applyFont="1" applyBorder="1" applyAlignment="1">
      <alignment horizontal="right" vertical="center" wrapText="1"/>
    </xf>
    <xf numFmtId="3" fontId="102" fillId="0" borderId="108" xfId="14" applyNumberFormat="1" applyFont="1" applyBorder="1" applyAlignment="1">
      <alignment horizontal="right" vertical="center" wrapText="1"/>
    </xf>
    <xf numFmtId="3" fontId="102" fillId="0" borderId="130" xfId="14" applyNumberFormat="1" applyFont="1" applyBorder="1" applyAlignment="1">
      <alignment horizontal="right" vertical="center" wrapText="1"/>
    </xf>
    <xf numFmtId="3" fontId="102" fillId="0" borderId="131" xfId="14" applyNumberFormat="1" applyFont="1" applyBorder="1" applyAlignment="1">
      <alignment horizontal="right" vertical="center" wrapText="1"/>
    </xf>
    <xf numFmtId="3" fontId="102" fillId="0" borderId="132" xfId="14" applyNumberFormat="1" applyFont="1" applyBorder="1" applyAlignment="1">
      <alignment horizontal="right" vertical="center" wrapText="1"/>
    </xf>
    <xf numFmtId="3" fontId="102" fillId="0" borderId="105" xfId="14" applyNumberFormat="1" applyFont="1" applyBorder="1" applyAlignment="1">
      <alignment horizontal="right" vertical="center" wrapText="1"/>
    </xf>
    <xf numFmtId="3" fontId="102" fillId="0" borderId="138" xfId="14" applyNumberFormat="1" applyFont="1" applyBorder="1" applyAlignment="1">
      <alignment horizontal="right" vertical="center" wrapText="1"/>
    </xf>
    <xf numFmtId="3" fontId="68" fillId="0" borderId="130" xfId="14" applyNumberFormat="1" applyFont="1" applyBorder="1" applyAlignment="1">
      <alignment horizontal="right" vertical="center" wrapText="1"/>
    </xf>
    <xf numFmtId="3" fontId="68" fillId="0" borderId="131" xfId="14" applyNumberFormat="1" applyFont="1" applyBorder="1" applyAlignment="1">
      <alignment horizontal="right" vertical="center" wrapText="1"/>
    </xf>
    <xf numFmtId="3" fontId="68" fillId="0" borderId="132" xfId="14" applyNumberFormat="1" applyFont="1" applyBorder="1" applyAlignment="1">
      <alignment horizontal="right" vertical="center" wrapText="1"/>
    </xf>
    <xf numFmtId="0" fontId="102" fillId="0" borderId="104" xfId="14" applyFont="1" applyBorder="1" applyAlignment="1">
      <alignment vertical="center" wrapText="1"/>
    </xf>
    <xf numFmtId="3" fontId="68" fillId="0" borderId="116" xfId="14" applyNumberFormat="1" applyFont="1" applyBorder="1" applyAlignment="1">
      <alignment horizontal="right" vertical="center" wrapText="1"/>
    </xf>
    <xf numFmtId="3" fontId="68" fillId="0" borderId="115" xfId="14" applyNumberFormat="1" applyFont="1" applyBorder="1" applyAlignment="1">
      <alignment horizontal="right" vertical="center" wrapText="1"/>
    </xf>
    <xf numFmtId="3" fontId="68" fillId="0" borderId="108" xfId="14" applyNumberFormat="1" applyFont="1" applyBorder="1" applyAlignment="1">
      <alignment horizontal="right" vertical="center" wrapText="1"/>
    </xf>
    <xf numFmtId="3" fontId="68" fillId="0" borderId="138" xfId="14" applyNumberFormat="1" applyFont="1" applyBorder="1" applyAlignment="1">
      <alignment horizontal="right" vertical="center" wrapText="1"/>
    </xf>
    <xf numFmtId="3" fontId="68" fillId="0" borderId="105" xfId="14" applyNumberFormat="1" applyFont="1" applyBorder="1" applyAlignment="1">
      <alignment horizontal="right" vertical="center" wrapText="1"/>
    </xf>
    <xf numFmtId="49" fontId="102" fillId="2" borderId="130" xfId="10" applyNumberFormat="1" applyFont="1" applyFill="1" applyBorder="1" applyAlignment="1">
      <alignment horizontal="left" vertical="center" wrapText="1"/>
    </xf>
    <xf numFmtId="49" fontId="102" fillId="2" borderId="104" xfId="10" applyNumberFormat="1" applyFont="1" applyFill="1" applyBorder="1" applyAlignment="1">
      <alignment horizontal="left" vertical="center" wrapText="1"/>
    </xf>
    <xf numFmtId="3" fontId="102" fillId="2" borderId="116" xfId="9" applyNumberFormat="1" applyFont="1" applyFill="1" applyBorder="1" applyAlignment="1">
      <alignment horizontal="right" vertical="center" wrapText="1"/>
    </xf>
    <xf numFmtId="3" fontId="102" fillId="2" borderId="115" xfId="9" applyNumberFormat="1" applyFont="1" applyFill="1" applyBorder="1" applyAlignment="1">
      <alignment horizontal="right" vertical="center" wrapText="1"/>
    </xf>
    <xf numFmtId="3" fontId="102" fillId="2" borderId="130" xfId="9" applyNumberFormat="1" applyFont="1" applyFill="1" applyBorder="1" applyAlignment="1">
      <alignment horizontal="right" vertical="center" wrapText="1"/>
    </xf>
    <xf numFmtId="3" fontId="102" fillId="2" borderId="131" xfId="9" applyNumberFormat="1" applyFont="1" applyFill="1" applyBorder="1" applyAlignment="1">
      <alignment horizontal="right" vertical="center" wrapText="1"/>
    </xf>
    <xf numFmtId="3" fontId="102" fillId="2" borderId="132" xfId="9" applyNumberFormat="1" applyFont="1" applyFill="1" applyBorder="1" applyAlignment="1">
      <alignment horizontal="right" vertical="center" wrapText="1"/>
    </xf>
    <xf numFmtId="3" fontId="102" fillId="2" borderId="105" xfId="9" applyNumberFormat="1" applyFont="1" applyFill="1" applyBorder="1" applyAlignment="1">
      <alignment horizontal="right" vertical="center" wrapText="1"/>
    </xf>
    <xf numFmtId="3" fontId="102" fillId="2" borderId="108" xfId="9" applyNumberFormat="1" applyFont="1" applyFill="1" applyBorder="1" applyAlignment="1">
      <alignment horizontal="right" vertical="center" wrapText="1"/>
    </xf>
    <xf numFmtId="3" fontId="102" fillId="2" borderId="138" xfId="9" applyNumberFormat="1" applyFont="1" applyFill="1" applyBorder="1" applyAlignment="1">
      <alignment horizontal="right" vertical="center" wrapText="1"/>
    </xf>
    <xf numFmtId="0" fontId="102" fillId="0" borderId="130" xfId="0" applyFont="1" applyBorder="1" applyAlignment="1">
      <alignment vertical="center" wrapText="1"/>
    </xf>
    <xf numFmtId="0" fontId="102" fillId="0" borderId="104" xfId="0" applyFont="1" applyBorder="1" applyAlignment="1">
      <alignment vertical="center" wrapText="1"/>
    </xf>
    <xf numFmtId="3" fontId="102" fillId="0" borderId="116" xfId="9" applyNumberFormat="1" applyFont="1" applyBorder="1" applyAlignment="1">
      <alignment horizontal="right" vertical="center"/>
    </xf>
    <xf numFmtId="3" fontId="102" fillId="0" borderId="115" xfId="9" applyNumberFormat="1" applyFont="1" applyBorder="1" applyAlignment="1">
      <alignment horizontal="right" vertical="center"/>
    </xf>
    <xf numFmtId="3" fontId="102" fillId="0" borderId="130" xfId="9" applyNumberFormat="1" applyFont="1" applyBorder="1" applyAlignment="1">
      <alignment horizontal="right" vertical="center"/>
    </xf>
    <xf numFmtId="3" fontId="102" fillId="0" borderId="131" xfId="9" applyNumberFormat="1" applyFont="1" applyBorder="1" applyAlignment="1">
      <alignment horizontal="right" vertical="center"/>
    </xf>
    <xf numFmtId="3" fontId="102" fillId="0" borderId="132" xfId="9" applyNumberFormat="1" applyFont="1" applyBorder="1" applyAlignment="1">
      <alignment horizontal="right" vertical="center"/>
    </xf>
    <xf numFmtId="3" fontId="102" fillId="0" borderId="105" xfId="9" applyNumberFormat="1" applyFont="1" applyBorder="1" applyAlignment="1">
      <alignment horizontal="right" vertical="center"/>
    </xf>
    <xf numFmtId="49" fontId="47" fillId="2" borderId="130" xfId="10" applyNumberFormat="1" applyFont="1" applyFill="1" applyBorder="1" applyAlignment="1">
      <alignment horizontal="left" vertical="center" wrapText="1"/>
    </xf>
    <xf numFmtId="49" fontId="47" fillId="2" borderId="104" xfId="10" applyNumberFormat="1" applyFont="1" applyFill="1" applyBorder="1" applyAlignment="1">
      <alignment horizontal="left" vertical="center" wrapText="1"/>
    </xf>
    <xf numFmtId="3" fontId="47" fillId="2" borderId="116" xfId="10" applyNumberFormat="1" applyFont="1" applyFill="1" applyBorder="1" applyAlignment="1">
      <alignment horizontal="right" vertical="center" wrapText="1"/>
    </xf>
    <xf numFmtId="3" fontId="47" fillId="2" borderId="115" xfId="10" applyNumberFormat="1" applyFont="1" applyFill="1" applyBorder="1" applyAlignment="1">
      <alignment horizontal="right" vertical="center" wrapText="1"/>
    </xf>
    <xf numFmtId="3" fontId="47" fillId="2" borderId="108" xfId="10" applyNumberFormat="1" applyFont="1" applyFill="1" applyBorder="1" applyAlignment="1">
      <alignment horizontal="right" vertical="center" wrapText="1"/>
    </xf>
    <xf numFmtId="3" fontId="47" fillId="2" borderId="131" xfId="10" applyNumberFormat="1" applyFont="1" applyFill="1" applyBorder="1" applyAlignment="1">
      <alignment horizontal="right" vertical="center" wrapText="1"/>
    </xf>
    <xf numFmtId="3" fontId="47" fillId="2" borderId="138" xfId="10" applyNumberFormat="1" applyFont="1" applyFill="1" applyBorder="1" applyAlignment="1">
      <alignment horizontal="right" vertical="center" wrapText="1"/>
    </xf>
    <xf numFmtId="3" fontId="47" fillId="2" borderId="105" xfId="10" applyNumberFormat="1" applyFont="1" applyFill="1" applyBorder="1" applyAlignment="1">
      <alignment horizontal="right" vertical="center" wrapText="1"/>
    </xf>
    <xf numFmtId="3" fontId="47" fillId="2" borderId="130" xfId="10" applyNumberFormat="1" applyFont="1" applyFill="1" applyBorder="1" applyAlignment="1">
      <alignment horizontal="right" vertical="center" wrapText="1"/>
    </xf>
    <xf numFmtId="3" fontId="47" fillId="2" borderId="132" xfId="10" applyNumberFormat="1" applyFont="1" applyFill="1" applyBorder="1" applyAlignment="1">
      <alignment horizontal="right" vertical="center" wrapText="1"/>
    </xf>
    <xf numFmtId="0" fontId="102" fillId="2" borderId="130" xfId="9" applyFont="1" applyFill="1" applyBorder="1" applyAlignment="1">
      <alignment vertical="center" wrapText="1"/>
    </xf>
    <xf numFmtId="3" fontId="102" fillId="2" borderId="131" xfId="9" applyNumberFormat="1" applyFont="1" applyFill="1" applyBorder="1" applyAlignment="1">
      <alignment vertical="center" wrapText="1"/>
    </xf>
    <xf numFmtId="3" fontId="102" fillId="2" borderId="132" xfId="9" applyNumberFormat="1" applyFont="1" applyFill="1" applyBorder="1" applyAlignment="1">
      <alignment vertical="center" wrapText="1"/>
    </xf>
    <xf numFmtId="0" fontId="102" fillId="2" borderId="104" xfId="9" applyFont="1" applyFill="1" applyBorder="1" applyAlignment="1">
      <alignment vertical="center" wrapText="1"/>
    </xf>
    <xf numFmtId="0" fontId="102" fillId="0" borderId="130" xfId="14" applyFont="1" applyFill="1" applyBorder="1" applyAlignment="1">
      <alignment vertical="center" wrapText="1"/>
    </xf>
    <xf numFmtId="3" fontId="102" fillId="0" borderId="131" xfId="14" applyNumberFormat="1" applyFont="1" applyFill="1" applyBorder="1" applyAlignment="1">
      <alignment vertical="center" wrapText="1"/>
    </xf>
    <xf numFmtId="3" fontId="102" fillId="0" borderId="132" xfId="14" applyNumberFormat="1" applyFont="1" applyFill="1" applyBorder="1" applyAlignment="1">
      <alignment vertical="center" wrapText="1"/>
    </xf>
    <xf numFmtId="0" fontId="102" fillId="0" borderId="104" xfId="14" applyFont="1" applyFill="1" applyBorder="1" applyAlignment="1">
      <alignment vertical="center" wrapText="1"/>
    </xf>
    <xf numFmtId="3" fontId="102" fillId="0" borderId="116" xfId="14" applyNumberFormat="1" applyFont="1" applyFill="1" applyBorder="1" applyAlignment="1">
      <alignment horizontal="right" vertical="center" wrapText="1"/>
    </xf>
    <xf numFmtId="3" fontId="102" fillId="0" borderId="115" xfId="14" applyNumberFormat="1" applyFont="1" applyFill="1" applyBorder="1" applyAlignment="1">
      <alignment horizontal="right" vertical="center" wrapText="1"/>
    </xf>
    <xf numFmtId="3" fontId="102" fillId="0" borderId="108" xfId="14" applyNumberFormat="1" applyFont="1" applyFill="1" applyBorder="1" applyAlignment="1">
      <alignment horizontal="right" vertical="center" wrapText="1"/>
    </xf>
    <xf numFmtId="3" fontId="102" fillId="0" borderId="130" xfId="14" applyNumberFormat="1" applyFont="1" applyFill="1" applyBorder="1" applyAlignment="1">
      <alignment horizontal="right" vertical="center" wrapText="1"/>
    </xf>
    <xf numFmtId="3" fontId="102" fillId="0" borderId="131" xfId="14" applyNumberFormat="1" applyFont="1" applyFill="1" applyBorder="1" applyAlignment="1">
      <alignment horizontal="right" vertical="center" wrapText="1"/>
    </xf>
    <xf numFmtId="3" fontId="102" fillId="0" borderId="132" xfId="14" applyNumberFormat="1" applyFont="1" applyFill="1" applyBorder="1" applyAlignment="1">
      <alignment horizontal="right" vertical="center" wrapText="1"/>
    </xf>
    <xf numFmtId="3" fontId="102" fillId="0" borderId="105" xfId="14" applyNumberFormat="1" applyFont="1" applyFill="1" applyBorder="1" applyAlignment="1">
      <alignment horizontal="right" vertical="center" wrapText="1"/>
    </xf>
    <xf numFmtId="3" fontId="102" fillId="0" borderId="138" xfId="14" applyNumberFormat="1" applyFont="1" applyFill="1" applyBorder="1" applyAlignment="1">
      <alignment horizontal="right" vertical="center" wrapText="1"/>
    </xf>
    <xf numFmtId="3" fontId="68" fillId="0" borderId="130" xfId="14" applyNumberFormat="1" applyFont="1" applyFill="1" applyBorder="1" applyAlignment="1">
      <alignment horizontal="right" vertical="center" wrapText="1"/>
    </xf>
    <xf numFmtId="3" fontId="68" fillId="0" borderId="131" xfId="14" applyNumberFormat="1" applyFont="1" applyFill="1" applyBorder="1" applyAlignment="1">
      <alignment horizontal="right" vertical="center" wrapText="1"/>
    </xf>
    <xf numFmtId="3" fontId="68" fillId="0" borderId="132" xfId="14" applyNumberFormat="1" applyFont="1" applyFill="1" applyBorder="1" applyAlignment="1">
      <alignment horizontal="right" vertical="center" wrapText="1"/>
    </xf>
    <xf numFmtId="0" fontId="102" fillId="0" borderId="65" xfId="14" applyFont="1" applyBorder="1" applyAlignment="1">
      <alignment vertical="center" wrapText="1"/>
    </xf>
    <xf numFmtId="0" fontId="102" fillId="0" borderId="133" xfId="14" applyFont="1" applyBorder="1" applyAlignment="1">
      <alignment vertical="center" wrapText="1"/>
    </xf>
    <xf numFmtId="3" fontId="102" fillId="0" borderId="134" xfId="14" applyNumberFormat="1" applyFont="1" applyBorder="1" applyAlignment="1">
      <alignment vertical="center" wrapText="1"/>
    </xf>
    <xf numFmtId="3" fontId="102" fillId="0" borderId="135" xfId="14" applyNumberFormat="1" applyFont="1" applyBorder="1" applyAlignment="1">
      <alignment vertical="center" wrapText="1"/>
    </xf>
    <xf numFmtId="0" fontId="102" fillId="0" borderId="65" xfId="14" applyFont="1" applyFill="1" applyBorder="1" applyAlignment="1">
      <alignment vertical="center" wrapText="1"/>
    </xf>
    <xf numFmtId="3" fontId="102" fillId="0" borderId="85" xfId="14" applyNumberFormat="1" applyFont="1" applyBorder="1" applyAlignment="1">
      <alignment horizontal="right" vertical="center" wrapText="1"/>
    </xf>
    <xf numFmtId="3" fontId="102" fillId="0" borderId="86" xfId="14" applyNumberFormat="1" applyFont="1" applyBorder="1" applyAlignment="1">
      <alignment horizontal="right" vertical="center" wrapText="1"/>
    </xf>
    <xf numFmtId="3" fontId="102" fillId="0" borderId="83" xfId="14" applyNumberFormat="1" applyFont="1" applyBorder="1" applyAlignment="1">
      <alignment horizontal="right" vertical="center" wrapText="1"/>
    </xf>
    <xf numFmtId="3" fontId="102" fillId="0" borderId="133" xfId="14" applyNumberFormat="1" applyFont="1" applyBorder="1" applyAlignment="1">
      <alignment horizontal="right" vertical="center" wrapText="1"/>
    </xf>
    <xf numFmtId="3" fontId="102" fillId="0" borderId="134" xfId="14" applyNumberFormat="1" applyFont="1" applyBorder="1" applyAlignment="1">
      <alignment horizontal="right" vertical="center" wrapText="1"/>
    </xf>
    <xf numFmtId="3" fontId="102" fillId="0" borderId="135" xfId="14" applyNumberFormat="1" applyFont="1" applyBorder="1" applyAlignment="1">
      <alignment horizontal="right" vertical="center" wrapText="1"/>
    </xf>
    <xf numFmtId="3" fontId="102" fillId="0" borderId="64" xfId="14" applyNumberFormat="1" applyFont="1" applyBorder="1" applyAlignment="1">
      <alignment horizontal="right" vertical="center" wrapText="1"/>
    </xf>
    <xf numFmtId="3" fontId="102" fillId="0" borderId="129" xfId="14" applyNumberFormat="1" applyFont="1" applyBorder="1" applyAlignment="1">
      <alignment horizontal="right" vertical="center" wrapText="1"/>
    </xf>
    <xf numFmtId="3" fontId="102" fillId="0" borderId="107" xfId="14" applyNumberFormat="1" applyFont="1" applyBorder="1" applyAlignment="1">
      <alignment horizontal="right" vertical="center" wrapText="1"/>
    </xf>
    <xf numFmtId="3" fontId="102" fillId="0" borderId="144" xfId="14" applyNumberFormat="1" applyFont="1" applyBorder="1" applyAlignment="1">
      <alignment horizontal="right" vertical="center" wrapText="1"/>
    </xf>
    <xf numFmtId="3" fontId="68" fillId="0" borderId="133" xfId="14" applyNumberFormat="1" applyFont="1" applyBorder="1" applyAlignment="1">
      <alignment horizontal="right" vertical="center" wrapText="1"/>
    </xf>
    <xf numFmtId="3" fontId="68" fillId="0" borderId="134" xfId="14" applyNumberFormat="1" applyFont="1" applyBorder="1" applyAlignment="1">
      <alignment horizontal="right" vertical="center" wrapText="1"/>
    </xf>
    <xf numFmtId="3" fontId="68" fillId="0" borderId="135" xfId="14" applyNumberFormat="1" applyFont="1" applyBorder="1" applyAlignment="1">
      <alignment horizontal="right" vertical="center" wrapText="1"/>
    </xf>
    <xf numFmtId="0" fontId="68" fillId="0" borderId="7" xfId="14" applyFont="1" applyBorder="1" applyAlignment="1">
      <alignment horizontal="left" vertical="center"/>
    </xf>
    <xf numFmtId="3" fontId="68" fillId="0" borderId="8" xfId="14" applyNumberFormat="1" applyFont="1" applyBorder="1" applyAlignment="1">
      <alignment horizontal="right" vertical="center"/>
    </xf>
    <xf numFmtId="3" fontId="68" fillId="0" borderId="9" xfId="14" applyNumberFormat="1" applyFont="1" applyBorder="1" applyAlignment="1">
      <alignment horizontal="right" vertical="center"/>
    </xf>
    <xf numFmtId="0" fontId="68" fillId="0" borderId="4" xfId="14" applyFont="1" applyBorder="1" applyAlignment="1">
      <alignment horizontal="left" vertical="center"/>
    </xf>
    <xf numFmtId="3" fontId="68" fillId="0" borderId="7" xfId="14" applyNumberFormat="1" applyFont="1" applyBorder="1" applyAlignment="1">
      <alignment horizontal="right" vertical="center"/>
    </xf>
    <xf numFmtId="3" fontId="68" fillId="0" borderId="32" xfId="14" applyNumberFormat="1" applyFont="1" applyBorder="1" applyAlignment="1">
      <alignment horizontal="right" vertical="center"/>
    </xf>
    <xf numFmtId="3" fontId="68" fillId="0" borderId="10" xfId="14" applyNumberFormat="1" applyFont="1" applyBorder="1" applyAlignment="1">
      <alignment horizontal="right" vertical="center"/>
    </xf>
    <xf numFmtId="3" fontId="68" fillId="0" borderId="13" xfId="14" applyNumberFormat="1" applyFont="1" applyBorder="1" applyAlignment="1">
      <alignment horizontal="right" vertical="center"/>
    </xf>
    <xf numFmtId="3" fontId="68" fillId="0" borderId="38" xfId="14" applyNumberFormat="1" applyFont="1" applyBorder="1" applyAlignment="1">
      <alignment horizontal="right" vertical="center"/>
    </xf>
    <xf numFmtId="3" fontId="68" fillId="0" borderId="14" xfId="14" applyNumberFormat="1" applyFont="1" applyBorder="1" applyAlignment="1">
      <alignment horizontal="right" vertical="center"/>
    </xf>
    <xf numFmtId="0" fontId="57" fillId="0" borderId="8" xfId="9" applyFont="1" applyFill="1" applyBorder="1" applyAlignment="1">
      <alignment horizontal="center" vertical="center" wrapText="1"/>
    </xf>
    <xf numFmtId="0" fontId="57" fillId="0" borderId="74" xfId="9" applyFont="1" applyFill="1" applyBorder="1" applyAlignment="1">
      <alignment horizontal="center" vertical="center" wrapText="1"/>
    </xf>
    <xf numFmtId="3" fontId="42" fillId="0" borderId="138" xfId="10" applyNumberFormat="1" applyFont="1" applyFill="1" applyBorder="1" applyAlignment="1">
      <alignment vertical="center"/>
    </xf>
    <xf numFmtId="3" fontId="50" fillId="0" borderId="131" xfId="20" applyNumberFormat="1" applyFont="1" applyBorder="1" applyAlignment="1" applyProtection="1">
      <alignment horizontal="right"/>
    </xf>
    <xf numFmtId="3" fontId="50" fillId="0" borderId="132" xfId="20" applyNumberFormat="1" applyFont="1" applyBorder="1" applyAlignment="1" applyProtection="1">
      <alignment horizontal="right"/>
    </xf>
    <xf numFmtId="0" fontId="20" fillId="0" borderId="148" xfId="20" applyFont="1" applyBorder="1" applyAlignment="1" applyProtection="1">
      <alignment horizontal="left"/>
    </xf>
    <xf numFmtId="0" fontId="20" fillId="0" borderId="148" xfId="0" applyFont="1" applyBorder="1"/>
    <xf numFmtId="0" fontId="20" fillId="0" borderId="180" xfId="0" applyFont="1" applyBorder="1"/>
    <xf numFmtId="0" fontId="20" fillId="0" borderId="160" xfId="0" applyFont="1" applyBorder="1"/>
    <xf numFmtId="3" fontId="20" fillId="0" borderId="160" xfId="0" applyNumberFormat="1" applyFont="1" applyBorder="1"/>
    <xf numFmtId="3" fontId="50" fillId="0" borderId="134" xfId="20" applyNumberFormat="1" applyFont="1" applyBorder="1" applyAlignment="1" applyProtection="1">
      <alignment horizontal="right"/>
    </xf>
    <xf numFmtId="3" fontId="50" fillId="0" borderId="135" xfId="20" applyNumberFormat="1" applyFont="1" applyBorder="1" applyAlignment="1" applyProtection="1">
      <alignment horizontal="right"/>
    </xf>
    <xf numFmtId="3" fontId="39" fillId="0" borderId="57" xfId="20" applyNumberFormat="1" applyFont="1" applyBorder="1" applyAlignment="1" applyProtection="1">
      <alignment horizontal="right"/>
    </xf>
    <xf numFmtId="3" fontId="50" fillId="0" borderId="82" xfId="20" applyNumberFormat="1" applyFont="1" applyBorder="1" applyAlignment="1" applyProtection="1">
      <alignment horizontal="right"/>
    </xf>
    <xf numFmtId="3" fontId="50" fillId="0" borderId="111" xfId="20" applyNumberFormat="1" applyFont="1" applyBorder="1" applyAlignment="1" applyProtection="1">
      <alignment horizontal="right"/>
    </xf>
    <xf numFmtId="0" fontId="21" fillId="0" borderId="160" xfId="20" applyFont="1" applyFill="1" applyBorder="1" applyAlignment="1" applyProtection="1">
      <alignment horizontal="center" vertical="center" wrapText="1"/>
    </xf>
    <xf numFmtId="0" fontId="21" fillId="0" borderId="161" xfId="20" applyFont="1" applyFill="1" applyBorder="1" applyAlignment="1" applyProtection="1">
      <alignment horizontal="center" vertical="center" wrapText="1"/>
    </xf>
    <xf numFmtId="0" fontId="21" fillId="0" borderId="134" xfId="20" applyFont="1" applyFill="1" applyBorder="1" applyAlignment="1" applyProtection="1">
      <alignment horizontal="center" vertical="center" wrapText="1"/>
    </xf>
    <xf numFmtId="0" fontId="21" fillId="0" borderId="135" xfId="20" applyFont="1" applyFill="1" applyBorder="1" applyAlignment="1" applyProtection="1">
      <alignment horizontal="center" vertical="center" wrapText="1"/>
    </xf>
    <xf numFmtId="0" fontId="20" fillId="0" borderId="60" xfId="20" applyFont="1" applyBorder="1" applyProtection="1"/>
    <xf numFmtId="0" fontId="20" fillId="0" borderId="60" xfId="0" applyFont="1" applyBorder="1"/>
    <xf numFmtId="0" fontId="20" fillId="0" borderId="161" xfId="0" applyFont="1" applyBorder="1"/>
    <xf numFmtId="3" fontId="21" fillId="0" borderId="191" xfId="20" applyNumberFormat="1" applyFont="1" applyFill="1" applyBorder="1" applyAlignment="1" applyProtection="1">
      <alignment horizontal="center" vertical="center" wrapText="1"/>
    </xf>
    <xf numFmtId="3" fontId="39" fillId="0" borderId="73" xfId="20" applyNumberFormat="1" applyFont="1" applyBorder="1" applyAlignment="1" applyProtection="1">
      <alignment horizontal="right"/>
    </xf>
    <xf numFmtId="3" fontId="20" fillId="0" borderId="59" xfId="20" applyNumberFormat="1" applyFont="1" applyBorder="1" applyAlignment="1" applyProtection="1">
      <alignment horizontal="right"/>
    </xf>
    <xf numFmtId="3" fontId="39" fillId="0" borderId="59" xfId="20" applyNumberFormat="1" applyFont="1" applyBorder="1" applyAlignment="1" applyProtection="1">
      <alignment horizontal="right"/>
    </xf>
    <xf numFmtId="3" fontId="20" fillId="0" borderId="59" xfId="0" applyNumberFormat="1" applyFont="1" applyBorder="1"/>
    <xf numFmtId="3" fontId="20" fillId="0" borderId="191" xfId="0" applyNumberFormat="1" applyFont="1" applyBorder="1"/>
    <xf numFmtId="0" fontId="21" fillId="0" borderId="180" xfId="20" applyFont="1" applyFill="1" applyBorder="1" applyAlignment="1" applyProtection="1">
      <alignment horizontal="center" vertical="center" wrapText="1"/>
    </xf>
    <xf numFmtId="0" fontId="21" fillId="0" borderId="194" xfId="20" applyFont="1" applyFill="1" applyBorder="1" applyAlignment="1" applyProtection="1">
      <alignment horizontal="center" vertical="center" wrapText="1"/>
    </xf>
    <xf numFmtId="3" fontId="39" fillId="0" borderId="190" xfId="20" applyNumberFormat="1" applyFont="1" applyBorder="1" applyAlignment="1" applyProtection="1">
      <alignment horizontal="right"/>
    </xf>
    <xf numFmtId="3" fontId="39" fillId="0" borderId="195" xfId="20" applyNumberFormat="1" applyFont="1" applyBorder="1" applyAlignment="1" applyProtection="1">
      <alignment horizontal="right"/>
    </xf>
    <xf numFmtId="3" fontId="20" fillId="0" borderId="148" xfId="20" applyNumberFormat="1" applyFont="1" applyBorder="1" applyAlignment="1" applyProtection="1">
      <alignment horizontal="right"/>
    </xf>
    <xf numFmtId="3" fontId="20" fillId="0" borderId="153" xfId="20" applyNumberFormat="1" applyFont="1" applyBorder="1" applyAlignment="1" applyProtection="1">
      <alignment horizontal="right"/>
    </xf>
    <xf numFmtId="3" fontId="39" fillId="0" borderId="148" xfId="20" applyNumberFormat="1" applyFont="1" applyBorder="1" applyAlignment="1" applyProtection="1">
      <alignment horizontal="right"/>
    </xf>
    <xf numFmtId="3" fontId="39" fillId="0" borderId="153" xfId="20" applyNumberFormat="1" applyFont="1" applyBorder="1" applyAlignment="1" applyProtection="1">
      <alignment horizontal="right"/>
    </xf>
    <xf numFmtId="0" fontId="20" fillId="0" borderId="153" xfId="0" applyFont="1" applyBorder="1"/>
    <xf numFmtId="0" fontId="20" fillId="0" borderId="194" xfId="0" applyFont="1" applyBorder="1"/>
    <xf numFmtId="3" fontId="39" fillId="0" borderId="72" xfId="20" applyNumberFormat="1" applyFont="1" applyBorder="1" applyAlignment="1" applyProtection="1">
      <alignment horizontal="right"/>
    </xf>
    <xf numFmtId="3" fontId="20" fillId="0" borderId="60" xfId="20" applyNumberFormat="1" applyFont="1" applyBorder="1" applyAlignment="1" applyProtection="1">
      <alignment horizontal="right"/>
    </xf>
    <xf numFmtId="3" fontId="39" fillId="0" borderId="60" xfId="20" applyNumberFormat="1" applyFont="1" applyBorder="1" applyAlignment="1" applyProtection="1">
      <alignment horizontal="right"/>
    </xf>
    <xf numFmtId="3" fontId="39" fillId="0" borderId="60" xfId="0" applyNumberFormat="1" applyFont="1" applyBorder="1"/>
    <xf numFmtId="3" fontId="20" fillId="0" borderId="60" xfId="0" applyNumberFormat="1" applyFont="1" applyBorder="1"/>
    <xf numFmtId="3" fontId="20" fillId="0" borderId="161" xfId="0" applyNumberFormat="1" applyFont="1" applyBorder="1"/>
    <xf numFmtId="0" fontId="21" fillId="0" borderId="142" xfId="20" applyFont="1" applyFill="1" applyBorder="1" applyAlignment="1" applyProtection="1">
      <alignment horizontal="center" vertical="center" wrapText="1"/>
    </xf>
    <xf numFmtId="3" fontId="50" fillId="0" borderId="93" xfId="20" applyNumberFormat="1" applyFont="1" applyBorder="1" applyAlignment="1" applyProtection="1">
      <alignment horizontal="right"/>
    </xf>
    <xf numFmtId="3" fontId="50" fillId="0" borderId="141" xfId="20" applyNumberFormat="1" applyFont="1" applyBorder="1" applyAlignment="1" applyProtection="1">
      <alignment horizontal="right"/>
    </xf>
    <xf numFmtId="3" fontId="50" fillId="0" borderId="142" xfId="20" applyNumberFormat="1" applyFont="1" applyBorder="1" applyAlignment="1" applyProtection="1">
      <alignment horizontal="right"/>
    </xf>
    <xf numFmtId="3" fontId="20" fillId="0" borderId="148" xfId="0" applyNumberFormat="1" applyFont="1" applyBorder="1"/>
    <xf numFmtId="3" fontId="20" fillId="0" borderId="153" xfId="0" applyNumberFormat="1" applyFont="1" applyBorder="1"/>
    <xf numFmtId="3" fontId="20" fillId="0" borderId="180" xfId="0" applyNumberFormat="1" applyFont="1" applyBorder="1"/>
    <xf numFmtId="3" fontId="20" fillId="0" borderId="194" xfId="0" applyNumberFormat="1" applyFont="1" applyBorder="1"/>
    <xf numFmtId="3" fontId="42" fillId="0" borderId="161" xfId="0" applyNumberFormat="1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55" xfId="1" applyFont="1" applyFill="1" applyBorder="1" applyAlignment="1">
      <alignment horizontal="center" vertical="center"/>
    </xf>
    <xf numFmtId="0" fontId="2" fillId="0" borderId="40" xfId="1" applyFont="1" applyFill="1" applyBorder="1" applyAlignment="1">
      <alignment horizontal="center" vertical="center"/>
    </xf>
    <xf numFmtId="0" fontId="2" fillId="0" borderId="54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2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4" fillId="2" borderId="52" xfId="0" applyFont="1" applyFill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9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20" fillId="0" borderId="34" xfId="5" applyFont="1" applyBorder="1" applyAlignment="1">
      <alignment horizontal="center" vertical="center"/>
    </xf>
    <xf numFmtId="0" fontId="20" fillId="0" borderId="25" xfId="5" applyFont="1" applyBorder="1" applyAlignment="1">
      <alignment horizontal="center" vertical="center"/>
    </xf>
    <xf numFmtId="0" fontId="20" fillId="0" borderId="12" xfId="5" applyFont="1" applyBorder="1" applyAlignment="1">
      <alignment horizontal="center" vertical="center"/>
    </xf>
    <xf numFmtId="0" fontId="21" fillId="0" borderId="43" xfId="5" applyFont="1" applyBorder="1" applyAlignment="1">
      <alignment horizontal="center" vertical="center"/>
    </xf>
    <xf numFmtId="0" fontId="21" fillId="0" borderId="39" xfId="5" applyFont="1" applyBorder="1" applyAlignment="1">
      <alignment horizontal="center" vertical="center"/>
    </xf>
    <xf numFmtId="0" fontId="21" fillId="0" borderId="38" xfId="5" applyFont="1" applyBorder="1" applyAlignment="1">
      <alignment horizontal="center" vertical="center"/>
    </xf>
    <xf numFmtId="0" fontId="43" fillId="0" borderId="56" xfId="5" applyFont="1" applyBorder="1" applyAlignment="1">
      <alignment horizontal="left" vertical="center" wrapText="1"/>
    </xf>
    <xf numFmtId="0" fontId="43" fillId="0" borderId="69" xfId="5" applyFont="1" applyBorder="1" applyAlignment="1">
      <alignment horizontal="left" vertical="center" wrapText="1"/>
    </xf>
    <xf numFmtId="0" fontId="43" fillId="0" borderId="70" xfId="5" applyFont="1" applyBorder="1" applyAlignment="1">
      <alignment horizontal="left" vertical="center" wrapText="1"/>
    </xf>
    <xf numFmtId="0" fontId="20" fillId="0" borderId="19" xfId="5" applyFont="1" applyBorder="1" applyAlignment="1">
      <alignment horizontal="center" vertical="center"/>
    </xf>
    <xf numFmtId="0" fontId="20" fillId="0" borderId="26" xfId="5" applyFont="1" applyBorder="1" applyAlignment="1">
      <alignment horizontal="center" vertical="center"/>
    </xf>
    <xf numFmtId="0" fontId="20" fillId="0" borderId="13" xfId="5" applyFont="1" applyBorder="1" applyAlignment="1">
      <alignment horizontal="center" vertical="center"/>
    </xf>
    <xf numFmtId="0" fontId="43" fillId="0" borderId="20" xfId="5" applyFont="1" applyBorder="1" applyAlignment="1">
      <alignment horizontal="left" vertical="center" wrapText="1"/>
    </xf>
    <xf numFmtId="0" fontId="43" fillId="0" borderId="23" xfId="5" applyFont="1" applyBorder="1" applyAlignment="1">
      <alignment horizontal="left" vertical="center" wrapText="1"/>
    </xf>
    <xf numFmtId="0" fontId="43" fillId="0" borderId="14" xfId="5" applyFont="1" applyBorder="1" applyAlignment="1">
      <alignment horizontal="left" vertical="center" wrapText="1"/>
    </xf>
    <xf numFmtId="0" fontId="20" fillId="0" borderId="143" xfId="5" applyFont="1" applyBorder="1" applyAlignment="1">
      <alignment horizontal="center" vertical="center"/>
    </xf>
    <xf numFmtId="49" fontId="7" fillId="0" borderId="128" xfId="0" applyNumberFormat="1" applyFont="1" applyBorder="1" applyAlignment="1">
      <alignment horizontal="center" vertical="center"/>
    </xf>
    <xf numFmtId="49" fontId="7" fillId="0" borderId="39" xfId="0" applyNumberFormat="1" applyFont="1" applyBorder="1" applyAlignment="1">
      <alignment horizontal="center" vertical="center"/>
    </xf>
    <xf numFmtId="49" fontId="7" fillId="0" borderId="38" xfId="0" applyNumberFormat="1" applyFont="1" applyBorder="1" applyAlignment="1">
      <alignment horizontal="center" vertical="center"/>
    </xf>
    <xf numFmtId="0" fontId="38" fillId="0" borderId="147" xfId="0" applyFont="1" applyBorder="1" applyAlignment="1">
      <alignment horizontal="left" vertical="center" wrapText="1"/>
    </xf>
    <xf numFmtId="0" fontId="38" fillId="0" borderId="23" xfId="0" applyFont="1" applyBorder="1" applyAlignment="1">
      <alignment horizontal="left" vertical="center" wrapText="1"/>
    </xf>
    <xf numFmtId="0" fontId="38" fillId="0" borderId="14" xfId="0" applyFont="1" applyBorder="1" applyAlignment="1">
      <alignment horizontal="left" vertical="center" wrapText="1"/>
    </xf>
    <xf numFmtId="0" fontId="20" fillId="0" borderId="125" xfId="5" applyFont="1" applyBorder="1" applyAlignment="1">
      <alignment horizontal="center" vertical="center"/>
    </xf>
    <xf numFmtId="49" fontId="7" fillId="0" borderId="82" xfId="0" applyNumberFormat="1" applyFont="1" applyBorder="1" applyAlignment="1">
      <alignment horizontal="center" vertical="center"/>
    </xf>
    <xf numFmtId="0" fontId="38" fillId="0" borderId="111" xfId="0" applyFont="1" applyBorder="1" applyAlignment="1">
      <alignment horizontal="left" vertical="center" wrapText="1"/>
    </xf>
    <xf numFmtId="49" fontId="7" fillId="0" borderId="128" xfId="0" applyNumberFormat="1" applyFont="1" applyBorder="1" applyAlignment="1">
      <alignment horizontal="center" vertical="center" wrapText="1"/>
    </xf>
    <xf numFmtId="49" fontId="7" fillId="0" borderId="39" xfId="0" applyNumberFormat="1" applyFont="1" applyBorder="1" applyAlignment="1">
      <alignment horizontal="center" vertical="center" wrapText="1"/>
    </xf>
    <xf numFmtId="49" fontId="7" fillId="0" borderId="82" xfId="0" applyNumberFormat="1" applyFont="1" applyBorder="1" applyAlignment="1">
      <alignment horizontal="center" vertical="center" wrapText="1"/>
    </xf>
    <xf numFmtId="0" fontId="20" fillId="0" borderId="143" xfId="5" applyFont="1" applyFill="1" applyBorder="1" applyAlignment="1">
      <alignment horizontal="center" vertical="center"/>
    </xf>
    <xf numFmtId="0" fontId="20" fillId="0" borderId="26" xfId="5" applyFont="1" applyFill="1" applyBorder="1" applyAlignment="1">
      <alignment horizontal="center" vertical="center"/>
    </xf>
    <xf numFmtId="0" fontId="20" fillId="0" borderId="125" xfId="5" applyFont="1" applyFill="1" applyBorder="1" applyAlignment="1">
      <alignment horizontal="center" vertical="center"/>
    </xf>
    <xf numFmtId="49" fontId="7" fillId="0" borderId="128" xfId="0" applyNumberFormat="1" applyFont="1" applyFill="1" applyBorder="1" applyAlignment="1">
      <alignment horizontal="center" vertical="center"/>
    </xf>
    <xf numFmtId="49" fontId="7" fillId="0" borderId="39" xfId="0" applyNumberFormat="1" applyFont="1" applyFill="1" applyBorder="1" applyAlignment="1">
      <alignment horizontal="center" vertical="center"/>
    </xf>
    <xf numFmtId="49" fontId="7" fillId="0" borderId="82" xfId="0" applyNumberFormat="1" applyFont="1" applyFill="1" applyBorder="1" applyAlignment="1">
      <alignment horizontal="center" vertical="center"/>
    </xf>
    <xf numFmtId="0" fontId="38" fillId="0" borderId="147" xfId="0" applyFont="1" applyFill="1" applyBorder="1" applyAlignment="1">
      <alignment horizontal="left" vertical="center" wrapText="1"/>
    </xf>
    <xf numFmtId="0" fontId="38" fillId="0" borderId="23" xfId="0" applyFont="1" applyFill="1" applyBorder="1" applyAlignment="1">
      <alignment horizontal="left" vertical="center" wrapText="1"/>
    </xf>
    <xf numFmtId="0" fontId="38" fillId="0" borderId="111" xfId="0" applyFont="1" applyFill="1" applyBorder="1" applyAlignment="1">
      <alignment horizontal="left" vertical="center" wrapText="1"/>
    </xf>
    <xf numFmtId="49" fontId="20" fillId="0" borderId="128" xfId="5" applyNumberFormat="1" applyFont="1" applyBorder="1" applyAlignment="1">
      <alignment horizontal="center" vertical="center"/>
    </xf>
    <xf numFmtId="49" fontId="20" fillId="0" borderId="39" xfId="5" applyNumberFormat="1" applyFont="1" applyBorder="1" applyAlignment="1">
      <alignment horizontal="center" vertical="center"/>
    </xf>
    <xf numFmtId="49" fontId="20" fillId="0" borderId="82" xfId="5" applyNumberFormat="1" applyFont="1" applyBorder="1" applyAlignment="1">
      <alignment horizontal="center" vertical="center"/>
    </xf>
    <xf numFmtId="0" fontId="42" fillId="0" borderId="147" xfId="5" applyFont="1" applyBorder="1" applyAlignment="1">
      <alignment horizontal="left" vertical="center" wrapText="1"/>
    </xf>
    <xf numFmtId="0" fontId="42" fillId="0" borderId="23" xfId="5" applyFont="1" applyBorder="1" applyAlignment="1">
      <alignment horizontal="left" vertical="center" wrapText="1"/>
    </xf>
    <xf numFmtId="0" fontId="42" fillId="0" borderId="111" xfId="5" applyFont="1" applyBorder="1" applyAlignment="1">
      <alignment horizontal="left" vertical="center" wrapText="1"/>
    </xf>
    <xf numFmtId="0" fontId="42" fillId="0" borderId="147" xfId="5" applyFont="1" applyBorder="1" applyAlignment="1">
      <alignment vertical="center" wrapText="1"/>
    </xf>
    <xf numFmtId="0" fontId="42" fillId="0" borderId="23" xfId="5" applyFont="1" applyBorder="1" applyAlignment="1">
      <alignment vertical="center" wrapText="1"/>
    </xf>
    <xf numFmtId="0" fontId="42" fillId="0" borderId="111" xfId="5" applyFont="1" applyBorder="1" applyAlignment="1">
      <alignment vertical="center" wrapText="1"/>
    </xf>
    <xf numFmtId="0" fontId="20" fillId="2" borderId="19" xfId="5" applyFont="1" applyFill="1" applyBorder="1" applyAlignment="1">
      <alignment horizontal="center" vertical="center"/>
    </xf>
    <xf numFmtId="0" fontId="20" fillId="2" borderId="26" xfId="5" applyFont="1" applyFill="1" applyBorder="1" applyAlignment="1">
      <alignment horizontal="center" vertical="center"/>
    </xf>
    <xf numFmtId="0" fontId="20" fillId="2" borderId="125" xfId="5" applyFont="1" applyFill="1" applyBorder="1" applyAlignment="1">
      <alignment horizontal="center" vertical="center"/>
    </xf>
    <xf numFmtId="49" fontId="20" fillId="0" borderId="43" xfId="5" applyNumberFormat="1" applyFont="1" applyBorder="1" applyAlignment="1">
      <alignment horizontal="center" vertical="center"/>
    </xf>
    <xf numFmtId="0" fontId="42" fillId="0" borderId="20" xfId="5" applyFont="1" applyBorder="1" applyAlignment="1">
      <alignment horizontal="left" vertical="center" wrapText="1"/>
    </xf>
    <xf numFmtId="0" fontId="20" fillId="2" borderId="143" xfId="5" applyFont="1" applyFill="1" applyBorder="1" applyAlignment="1">
      <alignment horizontal="center" vertical="center"/>
    </xf>
    <xf numFmtId="0" fontId="48" fillId="0" borderId="0" xfId="5" applyFont="1" applyAlignment="1">
      <alignment horizontal="center" vertical="center" wrapText="1"/>
    </xf>
    <xf numFmtId="0" fontId="68" fillId="0" borderId="0" xfId="4" applyFont="1" applyAlignment="1">
      <alignment horizontal="center" vertical="center"/>
    </xf>
    <xf numFmtId="0" fontId="48" fillId="0" borderId="50" xfId="5" applyFont="1" applyBorder="1" applyAlignment="1">
      <alignment horizontal="center" vertical="center"/>
    </xf>
    <xf numFmtId="0" fontId="48" fillId="0" borderId="51" xfId="5" applyFont="1" applyBorder="1" applyAlignment="1">
      <alignment horizontal="center" vertical="center"/>
    </xf>
    <xf numFmtId="0" fontId="48" fillId="0" borderId="52" xfId="5" applyFont="1" applyBorder="1" applyAlignment="1">
      <alignment horizontal="center" vertical="center"/>
    </xf>
    <xf numFmtId="0" fontId="48" fillId="0" borderId="143" xfId="5" applyFont="1" applyBorder="1" applyAlignment="1">
      <alignment horizontal="center" vertical="center"/>
    </xf>
    <xf numFmtId="0" fontId="48" fillId="0" borderId="128" xfId="5" applyFont="1" applyBorder="1" applyAlignment="1">
      <alignment horizontal="center" vertical="center"/>
    </xf>
    <xf numFmtId="0" fontId="48" fillId="0" borderId="147" xfId="5" applyFont="1" applyBorder="1" applyAlignment="1">
      <alignment horizontal="center" vertical="center"/>
    </xf>
    <xf numFmtId="0" fontId="48" fillId="0" borderId="53" xfId="5" applyFont="1" applyBorder="1" applyAlignment="1">
      <alignment horizontal="center" vertical="center"/>
    </xf>
    <xf numFmtId="0" fontId="48" fillId="0" borderId="145" xfId="5" applyFont="1" applyBorder="1" applyAlignment="1">
      <alignment horizontal="center" vertical="center"/>
    </xf>
    <xf numFmtId="0" fontId="48" fillId="0" borderId="53" xfId="5" applyFont="1" applyFill="1" applyBorder="1" applyAlignment="1">
      <alignment horizontal="center" vertical="center"/>
    </xf>
    <xf numFmtId="0" fontId="48" fillId="0" borderId="145" xfId="5" applyFont="1" applyFill="1" applyBorder="1" applyAlignment="1">
      <alignment horizontal="center" vertical="center"/>
    </xf>
    <xf numFmtId="0" fontId="48" fillId="0" borderId="50" xfId="5" applyFont="1" applyBorder="1" applyAlignment="1">
      <alignment horizontal="center" vertical="center" wrapText="1"/>
    </xf>
    <xf numFmtId="0" fontId="72" fillId="2" borderId="19" xfId="6" applyFont="1" applyFill="1" applyBorder="1" applyAlignment="1">
      <alignment horizontal="center" vertical="center"/>
    </xf>
    <xf numFmtId="0" fontId="72" fillId="2" borderId="26" xfId="6" applyFont="1" applyFill="1" applyBorder="1" applyAlignment="1">
      <alignment horizontal="center" vertical="center"/>
    </xf>
    <xf numFmtId="0" fontId="72" fillId="2" borderId="125" xfId="6" applyFont="1" applyFill="1" applyBorder="1" applyAlignment="1">
      <alignment horizontal="center" vertical="center"/>
    </xf>
    <xf numFmtId="0" fontId="72" fillId="2" borderId="143" xfId="6" applyFont="1" applyFill="1" applyBorder="1" applyAlignment="1">
      <alignment horizontal="center" vertical="center"/>
    </xf>
    <xf numFmtId="0" fontId="72" fillId="2" borderId="13" xfId="6" applyFont="1" applyFill="1" applyBorder="1" applyAlignment="1">
      <alignment horizontal="center" vertical="center"/>
    </xf>
    <xf numFmtId="0" fontId="70" fillId="0" borderId="129" xfId="6" applyFont="1" applyBorder="1" applyAlignment="1">
      <alignment horizontal="center" vertical="center" wrapText="1"/>
    </xf>
    <xf numFmtId="0" fontId="70" fillId="0" borderId="127" xfId="6" applyFont="1" applyBorder="1" applyAlignment="1">
      <alignment horizontal="center" vertical="center" wrapText="1"/>
    </xf>
    <xf numFmtId="0" fontId="70" fillId="0" borderId="126" xfId="6" applyFont="1" applyBorder="1" applyAlignment="1">
      <alignment horizontal="center" vertical="center" wrapText="1"/>
    </xf>
    <xf numFmtId="0" fontId="70" fillId="0" borderId="91" xfId="6" applyFont="1" applyBorder="1" applyAlignment="1">
      <alignment horizontal="center" vertical="center" wrapText="1"/>
    </xf>
    <xf numFmtId="0" fontId="70" fillId="0" borderId="48" xfId="6" applyFont="1" applyBorder="1" applyAlignment="1">
      <alignment horizontal="center" vertical="center" wrapText="1"/>
    </xf>
    <xf numFmtId="0" fontId="70" fillId="0" borderId="84" xfId="6" applyFont="1" applyBorder="1" applyAlignment="1">
      <alignment horizontal="center" vertical="center" wrapText="1"/>
    </xf>
    <xf numFmtId="0" fontId="73" fillId="0" borderId="19" xfId="6" applyFont="1" applyBorder="1" applyAlignment="1">
      <alignment horizontal="left" vertical="center"/>
    </xf>
    <xf numFmtId="0" fontId="73" fillId="0" borderId="43" xfId="6" applyFont="1" applyBorder="1" applyAlignment="1">
      <alignment horizontal="left" vertical="center"/>
    </xf>
    <xf numFmtId="0" fontId="73" fillId="0" borderId="20" xfId="6" applyFont="1" applyBorder="1" applyAlignment="1">
      <alignment horizontal="left" vertical="center"/>
    </xf>
    <xf numFmtId="49" fontId="72" fillId="0" borderId="43" xfId="6" applyNumberFormat="1" applyFont="1" applyBorder="1" applyAlignment="1">
      <alignment horizontal="center" vertical="center"/>
    </xf>
    <xf numFmtId="49" fontId="72" fillId="0" borderId="39" xfId="6" applyNumberFormat="1" applyFont="1" applyBorder="1" applyAlignment="1">
      <alignment horizontal="center" vertical="center"/>
    </xf>
    <xf numFmtId="49" fontId="72" fillId="0" borderId="82" xfId="6" applyNumberFormat="1" applyFont="1" applyBorder="1" applyAlignment="1">
      <alignment horizontal="center" vertical="center"/>
    </xf>
    <xf numFmtId="0" fontId="72" fillId="0" borderId="43" xfId="6" applyFont="1" applyBorder="1" applyAlignment="1">
      <alignment horizontal="left" vertical="center" wrapText="1"/>
    </xf>
    <xf numFmtId="0" fontId="72" fillId="0" borderId="39" xfId="6" applyFont="1" applyBorder="1" applyAlignment="1">
      <alignment horizontal="left" vertical="center" wrapText="1"/>
    </xf>
    <xf numFmtId="0" fontId="72" fillId="0" borderId="82" xfId="6" applyFont="1" applyBorder="1" applyAlignment="1">
      <alignment horizontal="left" vertical="center" wrapText="1"/>
    </xf>
    <xf numFmtId="0" fontId="72" fillId="0" borderId="128" xfId="6" applyFont="1" applyBorder="1" applyAlignment="1">
      <alignment horizontal="left" vertical="center" wrapText="1"/>
    </xf>
    <xf numFmtId="49" fontId="72" fillId="0" borderId="128" xfId="6" applyNumberFormat="1" applyFont="1" applyBorder="1" applyAlignment="1">
      <alignment horizontal="center" vertical="center"/>
    </xf>
    <xf numFmtId="0" fontId="52" fillId="0" borderId="128" xfId="0" applyFont="1" applyBorder="1" applyAlignment="1">
      <alignment horizontal="left" vertical="center" wrapText="1"/>
    </xf>
    <xf numFmtId="0" fontId="52" fillId="0" borderId="39" xfId="0" applyFont="1" applyBorder="1" applyAlignment="1">
      <alignment horizontal="left" vertical="center" wrapText="1"/>
    </xf>
    <xf numFmtId="0" fontId="52" fillId="0" borderId="82" xfId="0" applyFont="1" applyBorder="1" applyAlignment="1">
      <alignment horizontal="left" vertical="center" wrapText="1"/>
    </xf>
    <xf numFmtId="49" fontId="72" fillId="0" borderId="131" xfId="6" applyNumberFormat="1" applyFont="1" applyBorder="1" applyAlignment="1">
      <alignment horizontal="center" vertical="center"/>
    </xf>
    <xf numFmtId="49" fontId="72" fillId="0" borderId="129" xfId="6" applyNumberFormat="1" applyFont="1" applyBorder="1" applyAlignment="1">
      <alignment horizontal="center" vertical="center"/>
    </xf>
    <xf numFmtId="49" fontId="72" fillId="0" borderId="126" xfId="6" applyNumberFormat="1" applyFont="1" applyBorder="1" applyAlignment="1">
      <alignment horizontal="center" vertical="center"/>
    </xf>
    <xf numFmtId="49" fontId="72" fillId="0" borderId="112" xfId="6" applyNumberFormat="1" applyFont="1" applyBorder="1" applyAlignment="1">
      <alignment horizontal="center" vertical="center"/>
    </xf>
    <xf numFmtId="0" fontId="40" fillId="0" borderId="0" xfId="6" applyFont="1" applyAlignment="1">
      <alignment horizontal="center" vertical="center" wrapText="1"/>
    </xf>
    <xf numFmtId="0" fontId="70" fillId="0" borderId="50" xfId="6" applyFont="1" applyBorder="1" applyAlignment="1">
      <alignment horizontal="center" vertical="center"/>
    </xf>
    <xf numFmtId="0" fontId="70" fillId="0" borderId="52" xfId="6" applyFont="1" applyBorder="1" applyAlignment="1">
      <alignment horizontal="center" vertical="center"/>
    </xf>
    <xf numFmtId="0" fontId="73" fillId="0" borderId="34" xfId="6" applyFont="1" applyBorder="1" applyAlignment="1">
      <alignment horizontal="left" vertical="center"/>
    </xf>
    <xf numFmtId="0" fontId="73" fillId="0" borderId="18" xfId="6" applyFont="1" applyBorder="1" applyAlignment="1">
      <alignment horizontal="left" vertical="center"/>
    </xf>
    <xf numFmtId="0" fontId="73" fillId="0" borderId="56" xfId="6" applyFont="1" applyBorder="1" applyAlignment="1">
      <alignment horizontal="left" vertical="center"/>
    </xf>
    <xf numFmtId="0" fontId="70" fillId="0" borderId="53" xfId="6" applyFont="1" applyBorder="1" applyAlignment="1">
      <alignment horizontal="center" vertical="center"/>
    </xf>
    <xf numFmtId="0" fontId="70" fillId="0" borderId="145" xfId="6" applyFont="1" applyBorder="1" applyAlignment="1">
      <alignment horizontal="center" vertical="center"/>
    </xf>
    <xf numFmtId="0" fontId="70" fillId="0" borderId="51" xfId="6" applyFont="1" applyBorder="1" applyAlignment="1">
      <alignment horizontal="center" vertical="center"/>
    </xf>
    <xf numFmtId="0" fontId="70" fillId="0" borderId="47" xfId="6" applyFont="1" applyBorder="1" applyAlignment="1">
      <alignment horizontal="center" vertical="center"/>
    </xf>
    <xf numFmtId="0" fontId="70" fillId="0" borderId="143" xfId="6" applyFont="1" applyBorder="1" applyAlignment="1">
      <alignment horizontal="center" vertical="center"/>
    </xf>
    <xf numFmtId="0" fontId="70" fillId="0" borderId="128" xfId="6" applyFont="1" applyBorder="1" applyAlignment="1">
      <alignment horizontal="center" vertical="center"/>
    </xf>
    <xf numFmtId="0" fontId="70" fillId="0" borderId="129" xfId="6" applyFont="1" applyBorder="1" applyAlignment="1">
      <alignment horizontal="center" vertical="center"/>
    </xf>
    <xf numFmtId="3" fontId="70" fillId="0" borderId="53" xfId="6" applyNumberFormat="1" applyFont="1" applyBorder="1" applyAlignment="1">
      <alignment horizontal="center" vertical="center"/>
    </xf>
    <xf numFmtId="3" fontId="70" fillId="0" borderId="145" xfId="6" applyNumberFormat="1" applyFont="1" applyBorder="1" applyAlignment="1">
      <alignment horizontal="center" vertical="center"/>
    </xf>
    <xf numFmtId="0" fontId="70" fillId="0" borderId="91" xfId="6" applyFont="1" applyBorder="1" applyAlignment="1">
      <alignment horizontal="center" vertical="center"/>
    </xf>
    <xf numFmtId="0" fontId="70" fillId="0" borderId="126" xfId="6" applyFont="1" applyBorder="1" applyAlignment="1">
      <alignment horizontal="center" vertical="center"/>
    </xf>
    <xf numFmtId="0" fontId="70" fillId="0" borderId="48" xfId="6" applyFont="1" applyBorder="1" applyAlignment="1">
      <alignment horizontal="center" vertical="center"/>
    </xf>
    <xf numFmtId="0" fontId="70" fillId="0" borderId="84" xfId="6" applyFont="1" applyBorder="1" applyAlignment="1">
      <alignment horizontal="center" vertical="center"/>
    </xf>
    <xf numFmtId="0" fontId="72" fillId="0" borderId="90" xfId="6" applyFont="1" applyBorder="1" applyAlignment="1">
      <alignment horizontal="left" vertical="center" wrapText="1"/>
    </xf>
    <xf numFmtId="0" fontId="72" fillId="0" borderId="91" xfId="6" applyFont="1" applyBorder="1" applyAlignment="1">
      <alignment horizontal="left" vertical="center" wrapText="1"/>
    </xf>
    <xf numFmtId="0" fontId="72" fillId="0" borderId="93" xfId="6" applyFont="1" applyBorder="1" applyAlignment="1">
      <alignment horizontal="left" vertical="center" wrapText="1"/>
    </xf>
    <xf numFmtId="0" fontId="73" fillId="0" borderId="90" xfId="6" applyFont="1" applyBorder="1" applyAlignment="1">
      <alignment horizontal="left" vertical="center"/>
    </xf>
    <xf numFmtId="0" fontId="73" fillId="0" borderId="25" xfId="6" applyFont="1" applyBorder="1" applyAlignment="1">
      <alignment horizontal="left" vertical="center"/>
    </xf>
    <xf numFmtId="0" fontId="73" fillId="0" borderId="0" xfId="6" applyFont="1" applyBorder="1" applyAlignment="1">
      <alignment horizontal="left" vertical="center"/>
    </xf>
    <xf numFmtId="0" fontId="73" fillId="0" borderId="91" xfId="6" applyFont="1" applyBorder="1" applyAlignment="1">
      <alignment horizontal="left" vertical="center"/>
    </xf>
    <xf numFmtId="0" fontId="73" fillId="0" borderId="12" xfId="6" applyFont="1" applyBorder="1" applyAlignment="1">
      <alignment horizontal="left" vertical="center"/>
    </xf>
    <xf numFmtId="0" fontId="73" fillId="0" borderId="68" xfId="6" applyFont="1" applyBorder="1" applyAlignment="1">
      <alignment horizontal="left" vertical="center"/>
    </xf>
    <xf numFmtId="0" fontId="73" fillId="0" borderId="84" xfId="6" applyFont="1" applyBorder="1" applyAlignment="1">
      <alignment horizontal="left" vertical="center"/>
    </xf>
    <xf numFmtId="49" fontId="72" fillId="0" borderId="67" xfId="6" applyNumberFormat="1" applyFont="1" applyBorder="1" applyAlignment="1">
      <alignment horizontal="center" vertical="center"/>
    </xf>
    <xf numFmtId="0" fontId="72" fillId="0" borderId="51" xfId="6" applyFont="1" applyBorder="1" applyAlignment="1">
      <alignment horizontal="left" vertical="center" wrapText="1"/>
    </xf>
    <xf numFmtId="0" fontId="72" fillId="0" borderId="131" xfId="6" applyFont="1" applyBorder="1" applyAlignment="1">
      <alignment horizontal="left" vertical="center" wrapText="1"/>
    </xf>
    <xf numFmtId="0" fontId="73" fillId="0" borderId="0" xfId="6" applyFont="1" applyAlignment="1">
      <alignment horizontal="left" vertical="center"/>
    </xf>
    <xf numFmtId="0" fontId="70" fillId="0" borderId="65" xfId="6" applyFont="1" applyBorder="1" applyAlignment="1">
      <alignment horizontal="center" vertical="center" wrapText="1"/>
    </xf>
    <xf numFmtId="0" fontId="70" fillId="0" borderId="0" xfId="6" applyFont="1" applyBorder="1" applyAlignment="1">
      <alignment horizontal="center" vertical="center" wrapText="1"/>
    </xf>
    <xf numFmtId="0" fontId="70" fillId="0" borderId="68" xfId="6" applyFont="1" applyBorder="1" applyAlignment="1">
      <alignment horizontal="center" vertical="center" wrapText="1"/>
    </xf>
    <xf numFmtId="0" fontId="13" fillId="0" borderId="128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82" xfId="0" applyFont="1" applyBorder="1" applyAlignment="1">
      <alignment horizontal="center" vertical="center" wrapText="1"/>
    </xf>
    <xf numFmtId="164" fontId="43" fillId="5" borderId="143" xfId="19" applyFont="1" applyFill="1" applyBorder="1" applyAlignment="1">
      <alignment horizontal="center" vertical="center" wrapText="1"/>
    </xf>
    <xf numFmtId="164" fontId="43" fillId="5" borderId="26" xfId="19" applyFont="1" applyFill="1" applyBorder="1" applyAlignment="1">
      <alignment horizontal="center" vertical="center" wrapText="1"/>
    </xf>
    <xf numFmtId="164" fontId="43" fillId="5" borderId="125" xfId="19" applyFont="1" applyFill="1" applyBorder="1" applyAlignment="1">
      <alignment horizontal="center" vertical="center" wrapText="1"/>
    </xf>
    <xf numFmtId="3" fontId="43" fillId="5" borderId="130" xfId="19" applyNumberFormat="1" applyFont="1" applyFill="1" applyBorder="1" applyAlignment="1">
      <alignment horizontal="center" vertical="center" wrapText="1"/>
    </xf>
    <xf numFmtId="3" fontId="43" fillId="5" borderId="133" xfId="19" applyNumberFormat="1" applyFont="1" applyFill="1" applyBorder="1" applyAlignment="1">
      <alignment horizontal="center" vertical="center" wrapText="1"/>
    </xf>
    <xf numFmtId="3" fontId="14" fillId="0" borderId="131" xfId="0" applyNumberFormat="1" applyFont="1" applyBorder="1" applyAlignment="1">
      <alignment horizontal="center" vertical="center" wrapText="1"/>
    </xf>
    <xf numFmtId="3" fontId="14" fillId="0" borderId="134" xfId="0" applyNumberFormat="1" applyFont="1" applyBorder="1" applyAlignment="1">
      <alignment horizontal="center" vertical="center" wrapText="1"/>
    </xf>
    <xf numFmtId="0" fontId="14" fillId="0" borderId="128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82" xfId="0" applyFont="1" applyBorder="1" applyAlignment="1">
      <alignment horizontal="center" vertical="center" wrapText="1"/>
    </xf>
    <xf numFmtId="164" fontId="43" fillId="5" borderId="19" xfId="19" applyFont="1" applyFill="1" applyBorder="1" applyAlignment="1">
      <alignment horizontal="center" vertical="center" wrapText="1"/>
    </xf>
    <xf numFmtId="0" fontId="24" fillId="0" borderId="128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 wrapText="1"/>
    </xf>
    <xf numFmtId="164" fontId="44" fillId="5" borderId="143" xfId="19" applyFont="1" applyFill="1" applyBorder="1" applyAlignment="1">
      <alignment horizontal="center" vertical="center" wrapText="1"/>
    </xf>
    <xf numFmtId="164" fontId="44" fillId="5" borderId="26" xfId="19" applyFont="1" applyFill="1" applyBorder="1" applyAlignment="1">
      <alignment horizontal="center" vertical="center" wrapText="1"/>
    </xf>
    <xf numFmtId="164" fontId="44" fillId="5" borderId="125" xfId="19" applyFont="1" applyFill="1" applyBorder="1" applyAlignment="1">
      <alignment horizontal="center"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26" xfId="0" applyFont="1" applyBorder="1" applyAlignment="1">
      <alignment horizontal="center" vertical="center" wrapText="1"/>
    </xf>
    <xf numFmtId="0" fontId="74" fillId="0" borderId="125" xfId="0" applyFont="1" applyBorder="1" applyAlignment="1">
      <alignment horizontal="center" vertical="center" wrapText="1"/>
    </xf>
    <xf numFmtId="0" fontId="57" fillId="0" borderId="143" xfId="0" applyFont="1" applyBorder="1" applyAlignment="1">
      <alignment horizontal="center" vertical="center" wrapText="1"/>
    </xf>
    <xf numFmtId="0" fontId="57" fillId="0" borderId="26" xfId="0" applyFont="1" applyBorder="1" applyAlignment="1">
      <alignment horizontal="center" vertical="center" wrapText="1"/>
    </xf>
    <xf numFmtId="0" fontId="57" fillId="0" borderId="125" xfId="0" applyFont="1" applyBorder="1" applyAlignment="1">
      <alignment horizontal="center" vertical="center" wrapText="1"/>
    </xf>
    <xf numFmtId="0" fontId="13" fillId="2" borderId="128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3" fillId="2" borderId="82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4" fontId="43" fillId="5" borderId="143" xfId="19" applyFont="1" applyFill="1" applyBorder="1" applyAlignment="1">
      <alignment horizontal="center" vertical="center"/>
    </xf>
    <xf numFmtId="164" fontId="43" fillId="5" borderId="26" xfId="19" applyFont="1" applyFill="1" applyBorder="1" applyAlignment="1">
      <alignment horizontal="center" vertical="center"/>
    </xf>
    <xf numFmtId="164" fontId="43" fillId="5" borderId="125" xfId="19" applyFont="1" applyFill="1" applyBorder="1" applyAlignment="1">
      <alignment horizontal="center" vertical="center"/>
    </xf>
    <xf numFmtId="0" fontId="14" fillId="0" borderId="147" xfId="0" applyFont="1" applyBorder="1" applyAlignment="1">
      <alignment horizontal="center" vertical="center" wrapText="1"/>
    </xf>
    <xf numFmtId="0" fontId="21" fillId="0" borderId="0" xfId="6" applyFont="1" applyAlignment="1">
      <alignment horizontal="center" vertical="center" wrapText="1"/>
    </xf>
    <xf numFmtId="0" fontId="57" fillId="0" borderId="50" xfId="0" applyFont="1" applyBorder="1" applyAlignment="1">
      <alignment horizontal="center" vertical="center" wrapText="1"/>
    </xf>
    <xf numFmtId="0" fontId="13" fillId="0" borderId="52" xfId="0" applyFont="1" applyFill="1" applyBorder="1" applyAlignment="1">
      <alignment horizontal="center" vertical="center" wrapText="1"/>
    </xf>
    <xf numFmtId="0" fontId="13" fillId="0" borderId="147" xfId="0" applyFont="1" applyFill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127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0" fontId="64" fillId="0" borderId="50" xfId="0" applyFont="1" applyBorder="1" applyAlignment="1">
      <alignment horizontal="center" vertical="center" wrapText="1"/>
    </xf>
    <xf numFmtId="0" fontId="65" fillId="0" borderId="143" xfId="0" applyFont="1" applyBorder="1" applyAlignment="1">
      <alignment wrapText="1"/>
    </xf>
    <xf numFmtId="0" fontId="64" fillId="0" borderId="51" xfId="0" applyFont="1" applyBorder="1" applyAlignment="1">
      <alignment horizontal="center" vertical="center" wrapText="1"/>
    </xf>
    <xf numFmtId="0" fontId="65" fillId="0" borderId="128" xfId="0" applyFont="1" applyBorder="1" applyAlignment="1">
      <alignment wrapText="1"/>
    </xf>
    <xf numFmtId="0" fontId="62" fillId="0" borderId="51" xfId="0" applyFont="1" applyFill="1" applyBorder="1" applyAlignment="1">
      <alignment horizontal="center" vertical="center"/>
    </xf>
    <xf numFmtId="0" fontId="65" fillId="0" borderId="128" xfId="0" applyFont="1" applyFill="1" applyBorder="1"/>
    <xf numFmtId="0" fontId="64" fillId="0" borderId="0" xfId="0" applyFont="1" applyBorder="1" applyAlignment="1">
      <alignment horizontal="center"/>
    </xf>
    <xf numFmtId="0" fontId="64" fillId="0" borderId="51" xfId="0" applyFont="1" applyBorder="1" applyAlignment="1">
      <alignment horizontal="center" vertical="center"/>
    </xf>
    <xf numFmtId="0" fontId="62" fillId="0" borderId="51" xfId="0" applyFont="1" applyBorder="1" applyAlignment="1">
      <alignment horizontal="center" vertical="center"/>
    </xf>
    <xf numFmtId="0" fontId="64" fillId="0" borderId="20" xfId="0" applyFont="1" applyBorder="1" applyAlignment="1">
      <alignment horizontal="center" vertical="center" wrapText="1"/>
    </xf>
    <xf numFmtId="0" fontId="64" fillId="0" borderId="23" xfId="0" applyFont="1" applyBorder="1" applyAlignment="1">
      <alignment horizontal="center" vertical="center" wrapText="1"/>
    </xf>
    <xf numFmtId="0" fontId="62" fillId="0" borderId="43" xfId="0" applyFont="1" applyBorder="1" applyAlignment="1">
      <alignment horizontal="center" vertical="center"/>
    </xf>
    <xf numFmtId="0" fontId="62" fillId="0" borderId="39" xfId="0" applyFont="1" applyBorder="1" applyAlignment="1">
      <alignment horizontal="center" vertical="center"/>
    </xf>
    <xf numFmtId="0" fontId="62" fillId="0" borderId="38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 wrapText="1"/>
    </xf>
    <xf numFmtId="0" fontId="53" fillId="0" borderId="125" xfId="0" applyFont="1" applyBorder="1" applyAlignment="1">
      <alignment horizontal="center" vertical="center" wrapText="1"/>
    </xf>
    <xf numFmtId="0" fontId="62" fillId="0" borderId="82" xfId="0" applyFont="1" applyBorder="1" applyAlignment="1">
      <alignment horizontal="center" vertical="center"/>
    </xf>
    <xf numFmtId="0" fontId="53" fillId="0" borderId="143" xfId="0" applyFont="1" applyBorder="1" applyAlignment="1">
      <alignment horizontal="center" vertical="center" wrapText="1"/>
    </xf>
    <xf numFmtId="0" fontId="62" fillId="0" borderId="128" xfId="0" applyFont="1" applyBorder="1" applyAlignment="1">
      <alignment horizontal="center" vertical="center"/>
    </xf>
    <xf numFmtId="0" fontId="64" fillId="0" borderId="143" xfId="0" applyFont="1" applyBorder="1" applyAlignment="1">
      <alignment horizontal="center" vertical="center" wrapText="1"/>
    </xf>
    <xf numFmtId="0" fontId="64" fillId="0" borderId="128" xfId="0" applyFont="1" applyBorder="1" applyAlignment="1">
      <alignment horizontal="center" vertical="center"/>
    </xf>
    <xf numFmtId="0" fontId="64" fillId="0" borderId="39" xfId="0" applyFont="1" applyBorder="1" applyAlignment="1">
      <alignment horizontal="center" vertical="center"/>
    </xf>
    <xf numFmtId="0" fontId="64" fillId="0" borderId="38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 wrapText="1"/>
    </xf>
    <xf numFmtId="0" fontId="62" fillId="0" borderId="43" xfId="0" applyFont="1" applyBorder="1" applyAlignment="1">
      <alignment horizontal="center" vertical="center" wrapText="1"/>
    </xf>
    <xf numFmtId="0" fontId="62" fillId="0" borderId="39" xfId="0" applyFont="1" applyBorder="1" applyAlignment="1">
      <alignment horizontal="center" vertical="center" wrapText="1"/>
    </xf>
    <xf numFmtId="0" fontId="62" fillId="0" borderId="38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64" fillId="0" borderId="38" xfId="0" applyFont="1" applyBorder="1" applyAlignment="1">
      <alignment horizontal="center" vertical="center" wrapText="1"/>
    </xf>
    <xf numFmtId="0" fontId="62" fillId="0" borderId="19" xfId="0" applyFont="1" applyBorder="1" applyAlignment="1">
      <alignment horizontal="center" vertical="center" wrapText="1"/>
    </xf>
    <xf numFmtId="0" fontId="62" fillId="0" borderId="26" xfId="0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 wrapText="1"/>
    </xf>
    <xf numFmtId="0" fontId="64" fillId="0" borderId="90" xfId="0" applyFont="1" applyBorder="1" applyAlignment="1">
      <alignment horizontal="center" vertical="center" wrapText="1"/>
    </xf>
    <xf numFmtId="0" fontId="64" fillId="0" borderId="91" xfId="0" applyFont="1" applyBorder="1" applyAlignment="1">
      <alignment horizontal="center" vertical="center" wrapText="1"/>
    </xf>
    <xf numFmtId="0" fontId="64" fillId="0" borderId="84" xfId="0" applyFont="1" applyBorder="1" applyAlignment="1">
      <alignment horizontal="center" vertical="center" wrapText="1"/>
    </xf>
    <xf numFmtId="0" fontId="14" fillId="0" borderId="0" xfId="9" applyFont="1" applyAlignment="1">
      <alignment horizontal="center" vertical="center" wrapText="1"/>
    </xf>
    <xf numFmtId="0" fontId="14" fillId="0" borderId="0" xfId="9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12" applyFont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9" fillId="0" borderId="190" xfId="20" applyFont="1" applyBorder="1" applyAlignment="1" applyProtection="1">
      <alignment horizontal="left"/>
    </xf>
    <xf numFmtId="0" fontId="39" fillId="0" borderId="72" xfId="20" applyFont="1" applyBorder="1" applyAlignment="1" applyProtection="1">
      <alignment horizontal="left"/>
    </xf>
    <xf numFmtId="0" fontId="21" fillId="0" borderId="0" xfId="20" applyFont="1" applyAlignment="1" applyProtection="1">
      <alignment horizontal="center" vertical="center"/>
    </xf>
    <xf numFmtId="0" fontId="0" fillId="0" borderId="0" xfId="0" applyBorder="1"/>
    <xf numFmtId="0" fontId="21" fillId="0" borderId="41" xfId="20" applyFont="1" applyBorder="1" applyAlignment="1" applyProtection="1">
      <alignment horizontal="center" vertical="center" wrapText="1"/>
    </xf>
    <xf numFmtId="0" fontId="21" fillId="0" borderId="51" xfId="20" applyFont="1" applyBorder="1" applyAlignment="1" applyProtection="1">
      <alignment horizontal="center" vertical="center" wrapText="1"/>
    </xf>
    <xf numFmtId="0" fontId="21" fillId="0" borderId="52" xfId="20" applyFont="1" applyBorder="1" applyAlignment="1" applyProtection="1">
      <alignment horizontal="center" vertical="center" wrapText="1"/>
    </xf>
    <xf numFmtId="0" fontId="21" fillId="0" borderId="141" xfId="20" applyFont="1" applyBorder="1" applyAlignment="1" applyProtection="1">
      <alignment horizontal="center" vertical="center" wrapText="1"/>
    </xf>
    <xf numFmtId="0" fontId="21" fillId="0" borderId="131" xfId="20" applyFont="1" applyBorder="1" applyAlignment="1" applyProtection="1">
      <alignment horizontal="center" vertical="center" wrapText="1"/>
    </xf>
    <xf numFmtId="0" fontId="21" fillId="0" borderId="132" xfId="20" applyFont="1" applyBorder="1" applyAlignment="1" applyProtection="1">
      <alignment horizontal="center" vertical="center" wrapText="1"/>
    </xf>
    <xf numFmtId="0" fontId="21" fillId="0" borderId="50" xfId="20" applyFont="1" applyBorder="1" applyAlignment="1" applyProtection="1">
      <alignment horizontal="center" vertical="center" wrapText="1"/>
    </xf>
    <xf numFmtId="0" fontId="21" fillId="0" borderId="154" xfId="20" applyFont="1" applyBorder="1" applyAlignment="1" applyProtection="1">
      <alignment horizontal="center" vertical="center" wrapText="1"/>
    </xf>
    <xf numFmtId="0" fontId="21" fillId="0" borderId="62" xfId="20" applyFont="1" applyBorder="1" applyAlignment="1" applyProtection="1">
      <alignment horizontal="center" vertical="center" wrapText="1"/>
    </xf>
    <xf numFmtId="0" fontId="21" fillId="0" borderId="155" xfId="20" applyFont="1" applyBorder="1" applyAlignment="1" applyProtection="1">
      <alignment horizontal="center" vertical="center" wrapText="1"/>
    </xf>
    <xf numFmtId="3" fontId="21" fillId="0" borderId="189" xfId="20" applyNumberFormat="1" applyFont="1" applyBorder="1" applyAlignment="1" applyProtection="1">
      <alignment horizontal="center" vertical="center" wrapText="1"/>
    </xf>
    <xf numFmtId="3" fontId="21" fillId="0" borderId="113" xfId="20" applyNumberFormat="1" applyFont="1" applyBorder="1" applyAlignment="1" applyProtection="1">
      <alignment horizontal="center" vertical="center" wrapText="1"/>
    </xf>
    <xf numFmtId="0" fontId="21" fillId="0" borderId="192" xfId="20" applyFont="1" applyBorder="1" applyAlignment="1" applyProtection="1">
      <alignment horizontal="center" vertical="center" wrapText="1"/>
    </xf>
    <xf numFmtId="0" fontId="21" fillId="0" borderId="189" xfId="20" applyFont="1" applyBorder="1" applyAlignment="1" applyProtection="1">
      <alignment horizontal="center" vertical="center" wrapText="1"/>
    </xf>
    <xf numFmtId="0" fontId="21" fillId="0" borderId="193" xfId="20" applyFont="1" applyBorder="1" applyAlignment="1" applyProtection="1">
      <alignment horizontal="center" vertical="center" wrapText="1"/>
    </xf>
    <xf numFmtId="0" fontId="21" fillId="0" borderId="150" xfId="20" applyFont="1" applyBorder="1" applyAlignment="1" applyProtection="1">
      <alignment horizontal="center" vertical="center" wrapText="1"/>
    </xf>
    <xf numFmtId="0" fontId="21" fillId="0" borderId="113" xfId="20" applyFont="1" applyBorder="1" applyAlignment="1" applyProtection="1">
      <alignment horizontal="center" vertical="center" wrapText="1"/>
    </xf>
    <xf numFmtId="0" fontId="21" fillId="0" borderId="149" xfId="20" applyFont="1" applyBorder="1" applyAlignment="1" applyProtection="1">
      <alignment horizontal="center" vertical="center" wrapText="1"/>
    </xf>
    <xf numFmtId="0" fontId="21" fillId="0" borderId="179" xfId="20" applyFont="1" applyBorder="1" applyAlignment="1" applyProtection="1">
      <alignment horizontal="center" vertical="center" wrapText="1"/>
    </xf>
    <xf numFmtId="0" fontId="21" fillId="0" borderId="171" xfId="20" applyFont="1" applyBorder="1" applyAlignment="1" applyProtection="1">
      <alignment horizontal="center" vertical="center" wrapText="1"/>
    </xf>
    <xf numFmtId="0" fontId="21" fillId="0" borderId="148" xfId="20" applyFont="1" applyBorder="1" applyAlignment="1" applyProtection="1">
      <alignment horizontal="center" vertical="center" wrapText="1"/>
    </xf>
    <xf numFmtId="0" fontId="21" fillId="0" borderId="60" xfId="20" applyFont="1" applyBorder="1" applyAlignment="1" applyProtection="1">
      <alignment horizontal="center" vertical="center" wrapText="1"/>
    </xf>
    <xf numFmtId="0" fontId="21" fillId="0" borderId="180" xfId="20" applyFont="1" applyBorder="1" applyAlignment="1" applyProtection="1">
      <alignment horizontal="center" vertical="center" wrapText="1"/>
    </xf>
    <xf numFmtId="0" fontId="21" fillId="0" borderId="161" xfId="20" applyFont="1" applyBorder="1" applyAlignment="1" applyProtection="1">
      <alignment horizontal="center" vertical="center" wrapText="1"/>
    </xf>
    <xf numFmtId="0" fontId="39" fillId="0" borderId="148" xfId="20" applyFont="1" applyBorder="1" applyAlignment="1" applyProtection="1">
      <alignment horizontal="left"/>
    </xf>
    <xf numFmtId="0" fontId="39" fillId="0" borderId="60" xfId="20" applyFont="1" applyBorder="1" applyAlignment="1" applyProtection="1">
      <alignment horizontal="left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center" wrapText="1"/>
    </xf>
    <xf numFmtId="0" fontId="14" fillId="0" borderId="0" xfId="14" applyFont="1" applyAlignment="1">
      <alignment horizontal="center"/>
    </xf>
    <xf numFmtId="0" fontId="14" fillId="0" borderId="55" xfId="14" applyFont="1" applyBorder="1" applyAlignment="1">
      <alignment horizontal="center" vertical="center"/>
    </xf>
    <xf numFmtId="0" fontId="14" fillId="0" borderId="24" xfId="14" applyFont="1" applyBorder="1" applyAlignment="1">
      <alignment horizontal="center" vertical="center"/>
    </xf>
    <xf numFmtId="3" fontId="14" fillId="0" borderId="50" xfId="14" applyNumberFormat="1" applyFont="1" applyBorder="1" applyAlignment="1">
      <alignment horizontal="center" vertical="center" wrapText="1"/>
    </xf>
    <xf numFmtId="3" fontId="14" fillId="0" borderId="6" xfId="14" applyNumberFormat="1" applyFont="1" applyBorder="1" applyAlignment="1">
      <alignment horizontal="center" vertical="center" wrapText="1"/>
    </xf>
    <xf numFmtId="0" fontId="14" fillId="0" borderId="96" xfId="14" applyFont="1" applyFill="1" applyBorder="1" applyAlignment="1">
      <alignment horizontal="center" vertical="center"/>
    </xf>
    <xf numFmtId="0" fontId="14" fillId="0" borderId="21" xfId="14" applyFont="1" applyFill="1" applyBorder="1" applyAlignment="1">
      <alignment horizontal="center" vertical="center"/>
    </xf>
    <xf numFmtId="3" fontId="14" fillId="0" borderId="43" xfId="14" applyNumberFormat="1" applyFont="1" applyFill="1" applyBorder="1" applyAlignment="1">
      <alignment horizontal="center" vertical="center" wrapText="1"/>
    </xf>
    <xf numFmtId="3" fontId="14" fillId="0" borderId="38" xfId="14" applyNumberFormat="1" applyFont="1" applyFill="1" applyBorder="1" applyAlignment="1">
      <alignment horizontal="center" vertical="center" wrapText="1"/>
    </xf>
    <xf numFmtId="3" fontId="14" fillId="0" borderId="56" xfId="14" applyNumberFormat="1" applyFont="1" applyFill="1" applyBorder="1" applyAlignment="1">
      <alignment horizontal="center" vertical="center" wrapText="1"/>
    </xf>
    <xf numFmtId="3" fontId="14" fillId="0" borderId="70" xfId="14" applyNumberFormat="1" applyFont="1" applyFill="1" applyBorder="1" applyAlignment="1">
      <alignment horizontal="center" vertical="center" wrapText="1"/>
    </xf>
    <xf numFmtId="0" fontId="14" fillId="0" borderId="4" xfId="14" applyFont="1" applyBorder="1" applyAlignment="1">
      <alignment horizontal="center" vertical="center"/>
    </xf>
    <xf numFmtId="0" fontId="14" fillId="0" borderId="66" xfId="14" applyFont="1" applyBorder="1" applyAlignment="1">
      <alignment horizontal="center" vertical="center"/>
    </xf>
    <xf numFmtId="0" fontId="14" fillId="0" borderId="74" xfId="14" applyFont="1" applyBorder="1" applyAlignment="1">
      <alignment horizontal="center" vertical="center"/>
    </xf>
    <xf numFmtId="3" fontId="14" fillId="0" borderId="55" xfId="14" applyNumberFormat="1" applyFont="1" applyFill="1" applyBorder="1" applyAlignment="1">
      <alignment horizontal="center" vertical="center" wrapText="1"/>
    </xf>
    <xf numFmtId="3" fontId="14" fillId="0" borderId="40" xfId="14" applyNumberFormat="1" applyFont="1" applyFill="1" applyBorder="1" applyAlignment="1">
      <alignment horizontal="center" vertical="center" wrapText="1"/>
    </xf>
    <xf numFmtId="3" fontId="14" fillId="0" borderId="54" xfId="14" applyNumberFormat="1" applyFont="1" applyFill="1" applyBorder="1" applyAlignment="1">
      <alignment horizontal="center" vertical="center" wrapText="1"/>
    </xf>
    <xf numFmtId="3" fontId="14" fillId="0" borderId="75" xfId="14" applyNumberFormat="1" applyFont="1" applyFill="1" applyBorder="1" applyAlignment="1">
      <alignment horizontal="center" vertical="center" wrapText="1"/>
    </xf>
    <xf numFmtId="3" fontId="14" fillId="0" borderId="99" xfId="14" applyNumberFormat="1" applyFont="1" applyFill="1" applyBorder="1" applyAlignment="1">
      <alignment horizontal="center" vertical="center" wrapText="1"/>
    </xf>
    <xf numFmtId="3" fontId="14" fillId="0" borderId="77" xfId="14" applyNumberFormat="1" applyFont="1" applyFill="1" applyBorder="1" applyAlignment="1">
      <alignment horizontal="center" vertical="center" wrapText="1"/>
    </xf>
    <xf numFmtId="3" fontId="14" fillId="0" borderId="75" xfId="14" applyNumberFormat="1" applyFont="1" applyFill="1" applyBorder="1" applyAlignment="1">
      <alignment horizontal="center" vertical="center"/>
    </xf>
    <xf numFmtId="3" fontId="14" fillId="0" borderId="99" xfId="14" applyNumberFormat="1" applyFont="1" applyFill="1" applyBorder="1" applyAlignment="1">
      <alignment horizontal="center" vertical="center"/>
    </xf>
    <xf numFmtId="3" fontId="14" fillId="0" borderId="77" xfId="14" applyNumberFormat="1" applyFont="1" applyFill="1" applyBorder="1" applyAlignment="1">
      <alignment horizontal="center" vertical="center"/>
    </xf>
    <xf numFmtId="0" fontId="68" fillId="0" borderId="0" xfId="14" applyFont="1" applyAlignment="1">
      <alignment horizontal="center"/>
    </xf>
    <xf numFmtId="0" fontId="68" fillId="0" borderId="4" xfId="14" applyFont="1" applyBorder="1" applyAlignment="1">
      <alignment horizontal="center" vertical="center"/>
    </xf>
    <xf numFmtId="0" fontId="68" fillId="0" borderId="66" xfId="14" applyFont="1" applyBorder="1" applyAlignment="1">
      <alignment horizontal="center" vertical="center"/>
    </xf>
    <xf numFmtId="0" fontId="68" fillId="0" borderId="74" xfId="14" applyFont="1" applyBorder="1" applyAlignment="1">
      <alignment horizontal="center" vertical="center"/>
    </xf>
    <xf numFmtId="3" fontId="68" fillId="0" borderId="55" xfId="14" applyNumberFormat="1" applyFont="1" applyFill="1" applyBorder="1" applyAlignment="1">
      <alignment horizontal="center" vertical="center" wrapText="1"/>
    </xf>
    <xf numFmtId="3" fontId="68" fillId="0" borderId="40" xfId="14" applyNumberFormat="1" applyFont="1" applyFill="1" applyBorder="1" applyAlignment="1">
      <alignment horizontal="center" vertical="center" wrapText="1"/>
    </xf>
    <xf numFmtId="3" fontId="68" fillId="0" borderId="54" xfId="14" applyNumberFormat="1" applyFont="1" applyFill="1" applyBorder="1" applyAlignment="1">
      <alignment horizontal="center" vertical="center" wrapText="1"/>
    </xf>
    <xf numFmtId="0" fontId="68" fillId="0" borderId="18" xfId="14" applyFont="1" applyBorder="1" applyAlignment="1">
      <alignment horizontal="center" vertical="center"/>
    </xf>
    <xf numFmtId="0" fontId="68" fillId="0" borderId="19" xfId="14" applyFont="1" applyBorder="1" applyAlignment="1">
      <alignment horizontal="center" vertical="center"/>
    </xf>
    <xf numFmtId="0" fontId="68" fillId="0" borderId="13" xfId="14" applyFont="1" applyBorder="1" applyAlignment="1">
      <alignment horizontal="center" vertical="center"/>
    </xf>
    <xf numFmtId="0" fontId="68" fillId="0" borderId="49" xfId="14" applyFont="1" applyFill="1" applyBorder="1" applyAlignment="1">
      <alignment horizontal="center" vertical="center"/>
    </xf>
    <xf numFmtId="0" fontId="68" fillId="0" borderId="21" xfId="14" applyFont="1" applyFill="1" applyBorder="1" applyAlignment="1">
      <alignment horizontal="center" vertical="center"/>
    </xf>
    <xf numFmtId="3" fontId="68" fillId="0" borderId="43" xfId="14" applyNumberFormat="1" applyFont="1" applyBorder="1" applyAlignment="1">
      <alignment horizontal="center" vertical="center"/>
    </xf>
    <xf numFmtId="3" fontId="68" fillId="0" borderId="38" xfId="14" applyNumberFormat="1" applyFont="1" applyBorder="1" applyAlignment="1">
      <alignment horizontal="center" vertical="center"/>
    </xf>
    <xf numFmtId="3" fontId="68" fillId="0" borderId="43" xfId="14" applyNumberFormat="1" applyFont="1" applyFill="1" applyBorder="1" applyAlignment="1">
      <alignment horizontal="center" vertical="center" wrapText="1"/>
    </xf>
    <xf numFmtId="3" fontId="68" fillId="0" borderId="38" xfId="14" applyNumberFormat="1" applyFont="1" applyFill="1" applyBorder="1" applyAlignment="1">
      <alignment horizontal="center" vertical="center" wrapText="1"/>
    </xf>
    <xf numFmtId="3" fontId="68" fillId="0" borderId="20" xfId="14" applyNumberFormat="1" applyFont="1" applyFill="1" applyBorder="1" applyAlignment="1">
      <alignment horizontal="center" vertical="center" wrapText="1"/>
    </xf>
    <xf numFmtId="3" fontId="68" fillId="0" borderId="14" xfId="14" applyNumberFormat="1" applyFont="1" applyFill="1" applyBorder="1" applyAlignment="1">
      <alignment horizontal="center" vertical="center" wrapText="1"/>
    </xf>
    <xf numFmtId="3" fontId="68" fillId="0" borderId="55" xfId="14" applyNumberFormat="1" applyFont="1" applyFill="1" applyBorder="1" applyAlignment="1">
      <alignment horizontal="center" vertical="center"/>
    </xf>
    <xf numFmtId="3" fontId="68" fillId="0" borderId="40" xfId="14" applyNumberFormat="1" applyFont="1" applyFill="1" applyBorder="1" applyAlignment="1">
      <alignment horizontal="center" vertical="center"/>
    </xf>
    <xf numFmtId="3" fontId="68" fillId="0" borderId="54" xfId="14" applyNumberFormat="1" applyFont="1" applyFill="1" applyBorder="1" applyAlignment="1">
      <alignment horizontal="center" vertical="center"/>
    </xf>
    <xf numFmtId="3" fontId="14" fillId="0" borderId="115" xfId="14" applyNumberFormat="1" applyFont="1" applyFill="1" applyBorder="1" applyAlignment="1">
      <alignment horizontal="center" vertical="center" wrapText="1"/>
    </xf>
    <xf numFmtId="3" fontId="14" fillId="0" borderId="103" xfId="14" applyNumberFormat="1" applyFont="1" applyFill="1" applyBorder="1" applyAlignment="1">
      <alignment horizontal="center" vertical="center" wrapText="1"/>
    </xf>
    <xf numFmtId="0" fontId="14" fillId="0" borderId="0" xfId="14" applyFont="1" applyFill="1" applyAlignment="1">
      <alignment horizontal="center"/>
    </xf>
    <xf numFmtId="0" fontId="14" fillId="0" borderId="4" xfId="14" applyFont="1" applyFill="1" applyBorder="1" applyAlignment="1">
      <alignment horizontal="center" vertical="center"/>
    </xf>
    <xf numFmtId="0" fontId="14" fillId="0" borderId="66" xfId="14" applyFont="1" applyFill="1" applyBorder="1" applyAlignment="1">
      <alignment horizontal="center" vertical="center"/>
    </xf>
    <xf numFmtId="0" fontId="14" fillId="0" borderId="74" xfId="14" applyFont="1" applyFill="1" applyBorder="1" applyAlignment="1">
      <alignment horizontal="center" vertical="center"/>
    </xf>
    <xf numFmtId="3" fontId="14" fillId="0" borderId="108" xfId="14" applyNumberFormat="1" applyFont="1" applyFill="1" applyBorder="1" applyAlignment="1">
      <alignment horizontal="center" vertical="center"/>
    </xf>
    <xf numFmtId="3" fontId="14" fillId="0" borderId="104" xfId="14" applyNumberFormat="1" applyFont="1" applyFill="1" applyBorder="1" applyAlignment="1">
      <alignment horizontal="center" vertical="center"/>
    </xf>
    <xf numFmtId="3" fontId="14" fillId="0" borderId="105" xfId="14" applyNumberFormat="1" applyFont="1" applyFill="1" applyBorder="1" applyAlignment="1">
      <alignment horizontal="center" vertical="center"/>
    </xf>
    <xf numFmtId="3" fontId="14" fillId="0" borderId="108" xfId="14" applyNumberFormat="1" applyFont="1" applyFill="1" applyBorder="1" applyAlignment="1">
      <alignment horizontal="center" vertical="center" wrapText="1"/>
    </xf>
    <xf numFmtId="3" fontId="14" fillId="0" borderId="104" xfId="14" applyNumberFormat="1" applyFont="1" applyFill="1" applyBorder="1" applyAlignment="1">
      <alignment horizontal="center" vertical="center" wrapText="1"/>
    </xf>
    <xf numFmtId="3" fontId="14" fillId="0" borderId="105" xfId="14" applyNumberFormat="1" applyFont="1" applyFill="1" applyBorder="1" applyAlignment="1">
      <alignment horizontal="center" vertical="center" wrapText="1"/>
    </xf>
    <xf numFmtId="3" fontId="14" fillId="0" borderId="51" xfId="14" applyNumberFormat="1" applyFont="1" applyFill="1" applyBorder="1" applyAlignment="1">
      <alignment horizontal="center" vertical="center"/>
    </xf>
    <xf numFmtId="3" fontId="14" fillId="0" borderId="51" xfId="14" applyNumberFormat="1" applyFont="1" applyFill="1" applyBorder="1" applyAlignment="1">
      <alignment horizontal="center" vertical="center" wrapText="1"/>
    </xf>
    <xf numFmtId="3" fontId="14" fillId="0" borderId="52" xfId="14" applyNumberFormat="1" applyFont="1" applyFill="1" applyBorder="1" applyAlignment="1">
      <alignment horizontal="center" vertical="center" wrapText="1"/>
    </xf>
    <xf numFmtId="0" fontId="14" fillId="0" borderId="50" xfId="14" applyFont="1" applyFill="1" applyBorder="1" applyAlignment="1">
      <alignment horizontal="center" vertical="center" wrapText="1"/>
    </xf>
    <xf numFmtId="0" fontId="14" fillId="0" borderId="122" xfId="14" applyFont="1" applyFill="1" applyBorder="1" applyAlignment="1">
      <alignment horizontal="center" vertical="center" wrapText="1"/>
    </xf>
    <xf numFmtId="3" fontId="14" fillId="0" borderId="41" xfId="14" applyNumberFormat="1" applyFont="1" applyFill="1" applyBorder="1" applyAlignment="1">
      <alignment horizontal="center" vertical="center" wrapText="1"/>
    </xf>
    <xf numFmtId="3" fontId="14" fillId="0" borderId="102" xfId="14" applyNumberFormat="1" applyFont="1" applyFill="1" applyBorder="1" applyAlignment="1">
      <alignment horizontal="center" vertical="center" wrapText="1"/>
    </xf>
    <xf numFmtId="3" fontId="14" fillId="0" borderId="81" xfId="14" applyNumberFormat="1" applyFont="1" applyFill="1" applyBorder="1" applyAlignment="1">
      <alignment horizontal="center" vertical="center" wrapText="1"/>
    </xf>
    <xf numFmtId="0" fontId="14" fillId="0" borderId="55" xfId="14" applyFont="1" applyFill="1" applyBorder="1" applyAlignment="1">
      <alignment horizontal="center" vertical="center" wrapText="1"/>
    </xf>
    <xf numFmtId="0" fontId="14" fillId="0" borderId="124" xfId="14" applyFont="1" applyFill="1" applyBorder="1" applyAlignment="1">
      <alignment horizontal="center" vertical="center" wrapText="1"/>
    </xf>
    <xf numFmtId="0" fontId="14" fillId="0" borderId="68" xfId="14" applyFont="1" applyBorder="1" applyAlignment="1">
      <alignment horizontal="center"/>
    </xf>
    <xf numFmtId="0" fontId="14" fillId="0" borderId="0" xfId="14" applyFont="1" applyBorder="1" applyAlignment="1">
      <alignment horizontal="center"/>
    </xf>
    <xf numFmtId="0" fontId="14" fillId="0" borderId="116" xfId="14" applyFont="1" applyFill="1" applyBorder="1" applyAlignment="1">
      <alignment horizontal="center" vertical="center" wrapText="1"/>
    </xf>
    <xf numFmtId="0" fontId="14" fillId="0" borderId="6" xfId="14" applyFont="1" applyFill="1" applyBorder="1" applyAlignment="1">
      <alignment horizontal="center" vertical="center" wrapText="1"/>
    </xf>
    <xf numFmtId="3" fontId="14" fillId="0" borderId="83" xfId="14" applyNumberFormat="1" applyFont="1" applyFill="1" applyBorder="1" applyAlignment="1">
      <alignment horizontal="center" vertical="center" wrapText="1"/>
    </xf>
    <xf numFmtId="3" fontId="14" fillId="0" borderId="48" xfId="14" applyNumberFormat="1" applyFont="1" applyFill="1" applyBorder="1" applyAlignment="1">
      <alignment horizontal="center" vertical="center" wrapText="1"/>
    </xf>
    <xf numFmtId="0" fontId="14" fillId="0" borderId="34" xfId="14" applyFont="1" applyBorder="1" applyAlignment="1">
      <alignment horizontal="center" vertical="center"/>
    </xf>
    <xf numFmtId="0" fontId="14" fillId="0" borderId="18" xfId="14" applyFont="1" applyBorder="1" applyAlignment="1">
      <alignment horizontal="center" vertical="center"/>
    </xf>
    <xf numFmtId="0" fontId="14" fillId="0" borderId="56" xfId="14" applyFont="1" applyBorder="1" applyAlignment="1">
      <alignment horizontal="center" vertical="center"/>
    </xf>
    <xf numFmtId="0" fontId="14" fillId="0" borderId="40" xfId="14" applyFont="1" applyBorder="1" applyAlignment="1">
      <alignment horizontal="center" vertical="center"/>
    </xf>
    <xf numFmtId="0" fontId="0" fillId="7" borderId="8" xfId="0" applyFill="1" applyBorder="1"/>
    <xf numFmtId="49" fontId="81" fillId="5" borderId="141" xfId="0" applyNumberFormat="1" applyFont="1" applyFill="1" applyBorder="1" applyAlignment="1">
      <alignment wrapText="1"/>
    </xf>
    <xf numFmtId="49" fontId="81" fillId="5" borderId="131" xfId="0" applyNumberFormat="1" applyFont="1" applyFill="1" applyBorder="1" applyAlignment="1">
      <alignment wrapText="1"/>
    </xf>
    <xf numFmtId="0" fontId="95" fillId="5" borderId="131" xfId="0" applyFont="1" applyFill="1" applyBorder="1" applyAlignment="1">
      <alignment horizontal="center" vertical="center" wrapText="1"/>
    </xf>
    <xf numFmtId="0" fontId="95" fillId="0" borderId="131" xfId="0" applyFont="1" applyFill="1" applyBorder="1" applyAlignment="1">
      <alignment horizontal="center" vertical="center" wrapText="1"/>
    </xf>
    <xf numFmtId="0" fontId="78" fillId="7" borderId="184" xfId="0" applyFont="1" applyFill="1" applyBorder="1"/>
    <xf numFmtId="0" fontId="78" fillId="7" borderId="185" xfId="0" applyFont="1" applyFill="1" applyBorder="1"/>
    <xf numFmtId="0" fontId="0" fillId="0" borderId="82" xfId="0" applyFill="1" applyBorder="1"/>
    <xf numFmtId="0" fontId="0" fillId="0" borderId="112" xfId="0" applyFill="1" applyBorder="1"/>
    <xf numFmtId="0" fontId="0" fillId="0" borderId="131" xfId="0" applyFill="1" applyBorder="1"/>
    <xf numFmtId="0" fontId="76" fillId="0" borderId="131" xfId="0" applyFont="1" applyFill="1" applyBorder="1" applyAlignment="1">
      <alignment wrapText="1"/>
    </xf>
    <xf numFmtId="0" fontId="76" fillId="0" borderId="128" xfId="0" applyFont="1" applyFill="1" applyBorder="1" applyAlignment="1">
      <alignment wrapText="1"/>
    </xf>
    <xf numFmtId="0" fontId="76" fillId="0" borderId="129" xfId="0" applyFont="1" applyFill="1" applyBorder="1" applyAlignment="1">
      <alignment wrapText="1"/>
    </xf>
    <xf numFmtId="0" fontId="75" fillId="0" borderId="0" xfId="0" applyFont="1" applyAlignment="1">
      <alignment horizontal="center"/>
    </xf>
    <xf numFmtId="0" fontId="77" fillId="0" borderId="167" xfId="0" applyFont="1" applyFill="1" applyBorder="1" applyAlignment="1">
      <alignment horizontal="center" vertical="center" wrapText="1"/>
    </xf>
    <xf numFmtId="0" fontId="77" fillId="0" borderId="168" xfId="0" applyFont="1" applyFill="1" applyBorder="1" applyAlignment="1">
      <alignment horizontal="center" vertical="center" wrapText="1"/>
    </xf>
    <xf numFmtId="49" fontId="78" fillId="0" borderId="182" xfId="0" applyNumberFormat="1" applyFont="1" applyFill="1" applyBorder="1" applyAlignment="1">
      <alignment horizontal="center" vertical="center"/>
    </xf>
    <xf numFmtId="49" fontId="78" fillId="0" borderId="183" xfId="0" applyNumberFormat="1" applyFont="1" applyFill="1" applyBorder="1" applyAlignment="1">
      <alignment horizontal="center" vertical="center"/>
    </xf>
    <xf numFmtId="0" fontId="43" fillId="0" borderId="179" xfId="0" applyFont="1" applyFill="1" applyBorder="1" applyAlignment="1">
      <alignment horizontal="center" vertical="center"/>
    </xf>
    <xf numFmtId="0" fontId="43" fillId="0" borderId="158" xfId="0" applyFont="1" applyFill="1" applyBorder="1" applyAlignment="1">
      <alignment horizontal="center" vertical="center"/>
    </xf>
    <xf numFmtId="0" fontId="43" fillId="0" borderId="171" xfId="0" applyFont="1" applyFill="1" applyBorder="1" applyAlignment="1">
      <alignment horizontal="center" vertical="center"/>
    </xf>
    <xf numFmtId="3" fontId="21" fillId="0" borderId="167" xfId="0" applyNumberFormat="1" applyFont="1" applyFill="1" applyBorder="1" applyAlignment="1">
      <alignment horizontal="center" vertical="center" wrapText="1"/>
    </xf>
    <xf numFmtId="3" fontId="21" fillId="0" borderId="168" xfId="0" applyNumberFormat="1" applyFont="1" applyFill="1" applyBorder="1" applyAlignment="1">
      <alignment horizontal="center" vertical="center" wrapText="1"/>
    </xf>
    <xf numFmtId="0" fontId="79" fillId="0" borderId="180" xfId="0" applyFont="1" applyFill="1" applyBorder="1" applyAlignment="1">
      <alignment horizontal="center" vertical="center" wrapText="1"/>
    </xf>
    <xf numFmtId="0" fontId="79" fillId="0" borderId="160" xfId="0" applyFont="1" applyFill="1" applyBorder="1" applyAlignment="1">
      <alignment horizontal="center" vertical="center" wrapText="1"/>
    </xf>
    <xf numFmtId="3" fontId="21" fillId="2" borderId="165" xfId="0" applyNumberFormat="1" applyFont="1" applyFill="1" applyBorder="1" applyAlignment="1">
      <alignment horizontal="center" vertical="center" wrapText="1"/>
    </xf>
    <xf numFmtId="3" fontId="21" fillId="2" borderId="166" xfId="0" applyNumberFormat="1" applyFont="1" applyFill="1" applyBorder="1" applyAlignment="1">
      <alignment horizontal="center" vertical="center" wrapText="1"/>
    </xf>
    <xf numFmtId="0" fontId="45" fillId="5" borderId="131" xfId="0" applyFont="1" applyFill="1" applyBorder="1" applyAlignment="1">
      <alignment wrapText="1"/>
    </xf>
    <xf numFmtId="3" fontId="21" fillId="0" borderId="172" xfId="0" applyNumberFormat="1" applyFont="1" applyFill="1" applyBorder="1" applyAlignment="1">
      <alignment horizontal="center" vertical="center" wrapText="1"/>
    </xf>
    <xf numFmtId="3" fontId="21" fillId="0" borderId="173" xfId="0" applyNumberFormat="1" applyFont="1" applyFill="1" applyBorder="1" applyAlignment="1">
      <alignment horizontal="center" vertical="center" wrapText="1"/>
    </xf>
    <xf numFmtId="3" fontId="21" fillId="0" borderId="159" xfId="0" applyNumberFormat="1" applyFont="1" applyFill="1" applyBorder="1" applyAlignment="1">
      <alignment horizontal="center" vertical="center" wrapText="1"/>
    </xf>
    <xf numFmtId="3" fontId="21" fillId="0" borderId="162" xfId="0" applyNumberFormat="1" applyFont="1" applyFill="1" applyBorder="1" applyAlignment="1">
      <alignment horizontal="center" vertical="center" wrapText="1"/>
    </xf>
    <xf numFmtId="49" fontId="89" fillId="0" borderId="141" xfId="0" applyNumberFormat="1" applyFont="1" applyFill="1" applyBorder="1" applyAlignment="1">
      <alignment horizontal="left" vertical="center" wrapText="1"/>
    </xf>
    <xf numFmtId="49" fontId="89" fillId="0" borderId="131" xfId="0" applyNumberFormat="1" applyFont="1" applyFill="1" applyBorder="1" applyAlignment="1">
      <alignment horizontal="left" vertical="center" wrapText="1"/>
    </xf>
    <xf numFmtId="0" fontId="94" fillId="0" borderId="131" xfId="0" applyFont="1" applyFill="1" applyBorder="1" applyAlignment="1">
      <alignment horizontal="center" vertical="center" wrapText="1"/>
    </xf>
    <xf numFmtId="3" fontId="3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4" fillId="0" borderId="0" xfId="17" applyFont="1" applyAlignment="1">
      <alignment horizontal="center" vertical="center" wrapText="1"/>
    </xf>
    <xf numFmtId="0" fontId="14" fillId="0" borderId="49" xfId="17" applyFont="1" applyBorder="1" applyAlignment="1">
      <alignment horizontal="center" vertical="center" wrapText="1"/>
    </xf>
    <xf numFmtId="0" fontId="14" fillId="0" borderId="96" xfId="17" applyFont="1" applyBorder="1" applyAlignment="1">
      <alignment horizontal="center" vertical="center" wrapText="1"/>
    </xf>
    <xf numFmtId="0" fontId="14" fillId="0" borderId="19" xfId="17" applyFont="1" applyBorder="1" applyAlignment="1">
      <alignment horizontal="center" vertical="center"/>
    </xf>
    <xf numFmtId="0" fontId="14" fillId="0" borderId="13" xfId="17" applyFont="1" applyBorder="1" applyAlignment="1">
      <alignment horizontal="center" vertical="center"/>
    </xf>
    <xf numFmtId="0" fontId="14" fillId="0" borderId="43" xfId="17" applyFont="1" applyBorder="1" applyAlignment="1">
      <alignment horizontal="center" vertical="center" wrapText="1"/>
    </xf>
    <xf numFmtId="0" fontId="14" fillId="0" borderId="38" xfId="17" applyFont="1" applyBorder="1" applyAlignment="1">
      <alignment horizontal="center" vertical="center" wrapText="1"/>
    </xf>
    <xf numFmtId="3" fontId="14" fillId="0" borderId="20" xfId="17" applyNumberFormat="1" applyFont="1" applyBorder="1" applyAlignment="1">
      <alignment horizontal="center" vertical="center" wrapText="1"/>
    </xf>
    <xf numFmtId="3" fontId="14" fillId="0" borderId="14" xfId="17" applyNumberFormat="1" applyFont="1" applyBorder="1" applyAlignment="1">
      <alignment horizontal="center" vertical="center" wrapText="1"/>
    </xf>
    <xf numFmtId="3" fontId="14" fillId="0" borderId="55" xfId="17" applyNumberFormat="1" applyFont="1" applyBorder="1" applyAlignment="1">
      <alignment horizontal="center" vertical="center" wrapText="1"/>
    </xf>
    <xf numFmtId="3" fontId="14" fillId="0" borderId="41" xfId="17" applyNumberFormat="1" applyFont="1" applyBorder="1" applyAlignment="1">
      <alignment horizontal="center" vertical="center" wrapText="1"/>
    </xf>
    <xf numFmtId="3" fontId="14" fillId="0" borderId="67" xfId="17" applyNumberFormat="1" applyFont="1" applyBorder="1" applyAlignment="1">
      <alignment horizontal="center" vertical="center" wrapText="1"/>
    </xf>
    <xf numFmtId="3" fontId="14" fillId="0" borderId="48" xfId="17" applyNumberFormat="1" applyFont="1" applyBorder="1" applyAlignment="1">
      <alignment horizontal="center" vertical="center" wrapText="1"/>
    </xf>
    <xf numFmtId="3" fontId="14" fillId="0" borderId="50" xfId="17" applyNumberFormat="1" applyFont="1" applyBorder="1" applyAlignment="1">
      <alignment horizontal="center" vertical="center" wrapText="1"/>
    </xf>
    <xf numFmtId="3" fontId="14" fillId="0" borderId="51" xfId="17" applyNumberFormat="1" applyFont="1" applyBorder="1" applyAlignment="1">
      <alignment horizontal="center" vertical="center" wrapText="1"/>
    </xf>
    <xf numFmtId="3" fontId="14" fillId="0" borderId="47" xfId="17" applyNumberFormat="1" applyFont="1" applyBorder="1" applyAlignment="1">
      <alignment horizontal="center" vertical="center" wrapText="1"/>
    </xf>
    <xf numFmtId="3" fontId="14" fillId="0" borderId="52" xfId="17" applyNumberFormat="1" applyFont="1" applyBorder="1" applyAlignment="1">
      <alignment horizontal="center" vertical="center" wrapText="1"/>
    </xf>
  </cellXfs>
  <cellStyles count="24">
    <cellStyle name="Excel Built-in Explanatory Text" xfId="18"/>
    <cellStyle name="Excel Built-in Normal" xfId="8"/>
    <cellStyle name="Excel Built-in Normal 2" xfId="19"/>
    <cellStyle name="Ezres 2" xfId="11"/>
    <cellStyle name="Ezres 3" xfId="21"/>
    <cellStyle name="Magyarázó szöveg" xfId="12" builtinId="53"/>
    <cellStyle name="Magyarázó szöveg 2" xfId="13"/>
    <cellStyle name="Magyarázó szöveg 2 2" xfId="20"/>
    <cellStyle name="Magyarázó szöveg 3" xfId="7"/>
    <cellStyle name="Magyarázó szöveg 4" xfId="5"/>
    <cellStyle name="Normál" xfId="0" builtinId="0"/>
    <cellStyle name="Normál 2" xfId="10"/>
    <cellStyle name="Normál 2 2" xfId="6"/>
    <cellStyle name="Normál 3" xfId="4"/>
    <cellStyle name="Normál 8" xfId="15"/>
    <cellStyle name="Normál_Beruh.felú-átadott-átvett" xfId="9"/>
    <cellStyle name="Normál_Beruh.felú-átadott-átvett 2" xfId="23"/>
    <cellStyle name="Normál_Brigitől kisebbségek_Munkafüzet1" xfId="14"/>
    <cellStyle name="Normál_Brigitől kisebbségek_Munkafüzet1 2" xfId="22"/>
    <cellStyle name="Normál_EU-s_pályázatok 20150115" xfId="17"/>
    <cellStyle name="Normál_KTGVET98" xfId="1"/>
    <cellStyle name="Normál_Munkafüzet1" xfId="3"/>
    <cellStyle name="Normál_Munkafüzet3" xfId="16"/>
    <cellStyle name="Normál_Táblák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zomborimonika\Dokumentumok\el&#337;terjeszt&#233;sek\2011\November\Koncepci&#243;\Koncepci&#243;%20sz&#246;veg%20&#233;s%20t&#225;bla\Barbara\Exceleim\Buboros%20t&#225;b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Local%20Settings\Temp\2012.%20&#233;vi%20k&#246;lts&#233;gvet&#233;si%20t&#225;bl&#225;k%202010.01.05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DOCUME~1\ZSOMBO~1\LOCALS~1\Temp\DOCUME~1\ZSOMBO~1\LOCALS~1\Temp\Barbara\10.%20mell&#233;klet%20Ic&#225;nak%20(%20cellat&#246;rl&#337;s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ZSOMBO~1\LOCALS~1\Temp\2012.%20k&#246;lts&#233;gvet&#233;si%20t&#225;bl&#225;k%202012%2002%2006-2(K&#246;tv&#233;nyes%20t&#225;bl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sz. melléklet"/>
      <sheetName val="1.a. 1.b. melléklet"/>
      <sheetName val="2. sz. melléklet"/>
      <sheetName val="3.sz. melléklet"/>
      <sheetName val="4.A sz. melléklet"/>
      <sheetName val="4.B-C. sz. melléklet"/>
      <sheetName val="5. sz. melléklet"/>
      <sheetName val="6. sz. melléklet"/>
      <sheetName val="7. sz. melléklet"/>
      <sheetName val="8. sz. melléklet"/>
      <sheetName val="9. sz. melléklet"/>
      <sheetName val="10. sz. melléklet"/>
      <sheetName val="10-a.sz. melléklet"/>
      <sheetName val="11. sz. melléklet"/>
      <sheetName val="12. sz. melléklet"/>
      <sheetName val="13. sz. melléklet"/>
      <sheetName val="14. sz. melléklet"/>
      <sheetName val="15. sz. melléklet"/>
      <sheetName val="16.sz. melléklet"/>
      <sheetName val="17.a. 17.b. sz. melléklet"/>
      <sheetName val="18."/>
      <sheetName val="19."/>
      <sheetName val="1_sz__melléklet"/>
      <sheetName val="1_a__1_b__melléklet"/>
      <sheetName val="2__sz__melléklet"/>
      <sheetName val="3_sz__melléklet"/>
      <sheetName val="4_A_sz__melléklet"/>
      <sheetName val="4_B-C__sz__melléklet"/>
      <sheetName val="5__sz__melléklet"/>
      <sheetName val="6__sz__melléklet"/>
      <sheetName val="7__sz__melléklet"/>
      <sheetName val="8__sz__melléklet"/>
      <sheetName val="9__sz__melléklet"/>
      <sheetName val="10__sz__melléklet"/>
      <sheetName val="10-a_sz__melléklet"/>
      <sheetName val="11__sz__melléklet"/>
      <sheetName val="12__sz__melléklet"/>
      <sheetName val="13__sz__melléklet"/>
      <sheetName val="14__sz__melléklet"/>
      <sheetName val="15__sz__melléklet"/>
      <sheetName val="16_sz__melléklet"/>
      <sheetName val="17_a__17_b__sz__melléklet"/>
      <sheetName val="18_"/>
      <sheetName val="1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zoomScale="142" zoomScaleNormal="80" zoomScalePageLayoutView="142" workbookViewId="0">
      <selection activeCell="L26" sqref="L26"/>
    </sheetView>
  </sheetViews>
  <sheetFormatPr defaultRowHeight="15"/>
  <cols>
    <col min="1" max="1" width="68.42578125" style="1" bestFit="1" customWidth="1"/>
    <col min="2" max="4" width="12.7109375" style="1" customWidth="1"/>
    <col min="5" max="5" width="3.7109375" style="1" customWidth="1"/>
    <col min="6" max="6" width="59.7109375" style="1" bestFit="1" customWidth="1"/>
    <col min="7" max="9" width="12.7109375" style="1" customWidth="1"/>
    <col min="10" max="16384" width="9.140625" style="1"/>
  </cols>
  <sheetData>
    <row r="1" spans="1:9">
      <c r="A1" s="2036" t="s">
        <v>909</v>
      </c>
      <c r="B1" s="2036"/>
      <c r="C1" s="2036"/>
      <c r="D1" s="2036"/>
      <c r="E1" s="2036"/>
      <c r="F1" s="2036"/>
      <c r="G1" s="2036"/>
      <c r="H1" s="2036"/>
      <c r="I1" s="2036"/>
    </row>
    <row r="2" spans="1:9" ht="15.75" thickBot="1">
      <c r="A2" s="2"/>
      <c r="B2" s="3"/>
      <c r="C2" s="3"/>
      <c r="D2" s="3"/>
      <c r="E2" s="3"/>
      <c r="F2" s="3"/>
      <c r="G2" s="3"/>
      <c r="H2" s="3"/>
      <c r="I2" s="3"/>
    </row>
    <row r="3" spans="1:9">
      <c r="A3" s="2030" t="s">
        <v>0</v>
      </c>
      <c r="B3" s="2031"/>
      <c r="C3" s="2031"/>
      <c r="D3" s="2032"/>
      <c r="E3" s="194"/>
      <c r="F3" s="2033" t="s">
        <v>1</v>
      </c>
      <c r="G3" s="2034"/>
      <c r="H3" s="2034"/>
      <c r="I3" s="2035"/>
    </row>
    <row r="4" spans="1:9" ht="33.75" customHeight="1" thickBot="1">
      <c r="A4" s="131" t="s">
        <v>2</v>
      </c>
      <c r="B4" s="310" t="s">
        <v>3</v>
      </c>
      <c r="C4" s="778" t="s">
        <v>962</v>
      </c>
      <c r="D4" s="1297" t="s">
        <v>975</v>
      </c>
      <c r="E4" s="1298"/>
      <c r="F4" s="1299" t="s">
        <v>2</v>
      </c>
      <c r="G4" s="778" t="s">
        <v>4</v>
      </c>
      <c r="H4" s="778" t="s">
        <v>962</v>
      </c>
      <c r="I4" s="1297" t="s">
        <v>975</v>
      </c>
    </row>
    <row r="5" spans="1:9">
      <c r="A5" s="136" t="s">
        <v>5</v>
      </c>
      <c r="B5" s="311">
        <f>'3. melléklet'!K5</f>
        <v>1269779.419</v>
      </c>
      <c r="C5" s="311">
        <f>'3. melléklet'!L5</f>
        <v>1528933</v>
      </c>
      <c r="D5" s="299">
        <f>'3. melléklet'!M5</f>
        <v>1600561</v>
      </c>
      <c r="E5" s="189"/>
      <c r="F5" s="322" t="s">
        <v>6</v>
      </c>
      <c r="G5" s="311">
        <f>'4. melléklet'!M6</f>
        <v>1852786</v>
      </c>
      <c r="H5" s="311">
        <f>'4. melléklet'!N6</f>
        <v>1900782</v>
      </c>
      <c r="I5" s="299">
        <f>'4. melléklet'!O6</f>
        <v>1909198</v>
      </c>
    </row>
    <row r="6" spans="1:9">
      <c r="A6" s="137"/>
      <c r="B6" s="250"/>
      <c r="C6" s="628"/>
      <c r="D6" s="300"/>
      <c r="E6" s="189"/>
      <c r="F6" s="323"/>
      <c r="G6" s="250"/>
      <c r="H6" s="628"/>
      <c r="I6" s="300"/>
    </row>
    <row r="7" spans="1:9">
      <c r="A7" s="138" t="s">
        <v>7</v>
      </c>
      <c r="B7" s="250">
        <f>SUM(B8:B9)</f>
        <v>404378</v>
      </c>
      <c r="C7" s="628">
        <f>SUM(C8:C9)</f>
        <v>746148</v>
      </c>
      <c r="D7" s="300">
        <f>SUM(D8:D9)</f>
        <v>759168</v>
      </c>
      <c r="E7" s="189"/>
      <c r="F7" s="281" t="s">
        <v>9</v>
      </c>
      <c r="G7" s="250">
        <f>'4. melléklet'!M7</f>
        <v>342937</v>
      </c>
      <c r="H7" s="628">
        <f>'4. melléklet'!N7</f>
        <v>342669</v>
      </c>
      <c r="I7" s="300">
        <f>'4. melléklet'!O7</f>
        <v>344548</v>
      </c>
    </row>
    <row r="8" spans="1:9">
      <c r="A8" s="139" t="s">
        <v>320</v>
      </c>
      <c r="B8" s="312">
        <f>'3. melléklet'!K9</f>
        <v>0</v>
      </c>
      <c r="C8" s="779">
        <f>'3. melléklet'!L9</f>
        <v>37663</v>
      </c>
      <c r="D8" s="301">
        <f>'3. melléklet'!M9</f>
        <v>37663</v>
      </c>
      <c r="E8" s="190"/>
      <c r="F8" s="282"/>
      <c r="G8" s="312"/>
      <c r="H8" s="779"/>
      <c r="I8" s="301"/>
    </row>
    <row r="9" spans="1:9">
      <c r="A9" s="140" t="s">
        <v>8</v>
      </c>
      <c r="B9" s="312">
        <f>'3. melléklet'!K10</f>
        <v>404378</v>
      </c>
      <c r="C9" s="779">
        <f>'3. melléklet'!L10</f>
        <v>708485</v>
      </c>
      <c r="D9" s="301">
        <f>'3. melléklet'!M10</f>
        <v>721505</v>
      </c>
      <c r="E9" s="190"/>
      <c r="F9" s="281" t="s">
        <v>12</v>
      </c>
      <c r="G9" s="250">
        <f>'4. melléklet'!M8</f>
        <v>2410608</v>
      </c>
      <c r="H9" s="628">
        <f>'4. melléklet'!N8</f>
        <v>2962349</v>
      </c>
      <c r="I9" s="300">
        <f>'4. melléklet'!O8</f>
        <v>2977433</v>
      </c>
    </row>
    <row r="10" spans="1:9">
      <c r="A10" s="140"/>
      <c r="B10" s="312"/>
      <c r="C10" s="779"/>
      <c r="D10" s="301"/>
      <c r="E10" s="190"/>
      <c r="F10" s="281"/>
      <c r="G10" s="250"/>
      <c r="H10" s="628"/>
      <c r="I10" s="300"/>
    </row>
    <row r="11" spans="1:9">
      <c r="A11" s="141" t="s">
        <v>10</v>
      </c>
      <c r="B11" s="250">
        <f>B12</f>
        <v>113219</v>
      </c>
      <c r="C11" s="628">
        <f>C12</f>
        <v>761186</v>
      </c>
      <c r="D11" s="300">
        <f>D12</f>
        <v>624394</v>
      </c>
      <c r="E11" s="189"/>
      <c r="F11" s="281" t="s">
        <v>14</v>
      </c>
      <c r="G11" s="250">
        <f>'4. melléklet'!M9</f>
        <v>64850</v>
      </c>
      <c r="H11" s="628">
        <f>'4. melléklet'!N9</f>
        <v>64350</v>
      </c>
      <c r="I11" s="300">
        <f>'4. melléklet'!O9</f>
        <v>64350</v>
      </c>
    </row>
    <row r="12" spans="1:9">
      <c r="A12" s="140" t="s">
        <v>8</v>
      </c>
      <c r="B12" s="312">
        <f>'3. melléklet'!K12</f>
        <v>113219</v>
      </c>
      <c r="C12" s="779">
        <f>'3. melléklet'!L12</f>
        <v>761186</v>
      </c>
      <c r="D12" s="301">
        <f>'3. melléklet'!M12</f>
        <v>624394</v>
      </c>
      <c r="E12" s="190"/>
      <c r="F12" s="281"/>
      <c r="G12" s="250"/>
      <c r="H12" s="628"/>
      <c r="I12" s="300"/>
    </row>
    <row r="13" spans="1:9">
      <c r="A13" s="141"/>
      <c r="B13" s="312"/>
      <c r="C13" s="779"/>
      <c r="D13" s="301"/>
      <c r="E13" s="190"/>
      <c r="F13" s="281" t="s">
        <v>16</v>
      </c>
      <c r="G13" s="250">
        <f>SUM(G14:G18)</f>
        <v>1323721</v>
      </c>
      <c r="H13" s="628">
        <f>SUM(H14:H18)</f>
        <v>1493500</v>
      </c>
      <c r="I13" s="300">
        <f>SUM(I14:I18)</f>
        <v>1615836</v>
      </c>
    </row>
    <row r="14" spans="1:9">
      <c r="A14" s="137" t="s">
        <v>11</v>
      </c>
      <c r="B14" s="250">
        <f>SUM(B15:B19)</f>
        <v>2350000</v>
      </c>
      <c r="C14" s="628">
        <f>SUM(C15:C19)</f>
        <v>2267637</v>
      </c>
      <c r="D14" s="300">
        <f>SUM(D15:D19)</f>
        <v>2268091</v>
      </c>
      <c r="E14" s="189"/>
      <c r="F14" s="282" t="s">
        <v>17</v>
      </c>
      <c r="G14" s="312">
        <f>'4. melléklet'!M11</f>
        <v>0</v>
      </c>
      <c r="H14" s="779">
        <f>'4. melléklet'!N11</f>
        <v>78160</v>
      </c>
      <c r="I14" s="301">
        <f>'4. melléklet'!O11</f>
        <v>127698</v>
      </c>
    </row>
    <row r="15" spans="1:9">
      <c r="A15" s="140" t="s">
        <v>13</v>
      </c>
      <c r="B15" s="312">
        <f>'3. melléklet'!K14</f>
        <v>530000</v>
      </c>
      <c r="C15" s="779">
        <f>'3. melléklet'!L14</f>
        <v>530000</v>
      </c>
      <c r="D15" s="301">
        <f>'3. melléklet'!M14</f>
        <v>530000</v>
      </c>
      <c r="E15" s="190"/>
      <c r="F15" s="282" t="s">
        <v>18</v>
      </c>
      <c r="G15" s="312">
        <f>'4. melléklet'!M12</f>
        <v>18000</v>
      </c>
      <c r="H15" s="779">
        <f>'4. melléklet'!N12</f>
        <v>18000</v>
      </c>
      <c r="I15" s="301">
        <f>'4. melléklet'!O12</f>
        <v>18000</v>
      </c>
    </row>
    <row r="16" spans="1:9">
      <c r="A16" s="140" t="s">
        <v>75</v>
      </c>
      <c r="B16" s="312">
        <f>'3. melléklet'!K17</f>
        <v>1815000</v>
      </c>
      <c r="C16" s="779">
        <f>'3. melléklet'!L17</f>
        <v>1732545</v>
      </c>
      <c r="D16" s="301">
        <f>'3. melléklet'!M17</f>
        <v>1732545</v>
      </c>
      <c r="E16" s="190"/>
      <c r="F16" s="282" t="s">
        <v>19</v>
      </c>
      <c r="G16" s="312">
        <f>'4. melléklet'!M13</f>
        <v>20000</v>
      </c>
      <c r="H16" s="779">
        <f>'4. melléklet'!N13</f>
        <v>20000</v>
      </c>
      <c r="I16" s="301">
        <f>'4. melléklet'!O13</f>
        <v>20000</v>
      </c>
    </row>
    <row r="17" spans="1:9">
      <c r="A17" s="139" t="s">
        <v>15</v>
      </c>
      <c r="B17" s="312">
        <f>'3. melléklet'!K21</f>
        <v>3000</v>
      </c>
      <c r="C17" s="779">
        <f>'3. melléklet'!L21</f>
        <v>3000</v>
      </c>
      <c r="D17" s="301">
        <f>'3. melléklet'!M21</f>
        <v>3000</v>
      </c>
      <c r="E17" s="190"/>
      <c r="F17" s="282" t="s">
        <v>21</v>
      </c>
      <c r="G17" s="312">
        <f>'4. melléklet'!M14</f>
        <v>1182077</v>
      </c>
      <c r="H17" s="779">
        <f>'4. melléklet'!N14</f>
        <v>1254032</v>
      </c>
      <c r="I17" s="301">
        <f>'4. melléklet'!O14</f>
        <v>1337275</v>
      </c>
    </row>
    <row r="18" spans="1:9">
      <c r="A18" s="139" t="s">
        <v>321</v>
      </c>
      <c r="B18" s="312">
        <f>'3. melléklet'!K22</f>
        <v>1500</v>
      </c>
      <c r="C18" s="779">
        <f>'3. melléklet'!L22</f>
        <v>1592</v>
      </c>
      <c r="D18" s="301">
        <f>'3. melléklet'!M22</f>
        <v>2046</v>
      </c>
      <c r="E18" s="190"/>
      <c r="F18" s="282" t="s">
        <v>23</v>
      </c>
      <c r="G18" s="312">
        <f>SUM(G19:G21)</f>
        <v>103644</v>
      </c>
      <c r="H18" s="779">
        <f>SUM(H19:H21)</f>
        <v>123308</v>
      </c>
      <c r="I18" s="301">
        <f>SUM(I19:I21)</f>
        <v>112863</v>
      </c>
    </row>
    <row r="19" spans="1:9">
      <c r="A19" s="139" t="s">
        <v>84</v>
      </c>
      <c r="B19" s="312">
        <f>'3. melléklet'!K23</f>
        <v>500</v>
      </c>
      <c r="C19" s="779">
        <f>'3. melléklet'!L23</f>
        <v>500</v>
      </c>
      <c r="D19" s="301">
        <f>'3. melléklet'!M23</f>
        <v>500</v>
      </c>
      <c r="E19" s="190"/>
      <c r="F19" s="283" t="s">
        <v>25</v>
      </c>
      <c r="G19" s="324">
        <f>'4. melléklet'!M16</f>
        <v>30000</v>
      </c>
      <c r="H19" s="780">
        <f>'4. melléklet'!N16</f>
        <v>37236</v>
      </c>
      <c r="I19" s="321">
        <f>'4. melléklet'!O16</f>
        <v>26245</v>
      </c>
    </row>
    <row r="20" spans="1:9">
      <c r="A20" s="137"/>
      <c r="B20" s="250"/>
      <c r="C20" s="628"/>
      <c r="D20" s="300"/>
      <c r="E20" s="189"/>
      <c r="F20" s="325" t="s">
        <v>890</v>
      </c>
      <c r="G20" s="324">
        <f>'4. melléklet'!M17</f>
        <v>0</v>
      </c>
      <c r="H20" s="780">
        <f>'4. melléklet'!N17</f>
        <v>760</v>
      </c>
      <c r="I20" s="321">
        <f>'4. melléklet'!O17</f>
        <v>1306</v>
      </c>
    </row>
    <row r="21" spans="1:9" ht="15" customHeight="1">
      <c r="A21" s="137" t="s">
        <v>20</v>
      </c>
      <c r="B21" s="250">
        <f>SUM(B22:B29)</f>
        <v>2371771</v>
      </c>
      <c r="C21" s="628">
        <f>SUM(C22:C29)</f>
        <v>2541818</v>
      </c>
      <c r="D21" s="300">
        <f>SUM(D22:D29)</f>
        <v>2499070</v>
      </c>
      <c r="E21" s="189"/>
      <c r="F21" s="283" t="s">
        <v>87</v>
      </c>
      <c r="G21" s="324">
        <f>'4. melléklet'!M18</f>
        <v>73644</v>
      </c>
      <c r="H21" s="780">
        <f>'4. melléklet'!N18</f>
        <v>85312</v>
      </c>
      <c r="I21" s="321">
        <f>'4. melléklet'!O18</f>
        <v>85312</v>
      </c>
    </row>
    <row r="22" spans="1:9" ht="30">
      <c r="A22" s="142" t="s">
        <v>22</v>
      </c>
      <c r="B22" s="312">
        <f>'3. melléklet'!K25</f>
        <v>1402614</v>
      </c>
      <c r="C22" s="779">
        <f>'3. melléklet'!L25</f>
        <v>1371313</v>
      </c>
      <c r="D22" s="301">
        <f>'3. melléklet'!M25</f>
        <v>1324413</v>
      </c>
      <c r="E22" s="190"/>
      <c r="F22" s="323"/>
      <c r="G22" s="312"/>
      <c r="H22" s="779"/>
      <c r="I22" s="301"/>
    </row>
    <row r="23" spans="1:9">
      <c r="A23" s="140" t="s">
        <v>24</v>
      </c>
      <c r="B23" s="312">
        <f>'3. melléklet'!K26</f>
        <v>255073</v>
      </c>
      <c r="C23" s="779">
        <f>'3. melléklet'!L26</f>
        <v>412438</v>
      </c>
      <c r="D23" s="301">
        <f>'3. melléklet'!M26</f>
        <v>412438</v>
      </c>
      <c r="E23" s="190"/>
      <c r="F23" s="281" t="s">
        <v>30</v>
      </c>
      <c r="G23" s="250">
        <f>'4. melléklet'!M19</f>
        <v>2196341</v>
      </c>
      <c r="H23" s="628">
        <f>'4. melléklet'!N19</f>
        <v>3091509</v>
      </c>
      <c r="I23" s="300">
        <f>'4. melléklet'!O19</f>
        <v>2949564</v>
      </c>
    </row>
    <row r="24" spans="1:9">
      <c r="A24" s="140" t="s">
        <v>26</v>
      </c>
      <c r="B24" s="312">
        <f>'3. melléklet'!K27</f>
        <v>28516</v>
      </c>
      <c r="C24" s="779">
        <f>'3. melléklet'!L27</f>
        <v>29493</v>
      </c>
      <c r="D24" s="301">
        <f>'3. melléklet'!M27</f>
        <v>29664</v>
      </c>
      <c r="E24" s="190"/>
      <c r="F24" s="281"/>
      <c r="G24" s="312"/>
      <c r="H24" s="779"/>
      <c r="I24" s="301"/>
    </row>
    <row r="25" spans="1:9">
      <c r="A25" s="140" t="s">
        <v>27</v>
      </c>
      <c r="B25" s="312">
        <f>'3. melléklet'!K28</f>
        <v>88191</v>
      </c>
      <c r="C25" s="779">
        <f>'3. melléklet'!L28</f>
        <v>88191</v>
      </c>
      <c r="D25" s="301">
        <f>'3. melléklet'!M28</f>
        <v>88191</v>
      </c>
      <c r="E25" s="190"/>
      <c r="F25" s="281" t="s">
        <v>31</v>
      </c>
      <c r="G25" s="250">
        <f>'4. melléklet'!M20</f>
        <v>602340</v>
      </c>
      <c r="H25" s="628">
        <f>'4. melléklet'!N20</f>
        <v>450796</v>
      </c>
      <c r="I25" s="300">
        <f>'4. melléklet'!O20</f>
        <v>433113</v>
      </c>
    </row>
    <row r="26" spans="1:9">
      <c r="A26" s="140" t="s">
        <v>28</v>
      </c>
      <c r="B26" s="312">
        <f>'3. melléklet'!K29</f>
        <v>100617</v>
      </c>
      <c r="C26" s="779">
        <f>'3. melléklet'!L29</f>
        <v>99870</v>
      </c>
      <c r="D26" s="301">
        <f>'3. melléklet'!M29</f>
        <v>102870</v>
      </c>
      <c r="E26" s="190"/>
      <c r="F26" s="281"/>
      <c r="G26" s="250"/>
      <c r="H26" s="628"/>
      <c r="I26" s="300"/>
    </row>
    <row r="27" spans="1:9">
      <c r="A27" s="140" t="s">
        <v>29</v>
      </c>
      <c r="B27" s="312">
        <f>'3. melléklet'!K30</f>
        <v>429193</v>
      </c>
      <c r="C27" s="779">
        <f>'3. melléklet'!L30</f>
        <v>471729</v>
      </c>
      <c r="D27" s="301">
        <f>'3. melléklet'!M30</f>
        <v>471729</v>
      </c>
      <c r="E27" s="190"/>
      <c r="F27" s="281" t="s">
        <v>34</v>
      </c>
      <c r="G27" s="250">
        <f>SUM(G28:G30)</f>
        <v>25100</v>
      </c>
      <c r="H27" s="628">
        <f>SUM(H28:H30)</f>
        <v>27600</v>
      </c>
      <c r="I27" s="300">
        <f>SUM(I28:I30)</f>
        <v>117596</v>
      </c>
    </row>
    <row r="28" spans="1:9">
      <c r="A28" s="143" t="s">
        <v>322</v>
      </c>
      <c r="B28" s="312">
        <f>'3. melléklet'!K31</f>
        <v>14811</v>
      </c>
      <c r="C28" s="779">
        <f>'3. melléklet'!L31</f>
        <v>15514</v>
      </c>
      <c r="D28" s="301">
        <f>'3. melléklet'!M31</f>
        <v>15514</v>
      </c>
      <c r="E28" s="190"/>
      <c r="F28" s="282" t="s">
        <v>19</v>
      </c>
      <c r="G28" s="312">
        <f>'4. melléklet'!M22</f>
        <v>1200</v>
      </c>
      <c r="H28" s="779">
        <f>'4. melléklet'!N22</f>
        <v>1200</v>
      </c>
      <c r="I28" s="301">
        <f>'4. melléklet'!O22</f>
        <v>2700</v>
      </c>
    </row>
    <row r="29" spans="1:9">
      <c r="A29" s="143" t="s">
        <v>795</v>
      </c>
      <c r="B29" s="312">
        <f>'3. melléklet'!K32</f>
        <v>52756</v>
      </c>
      <c r="C29" s="779">
        <f>'3. melléklet'!L32</f>
        <v>53270</v>
      </c>
      <c r="D29" s="301">
        <f>'3. melléklet'!M32</f>
        <v>54251</v>
      </c>
      <c r="E29" s="190"/>
      <c r="F29" s="282" t="s">
        <v>36</v>
      </c>
      <c r="G29" s="312">
        <f>'4. melléklet'!M23</f>
        <v>13900</v>
      </c>
      <c r="H29" s="779">
        <f>'4. melléklet'!N23</f>
        <v>16400</v>
      </c>
      <c r="I29" s="301">
        <f>'4. melléklet'!O23</f>
        <v>18650</v>
      </c>
    </row>
    <row r="30" spans="1:9">
      <c r="A30" s="143"/>
      <c r="B30" s="312"/>
      <c r="C30" s="779"/>
      <c r="D30" s="301"/>
      <c r="E30" s="190"/>
      <c r="F30" s="282" t="s">
        <v>37</v>
      </c>
      <c r="G30" s="312">
        <f>SUM(G31:G32)</f>
        <v>10000</v>
      </c>
      <c r="H30" s="779">
        <f>SUM(H31:H32)</f>
        <v>10000</v>
      </c>
      <c r="I30" s="301">
        <f>SUM(I31:I32)</f>
        <v>96246</v>
      </c>
    </row>
    <row r="31" spans="1:9">
      <c r="A31" s="137" t="s">
        <v>32</v>
      </c>
      <c r="B31" s="250">
        <f>SUM(B32:B33)</f>
        <v>300</v>
      </c>
      <c r="C31" s="628">
        <f>SUM(C32:C33)</f>
        <v>19300</v>
      </c>
      <c r="D31" s="300">
        <f>SUM(D32:D33)</f>
        <v>19300</v>
      </c>
      <c r="E31" s="189"/>
      <c r="F31" s="283" t="s">
        <v>39</v>
      </c>
      <c r="G31" s="324">
        <f>'4. melléklet'!M25</f>
        <v>10000</v>
      </c>
      <c r="H31" s="780">
        <f>'4. melléklet'!N25</f>
        <v>10000</v>
      </c>
      <c r="I31" s="321">
        <f>'4. melléklet'!O25</f>
        <v>68246</v>
      </c>
    </row>
    <row r="32" spans="1:9">
      <c r="A32" s="140" t="s">
        <v>33</v>
      </c>
      <c r="B32" s="312">
        <f>'3. melléklet'!K34</f>
        <v>300</v>
      </c>
      <c r="C32" s="779">
        <f>'3. melléklet'!L34</f>
        <v>19300</v>
      </c>
      <c r="D32" s="301">
        <f>'3. melléklet'!M34</f>
        <v>19300</v>
      </c>
      <c r="E32" s="190"/>
      <c r="F32" s="283" t="s">
        <v>529</v>
      </c>
      <c r="G32" s="324">
        <f>'4. melléklet'!M26</f>
        <v>0</v>
      </c>
      <c r="H32" s="780">
        <f>'4. melléklet'!N26</f>
        <v>0</v>
      </c>
      <c r="I32" s="321">
        <f>'4. melléklet'!O26</f>
        <v>28000</v>
      </c>
    </row>
    <row r="33" spans="1:9">
      <c r="A33" s="140" t="s">
        <v>323</v>
      </c>
      <c r="B33" s="312">
        <f>'3. melléklet'!K35</f>
        <v>0</v>
      </c>
      <c r="C33" s="779">
        <f>'3. melléklet'!L35</f>
        <v>0</v>
      </c>
      <c r="D33" s="301">
        <f>'3. melléklet'!M35</f>
        <v>0</v>
      </c>
      <c r="E33" s="190"/>
      <c r="F33" s="283"/>
      <c r="G33" s="312"/>
      <c r="H33" s="779"/>
      <c r="I33" s="301"/>
    </row>
    <row r="34" spans="1:9">
      <c r="A34" s="140"/>
      <c r="B34" s="312"/>
      <c r="C34" s="779"/>
      <c r="D34" s="301"/>
      <c r="E34" s="190"/>
      <c r="F34" s="283"/>
      <c r="G34" s="312"/>
      <c r="H34" s="779"/>
      <c r="I34" s="301"/>
    </row>
    <row r="35" spans="1:9">
      <c r="A35" s="137" t="s">
        <v>35</v>
      </c>
      <c r="B35" s="250">
        <f>SUM(B36:B37)</f>
        <v>77549</v>
      </c>
      <c r="C35" s="628">
        <f>SUM(C36:C37)</f>
        <v>110649</v>
      </c>
      <c r="D35" s="300">
        <f>SUM(D36:D37)</f>
        <v>110649</v>
      </c>
      <c r="E35" s="189"/>
      <c r="F35" s="283"/>
      <c r="G35" s="312"/>
      <c r="H35" s="779"/>
      <c r="I35" s="301"/>
    </row>
    <row r="36" spans="1:9">
      <c r="A36" s="140" t="s">
        <v>19</v>
      </c>
      <c r="B36" s="312">
        <f>'3. melléklet'!K37</f>
        <v>77549</v>
      </c>
      <c r="C36" s="779">
        <f>'3. melléklet'!L37</f>
        <v>77549</v>
      </c>
      <c r="D36" s="301">
        <f>'3. melléklet'!M37</f>
        <v>77549</v>
      </c>
      <c r="E36" s="190"/>
      <c r="F36" s="283"/>
      <c r="G36" s="312"/>
      <c r="H36" s="779"/>
      <c r="I36" s="301"/>
    </row>
    <row r="37" spans="1:9">
      <c r="A37" s="140" t="s">
        <v>38</v>
      </c>
      <c r="B37" s="312">
        <f>'3. melléklet'!K38</f>
        <v>0</v>
      </c>
      <c r="C37" s="779">
        <f>'3. melléklet'!L38</f>
        <v>33100</v>
      </c>
      <c r="D37" s="301">
        <f>'3. melléklet'!M38</f>
        <v>33100</v>
      </c>
      <c r="E37" s="190"/>
      <c r="F37" s="283"/>
      <c r="G37" s="312"/>
      <c r="H37" s="779"/>
      <c r="I37" s="301"/>
    </row>
    <row r="38" spans="1:9">
      <c r="A38" s="137"/>
      <c r="B38" s="312"/>
      <c r="C38" s="779"/>
      <c r="D38" s="301"/>
      <c r="E38" s="190"/>
      <c r="F38" s="283"/>
      <c r="G38" s="312"/>
      <c r="H38" s="779"/>
      <c r="I38" s="301"/>
    </row>
    <row r="39" spans="1:9">
      <c r="A39" s="138" t="s">
        <v>40</v>
      </c>
      <c r="B39" s="250">
        <f>SUM(B40:B41)</f>
        <v>610</v>
      </c>
      <c r="C39" s="628">
        <f>SUM(C40:C41)</f>
        <v>194306</v>
      </c>
      <c r="D39" s="300">
        <f>SUM(D40:D41)</f>
        <v>200002</v>
      </c>
      <c r="E39" s="189"/>
      <c r="F39" s="283"/>
      <c r="G39" s="312"/>
      <c r="H39" s="779"/>
      <c r="I39" s="301"/>
    </row>
    <row r="40" spans="1:9">
      <c r="A40" s="140" t="s">
        <v>19</v>
      </c>
      <c r="B40" s="312">
        <f>'3. melléklet'!K40</f>
        <v>610</v>
      </c>
      <c r="C40" s="779">
        <f>'3. melléklet'!L40</f>
        <v>610</v>
      </c>
      <c r="D40" s="301">
        <f>'3. melléklet'!M40</f>
        <v>6306</v>
      </c>
      <c r="E40" s="190"/>
      <c r="F40" s="283"/>
      <c r="G40" s="324"/>
      <c r="H40" s="780"/>
      <c r="I40" s="321"/>
    </row>
    <row r="41" spans="1:9">
      <c r="A41" s="140" t="s">
        <v>38</v>
      </c>
      <c r="B41" s="312">
        <f>'3. melléklet'!K41</f>
        <v>0</v>
      </c>
      <c r="C41" s="779">
        <f>'3. melléklet'!L41</f>
        <v>193696</v>
      </c>
      <c r="D41" s="301">
        <f>'3. melléklet'!M41</f>
        <v>193696</v>
      </c>
      <c r="E41" s="190"/>
      <c r="F41" s="283"/>
      <c r="G41" s="250"/>
      <c r="H41" s="628"/>
      <c r="I41" s="300"/>
    </row>
    <row r="42" spans="1:9" ht="15.75" thickBot="1">
      <c r="A42" s="199"/>
      <c r="B42" s="313"/>
      <c r="C42" s="313"/>
      <c r="D42" s="302"/>
      <c r="E42" s="190"/>
      <c r="F42" s="326"/>
      <c r="G42" s="316"/>
      <c r="H42" s="316"/>
      <c r="I42" s="305"/>
    </row>
    <row r="43" spans="1:9" ht="15.75" thickBot="1">
      <c r="A43" s="132" t="s">
        <v>48</v>
      </c>
      <c r="B43" s="314">
        <f>B5+B6+B7+B11+B14+B21+B31+B35+B39</f>
        <v>6587606.4189999998</v>
      </c>
      <c r="C43" s="314">
        <f>C5+C6+C7+C11+C14+C21+C31+C35+C39</f>
        <v>8169977</v>
      </c>
      <c r="D43" s="303">
        <f>D5+D6+D7+D11+D14+D21+D31+D35+D39</f>
        <v>8081235</v>
      </c>
      <c r="E43" s="189"/>
      <c r="F43" s="134" t="s">
        <v>49</v>
      </c>
      <c r="G43" s="314">
        <f>G5+G7+G9+G11+G13+G23+G25+G27</f>
        <v>8818683</v>
      </c>
      <c r="H43" s="314">
        <f>H5+H7+H9+H11+H13+H23+H25+H27</f>
        <v>10333555</v>
      </c>
      <c r="I43" s="303">
        <f>I5+I7+I9+I11+I13+I23+I25+I27</f>
        <v>10411638</v>
      </c>
    </row>
    <row r="44" spans="1:9">
      <c r="A44" s="144"/>
      <c r="B44" s="315"/>
      <c r="C44" s="315"/>
      <c r="D44" s="304"/>
      <c r="E44" s="190"/>
      <c r="F44" s="322"/>
      <c r="G44" s="311"/>
      <c r="H44" s="311"/>
      <c r="I44" s="299"/>
    </row>
    <row r="45" spans="1:9">
      <c r="A45" s="138" t="s">
        <v>534</v>
      </c>
      <c r="B45" s="250">
        <f>B43-G43</f>
        <v>-2231076.5810000002</v>
      </c>
      <c r="C45" s="628">
        <f>C43-H43</f>
        <v>-2163578</v>
      </c>
      <c r="D45" s="300">
        <f>D43-I43</f>
        <v>-2330403</v>
      </c>
      <c r="E45" s="189"/>
      <c r="F45" s="281"/>
      <c r="G45" s="250"/>
      <c r="H45" s="628"/>
      <c r="I45" s="300"/>
    </row>
    <row r="46" spans="1:9">
      <c r="A46" s="138"/>
      <c r="B46" s="250"/>
      <c r="C46" s="628"/>
      <c r="D46" s="300"/>
      <c r="E46" s="189"/>
      <c r="F46" s="281"/>
      <c r="G46" s="250"/>
      <c r="H46" s="628"/>
      <c r="I46" s="300"/>
    </row>
    <row r="47" spans="1:9">
      <c r="A47" s="138" t="s">
        <v>742</v>
      </c>
      <c r="B47" s="250">
        <f>'3. melléklet'!K43</f>
        <v>328519</v>
      </c>
      <c r="C47" s="628">
        <f>'3. melléklet'!L43</f>
        <v>328519</v>
      </c>
      <c r="D47" s="300">
        <f>'3. melléklet'!M43</f>
        <v>531104</v>
      </c>
      <c r="E47" s="189"/>
      <c r="F47" s="281" t="s">
        <v>41</v>
      </c>
      <c r="G47" s="250">
        <f>'4. melléklet'!M28</f>
        <v>106549</v>
      </c>
      <c r="H47" s="628">
        <f>'4. melléklet'!N28</f>
        <v>106569</v>
      </c>
      <c r="I47" s="300">
        <f>'4. melléklet'!O28</f>
        <v>142329</v>
      </c>
    </row>
    <row r="48" spans="1:9">
      <c r="A48" s="137" t="s">
        <v>789</v>
      </c>
      <c r="B48" s="250">
        <f>'3. melléklet'!K44</f>
        <v>2000000</v>
      </c>
      <c r="C48" s="628">
        <f>'3. melléklet'!L44</f>
        <v>3000000</v>
      </c>
      <c r="D48" s="300">
        <f>'3. melléklet'!M44</f>
        <v>3000000</v>
      </c>
      <c r="E48" s="189"/>
      <c r="F48" s="281" t="s">
        <v>736</v>
      </c>
      <c r="G48" s="250">
        <f>'4. melléklet'!M29</f>
        <v>2000000</v>
      </c>
      <c r="H48" s="628">
        <f>'4. melléklet'!N29</f>
        <v>3000000</v>
      </c>
      <c r="I48" s="300">
        <f>'4. melléklet'!O29</f>
        <v>3000000</v>
      </c>
    </row>
    <row r="49" spans="1:9">
      <c r="A49" s="137" t="s">
        <v>82</v>
      </c>
      <c r="B49" s="250">
        <f>'3. melléklet'!K45</f>
        <v>60000</v>
      </c>
      <c r="C49" s="628">
        <f>'3. melléklet'!L45</f>
        <v>60000</v>
      </c>
      <c r="D49" s="300">
        <f>'3. melléklet'!M45</f>
        <v>60000</v>
      </c>
      <c r="E49" s="189"/>
      <c r="F49" s="281" t="s">
        <v>93</v>
      </c>
      <c r="G49" s="250">
        <f>'4. melléklet'!M30</f>
        <v>60000</v>
      </c>
      <c r="H49" s="628">
        <f>'4. melléklet'!N30</f>
        <v>60000</v>
      </c>
      <c r="I49" s="300">
        <f>'4. melléklet'!O30</f>
        <v>60000</v>
      </c>
    </row>
    <row r="50" spans="1:9" ht="15" customHeight="1">
      <c r="A50" s="137" t="s">
        <v>319</v>
      </c>
      <c r="B50" s="250">
        <f>'3. melléklet'!K46</f>
        <v>1929107</v>
      </c>
      <c r="C50" s="628">
        <f>'3. melléklet'!L46</f>
        <v>1941628</v>
      </c>
      <c r="D50" s="300">
        <f>'3. melléklet'!M46</f>
        <v>1941628</v>
      </c>
      <c r="E50" s="189"/>
      <c r="F50" s="281"/>
      <c r="G50" s="250"/>
      <c r="H50" s="628"/>
      <c r="I50" s="300"/>
    </row>
    <row r="51" spans="1:9">
      <c r="A51" s="145" t="s">
        <v>43</v>
      </c>
      <c r="B51" s="250">
        <f>'3. melléklet'!K47</f>
        <v>2377271</v>
      </c>
      <c r="C51" s="628">
        <f>'3. melléklet'!L47</f>
        <v>2301362</v>
      </c>
      <c r="D51" s="300">
        <f>'3. melléklet'!M47</f>
        <v>2296776</v>
      </c>
      <c r="E51" s="189"/>
      <c r="F51" s="281" t="s">
        <v>44</v>
      </c>
      <c r="G51" s="250">
        <f>'4. melléklet'!M31</f>
        <v>2377271</v>
      </c>
      <c r="H51" s="628">
        <f>'4. melléklet'!N31</f>
        <v>2301362</v>
      </c>
      <c r="I51" s="300">
        <f>'4. melléklet'!O31</f>
        <v>2296776</v>
      </c>
    </row>
    <row r="52" spans="1:9" ht="15.75" thickBot="1">
      <c r="A52" s="200"/>
      <c r="B52" s="316"/>
      <c r="C52" s="316"/>
      <c r="D52" s="305"/>
      <c r="E52" s="189"/>
      <c r="F52" s="326"/>
      <c r="G52" s="316"/>
      <c r="H52" s="316"/>
      <c r="I52" s="305"/>
    </row>
    <row r="53" spans="1:9" ht="15.75" thickBot="1">
      <c r="A53" s="133" t="s">
        <v>47</v>
      </c>
      <c r="B53" s="314">
        <f>SUM(B47:B51)</f>
        <v>6694897</v>
      </c>
      <c r="C53" s="314">
        <f>SUM(C47:C51)</f>
        <v>7631509</v>
      </c>
      <c r="D53" s="303">
        <f>SUM(D47:D51)</f>
        <v>7829508</v>
      </c>
      <c r="E53" s="189"/>
      <c r="F53" s="134" t="s">
        <v>50</v>
      </c>
      <c r="G53" s="314">
        <f>SUM(G47:G51)</f>
        <v>4543820</v>
      </c>
      <c r="H53" s="314">
        <f>SUM(H47:H51)</f>
        <v>5467931</v>
      </c>
      <c r="I53" s="303">
        <f>SUM(I47:I51)</f>
        <v>5499105</v>
      </c>
    </row>
    <row r="54" spans="1:9" ht="15.75" thickBot="1">
      <c r="A54" s="146"/>
      <c r="B54" s="317"/>
      <c r="C54" s="317"/>
      <c r="D54" s="306"/>
      <c r="E54" s="190"/>
      <c r="F54" s="196"/>
      <c r="G54" s="317"/>
      <c r="H54" s="317"/>
      <c r="I54" s="306"/>
    </row>
    <row r="55" spans="1:9" ht="15.75" thickBot="1">
      <c r="A55" s="134" t="s">
        <v>45</v>
      </c>
      <c r="B55" s="314">
        <f>B43+B53</f>
        <v>13282503.419</v>
      </c>
      <c r="C55" s="314">
        <f>C43+C53</f>
        <v>15801486</v>
      </c>
      <c r="D55" s="303">
        <f>D43+D53</f>
        <v>15910743</v>
      </c>
      <c r="E55" s="189"/>
      <c r="F55" s="197" t="s">
        <v>46</v>
      </c>
      <c r="G55" s="314">
        <f>G43+G53</f>
        <v>13362503</v>
      </c>
      <c r="H55" s="314">
        <f>H43+H53</f>
        <v>15801486</v>
      </c>
      <c r="I55" s="303">
        <f>I43+I53</f>
        <v>15910743</v>
      </c>
    </row>
    <row r="56" spans="1:9" ht="15.75" thickBot="1">
      <c r="A56" s="147"/>
      <c r="B56" s="318"/>
      <c r="C56" s="318"/>
      <c r="D56" s="307"/>
      <c r="E56" s="191"/>
      <c r="F56" s="147"/>
      <c r="G56" s="318"/>
      <c r="H56" s="318"/>
      <c r="I56" s="307"/>
    </row>
    <row r="57" spans="1:9">
      <c r="A57" s="198" t="s">
        <v>531</v>
      </c>
      <c r="B57" s="319">
        <f>-B51</f>
        <v>-2377271</v>
      </c>
      <c r="C57" s="319">
        <f>-C51</f>
        <v>-2301362</v>
      </c>
      <c r="D57" s="308">
        <f>-D51</f>
        <v>-2296776</v>
      </c>
      <c r="E57" s="192"/>
      <c r="F57" s="198" t="s">
        <v>531</v>
      </c>
      <c r="G57" s="319">
        <f>-G51</f>
        <v>-2377271</v>
      </c>
      <c r="H57" s="319">
        <f>-H51</f>
        <v>-2301362</v>
      </c>
      <c r="I57" s="308">
        <f>-I51</f>
        <v>-2296776</v>
      </c>
    </row>
    <row r="58" spans="1:9" s="108" customFormat="1" ht="29.25" thickBot="1">
      <c r="A58" s="135" t="s">
        <v>530</v>
      </c>
      <c r="B58" s="320">
        <f>B55+B57</f>
        <v>10905232.419</v>
      </c>
      <c r="C58" s="320">
        <f>C55+C57</f>
        <v>13500124</v>
      </c>
      <c r="D58" s="309">
        <f>D55+D57</f>
        <v>13613967</v>
      </c>
      <c r="E58" s="193"/>
      <c r="F58" s="135" t="s">
        <v>532</v>
      </c>
      <c r="G58" s="320">
        <f>G55+G57</f>
        <v>10985232</v>
      </c>
      <c r="H58" s="320">
        <f>H55+H57</f>
        <v>13500124</v>
      </c>
      <c r="I58" s="309">
        <f>I55+I57</f>
        <v>13613967</v>
      </c>
    </row>
    <row r="59" spans="1:9" s="108" customFormat="1">
      <c r="A59" s="1"/>
      <c r="B59" s="118"/>
      <c r="C59" s="118"/>
      <c r="D59" s="118"/>
      <c r="E59" s="118"/>
      <c r="F59" s="117"/>
      <c r="G59" s="118"/>
      <c r="H59" s="118"/>
      <c r="I59" s="118"/>
    </row>
    <row r="60" spans="1:9">
      <c r="B60" s="188"/>
      <c r="C60" s="188"/>
      <c r="D60" s="188"/>
      <c r="E60" s="188"/>
    </row>
    <row r="61" spans="1:9">
      <c r="B61" s="188"/>
      <c r="C61" s="188"/>
      <c r="D61" s="188"/>
      <c r="E61" s="188"/>
    </row>
  </sheetData>
  <mergeCells count="3">
    <mergeCell ref="A3:D3"/>
    <mergeCell ref="F3:I3"/>
    <mergeCell ref="A1:I1"/>
  </mergeCells>
  <printOptions horizontalCentered="1" verticalCentered="1"/>
  <pageMargins left="0.55118110236220474" right="0.31496062992125984" top="0.43307086614173229" bottom="0.62992125984251968" header="0.31496062992125984" footer="0.31496062992125984"/>
  <pageSetup paperSize="9" scale="58" orientation="landscape" r:id="rId1"/>
  <headerFooter>
    <oddHeader xml:space="preserve">&amp;L&amp;"Times New Roman,Normál"1. melléklet a 31/2020.(XII.2.) Tata Város Önkormányzat Polgármesterének rendeletéhez
</oddHeader>
    <oddFooter>&amp;L24/2019.(XII.19.)önk.rend. Hatályos:2020.01.01.
17/2020.(VII.9.)önk.rend. Hatályos:2020.07.10.
22/2020.(VIII.6.)önk.rend. Hatályos:2020.08.10.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0"/>
  <sheetViews>
    <sheetView view="pageLayout" zoomScaleNormal="98" workbookViewId="0">
      <selection activeCell="B34" sqref="B34"/>
    </sheetView>
  </sheetViews>
  <sheetFormatPr defaultRowHeight="15"/>
  <cols>
    <col min="1" max="1" width="77.140625" style="17" customWidth="1"/>
    <col min="2" max="4" width="12.85546875" style="17" customWidth="1"/>
    <col min="5" max="5" width="9.7109375" style="177" customWidth="1"/>
    <col min="6" max="11" width="9.140625" style="177"/>
    <col min="12" max="15" width="9.140625" style="465"/>
    <col min="16" max="20" width="9.140625" style="20"/>
    <col min="21" max="16384" width="9.140625" style="17"/>
  </cols>
  <sheetData>
    <row r="1" spans="1:20">
      <c r="A1" s="2279" t="s">
        <v>935</v>
      </c>
      <c r="B1" s="2279"/>
      <c r="C1" s="2279"/>
      <c r="D1" s="2279"/>
    </row>
    <row r="2" spans="1:20" ht="17.25" customHeight="1" thickBot="1">
      <c r="A2" s="36"/>
    </row>
    <row r="3" spans="1:20" s="40" customFormat="1" ht="29.25" thickBot="1">
      <c r="A3" s="149" t="s">
        <v>2</v>
      </c>
      <c r="B3" s="617" t="s">
        <v>3</v>
      </c>
      <c r="C3" s="611" t="s">
        <v>960</v>
      </c>
      <c r="D3" s="1397" t="s">
        <v>975</v>
      </c>
      <c r="E3" s="467"/>
      <c r="F3" s="467"/>
      <c r="G3" s="467"/>
      <c r="H3" s="467"/>
      <c r="I3" s="467"/>
      <c r="J3" s="467"/>
      <c r="K3" s="467"/>
      <c r="L3" s="468"/>
      <c r="M3" s="468"/>
      <c r="N3" s="468"/>
      <c r="O3" s="468"/>
      <c r="P3" s="960"/>
      <c r="Q3" s="960"/>
      <c r="R3" s="960"/>
      <c r="S3" s="960"/>
      <c r="T3" s="960"/>
    </row>
    <row r="4" spans="1:20" ht="15.75" thickBot="1">
      <c r="A4" s="150" t="s">
        <v>66</v>
      </c>
      <c r="B4" s="610">
        <f>B6+B10</f>
        <v>544052</v>
      </c>
      <c r="C4" s="612">
        <f>C6+C10</f>
        <v>424131</v>
      </c>
      <c r="D4" s="606">
        <f>D6+D10</f>
        <v>409448</v>
      </c>
    </row>
    <row r="5" spans="1:20">
      <c r="A5" s="619"/>
      <c r="B5" s="626"/>
      <c r="C5" s="613"/>
      <c r="D5" s="607"/>
    </row>
    <row r="6" spans="1:20">
      <c r="A6" s="620" t="s">
        <v>151</v>
      </c>
      <c r="B6" s="861">
        <f>SUM(B7:B7)</f>
        <v>136646</v>
      </c>
      <c r="C6" s="862">
        <f>SUM(C7:C7)</f>
        <v>138102</v>
      </c>
      <c r="D6" s="863">
        <f>SUM(D7:D7)</f>
        <v>138421</v>
      </c>
    </row>
    <row r="7" spans="1:20">
      <c r="A7" s="507" t="s">
        <v>442</v>
      </c>
      <c r="B7" s="864">
        <v>136646</v>
      </c>
      <c r="C7" s="865">
        <v>138102</v>
      </c>
      <c r="D7" s="866">
        <v>138421</v>
      </c>
    </row>
    <row r="8" spans="1:20">
      <c r="A8" s="1234"/>
      <c r="B8" s="864"/>
      <c r="C8" s="865"/>
      <c r="D8" s="866"/>
    </row>
    <row r="9" spans="1:20">
      <c r="A9" s="620"/>
      <c r="B9" s="861"/>
      <c r="C9" s="862"/>
      <c r="D9" s="863"/>
    </row>
    <row r="10" spans="1:20" ht="13.5" customHeight="1">
      <c r="A10" s="621" t="s">
        <v>571</v>
      </c>
      <c r="B10" s="861">
        <f>SUM(B11:B42)</f>
        <v>407406</v>
      </c>
      <c r="C10" s="862">
        <f>SUM(C11:C42)</f>
        <v>286029</v>
      </c>
      <c r="D10" s="863">
        <f>SUM(D11:D41)</f>
        <v>271027</v>
      </c>
    </row>
    <row r="11" spans="1:20">
      <c r="A11" s="507" t="s">
        <v>573</v>
      </c>
      <c r="B11" s="867">
        <v>6000</v>
      </c>
      <c r="C11" s="868">
        <v>0</v>
      </c>
      <c r="D11" s="869">
        <v>0</v>
      </c>
    </row>
    <row r="12" spans="1:20">
      <c r="A12" s="507" t="s">
        <v>594</v>
      </c>
      <c r="B12" s="864">
        <v>700</v>
      </c>
      <c r="C12" s="865">
        <v>150</v>
      </c>
      <c r="D12" s="866">
        <v>150</v>
      </c>
    </row>
    <row r="13" spans="1:20">
      <c r="A13" s="507" t="s">
        <v>788</v>
      </c>
      <c r="B13" s="864">
        <v>2000</v>
      </c>
      <c r="C13" s="865">
        <v>8350</v>
      </c>
      <c r="D13" s="866">
        <v>8350</v>
      </c>
    </row>
    <row r="14" spans="1:20">
      <c r="A14" s="507" t="s">
        <v>676</v>
      </c>
      <c r="B14" s="864">
        <v>7500</v>
      </c>
      <c r="C14" s="865">
        <v>19662</v>
      </c>
      <c r="D14" s="866">
        <v>18662</v>
      </c>
    </row>
    <row r="15" spans="1:20">
      <c r="A15" s="507" t="s">
        <v>677</v>
      </c>
      <c r="B15" s="864">
        <v>7000</v>
      </c>
      <c r="C15" s="865">
        <v>7000</v>
      </c>
      <c r="D15" s="866">
        <v>6879</v>
      </c>
    </row>
    <row r="16" spans="1:20">
      <c r="A16" s="507" t="s">
        <v>684</v>
      </c>
      <c r="B16" s="867">
        <v>17545</v>
      </c>
      <c r="C16" s="868">
        <v>17545</v>
      </c>
      <c r="D16" s="869">
        <v>17545</v>
      </c>
    </row>
    <row r="17" spans="1:4">
      <c r="A17" s="507" t="s">
        <v>686</v>
      </c>
      <c r="B17" s="864">
        <v>2000</v>
      </c>
      <c r="C17" s="865">
        <v>2000</v>
      </c>
      <c r="D17" s="866">
        <v>2000</v>
      </c>
    </row>
    <row r="18" spans="1:4">
      <c r="A18" s="507" t="s">
        <v>695</v>
      </c>
      <c r="B18" s="864">
        <v>80000</v>
      </c>
      <c r="C18" s="865">
        <v>0</v>
      </c>
      <c r="D18" s="866">
        <v>0</v>
      </c>
    </row>
    <row r="19" spans="1:4">
      <c r="A19" s="507" t="s">
        <v>689</v>
      </c>
      <c r="B19" s="864">
        <v>35000</v>
      </c>
      <c r="C19" s="865">
        <v>35000</v>
      </c>
      <c r="D19" s="866">
        <v>35000</v>
      </c>
    </row>
    <row r="20" spans="1:4" ht="30">
      <c r="A20" s="507" t="s">
        <v>690</v>
      </c>
      <c r="B20" s="864">
        <v>20000</v>
      </c>
      <c r="C20" s="865">
        <v>20000</v>
      </c>
      <c r="D20" s="866">
        <v>5462</v>
      </c>
    </row>
    <row r="21" spans="1:4" ht="30">
      <c r="A21" s="507" t="s">
        <v>730</v>
      </c>
      <c r="B21" s="864">
        <v>5000</v>
      </c>
      <c r="C21" s="865">
        <v>5000</v>
      </c>
      <c r="D21" s="866">
        <v>5000</v>
      </c>
    </row>
    <row r="22" spans="1:4">
      <c r="A22" s="507" t="s">
        <v>693</v>
      </c>
      <c r="B22" s="864">
        <v>8000</v>
      </c>
      <c r="C22" s="865">
        <v>0</v>
      </c>
      <c r="D22" s="866">
        <v>0</v>
      </c>
    </row>
    <row r="23" spans="1:4">
      <c r="A23" s="507" t="s">
        <v>946</v>
      </c>
      <c r="B23" s="864"/>
      <c r="C23" s="865">
        <v>8000</v>
      </c>
      <c r="D23" s="866">
        <v>8000</v>
      </c>
    </row>
    <row r="24" spans="1:4">
      <c r="A24" s="507" t="s">
        <v>692</v>
      </c>
      <c r="B24" s="864">
        <v>5000</v>
      </c>
      <c r="C24" s="865">
        <v>0</v>
      </c>
      <c r="D24" s="866">
        <v>0</v>
      </c>
    </row>
    <row r="25" spans="1:4">
      <c r="A25" s="507" t="s">
        <v>694</v>
      </c>
      <c r="B25" s="864">
        <f>12000+101040</f>
        <v>113040</v>
      </c>
      <c r="C25" s="865">
        <v>0</v>
      </c>
      <c r="D25" s="866">
        <v>0</v>
      </c>
    </row>
    <row r="26" spans="1:4">
      <c r="A26" s="507" t="s">
        <v>702</v>
      </c>
      <c r="B26" s="864">
        <v>6000</v>
      </c>
      <c r="C26" s="865">
        <v>6000</v>
      </c>
      <c r="D26" s="866">
        <v>6000</v>
      </c>
    </row>
    <row r="27" spans="1:4">
      <c r="A27" s="622" t="s">
        <v>703</v>
      </c>
      <c r="B27" s="864">
        <v>14000</v>
      </c>
      <c r="C27" s="865">
        <v>14000</v>
      </c>
      <c r="D27" s="866">
        <v>14000</v>
      </c>
    </row>
    <row r="28" spans="1:4">
      <c r="A28" s="622" t="s">
        <v>704</v>
      </c>
      <c r="B28" s="864">
        <v>2000</v>
      </c>
      <c r="C28" s="865">
        <v>2000</v>
      </c>
      <c r="D28" s="866">
        <v>2000</v>
      </c>
    </row>
    <row r="29" spans="1:4">
      <c r="A29" s="507" t="s">
        <v>705</v>
      </c>
      <c r="B29" s="864">
        <v>9771</v>
      </c>
      <c r="C29" s="865">
        <v>9771</v>
      </c>
      <c r="D29" s="866">
        <v>9771</v>
      </c>
    </row>
    <row r="30" spans="1:4">
      <c r="A30" s="507" t="s">
        <v>707</v>
      </c>
      <c r="B30" s="870">
        <v>3500</v>
      </c>
      <c r="C30" s="614">
        <v>3500</v>
      </c>
      <c r="D30" s="871">
        <v>3500</v>
      </c>
    </row>
    <row r="31" spans="1:4">
      <c r="A31" s="507" t="s">
        <v>708</v>
      </c>
      <c r="B31" s="870">
        <v>5000</v>
      </c>
      <c r="C31" s="614">
        <v>5000</v>
      </c>
      <c r="D31" s="871">
        <v>5000</v>
      </c>
    </row>
    <row r="32" spans="1:4">
      <c r="A32" s="623" t="s">
        <v>709</v>
      </c>
      <c r="B32" s="870">
        <v>14000</v>
      </c>
      <c r="C32" s="614">
        <v>14000</v>
      </c>
      <c r="D32" s="871">
        <v>14000</v>
      </c>
    </row>
    <row r="33" spans="1:4">
      <c r="A33" s="623" t="s">
        <v>731</v>
      </c>
      <c r="B33" s="870">
        <v>5000</v>
      </c>
      <c r="C33" s="614">
        <v>5000</v>
      </c>
      <c r="D33" s="871">
        <v>5000</v>
      </c>
    </row>
    <row r="34" spans="1:4">
      <c r="A34" s="507" t="s">
        <v>713</v>
      </c>
      <c r="B34" s="870">
        <v>2500</v>
      </c>
      <c r="C34" s="614">
        <v>2500</v>
      </c>
      <c r="D34" s="871">
        <v>2500</v>
      </c>
    </row>
    <row r="35" spans="1:4" ht="15.75">
      <c r="A35" s="624" t="s">
        <v>734</v>
      </c>
      <c r="B35" s="870">
        <v>7500</v>
      </c>
      <c r="C35" s="614">
        <v>22680</v>
      </c>
      <c r="D35" s="871">
        <v>22680</v>
      </c>
    </row>
    <row r="36" spans="1:4" ht="15.75">
      <c r="A36" s="624" t="s">
        <v>729</v>
      </c>
      <c r="B36" s="870">
        <v>6350</v>
      </c>
      <c r="C36" s="614">
        <v>0</v>
      </c>
      <c r="D36" s="871">
        <v>0</v>
      </c>
    </row>
    <row r="37" spans="1:4" ht="15.75">
      <c r="A37" s="624" t="s">
        <v>732</v>
      </c>
      <c r="B37" s="870">
        <v>12000</v>
      </c>
      <c r="C37" s="614">
        <v>12000</v>
      </c>
      <c r="D37" s="871">
        <v>12000</v>
      </c>
    </row>
    <row r="38" spans="1:4">
      <c r="A38" s="625" t="s">
        <v>500</v>
      </c>
      <c r="B38" s="870"/>
      <c r="C38" s="614">
        <v>55033</v>
      </c>
      <c r="D38" s="871">
        <v>55033</v>
      </c>
    </row>
    <row r="39" spans="1:4" ht="15.75">
      <c r="A39" s="624" t="s">
        <v>807</v>
      </c>
      <c r="B39" s="870"/>
      <c r="C39" s="614">
        <v>838</v>
      </c>
      <c r="D39" s="871">
        <v>0</v>
      </c>
    </row>
    <row r="40" spans="1:4" ht="15.75">
      <c r="A40" s="624" t="s">
        <v>733</v>
      </c>
      <c r="B40" s="870">
        <v>11000</v>
      </c>
      <c r="C40" s="614">
        <v>11000</v>
      </c>
      <c r="D40" s="871">
        <v>11000</v>
      </c>
    </row>
    <row r="41" spans="1:4" ht="15.75">
      <c r="A41" s="934" t="s">
        <v>1010</v>
      </c>
      <c r="B41" s="870"/>
      <c r="C41" s="614"/>
      <c r="D41" s="871">
        <v>1495</v>
      </c>
    </row>
    <row r="42" spans="1:4" ht="16.5" thickBot="1">
      <c r="A42" s="934"/>
      <c r="B42" s="870"/>
      <c r="C42" s="614"/>
      <c r="D42" s="871"/>
    </row>
    <row r="43" spans="1:4" ht="15.75" thickBot="1">
      <c r="A43" s="150" t="s">
        <v>67</v>
      </c>
      <c r="B43" s="618">
        <f>SUM(B44:B45)</f>
        <v>1927</v>
      </c>
      <c r="C43" s="615">
        <f>SUM(C44:C45)</f>
        <v>1927</v>
      </c>
      <c r="D43" s="608">
        <f>SUM(D44:D45)</f>
        <v>1927</v>
      </c>
    </row>
    <row r="44" spans="1:4">
      <c r="A44" s="507" t="s">
        <v>582</v>
      </c>
      <c r="B44" s="361">
        <v>699</v>
      </c>
      <c r="C44" s="616">
        <v>699</v>
      </c>
      <c r="D44" s="609">
        <v>699</v>
      </c>
    </row>
    <row r="45" spans="1:4">
      <c r="A45" s="507" t="s">
        <v>583</v>
      </c>
      <c r="B45" s="864">
        <v>1228</v>
      </c>
      <c r="C45" s="865">
        <v>1228</v>
      </c>
      <c r="D45" s="866">
        <v>1228</v>
      </c>
    </row>
    <row r="46" spans="1:4" ht="15.75" thickBot="1">
      <c r="A46" s="248"/>
      <c r="B46" s="872"/>
      <c r="C46" s="873"/>
      <c r="D46" s="874"/>
    </row>
    <row r="47" spans="1:4" ht="15.75" thickBot="1">
      <c r="A47" s="150" t="s">
        <v>153</v>
      </c>
      <c r="B47" s="610">
        <f>B58+B61+B65+B68+B72+B75+B83+B49+B55</f>
        <v>54261</v>
      </c>
      <c r="C47" s="612">
        <f>C49+C52+C55+C58+C61+C65+C68+C72+C75+C83</f>
        <v>24738</v>
      </c>
      <c r="D47" s="606">
        <f>D49+D52+D55+D58+D61+D65+D68+D72+D75+D83</f>
        <v>21738</v>
      </c>
    </row>
    <row r="48" spans="1:4">
      <c r="A48" s="623"/>
      <c r="B48" s="361"/>
      <c r="C48" s="616"/>
      <c r="D48" s="609"/>
    </row>
    <row r="49" spans="1:20" s="83" customFormat="1">
      <c r="A49" s="882" t="s">
        <v>743</v>
      </c>
      <c r="B49" s="891">
        <f>SUM(B50:B50)</f>
        <v>3401</v>
      </c>
      <c r="C49" s="879">
        <f>SUM(C50:C50)</f>
        <v>479</v>
      </c>
      <c r="D49" s="892">
        <f>SUM(D50:D50)</f>
        <v>479</v>
      </c>
      <c r="E49" s="466"/>
      <c r="F49" s="466"/>
      <c r="G49" s="466"/>
      <c r="H49" s="466"/>
      <c r="I49" s="466"/>
      <c r="J49" s="466"/>
      <c r="K49" s="466"/>
      <c r="L49" s="876"/>
      <c r="M49" s="876"/>
      <c r="N49" s="876"/>
      <c r="O49" s="876"/>
      <c r="P49" s="877"/>
      <c r="Q49" s="877"/>
      <c r="R49" s="877"/>
      <c r="S49" s="877"/>
      <c r="T49" s="877"/>
    </row>
    <row r="50" spans="1:20">
      <c r="A50" s="880" t="s">
        <v>744</v>
      </c>
      <c r="B50" s="893">
        <v>3401</v>
      </c>
      <c r="C50" s="881">
        <v>479</v>
      </c>
      <c r="D50" s="894">
        <v>479</v>
      </c>
    </row>
    <row r="51" spans="1:20">
      <c r="A51" s="883"/>
      <c r="B51" s="893"/>
      <c r="C51" s="881"/>
      <c r="D51" s="894"/>
    </row>
    <row r="52" spans="1:20">
      <c r="A52" s="882" t="s">
        <v>133</v>
      </c>
      <c r="B52" s="891">
        <f>SUM(B53:B53)</f>
        <v>2100</v>
      </c>
      <c r="C52" s="879">
        <f>SUM(C53:C53)</f>
        <v>2100</v>
      </c>
      <c r="D52" s="892">
        <f>SUM(D53:D53)</f>
        <v>2100</v>
      </c>
    </row>
    <row r="53" spans="1:20">
      <c r="A53" s="880" t="s">
        <v>745</v>
      </c>
      <c r="B53" s="893">
        <v>2100</v>
      </c>
      <c r="C53" s="881">
        <v>2100</v>
      </c>
      <c r="D53" s="894">
        <v>2100</v>
      </c>
    </row>
    <row r="54" spans="1:20">
      <c r="A54" s="884"/>
      <c r="B54" s="893"/>
      <c r="C54" s="881"/>
      <c r="D54" s="894"/>
    </row>
    <row r="55" spans="1:20">
      <c r="A55" s="882" t="s">
        <v>129</v>
      </c>
      <c r="B55" s="891">
        <f>SUM(B56:B56)</f>
        <v>0</v>
      </c>
      <c r="C55" s="879">
        <f>SUM(C56:C56)</f>
        <v>0</v>
      </c>
      <c r="D55" s="892">
        <f>SUM(D56:D56)</f>
        <v>0</v>
      </c>
    </row>
    <row r="56" spans="1:20">
      <c r="A56" s="880"/>
      <c r="B56" s="893"/>
      <c r="C56" s="881"/>
      <c r="D56" s="894"/>
    </row>
    <row r="57" spans="1:20">
      <c r="A57" s="884"/>
      <c r="B57" s="893"/>
      <c r="C57" s="881"/>
      <c r="D57" s="894"/>
    </row>
    <row r="58" spans="1:20">
      <c r="A58" s="882" t="s">
        <v>132</v>
      </c>
      <c r="B58" s="891">
        <f>SUM(B59:B60)</f>
        <v>5000</v>
      </c>
      <c r="C58" s="879">
        <f>SUM(C59:C60)</f>
        <v>3000</v>
      </c>
      <c r="D58" s="892">
        <f>SUM(D59:D60)</f>
        <v>0</v>
      </c>
    </row>
    <row r="59" spans="1:20">
      <c r="A59" s="880" t="s">
        <v>746</v>
      </c>
      <c r="B59" s="893">
        <v>5000</v>
      </c>
      <c r="C59" s="881">
        <v>3000</v>
      </c>
      <c r="D59" s="894">
        <v>0</v>
      </c>
    </row>
    <row r="60" spans="1:20">
      <c r="A60" s="883"/>
      <c r="B60" s="893"/>
      <c r="C60" s="881"/>
      <c r="D60" s="894"/>
    </row>
    <row r="61" spans="1:20">
      <c r="A61" s="882" t="s">
        <v>130</v>
      </c>
      <c r="B61" s="891">
        <f>SUM(B62:B64)</f>
        <v>3600</v>
      </c>
      <c r="C61" s="879">
        <f>SUM(C62:C64)</f>
        <v>3277</v>
      </c>
      <c r="D61" s="892">
        <f>SUM(D62:D64)</f>
        <v>3277</v>
      </c>
    </row>
    <row r="62" spans="1:20">
      <c r="A62" s="880" t="s">
        <v>747</v>
      </c>
      <c r="B62" s="895">
        <v>3000</v>
      </c>
      <c r="C62" s="885">
        <v>3277</v>
      </c>
      <c r="D62" s="896">
        <v>3277</v>
      </c>
    </row>
    <row r="63" spans="1:20">
      <c r="A63" s="880" t="s">
        <v>748</v>
      </c>
      <c r="B63" s="895">
        <v>600</v>
      </c>
      <c r="C63" s="885"/>
      <c r="D63" s="896"/>
    </row>
    <row r="64" spans="1:20">
      <c r="A64" s="880"/>
      <c r="B64" s="895"/>
      <c r="C64" s="885"/>
      <c r="D64" s="896"/>
    </row>
    <row r="65" spans="1:4">
      <c r="A65" s="882" t="s">
        <v>749</v>
      </c>
      <c r="B65" s="891">
        <f>SUM(B66:B67)</f>
        <v>2000</v>
      </c>
      <c r="C65" s="879">
        <f>SUM(C66:C67)</f>
        <v>1622</v>
      </c>
      <c r="D65" s="892">
        <f>SUM(D66:D67)</f>
        <v>1622</v>
      </c>
    </row>
    <row r="66" spans="1:4">
      <c r="A66" s="880" t="s">
        <v>750</v>
      </c>
      <c r="B66" s="895">
        <v>2000</v>
      </c>
      <c r="C66" s="885">
        <v>1622</v>
      </c>
      <c r="D66" s="896">
        <v>1622</v>
      </c>
    </row>
    <row r="67" spans="1:4">
      <c r="A67" s="884"/>
      <c r="B67" s="893"/>
      <c r="C67" s="881"/>
      <c r="D67" s="894"/>
    </row>
    <row r="68" spans="1:4">
      <c r="A68" s="882" t="s">
        <v>131</v>
      </c>
      <c r="B68" s="891">
        <f>SUM(B69:B71)</f>
        <v>14000</v>
      </c>
      <c r="C68" s="879">
        <f>SUM(C69:C71)</f>
        <v>100</v>
      </c>
      <c r="D68" s="892">
        <f>SUM(D69:D71)</f>
        <v>100</v>
      </c>
    </row>
    <row r="69" spans="1:4">
      <c r="A69" s="880" t="s">
        <v>751</v>
      </c>
      <c r="B69" s="897">
        <v>2000</v>
      </c>
      <c r="C69" s="886">
        <v>0</v>
      </c>
      <c r="D69" s="898">
        <v>0</v>
      </c>
    </row>
    <row r="70" spans="1:4">
      <c r="A70" s="887" t="s">
        <v>752</v>
      </c>
      <c r="B70" s="897">
        <v>12000</v>
      </c>
      <c r="C70" s="886">
        <v>100</v>
      </c>
      <c r="D70" s="898">
        <v>100</v>
      </c>
    </row>
    <row r="71" spans="1:4">
      <c r="A71" s="884"/>
      <c r="B71" s="893"/>
      <c r="C71" s="881"/>
      <c r="D71" s="894"/>
    </row>
    <row r="72" spans="1:4">
      <c r="A72" s="882" t="s">
        <v>135</v>
      </c>
      <c r="B72" s="891">
        <f>SUM(B73:B73)</f>
        <v>2260</v>
      </c>
      <c r="C72" s="879">
        <f>SUM(C73:C73)</f>
        <v>1160</v>
      </c>
      <c r="D72" s="892">
        <f>SUM(D73:D73)</f>
        <v>1160</v>
      </c>
    </row>
    <row r="73" spans="1:4">
      <c r="A73" s="888" t="s">
        <v>971</v>
      </c>
      <c r="B73" s="897">
        <v>2260</v>
      </c>
      <c r="C73" s="886">
        <v>1160</v>
      </c>
      <c r="D73" s="898">
        <v>1160</v>
      </c>
    </row>
    <row r="74" spans="1:4">
      <c r="A74" s="889"/>
      <c r="B74" s="893"/>
      <c r="C74" s="881"/>
      <c r="D74" s="894"/>
    </row>
    <row r="75" spans="1:4">
      <c r="A75" s="882" t="s">
        <v>146</v>
      </c>
      <c r="B75" s="891">
        <f>SUM(B76:B81)</f>
        <v>24000</v>
      </c>
      <c r="C75" s="879">
        <f>SUM(C76:C81)</f>
        <v>13000</v>
      </c>
      <c r="D75" s="892">
        <f>SUM(D76:D81)</f>
        <v>13000</v>
      </c>
    </row>
    <row r="76" spans="1:4" ht="30">
      <c r="A76" s="890" t="s">
        <v>753</v>
      </c>
      <c r="B76" s="893">
        <v>2000</v>
      </c>
      <c r="C76" s="881">
        <v>1000</v>
      </c>
      <c r="D76" s="894">
        <v>1000</v>
      </c>
    </row>
    <row r="77" spans="1:4">
      <c r="A77" s="890" t="s">
        <v>754</v>
      </c>
      <c r="B77" s="893">
        <v>1000</v>
      </c>
      <c r="C77" s="881">
        <v>0</v>
      </c>
      <c r="D77" s="894">
        <v>0</v>
      </c>
    </row>
    <row r="78" spans="1:4">
      <c r="A78" s="890" t="s">
        <v>755</v>
      </c>
      <c r="B78" s="893">
        <v>5000</v>
      </c>
      <c r="C78" s="881">
        <v>0</v>
      </c>
      <c r="D78" s="894">
        <v>0</v>
      </c>
    </row>
    <row r="79" spans="1:4" ht="30">
      <c r="A79" s="890" t="s">
        <v>756</v>
      </c>
      <c r="B79" s="893">
        <v>7000</v>
      </c>
      <c r="C79" s="881">
        <v>7000</v>
      </c>
      <c r="D79" s="894">
        <v>7000</v>
      </c>
    </row>
    <row r="80" spans="1:4" ht="30">
      <c r="A80" s="890" t="s">
        <v>757</v>
      </c>
      <c r="B80" s="893">
        <v>5000</v>
      </c>
      <c r="C80" s="881">
        <v>5000</v>
      </c>
      <c r="D80" s="894">
        <v>5000</v>
      </c>
    </row>
    <row r="81" spans="1:4">
      <c r="A81" s="890" t="s">
        <v>758</v>
      </c>
      <c r="B81" s="893">
        <v>4000</v>
      </c>
      <c r="C81" s="881">
        <v>0</v>
      </c>
      <c r="D81" s="894">
        <v>0</v>
      </c>
    </row>
    <row r="82" spans="1:4">
      <c r="A82" s="883"/>
      <c r="B82" s="893"/>
      <c r="C82" s="881"/>
      <c r="D82" s="894"/>
    </row>
    <row r="83" spans="1:4">
      <c r="A83" s="882" t="s">
        <v>147</v>
      </c>
      <c r="B83" s="891">
        <f>SUM(B84:B84)</f>
        <v>0</v>
      </c>
      <c r="C83" s="879">
        <f>SUM(C84:C84)</f>
        <v>0</v>
      </c>
      <c r="D83" s="892">
        <f>SUM(D84:D84)</f>
        <v>0</v>
      </c>
    </row>
    <row r="84" spans="1:4">
      <c r="A84" s="507"/>
      <c r="B84" s="864"/>
      <c r="C84" s="865"/>
      <c r="D84" s="866"/>
    </row>
    <row r="85" spans="1:4" ht="15.75" thickBot="1">
      <c r="A85" s="360"/>
      <c r="B85" s="872"/>
      <c r="C85" s="873"/>
      <c r="D85" s="874"/>
    </row>
    <row r="86" spans="1:4" ht="15.75" thickBot="1">
      <c r="A86" s="150" t="s">
        <v>61</v>
      </c>
      <c r="B86" s="610">
        <f>B47+B43+B4</f>
        <v>600240</v>
      </c>
      <c r="C86" s="612">
        <f>C47+C43+C4</f>
        <v>450796</v>
      </c>
      <c r="D86" s="606">
        <f>D47+D43+D4</f>
        <v>433113</v>
      </c>
    </row>
    <row r="89" spans="1:4">
      <c r="A89" s="119"/>
    </row>
    <row r="90" spans="1:4">
      <c r="A90" s="119"/>
    </row>
  </sheetData>
  <mergeCells count="1">
    <mergeCell ref="A1:D1"/>
  </mergeCells>
  <printOptions horizontalCentered="1"/>
  <pageMargins left="0.3" right="0.46" top="0.74803149606299213" bottom="0.74803149606299213" header="0.31496062992125984" footer="0.31496062992125984"/>
  <pageSetup paperSize="9" scale="82" fitToHeight="2" orientation="portrait" r:id="rId1"/>
  <headerFooter>
    <oddHeader>&amp;L&amp;"Times New Roman,Normál"&amp;8 8. melléklet a 31/2020.(XII.2.) Tata Város Önkormányzat Polgármesterének rendeletéhez</oddHeader>
    <oddFooter>&amp;L&amp;7 24/2019.(XII.19.)önk.rend. Hatályos:2020.01.01.
17/2020.(VII.9.)önk.rend. Hatályos:2020.07.10.
22/2020.(VIII.6.)önk.rend. Hatályos:2020.08.10.</oddFooter>
  </headerFooter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3"/>
  <sheetViews>
    <sheetView view="pageLayout" zoomScaleNormal="100" workbookViewId="0">
      <selection activeCell="C22" sqref="C22"/>
    </sheetView>
  </sheetViews>
  <sheetFormatPr defaultRowHeight="15"/>
  <cols>
    <col min="1" max="1" width="85.5703125" style="17" bestFit="1" customWidth="1"/>
    <col min="2" max="2" width="14.42578125" style="17" customWidth="1"/>
    <col min="3" max="4" width="14.85546875" style="17" bestFit="1" customWidth="1"/>
    <col min="5" max="8" width="9.140625" style="127"/>
    <col min="9" max="16384" width="9.140625" style="34"/>
  </cols>
  <sheetData>
    <row r="2" spans="1:8" ht="31.5" customHeight="1">
      <c r="A2" s="2280" t="s">
        <v>930</v>
      </c>
      <c r="B2" s="2280"/>
      <c r="C2" s="2280"/>
      <c r="D2" s="2280"/>
    </row>
    <row r="3" spans="1:8" ht="15.75" thickBot="1"/>
    <row r="4" spans="1:8" s="42" customFormat="1" ht="15.75" thickBot="1">
      <c r="A4" s="152" t="s">
        <v>2</v>
      </c>
      <c r="B4" s="246" t="s">
        <v>3</v>
      </c>
      <c r="C4" s="604" t="s">
        <v>960</v>
      </c>
      <c r="D4" s="1398" t="s">
        <v>972</v>
      </c>
      <c r="E4" s="110"/>
      <c r="F4" s="110"/>
      <c r="G4" s="110"/>
      <c r="H4" s="110"/>
    </row>
    <row r="5" spans="1:8">
      <c r="A5" s="186" t="s">
        <v>154</v>
      </c>
      <c r="B5" s="843">
        <v>300</v>
      </c>
      <c r="C5" s="844">
        <v>300</v>
      </c>
      <c r="D5" s="845">
        <v>300</v>
      </c>
    </row>
    <row r="6" spans="1:8">
      <c r="A6" s="153" t="s">
        <v>596</v>
      </c>
      <c r="B6" s="846">
        <v>12000</v>
      </c>
      <c r="C6" s="847">
        <v>13000</v>
      </c>
      <c r="D6" s="848">
        <v>13000</v>
      </c>
    </row>
    <row r="7" spans="1:8" ht="30">
      <c r="A7" s="151" t="s">
        <v>547</v>
      </c>
      <c r="B7" s="846">
        <v>150</v>
      </c>
      <c r="C7" s="847">
        <v>150</v>
      </c>
      <c r="D7" s="848">
        <v>150</v>
      </c>
    </row>
    <row r="8" spans="1:8">
      <c r="A8" s="151" t="s">
        <v>155</v>
      </c>
      <c r="B8" s="846">
        <v>2500</v>
      </c>
      <c r="C8" s="847">
        <v>2500</v>
      </c>
      <c r="D8" s="848">
        <v>2500</v>
      </c>
    </row>
    <row r="9" spans="1:8">
      <c r="A9" s="151" t="s">
        <v>156</v>
      </c>
      <c r="B9" s="846">
        <v>3400</v>
      </c>
      <c r="C9" s="847">
        <v>3400</v>
      </c>
      <c r="D9" s="848">
        <v>3400</v>
      </c>
    </row>
    <row r="10" spans="1:8" s="176" customFormat="1">
      <c r="A10" s="174" t="s">
        <v>157</v>
      </c>
      <c r="B10" s="849">
        <v>10000</v>
      </c>
      <c r="C10" s="850">
        <v>10000</v>
      </c>
      <c r="D10" s="851">
        <v>10000</v>
      </c>
      <c r="E10" s="175"/>
      <c r="F10" s="175"/>
      <c r="G10" s="175"/>
      <c r="H10" s="175"/>
    </row>
    <row r="11" spans="1:8">
      <c r="A11" s="151" t="s">
        <v>158</v>
      </c>
      <c r="B11" s="846">
        <v>1500</v>
      </c>
      <c r="C11" s="847">
        <v>0</v>
      </c>
      <c r="D11" s="848">
        <v>0</v>
      </c>
    </row>
    <row r="12" spans="1:8">
      <c r="A12" s="151" t="s">
        <v>451</v>
      </c>
      <c r="B12" s="846">
        <v>3000</v>
      </c>
      <c r="C12" s="847">
        <v>3000</v>
      </c>
      <c r="D12" s="848">
        <v>3000</v>
      </c>
    </row>
    <row r="13" spans="1:8">
      <c r="A13" s="154" t="s">
        <v>159</v>
      </c>
      <c r="B13" s="852">
        <f>SUM(B5:B12)</f>
        <v>32850</v>
      </c>
      <c r="C13" s="853">
        <f>SUM(C5:C12)</f>
        <v>32350</v>
      </c>
      <c r="D13" s="854">
        <f>SUM(D5:D12)</f>
        <v>32350</v>
      </c>
    </row>
    <row r="14" spans="1:8">
      <c r="A14" s="155"/>
      <c r="B14" s="855"/>
      <c r="C14" s="856"/>
      <c r="D14" s="857"/>
    </row>
    <row r="15" spans="1:8">
      <c r="A15" s="151" t="s">
        <v>160</v>
      </c>
      <c r="B15" s="846">
        <v>2000</v>
      </c>
      <c r="C15" s="847">
        <v>2000</v>
      </c>
      <c r="D15" s="848">
        <v>2000</v>
      </c>
    </row>
    <row r="16" spans="1:8" s="18" customFormat="1">
      <c r="A16" s="151" t="s">
        <v>595</v>
      </c>
      <c r="B16" s="846">
        <v>30000</v>
      </c>
      <c r="C16" s="847">
        <v>30000</v>
      </c>
      <c r="D16" s="848">
        <v>30000</v>
      </c>
      <c r="E16" s="128"/>
      <c r="F16" s="128"/>
      <c r="G16" s="128"/>
      <c r="H16" s="128"/>
    </row>
    <row r="17" spans="1:8">
      <c r="A17" s="154" t="s">
        <v>161</v>
      </c>
      <c r="B17" s="852">
        <f>SUM(B15:B16)</f>
        <v>32000</v>
      </c>
      <c r="C17" s="853">
        <f>SUM(C15:C16)</f>
        <v>32000</v>
      </c>
      <c r="D17" s="854">
        <f>SUM(D15:D16)</f>
        <v>32000</v>
      </c>
    </row>
    <row r="18" spans="1:8" ht="15.75" thickBot="1">
      <c r="A18" s="184"/>
      <c r="B18" s="858"/>
      <c r="C18" s="859"/>
      <c r="D18" s="860"/>
    </row>
    <row r="19" spans="1:8" ht="15.75" thickBot="1">
      <c r="A19" s="156" t="s">
        <v>162</v>
      </c>
      <c r="B19" s="247">
        <f>B13+B17</f>
        <v>64850</v>
      </c>
      <c r="C19" s="605">
        <f>C13+C17</f>
        <v>64350</v>
      </c>
      <c r="D19" s="245">
        <f>D13+D17</f>
        <v>64350</v>
      </c>
    </row>
    <row r="20" spans="1:8" ht="15.75" customHeight="1">
      <c r="A20" s="46"/>
      <c r="B20" s="43"/>
      <c r="C20" s="43"/>
      <c r="D20" s="43"/>
    </row>
    <row r="21" spans="1:8" s="18" customFormat="1" ht="14.25">
      <c r="A21" s="44"/>
      <c r="B21" s="45"/>
      <c r="C21" s="45"/>
      <c r="D21" s="45"/>
      <c r="E21" s="128"/>
      <c r="F21" s="128"/>
      <c r="G21" s="128"/>
      <c r="H21" s="128"/>
    </row>
    <row r="22" spans="1:8">
      <c r="A22" s="119"/>
    </row>
    <row r="23" spans="1:8" s="18" customFormat="1" ht="14.25">
      <c r="A23" s="119"/>
      <c r="E23" s="128"/>
      <c r="F23" s="128"/>
      <c r="G23" s="128"/>
      <c r="H23" s="128"/>
    </row>
  </sheetData>
  <mergeCells count="1"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&amp;L&amp;"Times New Roman,Normál"&amp;8 9.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5698"/>
  <sheetViews>
    <sheetView view="pageLayout" zoomScale="86" zoomScaleNormal="100" zoomScalePageLayoutView="86" workbookViewId="0">
      <selection activeCell="A3" sqref="A3"/>
    </sheetView>
  </sheetViews>
  <sheetFormatPr defaultRowHeight="15" zeroHeight="1"/>
  <cols>
    <col min="1" max="1" width="109" style="36" customWidth="1"/>
    <col min="2" max="2" width="14.42578125" style="52" customWidth="1"/>
    <col min="3" max="4" width="14.85546875" style="52" bestFit="1" customWidth="1"/>
    <col min="5" max="12" width="9.140625" style="123"/>
    <col min="13" max="16" width="9.140625" style="52"/>
    <col min="17" max="17" width="9.140625" style="123"/>
    <col min="18" max="16384" width="9.140625" style="47"/>
  </cols>
  <sheetData>
    <row r="1" spans="1:17" ht="60" customHeight="1">
      <c r="A1" s="2281" t="s">
        <v>796</v>
      </c>
      <c r="B1" s="2281"/>
      <c r="C1" s="2281"/>
      <c r="D1" s="2281"/>
    </row>
    <row r="2" spans="1:17" ht="15" customHeight="1" thickBot="1">
      <c r="A2" s="48"/>
      <c r="B2" s="48"/>
      <c r="C2" s="48"/>
      <c r="D2" s="48"/>
    </row>
    <row r="3" spans="1:17" s="49" customFormat="1" ht="24.75" customHeight="1" thickBot="1">
      <c r="A3" s="163" t="s">
        <v>2</v>
      </c>
      <c r="B3" s="164" t="s">
        <v>3</v>
      </c>
      <c r="C3" s="588" t="s">
        <v>960</v>
      </c>
      <c r="D3" s="1399" t="s">
        <v>972</v>
      </c>
      <c r="E3" s="65"/>
      <c r="F3" s="65"/>
      <c r="G3" s="65"/>
      <c r="H3" s="65"/>
      <c r="I3" s="65"/>
      <c r="J3" s="65"/>
      <c r="K3" s="65"/>
      <c r="L3" s="65"/>
      <c r="M3" s="334"/>
      <c r="N3" s="334"/>
      <c r="O3" s="334"/>
      <c r="P3" s="334"/>
      <c r="Q3" s="65"/>
    </row>
    <row r="4" spans="1:17" ht="17.25" customHeight="1">
      <c r="A4" s="339" t="s">
        <v>163</v>
      </c>
      <c r="B4" s="828"/>
      <c r="C4" s="829"/>
      <c r="D4" s="830"/>
    </row>
    <row r="5" spans="1:17">
      <c r="A5" s="346"/>
      <c r="B5" s="825"/>
      <c r="C5" s="826"/>
      <c r="D5" s="827"/>
    </row>
    <row r="6" spans="1:17" s="54" customFormat="1" ht="12" customHeight="1">
      <c r="A6" s="347" t="s">
        <v>164</v>
      </c>
      <c r="B6" s="831">
        <f>SUM(B7:B8)</f>
        <v>466736</v>
      </c>
      <c r="C6" s="832">
        <f>SUM(C7:C10)</f>
        <v>558656</v>
      </c>
      <c r="D6" s="833">
        <f>SUM(D7:D10)</f>
        <v>597539</v>
      </c>
      <c r="E6" s="124"/>
      <c r="F6" s="124"/>
      <c r="G6" s="124"/>
      <c r="H6" s="124"/>
      <c r="I6" s="124"/>
      <c r="J6" s="124"/>
      <c r="K6" s="124"/>
      <c r="L6" s="124"/>
      <c r="M6" s="335"/>
      <c r="N6" s="335"/>
      <c r="O6" s="335"/>
      <c r="P6" s="335"/>
      <c r="Q6" s="124"/>
    </row>
    <row r="7" spans="1:17" s="50" customFormat="1">
      <c r="A7" s="346" t="s">
        <v>454</v>
      </c>
      <c r="B7" s="825">
        <v>464736</v>
      </c>
      <c r="C7" s="826">
        <v>554895</v>
      </c>
      <c r="D7" s="827">
        <v>593778</v>
      </c>
      <c r="E7" s="125"/>
      <c r="F7" s="125"/>
      <c r="G7" s="125"/>
      <c r="H7" s="125"/>
      <c r="I7" s="125"/>
      <c r="J7" s="125"/>
      <c r="K7" s="125"/>
      <c r="L7" s="125"/>
      <c r="M7" s="336"/>
      <c r="N7" s="336"/>
      <c r="O7" s="336"/>
      <c r="P7" s="336"/>
      <c r="Q7" s="125"/>
    </row>
    <row r="8" spans="1:17" s="50" customFormat="1">
      <c r="A8" s="346" t="s">
        <v>455</v>
      </c>
      <c r="B8" s="825">
        <v>2000</v>
      </c>
      <c r="C8" s="826">
        <v>2000</v>
      </c>
      <c r="D8" s="827">
        <v>2000</v>
      </c>
      <c r="E8" s="125"/>
      <c r="F8" s="125"/>
      <c r="G8" s="125"/>
      <c r="H8" s="125"/>
      <c r="I8" s="125"/>
      <c r="J8" s="125"/>
      <c r="K8" s="125"/>
      <c r="L8" s="125"/>
      <c r="M8" s="336"/>
      <c r="N8" s="336"/>
      <c r="O8" s="336"/>
      <c r="P8" s="336"/>
      <c r="Q8" s="125"/>
    </row>
    <row r="9" spans="1:17" s="50" customFormat="1">
      <c r="A9" s="346" t="s">
        <v>828</v>
      </c>
      <c r="B9" s="825"/>
      <c r="C9" s="826">
        <v>261</v>
      </c>
      <c r="D9" s="827">
        <v>261</v>
      </c>
      <c r="E9" s="125"/>
      <c r="F9" s="125"/>
      <c r="G9" s="125"/>
      <c r="H9" s="125"/>
      <c r="I9" s="125"/>
      <c r="J9" s="125"/>
      <c r="K9" s="125"/>
      <c r="L9" s="125"/>
      <c r="M9" s="336"/>
      <c r="N9" s="336"/>
      <c r="O9" s="336"/>
      <c r="P9" s="336"/>
      <c r="Q9" s="125"/>
    </row>
    <row r="10" spans="1:17" s="50" customFormat="1" ht="15.75">
      <c r="A10" s="348" t="s">
        <v>829</v>
      </c>
      <c r="B10" s="825"/>
      <c r="C10" s="826">
        <v>1500</v>
      </c>
      <c r="D10" s="827">
        <v>1500</v>
      </c>
      <c r="E10" s="125"/>
      <c r="F10" s="125"/>
      <c r="G10" s="125"/>
      <c r="H10" s="125"/>
      <c r="I10" s="125"/>
      <c r="J10" s="125"/>
      <c r="K10" s="125"/>
      <c r="L10" s="125"/>
      <c r="M10" s="336"/>
      <c r="N10" s="336"/>
      <c r="O10" s="336"/>
      <c r="P10" s="336"/>
      <c r="Q10" s="125"/>
    </row>
    <row r="11" spans="1:17" ht="12.75" customHeight="1">
      <c r="A11" s="346"/>
      <c r="B11" s="825"/>
      <c r="C11" s="826"/>
      <c r="D11" s="827"/>
    </row>
    <row r="12" spans="1:17" s="54" customFormat="1" ht="12.75" customHeight="1">
      <c r="A12" s="347" t="s">
        <v>165</v>
      </c>
      <c r="B12" s="831">
        <f>SUM(B13:B39)</f>
        <v>715341</v>
      </c>
      <c r="C12" s="832">
        <f>SUM(C13:C44)</f>
        <v>695376</v>
      </c>
      <c r="D12" s="833">
        <f>SUM(D13:D46)</f>
        <v>739736</v>
      </c>
      <c r="E12" s="124"/>
      <c r="F12" s="124"/>
      <c r="G12" s="124"/>
      <c r="H12" s="124"/>
      <c r="I12" s="124"/>
      <c r="J12" s="124"/>
      <c r="K12" s="124"/>
      <c r="L12" s="124"/>
      <c r="M12" s="335"/>
      <c r="N12" s="335"/>
      <c r="O12" s="335"/>
      <c r="P12" s="335"/>
      <c r="Q12" s="124"/>
    </row>
    <row r="13" spans="1:17" ht="15.75" customHeight="1">
      <c r="A13" s="349" t="s">
        <v>672</v>
      </c>
      <c r="B13" s="834">
        <v>21088</v>
      </c>
      <c r="C13" s="835">
        <v>21088</v>
      </c>
      <c r="D13" s="836">
        <v>21088</v>
      </c>
    </row>
    <row r="14" spans="1:17" ht="15.75" customHeight="1">
      <c r="A14" s="346" t="s">
        <v>673</v>
      </c>
      <c r="B14" s="834">
        <v>10310</v>
      </c>
      <c r="C14" s="835">
        <v>10310</v>
      </c>
      <c r="D14" s="836">
        <v>10310</v>
      </c>
    </row>
    <row r="15" spans="1:17" ht="16.5" customHeight="1">
      <c r="A15" s="346" t="s">
        <v>467</v>
      </c>
      <c r="B15" s="834">
        <v>261336</v>
      </c>
      <c r="C15" s="835">
        <v>261336</v>
      </c>
      <c r="D15" s="836">
        <v>261336</v>
      </c>
    </row>
    <row r="16" spans="1:17" ht="15" customHeight="1">
      <c r="A16" s="346" t="s">
        <v>469</v>
      </c>
      <c r="B16" s="825">
        <v>165370</v>
      </c>
      <c r="C16" s="826">
        <v>165370</v>
      </c>
      <c r="D16" s="827">
        <v>165370</v>
      </c>
    </row>
    <row r="17" spans="1:28">
      <c r="A17" s="327" t="s">
        <v>468</v>
      </c>
      <c r="B17" s="825">
        <v>47042</v>
      </c>
      <c r="C17" s="826">
        <v>47042</v>
      </c>
      <c r="D17" s="827">
        <v>47042</v>
      </c>
    </row>
    <row r="18" spans="1:28">
      <c r="A18" s="349" t="s">
        <v>456</v>
      </c>
      <c r="B18" s="825">
        <v>64000</v>
      </c>
      <c r="C18" s="826">
        <v>64000</v>
      </c>
      <c r="D18" s="827">
        <v>64000</v>
      </c>
    </row>
    <row r="19" spans="1:28">
      <c r="A19" s="349" t="s">
        <v>478</v>
      </c>
      <c r="B19" s="825">
        <v>45000</v>
      </c>
      <c r="C19" s="826">
        <v>22500</v>
      </c>
      <c r="D19" s="827">
        <v>22500</v>
      </c>
    </row>
    <row r="20" spans="1:28" s="51" customFormat="1">
      <c r="A20" s="349" t="s">
        <v>166</v>
      </c>
      <c r="B20" s="825">
        <v>4000</v>
      </c>
      <c r="C20" s="826">
        <v>4000</v>
      </c>
      <c r="D20" s="827">
        <v>4000</v>
      </c>
      <c r="E20" s="123"/>
      <c r="F20" s="123"/>
      <c r="G20" s="123"/>
      <c r="H20" s="123"/>
      <c r="I20" s="123"/>
      <c r="J20" s="123"/>
      <c r="K20" s="123"/>
      <c r="L20" s="123"/>
      <c r="M20" s="52"/>
      <c r="N20" s="52"/>
      <c r="O20" s="52"/>
      <c r="P20" s="52"/>
      <c r="Q20" s="123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>
      <c r="A21" s="346" t="s">
        <v>457</v>
      </c>
      <c r="B21" s="825">
        <v>1375</v>
      </c>
      <c r="C21" s="826">
        <v>1375</v>
      </c>
      <c r="D21" s="827">
        <v>1375</v>
      </c>
    </row>
    <row r="22" spans="1:28">
      <c r="A22" s="346" t="s">
        <v>1009</v>
      </c>
      <c r="B22" s="825">
        <v>35000</v>
      </c>
      <c r="C22" s="826">
        <v>37155</v>
      </c>
      <c r="D22" s="827">
        <v>79155</v>
      </c>
    </row>
    <row r="23" spans="1:28">
      <c r="A23" s="346" t="s">
        <v>470</v>
      </c>
      <c r="B23" s="825">
        <v>25000</v>
      </c>
      <c r="C23" s="826">
        <v>25000</v>
      </c>
      <c r="D23" s="827">
        <v>25000</v>
      </c>
    </row>
    <row r="24" spans="1:28">
      <c r="A24" s="346" t="s">
        <v>458</v>
      </c>
      <c r="B24" s="825">
        <v>1500</v>
      </c>
      <c r="C24" s="826">
        <v>1500</v>
      </c>
      <c r="D24" s="827">
        <v>1500</v>
      </c>
    </row>
    <row r="25" spans="1:28">
      <c r="A25" s="346" t="s">
        <v>682</v>
      </c>
      <c r="B25" s="825">
        <v>6000</v>
      </c>
      <c r="C25" s="826">
        <v>6000</v>
      </c>
      <c r="D25" s="827">
        <v>6000</v>
      </c>
    </row>
    <row r="26" spans="1:28">
      <c r="A26" s="346" t="s">
        <v>823</v>
      </c>
      <c r="B26" s="825">
        <v>1000</v>
      </c>
      <c r="C26" s="826">
        <v>1500</v>
      </c>
      <c r="D26" s="827">
        <v>1500</v>
      </c>
    </row>
    <row r="27" spans="1:28">
      <c r="A27" s="346" t="s">
        <v>459</v>
      </c>
      <c r="B27" s="825">
        <v>5500</v>
      </c>
      <c r="C27" s="826">
        <v>5500</v>
      </c>
      <c r="D27" s="827">
        <v>5500</v>
      </c>
    </row>
    <row r="28" spans="1:28">
      <c r="A28" s="346" t="s">
        <v>472</v>
      </c>
      <c r="B28" s="825">
        <v>3000</v>
      </c>
      <c r="C28" s="826">
        <v>3000</v>
      </c>
      <c r="D28" s="827">
        <v>3000</v>
      </c>
    </row>
    <row r="29" spans="1:28">
      <c r="A29" s="346" t="s">
        <v>460</v>
      </c>
      <c r="B29" s="825">
        <v>1000</v>
      </c>
      <c r="C29" s="826">
        <v>1000</v>
      </c>
      <c r="D29" s="827">
        <v>1000</v>
      </c>
    </row>
    <row r="30" spans="1:28">
      <c r="A30" s="346" t="s">
        <v>324</v>
      </c>
      <c r="B30" s="825">
        <v>3000</v>
      </c>
      <c r="C30" s="826">
        <v>0</v>
      </c>
      <c r="D30" s="827">
        <v>0</v>
      </c>
    </row>
    <row r="31" spans="1:28">
      <c r="A31" s="346" t="s">
        <v>461</v>
      </c>
      <c r="B31" s="825">
        <v>5500</v>
      </c>
      <c r="C31" s="826">
        <v>0</v>
      </c>
      <c r="D31" s="827">
        <v>0</v>
      </c>
    </row>
    <row r="32" spans="1:28">
      <c r="A32" s="346" t="s">
        <v>475</v>
      </c>
      <c r="B32" s="825">
        <v>4500</v>
      </c>
      <c r="C32" s="826">
        <v>4500</v>
      </c>
      <c r="D32" s="827">
        <v>4500</v>
      </c>
    </row>
    <row r="33" spans="1:4">
      <c r="A33" s="346" t="s">
        <v>476</v>
      </c>
      <c r="B33" s="825">
        <v>500</v>
      </c>
      <c r="C33" s="826">
        <v>500</v>
      </c>
      <c r="D33" s="827">
        <v>500</v>
      </c>
    </row>
    <row r="34" spans="1:4">
      <c r="A34" s="346" t="s">
        <v>473</v>
      </c>
      <c r="B34" s="825">
        <v>1000</v>
      </c>
      <c r="C34" s="826">
        <v>1000</v>
      </c>
      <c r="D34" s="827">
        <v>1000</v>
      </c>
    </row>
    <row r="35" spans="1:4">
      <c r="A35" s="346" t="s">
        <v>726</v>
      </c>
      <c r="B35" s="825">
        <v>500</v>
      </c>
      <c r="C35" s="826">
        <v>500</v>
      </c>
      <c r="D35" s="827">
        <v>500</v>
      </c>
    </row>
    <row r="36" spans="1:4">
      <c r="A36" s="327" t="s">
        <v>474</v>
      </c>
      <c r="B36" s="825">
        <v>100</v>
      </c>
      <c r="C36" s="826">
        <v>100</v>
      </c>
      <c r="D36" s="827">
        <v>100</v>
      </c>
    </row>
    <row r="37" spans="1:4">
      <c r="A37" s="327" t="s">
        <v>462</v>
      </c>
      <c r="B37" s="825">
        <v>220</v>
      </c>
      <c r="C37" s="826">
        <v>220</v>
      </c>
      <c r="D37" s="827">
        <v>220</v>
      </c>
    </row>
    <row r="38" spans="1:4">
      <c r="A38" s="327" t="s">
        <v>463</v>
      </c>
      <c r="B38" s="825">
        <v>500</v>
      </c>
      <c r="C38" s="826">
        <v>500</v>
      </c>
      <c r="D38" s="827">
        <v>500</v>
      </c>
    </row>
    <row r="39" spans="1:4">
      <c r="A39" s="327" t="s">
        <v>477</v>
      </c>
      <c r="B39" s="825">
        <v>2000</v>
      </c>
      <c r="C39" s="826">
        <v>2000</v>
      </c>
      <c r="D39" s="827">
        <v>2000</v>
      </c>
    </row>
    <row r="40" spans="1:4">
      <c r="A40" s="327" t="s">
        <v>824</v>
      </c>
      <c r="B40" s="825"/>
      <c r="C40" s="826">
        <v>0</v>
      </c>
      <c r="D40" s="827">
        <v>0</v>
      </c>
    </row>
    <row r="41" spans="1:4" ht="15.75">
      <c r="A41" s="329" t="s">
        <v>825</v>
      </c>
      <c r="B41" s="825"/>
      <c r="C41" s="826">
        <v>1000</v>
      </c>
      <c r="D41" s="827">
        <v>1000</v>
      </c>
    </row>
    <row r="42" spans="1:4" ht="15.75">
      <c r="A42" s="329" t="s">
        <v>826</v>
      </c>
      <c r="B42" s="825"/>
      <c r="C42" s="826">
        <v>2000</v>
      </c>
      <c r="D42" s="827">
        <v>4000</v>
      </c>
    </row>
    <row r="43" spans="1:4" ht="15.75">
      <c r="A43" s="824" t="s">
        <v>955</v>
      </c>
      <c r="B43" s="825"/>
      <c r="C43" s="826">
        <v>130</v>
      </c>
      <c r="D43" s="827">
        <v>130</v>
      </c>
    </row>
    <row r="44" spans="1:4" ht="31.5">
      <c r="A44" s="330" t="s">
        <v>827</v>
      </c>
      <c r="B44" s="825"/>
      <c r="C44" s="826">
        <v>5250</v>
      </c>
      <c r="D44" s="827">
        <v>5250</v>
      </c>
    </row>
    <row r="45" spans="1:4" ht="15.75">
      <c r="A45" s="958" t="s">
        <v>985</v>
      </c>
      <c r="B45" s="825"/>
      <c r="C45" s="826"/>
      <c r="D45" s="827">
        <v>250</v>
      </c>
    </row>
    <row r="46" spans="1:4" ht="15.75">
      <c r="A46" s="958" t="s">
        <v>986</v>
      </c>
      <c r="B46" s="825"/>
      <c r="C46" s="826"/>
      <c r="D46" s="827">
        <v>110</v>
      </c>
    </row>
    <row r="47" spans="1:4" ht="15.75">
      <c r="A47" s="958"/>
      <c r="B47" s="825"/>
      <c r="C47" s="826"/>
      <c r="D47" s="827"/>
    </row>
    <row r="48" spans="1:4" ht="13.5" customHeight="1">
      <c r="A48" s="343" t="s">
        <v>178</v>
      </c>
      <c r="B48" s="837">
        <f>B6+B12</f>
        <v>1182077</v>
      </c>
      <c r="C48" s="838">
        <f>C6+C12</f>
        <v>1254032</v>
      </c>
      <c r="D48" s="839">
        <f>D6+D12</f>
        <v>1337275</v>
      </c>
    </row>
    <row r="49" spans="1:17" ht="15" customHeight="1">
      <c r="A49" s="346"/>
      <c r="B49" s="825"/>
      <c r="C49" s="826"/>
      <c r="D49" s="827"/>
    </row>
    <row r="50" spans="1:17" s="54" customFormat="1">
      <c r="A50" s="347" t="s">
        <v>167</v>
      </c>
      <c r="B50" s="831">
        <f>SUM(B51:B51)</f>
        <v>20000</v>
      </c>
      <c r="C50" s="832">
        <f>SUM(C51:C51)</f>
        <v>20000</v>
      </c>
      <c r="D50" s="833">
        <f>SUM(D51:D51)</f>
        <v>20000</v>
      </c>
      <c r="E50" s="124"/>
      <c r="F50" s="124"/>
      <c r="G50" s="124"/>
      <c r="H50" s="124"/>
      <c r="I50" s="124"/>
      <c r="J50" s="124"/>
      <c r="K50" s="124"/>
      <c r="L50" s="124"/>
      <c r="M50" s="335"/>
      <c r="N50" s="335"/>
      <c r="O50" s="335"/>
      <c r="P50" s="335"/>
      <c r="Q50" s="124"/>
    </row>
    <row r="51" spans="1:17">
      <c r="A51" s="346" t="s">
        <v>471</v>
      </c>
      <c r="B51" s="825">
        <v>20000</v>
      </c>
      <c r="C51" s="826">
        <v>20000</v>
      </c>
      <c r="D51" s="827">
        <v>20000</v>
      </c>
    </row>
    <row r="52" spans="1:17">
      <c r="A52" s="346"/>
      <c r="B52" s="825"/>
      <c r="C52" s="826"/>
      <c r="D52" s="827"/>
    </row>
    <row r="53" spans="1:17">
      <c r="A53" s="343" t="s">
        <v>170</v>
      </c>
      <c r="B53" s="837">
        <f>B50</f>
        <v>20000</v>
      </c>
      <c r="C53" s="838">
        <f>C50</f>
        <v>20000</v>
      </c>
      <c r="D53" s="839">
        <f>D50</f>
        <v>20000</v>
      </c>
    </row>
    <row r="54" spans="1:17">
      <c r="A54" s="346"/>
      <c r="B54" s="825"/>
      <c r="C54" s="826"/>
      <c r="D54" s="827"/>
    </row>
    <row r="55" spans="1:17">
      <c r="A55" s="343" t="s">
        <v>171</v>
      </c>
      <c r="B55" s="837">
        <f>B48+B53</f>
        <v>1202077</v>
      </c>
      <c r="C55" s="838">
        <f>C48+C53</f>
        <v>1274032</v>
      </c>
      <c r="D55" s="839">
        <f>D48+D53</f>
        <v>1357275</v>
      </c>
    </row>
    <row r="56" spans="1:17">
      <c r="A56" s="346"/>
      <c r="B56" s="825"/>
      <c r="C56" s="826"/>
      <c r="D56" s="827"/>
    </row>
    <row r="57" spans="1:17">
      <c r="A57" s="347" t="s">
        <v>325</v>
      </c>
      <c r="B57" s="831">
        <f>SUM(B58:B59)</f>
        <v>7300</v>
      </c>
      <c r="C57" s="832">
        <f>SUM(C58:C60)</f>
        <v>300</v>
      </c>
      <c r="D57" s="833">
        <f>SUM(D58:D60)</f>
        <v>300</v>
      </c>
    </row>
    <row r="58" spans="1:17">
      <c r="A58" s="346" t="s">
        <v>466</v>
      </c>
      <c r="B58" s="825">
        <v>7000</v>
      </c>
      <c r="C58" s="826">
        <v>0</v>
      </c>
      <c r="D58" s="827">
        <v>0</v>
      </c>
    </row>
    <row r="59" spans="1:17">
      <c r="A59" s="346" t="s">
        <v>464</v>
      </c>
      <c r="B59" s="825">
        <v>300</v>
      </c>
      <c r="C59" s="826">
        <v>300</v>
      </c>
      <c r="D59" s="827">
        <v>300</v>
      </c>
    </row>
    <row r="60" spans="1:17">
      <c r="A60" s="346" t="s">
        <v>828</v>
      </c>
      <c r="B60" s="825"/>
      <c r="C60" s="826">
        <v>0</v>
      </c>
      <c r="D60" s="827">
        <v>0</v>
      </c>
    </row>
    <row r="61" spans="1:17">
      <c r="A61" s="346"/>
      <c r="B61" s="825"/>
      <c r="C61" s="826"/>
      <c r="D61" s="827"/>
    </row>
    <row r="62" spans="1:17">
      <c r="A62" s="347" t="s">
        <v>567</v>
      </c>
      <c r="B62" s="831">
        <f>SUM(B63:B63)</f>
        <v>6600</v>
      </c>
      <c r="C62" s="832">
        <f>SUM(C63:C65)</f>
        <v>16100</v>
      </c>
      <c r="D62" s="833">
        <f>SUM(D63:D66)</f>
        <v>18350</v>
      </c>
    </row>
    <row r="63" spans="1:17">
      <c r="A63" s="346" t="s">
        <v>712</v>
      </c>
      <c r="B63" s="825">
        <v>6600</v>
      </c>
      <c r="C63" s="826">
        <v>6600</v>
      </c>
      <c r="D63" s="827">
        <v>6600</v>
      </c>
    </row>
    <row r="64" spans="1:17">
      <c r="A64" s="346" t="s">
        <v>830</v>
      </c>
      <c r="B64" s="825"/>
      <c r="C64" s="826">
        <v>2500</v>
      </c>
      <c r="D64" s="827">
        <v>2500</v>
      </c>
    </row>
    <row r="65" spans="1:17">
      <c r="A65" s="346" t="s">
        <v>466</v>
      </c>
      <c r="B65" s="825"/>
      <c r="C65" s="826">
        <v>7000</v>
      </c>
      <c r="D65" s="827">
        <v>7000</v>
      </c>
    </row>
    <row r="66" spans="1:17">
      <c r="A66" s="959" t="s">
        <v>988</v>
      </c>
      <c r="B66" s="825"/>
      <c r="C66" s="826"/>
      <c r="D66" s="827">
        <v>2250</v>
      </c>
    </row>
    <row r="67" spans="1:17">
      <c r="A67" s="346"/>
      <c r="B67" s="825"/>
      <c r="C67" s="826"/>
      <c r="D67" s="827"/>
    </row>
    <row r="68" spans="1:17" ht="13.5" customHeight="1">
      <c r="A68" s="343" t="s">
        <v>179</v>
      </c>
      <c r="B68" s="837">
        <f>B57+B62</f>
        <v>13900</v>
      </c>
      <c r="C68" s="838">
        <f>C57+C62</f>
        <v>16400</v>
      </c>
      <c r="D68" s="839">
        <f>D57+D62</f>
        <v>18650</v>
      </c>
    </row>
    <row r="69" spans="1:17">
      <c r="A69" s="346"/>
      <c r="B69" s="825"/>
      <c r="C69" s="826"/>
      <c r="D69" s="827"/>
    </row>
    <row r="70" spans="1:17" s="54" customFormat="1" ht="15.75" customHeight="1">
      <c r="A70" s="347" t="s">
        <v>169</v>
      </c>
      <c r="B70" s="831">
        <f>B72</f>
        <v>0</v>
      </c>
      <c r="C70" s="832">
        <f>C72</f>
        <v>0</v>
      </c>
      <c r="D70" s="833">
        <f>SUM(D71)</f>
        <v>1500</v>
      </c>
      <c r="E70" s="124"/>
      <c r="F70" s="124"/>
      <c r="G70" s="124"/>
      <c r="H70" s="124"/>
      <c r="I70" s="124"/>
      <c r="J70" s="124"/>
      <c r="K70" s="124"/>
      <c r="L70" s="124"/>
      <c r="M70" s="335"/>
      <c r="N70" s="335"/>
      <c r="O70" s="335"/>
      <c r="P70" s="335"/>
      <c r="Q70" s="124"/>
    </row>
    <row r="71" spans="1:17" s="54" customFormat="1" ht="15.75" customHeight="1">
      <c r="A71" s="959" t="s">
        <v>987</v>
      </c>
      <c r="B71" s="831"/>
      <c r="C71" s="832"/>
      <c r="D71" s="827">
        <v>1500</v>
      </c>
      <c r="E71" s="124"/>
      <c r="F71" s="124"/>
      <c r="G71" s="124"/>
      <c r="H71" s="124"/>
      <c r="I71" s="124"/>
      <c r="J71" s="124"/>
      <c r="K71" s="124"/>
      <c r="L71" s="124"/>
      <c r="M71" s="335"/>
      <c r="N71" s="335"/>
      <c r="O71" s="335"/>
      <c r="P71" s="335"/>
      <c r="Q71" s="124"/>
    </row>
    <row r="72" spans="1:17">
      <c r="A72" s="349"/>
      <c r="B72" s="825"/>
      <c r="C72" s="826"/>
      <c r="D72" s="827"/>
    </row>
    <row r="73" spans="1:17" ht="13.5" customHeight="1">
      <c r="A73" s="343" t="s">
        <v>179</v>
      </c>
      <c r="B73" s="837">
        <f>B70</f>
        <v>0</v>
      </c>
      <c r="C73" s="838">
        <f>C70</f>
        <v>0</v>
      </c>
      <c r="D73" s="839">
        <f>D70</f>
        <v>1500</v>
      </c>
    </row>
    <row r="74" spans="1:17" s="50" customFormat="1">
      <c r="A74" s="346"/>
      <c r="B74" s="825"/>
      <c r="C74" s="826"/>
      <c r="D74" s="827"/>
      <c r="E74" s="125"/>
      <c r="F74" s="125"/>
      <c r="G74" s="125"/>
      <c r="H74" s="125"/>
      <c r="I74" s="125"/>
      <c r="J74" s="125"/>
      <c r="K74" s="125"/>
      <c r="L74" s="125"/>
      <c r="M74" s="336"/>
      <c r="N74" s="336"/>
      <c r="O74" s="336"/>
      <c r="P74" s="336"/>
      <c r="Q74" s="125"/>
    </row>
    <row r="75" spans="1:17" s="50" customFormat="1" ht="28.5">
      <c r="A75" s="343" t="s">
        <v>172</v>
      </c>
      <c r="B75" s="837">
        <f>B68+B73</f>
        <v>13900</v>
      </c>
      <c r="C75" s="838">
        <f>C68+C73</f>
        <v>16400</v>
      </c>
      <c r="D75" s="839">
        <f>D68+D73</f>
        <v>20150</v>
      </c>
      <c r="E75" s="125"/>
      <c r="F75" s="125"/>
      <c r="G75" s="125"/>
      <c r="H75" s="125"/>
      <c r="I75" s="125"/>
      <c r="J75" s="125"/>
      <c r="K75" s="125"/>
      <c r="L75" s="125"/>
      <c r="M75" s="336"/>
      <c r="N75" s="336"/>
      <c r="O75" s="336"/>
      <c r="P75" s="336"/>
      <c r="Q75" s="125"/>
    </row>
    <row r="76" spans="1:17" s="50" customFormat="1" thickBot="1">
      <c r="A76" s="350"/>
      <c r="B76" s="840"/>
      <c r="C76" s="841"/>
      <c r="D76" s="842"/>
      <c r="E76" s="125"/>
      <c r="F76" s="125"/>
      <c r="G76" s="125"/>
      <c r="H76" s="125"/>
      <c r="I76" s="125"/>
      <c r="J76" s="125"/>
      <c r="K76" s="125"/>
      <c r="L76" s="125"/>
      <c r="M76" s="336"/>
      <c r="N76" s="336"/>
      <c r="O76" s="336"/>
      <c r="P76" s="336"/>
      <c r="Q76" s="125"/>
    </row>
    <row r="77" spans="1:17" s="50" customFormat="1" thickBot="1">
      <c r="A77" s="161" t="s">
        <v>311</v>
      </c>
      <c r="B77" s="165">
        <f>B55+B75</f>
        <v>1215977</v>
      </c>
      <c r="C77" s="593">
        <f>C55+C75</f>
        <v>1290432</v>
      </c>
      <c r="D77" s="243">
        <f>D55+D75</f>
        <v>1377425</v>
      </c>
      <c r="E77" s="125"/>
      <c r="F77" s="125"/>
      <c r="G77" s="125"/>
      <c r="H77" s="125"/>
      <c r="I77" s="125"/>
      <c r="J77" s="125"/>
      <c r="K77" s="125"/>
      <c r="L77" s="125"/>
      <c r="M77" s="336"/>
      <c r="N77" s="336"/>
      <c r="O77" s="336"/>
      <c r="P77" s="336"/>
      <c r="Q77" s="125"/>
    </row>
    <row r="78" spans="1:17">
      <c r="A78" s="157"/>
      <c r="B78" s="594"/>
      <c r="C78" s="595"/>
      <c r="D78" s="244"/>
    </row>
    <row r="79" spans="1:17">
      <c r="A79" s="160" t="s">
        <v>168</v>
      </c>
      <c r="B79" s="596"/>
      <c r="C79" s="597"/>
      <c r="D79" s="602"/>
    </row>
    <row r="80" spans="1:17">
      <c r="A80" s="160"/>
      <c r="B80" s="596"/>
      <c r="C80" s="597"/>
      <c r="D80" s="602"/>
    </row>
    <row r="81" spans="1:17" s="54" customFormat="1">
      <c r="A81" s="159" t="s">
        <v>169</v>
      </c>
      <c r="B81" s="591">
        <f>B82</f>
        <v>1200</v>
      </c>
      <c r="C81" s="592">
        <f>C82</f>
        <v>1200</v>
      </c>
      <c r="D81" s="601">
        <f>D82</f>
        <v>1200</v>
      </c>
      <c r="E81" s="124"/>
      <c r="F81" s="124"/>
      <c r="G81" s="124"/>
      <c r="H81" s="124"/>
      <c r="I81" s="124"/>
      <c r="J81" s="124"/>
      <c r="K81" s="124"/>
      <c r="L81" s="124"/>
      <c r="M81" s="335"/>
      <c r="N81" s="335"/>
      <c r="O81" s="335"/>
      <c r="P81" s="335"/>
      <c r="Q81" s="124"/>
    </row>
    <row r="82" spans="1:17">
      <c r="A82" s="158" t="s">
        <v>465</v>
      </c>
      <c r="B82" s="589">
        <v>1200</v>
      </c>
      <c r="C82" s="590">
        <v>1200</v>
      </c>
      <c r="D82" s="600">
        <v>1200</v>
      </c>
    </row>
    <row r="83" spans="1:17" ht="14.25" customHeight="1" thickBot="1">
      <c r="A83" s="162"/>
      <c r="B83" s="598"/>
      <c r="C83" s="599"/>
      <c r="D83" s="603"/>
    </row>
    <row r="84" spans="1:17" ht="15.75" thickBot="1">
      <c r="A84" s="161" t="s">
        <v>312</v>
      </c>
      <c r="B84" s="165">
        <f>B81</f>
        <v>1200</v>
      </c>
      <c r="C84" s="593">
        <f>C81</f>
        <v>1200</v>
      </c>
      <c r="D84" s="243">
        <f>D81</f>
        <v>1200</v>
      </c>
    </row>
    <row r="85" spans="1:17">
      <c r="A85" s="121"/>
      <c r="B85" s="122"/>
      <c r="C85" s="122"/>
      <c r="D85" s="122"/>
    </row>
    <row r="86" spans="1:17">
      <c r="A86" s="119"/>
      <c r="B86" s="122"/>
      <c r="C86" s="122"/>
      <c r="D86" s="122"/>
    </row>
    <row r="87" spans="1:17">
      <c r="A87" s="119"/>
    </row>
    <row r="88" spans="1:17"/>
    <row r="89" spans="1:17"/>
    <row r="90" spans="1:17"/>
    <row r="91" spans="1:17"/>
    <row r="92" spans="1:17"/>
    <row r="93" spans="1:17"/>
    <row r="94" spans="1:17"/>
    <row r="95" spans="1:17"/>
    <row r="96" spans="1:17" s="53" customFormat="1">
      <c r="E96" s="126"/>
      <c r="F96" s="126"/>
      <c r="G96" s="126"/>
      <c r="H96" s="126"/>
      <c r="I96" s="126"/>
      <c r="J96" s="126"/>
      <c r="K96" s="126"/>
      <c r="L96" s="126"/>
      <c r="M96" s="337"/>
      <c r="N96" s="337"/>
      <c r="O96" s="337"/>
      <c r="P96" s="337"/>
      <c r="Q96" s="126"/>
    </row>
    <row r="97" spans="1:17" s="50" customFormat="1" ht="14.25">
      <c r="E97" s="125"/>
      <c r="F97" s="125"/>
      <c r="G97" s="125"/>
      <c r="H97" s="125"/>
      <c r="I97" s="125"/>
      <c r="J97" s="125"/>
      <c r="K97" s="125"/>
      <c r="L97" s="125"/>
      <c r="M97" s="336"/>
      <c r="N97" s="336"/>
      <c r="O97" s="336"/>
      <c r="P97" s="336"/>
      <c r="Q97" s="125"/>
    </row>
    <row r="98" spans="1:17" s="50" customFormat="1" ht="14.25">
      <c r="E98" s="125"/>
      <c r="F98" s="125"/>
      <c r="G98" s="125"/>
      <c r="H98" s="125"/>
      <c r="I98" s="125"/>
      <c r="J98" s="125"/>
      <c r="K98" s="125"/>
      <c r="L98" s="125"/>
      <c r="M98" s="336"/>
      <c r="N98" s="336"/>
      <c r="O98" s="336"/>
      <c r="P98" s="336"/>
      <c r="Q98" s="125"/>
    </row>
    <row r="99" spans="1:17">
      <c r="A99" s="47"/>
      <c r="B99" s="47"/>
      <c r="C99" s="47"/>
      <c r="D99" s="47"/>
    </row>
    <row r="100" spans="1:17" s="50" customFormat="1" ht="14.25">
      <c r="E100" s="125"/>
      <c r="F100" s="125"/>
      <c r="G100" s="125"/>
      <c r="H100" s="125"/>
      <c r="I100" s="125"/>
      <c r="J100" s="125"/>
      <c r="K100" s="125"/>
      <c r="L100" s="125"/>
      <c r="M100" s="336"/>
      <c r="N100" s="336"/>
      <c r="O100" s="336"/>
      <c r="P100" s="336"/>
      <c r="Q100" s="125"/>
    </row>
    <row r="101" spans="1:17" s="50" customFormat="1" ht="33.75" customHeight="1">
      <c r="E101" s="125"/>
      <c r="F101" s="125"/>
      <c r="G101" s="125"/>
      <c r="H101" s="125"/>
      <c r="I101" s="125"/>
      <c r="J101" s="125"/>
      <c r="K101" s="125"/>
      <c r="L101" s="125"/>
      <c r="M101" s="336"/>
      <c r="N101" s="336"/>
      <c r="O101" s="336"/>
      <c r="P101" s="336"/>
      <c r="Q101" s="125"/>
    </row>
    <row r="102" spans="1:17" s="50" customFormat="1" ht="36.75" customHeight="1">
      <c r="E102" s="125"/>
      <c r="F102" s="125"/>
      <c r="G102" s="125"/>
      <c r="H102" s="125"/>
      <c r="I102" s="125"/>
      <c r="J102" s="125"/>
      <c r="K102" s="125"/>
      <c r="L102" s="125"/>
      <c r="M102" s="336"/>
      <c r="N102" s="336"/>
      <c r="O102" s="336"/>
      <c r="P102" s="336"/>
      <c r="Q102" s="125"/>
    </row>
    <row r="103" spans="1:17" ht="15.75" customHeight="1"/>
    <row r="104" spans="1:17"/>
    <row r="105" spans="1:17"/>
    <row r="106" spans="1:17"/>
    <row r="107" spans="1:17"/>
    <row r="108" spans="1:17"/>
    <row r="109" spans="1:17" ht="30.75" customHeight="1"/>
    <row r="110" spans="1:17" ht="30.75" hidden="1" customHeight="1"/>
    <row r="111" spans="1:17" ht="10.5" hidden="1" customHeight="1"/>
    <row r="112" spans="1:17"/>
    <row r="126"/>
    <row r="127"/>
    <row r="142"/>
    <row r="143"/>
    <row r="144"/>
    <row r="145"/>
    <row r="146"/>
    <row r="147"/>
    <row r="148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</sheetData>
  <mergeCells count="1">
    <mergeCell ref="A1:D1"/>
  </mergeCells>
  <pageMargins left="0.72499999999999998" right="0.27559055118110237" top="0.6" bottom="0.59" header="0.31496062992125984" footer="0.16"/>
  <pageSetup paperSize="9" scale="58" orientation="portrait" r:id="rId1"/>
  <headerFooter>
    <oddHeader>&amp;L&amp;"Times New Roman,Normál"&amp;8 10.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view="pageLayout" zoomScale="113" zoomScaleNormal="80" zoomScalePageLayoutView="113" workbookViewId="0">
      <selection sqref="A1:D2"/>
    </sheetView>
  </sheetViews>
  <sheetFormatPr defaultRowHeight="15"/>
  <cols>
    <col min="1" max="1" width="89.85546875" style="36" customWidth="1"/>
    <col min="2" max="4" width="14" style="52" customWidth="1"/>
    <col min="5" max="12" width="9.140625" style="123"/>
    <col min="13" max="13" width="9.140625" style="52"/>
    <col min="14" max="16384" width="9.140625" style="47"/>
  </cols>
  <sheetData>
    <row r="1" spans="1:13" ht="15" customHeight="1">
      <c r="A1" s="2280" t="s">
        <v>931</v>
      </c>
      <c r="B1" s="2280"/>
      <c r="C1" s="2280"/>
      <c r="D1" s="2280"/>
    </row>
    <row r="2" spans="1:13">
      <c r="A2" s="2280"/>
      <c r="B2" s="2280"/>
      <c r="C2" s="2280"/>
      <c r="D2" s="2280"/>
    </row>
    <row r="3" spans="1:13" ht="15.75" thickBot="1">
      <c r="A3" s="55"/>
      <c r="B3" s="55"/>
      <c r="C3" s="224"/>
      <c r="D3" s="481"/>
    </row>
    <row r="4" spans="1:13" s="49" customFormat="1" ht="15.75" thickBot="1">
      <c r="A4" s="338" t="s">
        <v>2</v>
      </c>
      <c r="B4" s="572" t="s">
        <v>3</v>
      </c>
      <c r="C4" s="582" t="s">
        <v>960</v>
      </c>
      <c r="D4" s="1400" t="s">
        <v>972</v>
      </c>
      <c r="E4" s="65"/>
      <c r="F4" s="65"/>
      <c r="G4" s="65"/>
      <c r="H4" s="65"/>
      <c r="I4" s="65"/>
      <c r="J4" s="65"/>
      <c r="K4" s="65"/>
      <c r="L4" s="65"/>
      <c r="M4" s="334"/>
    </row>
    <row r="5" spans="1:13">
      <c r="A5" s="339" t="s">
        <v>163</v>
      </c>
      <c r="B5" s="574"/>
      <c r="C5" s="583"/>
      <c r="D5" s="241"/>
    </row>
    <row r="6" spans="1:13">
      <c r="A6" s="327"/>
      <c r="B6" s="809"/>
      <c r="C6" s="810"/>
      <c r="D6" s="811"/>
    </row>
    <row r="7" spans="1:13">
      <c r="A7" s="340" t="s">
        <v>320</v>
      </c>
      <c r="B7" s="809"/>
      <c r="C7" s="815">
        <f>SUM(C8:C9)</f>
        <v>37663</v>
      </c>
      <c r="D7" s="816">
        <f>SUM(D8:D9)</f>
        <v>37663</v>
      </c>
    </row>
    <row r="8" spans="1:13" ht="30">
      <c r="A8" s="327" t="s">
        <v>953</v>
      </c>
      <c r="B8" s="809"/>
      <c r="C8" s="810">
        <v>29596</v>
      </c>
      <c r="D8" s="817">
        <v>29596</v>
      </c>
    </row>
    <row r="9" spans="1:13">
      <c r="A9" s="327" t="s">
        <v>814</v>
      </c>
      <c r="B9" s="809"/>
      <c r="C9" s="810">
        <v>8067</v>
      </c>
      <c r="D9" s="817">
        <v>8067</v>
      </c>
    </row>
    <row r="10" spans="1:13">
      <c r="A10" s="327"/>
      <c r="B10" s="809"/>
      <c r="C10" s="810"/>
      <c r="D10" s="811"/>
    </row>
    <row r="11" spans="1:13">
      <c r="A11" s="327"/>
      <c r="B11" s="809"/>
      <c r="C11" s="810"/>
      <c r="D11" s="811"/>
    </row>
    <row r="12" spans="1:13" s="54" customFormat="1">
      <c r="A12" s="340" t="s">
        <v>173</v>
      </c>
      <c r="B12" s="814">
        <f>SUM(B13:B23)</f>
        <v>227393</v>
      </c>
      <c r="C12" s="815">
        <f>SUM(C13:C29)</f>
        <v>496575</v>
      </c>
      <c r="D12" s="1233">
        <f>SUM(D13:D29)</f>
        <v>496722</v>
      </c>
      <c r="E12" s="124"/>
      <c r="F12" s="124"/>
      <c r="G12" s="124"/>
      <c r="H12" s="124"/>
      <c r="I12" s="124"/>
      <c r="J12" s="124"/>
      <c r="K12" s="124"/>
      <c r="L12" s="124"/>
      <c r="M12" s="335"/>
    </row>
    <row r="13" spans="1:13" s="50" customFormat="1">
      <c r="A13" s="327" t="s">
        <v>479</v>
      </c>
      <c r="B13" s="809">
        <v>34211</v>
      </c>
      <c r="C13" s="810">
        <v>34211</v>
      </c>
      <c r="D13" s="817">
        <v>34211</v>
      </c>
      <c r="E13" s="125"/>
      <c r="F13" s="125"/>
      <c r="G13" s="125"/>
      <c r="H13" s="125"/>
      <c r="I13" s="125"/>
      <c r="J13" s="125"/>
      <c r="K13" s="125"/>
      <c r="L13" s="125"/>
      <c r="M13" s="336"/>
    </row>
    <row r="14" spans="1:13" s="50" customFormat="1">
      <c r="A14" s="327" t="s">
        <v>481</v>
      </c>
      <c r="B14" s="809">
        <v>46500</v>
      </c>
      <c r="C14" s="810">
        <v>46500</v>
      </c>
      <c r="D14" s="817">
        <v>46500</v>
      </c>
      <c r="E14" s="125"/>
      <c r="F14" s="125"/>
      <c r="G14" s="125"/>
      <c r="H14" s="125"/>
      <c r="I14" s="125"/>
      <c r="J14" s="125"/>
      <c r="K14" s="125"/>
      <c r="L14" s="125"/>
      <c r="M14" s="336"/>
    </row>
    <row r="15" spans="1:13" s="50" customFormat="1">
      <c r="A15" s="327" t="s">
        <v>489</v>
      </c>
      <c r="B15" s="809">
        <v>23371</v>
      </c>
      <c r="C15" s="810">
        <v>29545</v>
      </c>
      <c r="D15" s="817">
        <v>29545</v>
      </c>
      <c r="E15" s="125"/>
      <c r="F15" s="125"/>
      <c r="G15" s="125"/>
      <c r="H15" s="125"/>
      <c r="I15" s="125"/>
      <c r="J15" s="125"/>
      <c r="K15" s="125"/>
      <c r="L15" s="125"/>
      <c r="M15" s="336"/>
    </row>
    <row r="16" spans="1:13" s="50" customFormat="1" ht="30">
      <c r="A16" s="327" t="s">
        <v>486</v>
      </c>
      <c r="B16" s="809">
        <v>11345</v>
      </c>
      <c r="C16" s="810">
        <v>0</v>
      </c>
      <c r="D16" s="817">
        <v>0</v>
      </c>
      <c r="E16" s="125"/>
      <c r="F16" s="125"/>
      <c r="G16" s="125"/>
      <c r="H16" s="125"/>
      <c r="I16" s="125"/>
      <c r="J16" s="125"/>
      <c r="K16" s="125"/>
      <c r="L16" s="125"/>
      <c r="M16" s="336"/>
    </row>
    <row r="17" spans="1:13" s="50" customFormat="1" ht="14.25" customHeight="1">
      <c r="A17" s="327" t="s">
        <v>442</v>
      </c>
      <c r="B17" s="809">
        <v>10399</v>
      </c>
      <c r="C17" s="810">
        <v>10399</v>
      </c>
      <c r="D17" s="817">
        <v>10399</v>
      </c>
      <c r="E17" s="125"/>
      <c r="F17" s="125"/>
      <c r="G17" s="125"/>
      <c r="H17" s="125"/>
      <c r="I17" s="125"/>
      <c r="J17" s="125"/>
      <c r="K17" s="125"/>
      <c r="L17" s="125"/>
      <c r="M17" s="336"/>
    </row>
    <row r="18" spans="1:13" s="50" customFormat="1" ht="14.25" customHeight="1">
      <c r="A18" s="341" t="s">
        <v>556</v>
      </c>
      <c r="B18" s="809">
        <v>74274</v>
      </c>
      <c r="C18" s="810">
        <v>229689</v>
      </c>
      <c r="D18" s="817">
        <v>229689</v>
      </c>
      <c r="E18" s="125"/>
      <c r="F18" s="125"/>
      <c r="G18" s="125"/>
      <c r="H18" s="125"/>
      <c r="I18" s="125"/>
      <c r="J18" s="125"/>
      <c r="K18" s="125"/>
      <c r="L18" s="125"/>
      <c r="M18" s="336"/>
    </row>
    <row r="19" spans="1:13" s="50" customFormat="1" ht="30">
      <c r="A19" s="327" t="s">
        <v>484</v>
      </c>
      <c r="B19" s="809">
        <v>6050</v>
      </c>
      <c r="C19" s="810">
        <v>0</v>
      </c>
      <c r="D19" s="817">
        <v>0</v>
      </c>
      <c r="E19" s="125"/>
      <c r="F19" s="125"/>
      <c r="G19" s="125"/>
      <c r="H19" s="125"/>
      <c r="I19" s="125"/>
      <c r="J19" s="125"/>
      <c r="K19" s="125"/>
      <c r="L19" s="125"/>
      <c r="M19" s="336"/>
    </row>
    <row r="20" spans="1:13" s="50" customFormat="1" ht="30">
      <c r="A20" s="342" t="s">
        <v>683</v>
      </c>
      <c r="B20" s="809">
        <v>2640</v>
      </c>
      <c r="C20" s="810">
        <v>2640</v>
      </c>
      <c r="D20" s="817">
        <v>2640</v>
      </c>
      <c r="E20" s="125"/>
      <c r="F20" s="125"/>
      <c r="G20" s="125"/>
      <c r="H20" s="125"/>
      <c r="I20" s="125"/>
      <c r="J20" s="125"/>
      <c r="K20" s="125"/>
      <c r="L20" s="125"/>
      <c r="M20" s="336"/>
    </row>
    <row r="21" spans="1:13" s="50" customFormat="1">
      <c r="A21" s="342" t="s">
        <v>419</v>
      </c>
      <c r="B21" s="809">
        <v>984</v>
      </c>
      <c r="C21" s="810">
        <v>0</v>
      </c>
      <c r="D21" s="817">
        <v>0</v>
      </c>
      <c r="E21" s="125"/>
      <c r="F21" s="125"/>
      <c r="G21" s="125"/>
      <c r="H21" s="125"/>
      <c r="I21" s="125"/>
      <c r="J21" s="125"/>
      <c r="K21" s="125"/>
      <c r="L21" s="125"/>
      <c r="M21" s="336"/>
    </row>
    <row r="22" spans="1:13" s="50" customFormat="1">
      <c r="A22" s="342" t="s">
        <v>420</v>
      </c>
      <c r="B22" s="809">
        <v>15838</v>
      </c>
      <c r="C22" s="810">
        <v>18922</v>
      </c>
      <c r="D22" s="817">
        <v>18922</v>
      </c>
      <c r="E22" s="125"/>
      <c r="F22" s="125"/>
      <c r="G22" s="125"/>
      <c r="H22" s="125"/>
      <c r="I22" s="125"/>
      <c r="J22" s="125"/>
      <c r="K22" s="125"/>
      <c r="L22" s="125"/>
      <c r="M22" s="336"/>
    </row>
    <row r="23" spans="1:13" s="50" customFormat="1">
      <c r="A23" s="327" t="s">
        <v>421</v>
      </c>
      <c r="B23" s="809">
        <v>1781</v>
      </c>
      <c r="C23" s="810">
        <v>13728</v>
      </c>
      <c r="D23" s="817">
        <v>13728</v>
      </c>
      <c r="E23" s="125"/>
      <c r="F23" s="125"/>
      <c r="G23" s="125"/>
      <c r="H23" s="125"/>
      <c r="I23" s="125"/>
      <c r="J23" s="125"/>
      <c r="K23" s="125"/>
      <c r="L23" s="125"/>
      <c r="M23" s="336"/>
    </row>
    <row r="24" spans="1:13" s="50" customFormat="1" ht="30">
      <c r="A24" s="327" t="s">
        <v>810</v>
      </c>
      <c r="B24" s="809"/>
      <c r="C24" s="810">
        <v>500</v>
      </c>
      <c r="D24" s="817">
        <v>500</v>
      </c>
      <c r="E24" s="125"/>
      <c r="F24" s="125"/>
      <c r="G24" s="125"/>
      <c r="H24" s="125"/>
      <c r="I24" s="125"/>
      <c r="J24" s="125"/>
      <c r="K24" s="125"/>
      <c r="L24" s="125"/>
      <c r="M24" s="336"/>
    </row>
    <row r="25" spans="1:13" s="50" customFormat="1" ht="15.75">
      <c r="A25" s="329" t="s">
        <v>821</v>
      </c>
      <c r="B25" s="809"/>
      <c r="C25" s="810">
        <v>35495</v>
      </c>
      <c r="D25" s="817">
        <v>35495</v>
      </c>
      <c r="E25" s="125"/>
      <c r="F25" s="125"/>
      <c r="G25" s="125"/>
      <c r="H25" s="125"/>
      <c r="I25" s="125"/>
      <c r="J25" s="125"/>
      <c r="K25" s="125"/>
      <c r="L25" s="125"/>
      <c r="M25" s="336"/>
    </row>
    <row r="26" spans="1:13" s="50" customFormat="1" ht="15.75">
      <c r="A26" s="329" t="s">
        <v>822</v>
      </c>
      <c r="B26" s="809"/>
      <c r="C26" s="810">
        <v>73041</v>
      </c>
      <c r="D26" s="817">
        <v>73041</v>
      </c>
      <c r="E26" s="125"/>
      <c r="F26" s="125"/>
      <c r="G26" s="125"/>
      <c r="H26" s="125"/>
      <c r="I26" s="125"/>
      <c r="J26" s="125"/>
      <c r="K26" s="125"/>
      <c r="L26" s="125"/>
      <c r="M26" s="336"/>
    </row>
    <row r="27" spans="1:13" s="50" customFormat="1" ht="15.75">
      <c r="A27" s="328" t="s">
        <v>815</v>
      </c>
      <c r="B27" s="809"/>
      <c r="C27" s="810">
        <v>350</v>
      </c>
      <c r="D27" s="817">
        <v>350</v>
      </c>
      <c r="E27" s="125"/>
      <c r="F27" s="125"/>
      <c r="G27" s="125"/>
      <c r="H27" s="125"/>
      <c r="I27" s="125"/>
      <c r="J27" s="125"/>
      <c r="K27" s="125"/>
      <c r="L27" s="125"/>
      <c r="M27" s="336"/>
    </row>
    <row r="28" spans="1:13" s="50" customFormat="1">
      <c r="A28" s="327" t="s">
        <v>813</v>
      </c>
      <c r="B28" s="809"/>
      <c r="C28" s="810">
        <v>900</v>
      </c>
      <c r="D28" s="817">
        <v>900</v>
      </c>
      <c r="E28" s="125"/>
      <c r="F28" s="125"/>
      <c r="G28" s="125"/>
      <c r="H28" s="125"/>
      <c r="I28" s="125"/>
      <c r="J28" s="125"/>
      <c r="K28" s="125"/>
      <c r="L28" s="125"/>
      <c r="M28" s="336"/>
    </row>
    <row r="29" spans="1:13" s="50" customFormat="1">
      <c r="A29" s="812" t="s">
        <v>954</v>
      </c>
      <c r="B29" s="809"/>
      <c r="C29" s="810">
        <v>655</v>
      </c>
      <c r="D29" s="811">
        <v>802</v>
      </c>
      <c r="E29" s="125"/>
      <c r="F29" s="125"/>
      <c r="G29" s="125"/>
      <c r="H29" s="125"/>
      <c r="I29" s="125"/>
      <c r="J29" s="125"/>
      <c r="K29" s="125"/>
      <c r="L29" s="125"/>
      <c r="M29" s="336"/>
    </row>
    <row r="30" spans="1:13" s="50" customFormat="1">
      <c r="A30" s="327"/>
      <c r="B30" s="809"/>
      <c r="C30" s="810"/>
      <c r="D30" s="811"/>
      <c r="E30" s="125"/>
      <c r="F30" s="125"/>
      <c r="G30" s="125"/>
      <c r="H30" s="125"/>
      <c r="I30" s="125"/>
      <c r="J30" s="125"/>
      <c r="K30" s="125"/>
      <c r="L30" s="125"/>
      <c r="M30" s="336"/>
    </row>
    <row r="31" spans="1:13" s="50" customFormat="1">
      <c r="A31" s="340" t="s">
        <v>811</v>
      </c>
      <c r="B31" s="809"/>
      <c r="C31" s="815">
        <f>SUM(C32:C38)</f>
        <v>33100</v>
      </c>
      <c r="D31" s="1233">
        <f>SUM(D32:D38)</f>
        <v>33100</v>
      </c>
      <c r="E31" s="125"/>
      <c r="F31" s="125"/>
      <c r="G31" s="125"/>
      <c r="H31" s="125"/>
      <c r="I31" s="125"/>
      <c r="J31" s="125"/>
      <c r="K31" s="125"/>
      <c r="L31" s="125"/>
      <c r="M31" s="336"/>
    </row>
    <row r="32" spans="1:13" s="50" customFormat="1" ht="30">
      <c r="A32" s="327" t="s">
        <v>812</v>
      </c>
      <c r="B32" s="809"/>
      <c r="C32" s="810">
        <v>13845</v>
      </c>
      <c r="D32" s="811">
        <v>13845</v>
      </c>
      <c r="E32" s="125"/>
      <c r="F32" s="125"/>
      <c r="G32" s="125"/>
      <c r="H32" s="125"/>
      <c r="I32" s="125"/>
      <c r="J32" s="125"/>
      <c r="K32" s="125"/>
      <c r="L32" s="125"/>
      <c r="M32" s="336"/>
    </row>
    <row r="33" spans="1:13" s="50" customFormat="1">
      <c r="A33" s="327" t="s">
        <v>813</v>
      </c>
      <c r="B33" s="809"/>
      <c r="C33" s="810">
        <v>0</v>
      </c>
      <c r="D33" s="811">
        <v>0</v>
      </c>
      <c r="E33" s="125"/>
      <c r="F33" s="125"/>
      <c r="G33" s="125"/>
      <c r="H33" s="125"/>
      <c r="I33" s="125"/>
      <c r="J33" s="125"/>
      <c r="K33" s="125"/>
      <c r="L33" s="125"/>
      <c r="M33" s="336"/>
    </row>
    <row r="34" spans="1:13" s="50" customFormat="1">
      <c r="A34" s="327" t="s">
        <v>816</v>
      </c>
      <c r="B34" s="809"/>
      <c r="C34" s="810">
        <v>4800</v>
      </c>
      <c r="D34" s="817">
        <v>4800</v>
      </c>
      <c r="E34" s="125"/>
      <c r="F34" s="125"/>
      <c r="G34" s="125"/>
      <c r="H34" s="125"/>
      <c r="I34" s="125"/>
      <c r="J34" s="125"/>
      <c r="K34" s="125"/>
      <c r="L34" s="125"/>
      <c r="M34" s="336"/>
    </row>
    <row r="35" spans="1:13" s="50" customFormat="1" ht="30">
      <c r="A35" s="327" t="s">
        <v>484</v>
      </c>
      <c r="B35" s="809"/>
      <c r="C35" s="810">
        <v>8431</v>
      </c>
      <c r="D35" s="817">
        <v>8431</v>
      </c>
      <c r="E35" s="125"/>
      <c r="F35" s="125"/>
      <c r="G35" s="125"/>
      <c r="H35" s="125"/>
      <c r="I35" s="125"/>
      <c r="J35" s="125"/>
      <c r="K35" s="125"/>
      <c r="L35" s="125"/>
      <c r="M35" s="336"/>
    </row>
    <row r="36" spans="1:13" s="50" customFormat="1">
      <c r="A36" s="327" t="s">
        <v>819</v>
      </c>
      <c r="B36" s="809"/>
      <c r="C36" s="810">
        <v>762</v>
      </c>
      <c r="D36" s="817">
        <v>762</v>
      </c>
      <c r="E36" s="125"/>
      <c r="F36" s="125"/>
      <c r="G36" s="125"/>
      <c r="H36" s="125"/>
      <c r="I36" s="125"/>
      <c r="J36" s="125"/>
      <c r="K36" s="125"/>
      <c r="L36" s="125"/>
      <c r="M36" s="336"/>
    </row>
    <row r="37" spans="1:13" s="50" customFormat="1" ht="31.5">
      <c r="A37" s="331" t="s">
        <v>485</v>
      </c>
      <c r="B37" s="809"/>
      <c r="C37" s="810">
        <v>2622</v>
      </c>
      <c r="D37" s="817">
        <v>2622</v>
      </c>
      <c r="E37" s="125"/>
      <c r="F37" s="125"/>
      <c r="G37" s="125"/>
      <c r="H37" s="125"/>
      <c r="I37" s="125"/>
      <c r="J37" s="125"/>
      <c r="K37" s="125"/>
      <c r="L37" s="125"/>
      <c r="M37" s="336"/>
    </row>
    <row r="38" spans="1:13" s="50" customFormat="1" ht="30">
      <c r="A38" s="327" t="s">
        <v>683</v>
      </c>
      <c r="B38" s="809"/>
      <c r="C38" s="810">
        <v>2640</v>
      </c>
      <c r="D38" s="817">
        <v>2640</v>
      </c>
      <c r="E38" s="125"/>
      <c r="F38" s="125"/>
      <c r="G38" s="125"/>
      <c r="H38" s="125"/>
      <c r="I38" s="125"/>
      <c r="J38" s="125"/>
      <c r="K38" s="125"/>
      <c r="L38" s="125"/>
      <c r="M38" s="336"/>
    </row>
    <row r="39" spans="1:13" s="50" customFormat="1">
      <c r="A39" s="327"/>
      <c r="B39" s="809"/>
      <c r="C39" s="810"/>
      <c r="D39" s="811"/>
      <c r="E39" s="125"/>
      <c r="F39" s="125"/>
      <c r="G39" s="125"/>
      <c r="H39" s="125"/>
      <c r="I39" s="125"/>
      <c r="J39" s="125"/>
      <c r="K39" s="125"/>
      <c r="L39" s="125"/>
      <c r="M39" s="336"/>
    </row>
    <row r="40" spans="1:13" s="50" customFormat="1" ht="14.25">
      <c r="A40" s="343" t="s">
        <v>178</v>
      </c>
      <c r="B40" s="818">
        <f>B12</f>
        <v>227393</v>
      </c>
      <c r="C40" s="819">
        <f>C31+C12+C7</f>
        <v>567338</v>
      </c>
      <c r="D40" s="820">
        <f>D31+D12+D7</f>
        <v>567485</v>
      </c>
      <c r="E40" s="125"/>
      <c r="F40" s="125"/>
      <c r="G40" s="125"/>
      <c r="H40" s="125"/>
      <c r="I40" s="125"/>
      <c r="J40" s="125"/>
      <c r="K40" s="125"/>
      <c r="L40" s="125"/>
      <c r="M40" s="336"/>
    </row>
    <row r="41" spans="1:13" s="50" customFormat="1">
      <c r="A41" s="327"/>
      <c r="B41" s="809"/>
      <c r="C41" s="810"/>
      <c r="D41" s="811"/>
      <c r="E41" s="125"/>
      <c r="F41" s="125"/>
      <c r="G41" s="125"/>
      <c r="H41" s="125"/>
      <c r="I41" s="125"/>
      <c r="J41" s="125"/>
      <c r="K41" s="125"/>
      <c r="L41" s="125"/>
      <c r="M41" s="336"/>
    </row>
    <row r="42" spans="1:13" s="53" customFormat="1">
      <c r="A42" s="340" t="s">
        <v>174</v>
      </c>
      <c r="B42" s="814">
        <f>SUM(B43:B46)</f>
        <v>77549</v>
      </c>
      <c r="C42" s="815">
        <f>SUM(C43:C46)</f>
        <v>77549</v>
      </c>
      <c r="D42" s="1233">
        <f>SUM(D43:D46)</f>
        <v>77549</v>
      </c>
      <c r="E42" s="126"/>
      <c r="F42" s="126"/>
      <c r="G42" s="126"/>
      <c r="H42" s="126"/>
      <c r="I42" s="126"/>
      <c r="J42" s="126"/>
      <c r="K42" s="126"/>
      <c r="L42" s="126"/>
      <c r="M42" s="337"/>
    </row>
    <row r="43" spans="1:13" s="50" customFormat="1">
      <c r="A43" s="327" t="s">
        <v>715</v>
      </c>
      <c r="B43" s="809">
        <f>20000+8174+10000</f>
        <v>38174</v>
      </c>
      <c r="C43" s="810">
        <v>38174</v>
      </c>
      <c r="D43" s="817">
        <v>38174</v>
      </c>
      <c r="E43" s="125"/>
      <c r="F43" s="125"/>
      <c r="G43" s="125"/>
      <c r="H43" s="125"/>
      <c r="I43" s="125"/>
      <c r="J43" s="125"/>
      <c r="K43" s="125"/>
      <c r="L43" s="125"/>
      <c r="M43" s="336"/>
    </row>
    <row r="44" spans="1:13" s="50" customFormat="1">
      <c r="A44" s="327" t="s">
        <v>581</v>
      </c>
      <c r="B44" s="809">
        <v>10256</v>
      </c>
      <c r="C44" s="810">
        <v>10256</v>
      </c>
      <c r="D44" s="817">
        <v>10256</v>
      </c>
      <c r="E44" s="125"/>
      <c r="F44" s="125"/>
      <c r="G44" s="125"/>
      <c r="H44" s="125"/>
      <c r="I44" s="125"/>
      <c r="J44" s="125"/>
      <c r="K44" s="125"/>
      <c r="L44" s="125"/>
      <c r="M44" s="336"/>
    </row>
    <row r="45" spans="1:13" s="50" customFormat="1">
      <c r="A45" s="344" t="s">
        <v>720</v>
      </c>
      <c r="B45" s="809">
        <v>24589</v>
      </c>
      <c r="C45" s="810">
        <v>24589</v>
      </c>
      <c r="D45" s="817">
        <v>24589</v>
      </c>
      <c r="E45" s="125"/>
      <c r="F45" s="125"/>
      <c r="G45" s="125"/>
      <c r="H45" s="125"/>
      <c r="I45" s="125"/>
      <c r="J45" s="125"/>
      <c r="K45" s="125"/>
      <c r="L45" s="125"/>
      <c r="M45" s="336"/>
    </row>
    <row r="46" spans="1:13" s="50" customFormat="1">
      <c r="A46" s="344" t="s">
        <v>721</v>
      </c>
      <c r="B46" s="809">
        <v>4530</v>
      </c>
      <c r="C46" s="810">
        <v>4530</v>
      </c>
      <c r="D46" s="817">
        <v>4530</v>
      </c>
      <c r="E46" s="125"/>
      <c r="F46" s="125"/>
      <c r="G46" s="125"/>
      <c r="H46" s="125"/>
      <c r="I46" s="125"/>
      <c r="J46" s="125"/>
      <c r="K46" s="125"/>
      <c r="L46" s="125"/>
      <c r="M46" s="336"/>
    </row>
    <row r="47" spans="1:13" s="50" customFormat="1">
      <c r="A47" s="327"/>
      <c r="B47" s="809"/>
      <c r="C47" s="810"/>
      <c r="D47" s="811"/>
      <c r="E47" s="125"/>
      <c r="F47" s="125"/>
      <c r="G47" s="125"/>
      <c r="H47" s="125"/>
      <c r="I47" s="125"/>
      <c r="J47" s="125"/>
      <c r="K47" s="125"/>
      <c r="L47" s="125"/>
      <c r="M47" s="336"/>
    </row>
    <row r="48" spans="1:13" s="50" customFormat="1" ht="14.25">
      <c r="A48" s="343" t="s">
        <v>177</v>
      </c>
      <c r="B48" s="818">
        <f>B42</f>
        <v>77549</v>
      </c>
      <c r="C48" s="819">
        <f>C42</f>
        <v>77549</v>
      </c>
      <c r="D48" s="820">
        <f>D42</f>
        <v>77549</v>
      </c>
      <c r="E48" s="125"/>
      <c r="F48" s="125"/>
      <c r="G48" s="125"/>
      <c r="H48" s="125"/>
      <c r="I48" s="125"/>
      <c r="J48" s="125"/>
      <c r="K48" s="125"/>
      <c r="L48" s="125"/>
      <c r="M48" s="336"/>
    </row>
    <row r="49" spans="1:13" s="50" customFormat="1">
      <c r="A49" s="327"/>
      <c r="B49" s="809"/>
      <c r="C49" s="810"/>
      <c r="D49" s="811"/>
      <c r="E49" s="125"/>
      <c r="F49" s="125"/>
      <c r="G49" s="125"/>
      <c r="H49" s="125"/>
      <c r="I49" s="125"/>
      <c r="J49" s="125"/>
      <c r="K49" s="125"/>
      <c r="L49" s="125"/>
      <c r="M49" s="336"/>
    </row>
    <row r="50" spans="1:13" s="50" customFormat="1" ht="28.5">
      <c r="A50" s="343" t="s">
        <v>171</v>
      </c>
      <c r="B50" s="818">
        <f>B40+B48</f>
        <v>304942</v>
      </c>
      <c r="C50" s="819">
        <f>C40+C48</f>
        <v>644887</v>
      </c>
      <c r="D50" s="820">
        <f>D40+D48</f>
        <v>645034</v>
      </c>
      <c r="E50" s="125"/>
      <c r="F50" s="125"/>
      <c r="G50" s="125"/>
      <c r="H50" s="125"/>
      <c r="I50" s="125"/>
      <c r="J50" s="125"/>
      <c r="K50" s="125"/>
      <c r="L50" s="125"/>
      <c r="M50" s="336"/>
    </row>
    <row r="51" spans="1:13" s="50" customFormat="1">
      <c r="A51" s="327"/>
      <c r="B51" s="809"/>
      <c r="C51" s="810"/>
      <c r="D51" s="811"/>
      <c r="E51" s="125"/>
      <c r="F51" s="125"/>
      <c r="G51" s="125"/>
      <c r="H51" s="125"/>
      <c r="I51" s="125"/>
      <c r="J51" s="125"/>
      <c r="K51" s="125"/>
      <c r="L51" s="125"/>
      <c r="M51" s="336"/>
    </row>
    <row r="52" spans="1:13" s="53" customFormat="1">
      <c r="A52" s="340" t="s">
        <v>175</v>
      </c>
      <c r="B52" s="814">
        <f>SUM(B53:B69)</f>
        <v>113219</v>
      </c>
      <c r="C52" s="815">
        <f>SUM(C53:C62)</f>
        <v>761186</v>
      </c>
      <c r="D52" s="1233">
        <f>SUM(D53:D62)</f>
        <v>624394</v>
      </c>
      <c r="E52" s="126"/>
      <c r="F52" s="126"/>
      <c r="G52" s="126"/>
      <c r="H52" s="126"/>
      <c r="I52" s="126"/>
      <c r="J52" s="126"/>
      <c r="K52" s="126"/>
      <c r="L52" s="126"/>
      <c r="M52" s="337"/>
    </row>
    <row r="53" spans="1:13" s="50" customFormat="1" ht="30">
      <c r="A53" s="327" t="s">
        <v>484</v>
      </c>
      <c r="B53" s="809">
        <v>8270</v>
      </c>
      <c r="C53" s="810">
        <v>0</v>
      </c>
      <c r="D53" s="811">
        <v>0</v>
      </c>
      <c r="E53" s="125"/>
      <c r="F53" s="125"/>
      <c r="G53" s="125"/>
      <c r="H53" s="125"/>
      <c r="I53" s="125"/>
      <c r="J53" s="125"/>
      <c r="K53" s="125"/>
      <c r="L53" s="125"/>
      <c r="M53" s="336"/>
    </row>
    <row r="54" spans="1:13" s="50" customFormat="1" ht="30">
      <c r="A54" s="327" t="s">
        <v>683</v>
      </c>
      <c r="B54" s="809">
        <v>103129</v>
      </c>
      <c r="C54" s="810">
        <v>9112</v>
      </c>
      <c r="D54" s="811">
        <v>9112</v>
      </c>
      <c r="E54" s="125"/>
      <c r="F54" s="125"/>
      <c r="G54" s="125"/>
      <c r="H54" s="125"/>
      <c r="I54" s="125"/>
      <c r="J54" s="125"/>
      <c r="K54" s="125"/>
      <c r="L54" s="125"/>
      <c r="M54" s="336"/>
    </row>
    <row r="55" spans="1:13" s="50" customFormat="1" ht="31.5">
      <c r="A55" s="958" t="s">
        <v>808</v>
      </c>
      <c r="B55" s="809"/>
      <c r="C55" s="810">
        <v>33542</v>
      </c>
      <c r="D55" s="817">
        <v>0</v>
      </c>
      <c r="E55" s="125"/>
      <c r="F55" s="125"/>
      <c r="G55" s="125"/>
      <c r="H55" s="125"/>
      <c r="I55" s="125"/>
      <c r="J55" s="125"/>
      <c r="K55" s="125"/>
      <c r="L55" s="125"/>
      <c r="M55" s="336"/>
    </row>
    <row r="56" spans="1:13" s="50" customFormat="1" ht="47.25">
      <c r="A56" s="958" t="s">
        <v>809</v>
      </c>
      <c r="B56" s="809"/>
      <c r="C56" s="810">
        <v>103250</v>
      </c>
      <c r="D56" s="817">
        <v>0</v>
      </c>
      <c r="E56" s="125"/>
      <c r="F56" s="125"/>
      <c r="G56" s="125"/>
      <c r="H56" s="125"/>
      <c r="I56" s="125"/>
      <c r="J56" s="125"/>
      <c r="K56" s="125"/>
      <c r="L56" s="125"/>
      <c r="M56" s="336"/>
    </row>
    <row r="57" spans="1:13" s="50" customFormat="1">
      <c r="A57" s="327" t="s">
        <v>421</v>
      </c>
      <c r="B57" s="809">
        <v>1820</v>
      </c>
      <c r="C57" s="810">
        <v>3748</v>
      </c>
      <c r="D57" s="817">
        <v>3748</v>
      </c>
      <c r="E57" s="125"/>
      <c r="F57" s="125"/>
      <c r="G57" s="125"/>
      <c r="H57" s="125"/>
      <c r="I57" s="125"/>
      <c r="J57" s="125"/>
      <c r="K57" s="125"/>
      <c r="L57" s="125"/>
      <c r="M57" s="336"/>
    </row>
    <row r="58" spans="1:13" s="50" customFormat="1" ht="15.75">
      <c r="A58" s="328" t="s">
        <v>818</v>
      </c>
      <c r="B58" s="809"/>
      <c r="C58" s="810">
        <v>104463</v>
      </c>
      <c r="D58" s="817">
        <v>104463</v>
      </c>
      <c r="E58" s="125"/>
      <c r="F58" s="125"/>
      <c r="G58" s="125"/>
      <c r="H58" s="125"/>
      <c r="I58" s="125"/>
      <c r="J58" s="125"/>
      <c r="K58" s="125"/>
      <c r="L58" s="125"/>
      <c r="M58" s="336"/>
    </row>
    <row r="59" spans="1:13" s="50" customFormat="1" ht="15.75">
      <c r="A59" s="328" t="s">
        <v>820</v>
      </c>
      <c r="B59" s="809"/>
      <c r="C59" s="810">
        <v>1199</v>
      </c>
      <c r="D59" s="817">
        <v>1199</v>
      </c>
      <c r="E59" s="125"/>
      <c r="F59" s="125"/>
      <c r="G59" s="125"/>
      <c r="H59" s="125"/>
      <c r="I59" s="125"/>
      <c r="J59" s="125"/>
      <c r="K59" s="125"/>
      <c r="L59" s="125"/>
      <c r="M59" s="336"/>
    </row>
    <row r="60" spans="1:13" s="50" customFormat="1" ht="15.75">
      <c r="A60" s="328" t="s">
        <v>422</v>
      </c>
      <c r="B60" s="809"/>
      <c r="C60" s="810">
        <v>3000</v>
      </c>
      <c r="D60" s="817">
        <v>3000</v>
      </c>
      <c r="E60" s="125"/>
      <c r="F60" s="125"/>
      <c r="G60" s="125"/>
      <c r="H60" s="125"/>
      <c r="I60" s="125"/>
      <c r="J60" s="125"/>
      <c r="K60" s="125"/>
      <c r="L60" s="125"/>
      <c r="M60" s="336"/>
    </row>
    <row r="61" spans="1:13" s="50" customFormat="1" ht="15.75">
      <c r="A61" s="329" t="s">
        <v>821</v>
      </c>
      <c r="B61" s="809"/>
      <c r="C61" s="810">
        <v>234915</v>
      </c>
      <c r="D61" s="817">
        <v>234915</v>
      </c>
      <c r="E61" s="125"/>
      <c r="F61" s="125"/>
      <c r="G61" s="125"/>
      <c r="H61" s="125"/>
      <c r="I61" s="125"/>
      <c r="J61" s="125"/>
      <c r="K61" s="125"/>
      <c r="L61" s="125"/>
      <c r="M61" s="336"/>
    </row>
    <row r="62" spans="1:13" s="50" customFormat="1" ht="15.75">
      <c r="A62" s="329" t="s">
        <v>822</v>
      </c>
      <c r="B62" s="809"/>
      <c r="C62" s="810">
        <v>267957</v>
      </c>
      <c r="D62" s="817">
        <v>267957</v>
      </c>
      <c r="E62" s="125"/>
      <c r="F62" s="125"/>
      <c r="G62" s="125"/>
      <c r="H62" s="125"/>
      <c r="I62" s="125"/>
      <c r="J62" s="125"/>
      <c r="K62" s="125"/>
      <c r="L62" s="125"/>
      <c r="M62" s="336"/>
    </row>
    <row r="63" spans="1:13" s="50" customFormat="1">
      <c r="A63" s="327"/>
      <c r="B63" s="809"/>
      <c r="C63" s="810"/>
      <c r="D63" s="811"/>
      <c r="E63" s="125"/>
      <c r="F63" s="125"/>
      <c r="G63" s="125"/>
      <c r="H63" s="125"/>
      <c r="I63" s="125"/>
      <c r="J63" s="125"/>
      <c r="K63" s="125"/>
      <c r="L63" s="125"/>
      <c r="M63" s="336"/>
    </row>
    <row r="64" spans="1:13" s="50" customFormat="1">
      <c r="A64" s="340" t="s">
        <v>817</v>
      </c>
      <c r="B64" s="809"/>
      <c r="C64" s="815">
        <f>SUM(C65:C68)</f>
        <v>193696</v>
      </c>
      <c r="D64" s="1233">
        <f>SUM(D65:D68)</f>
        <v>193696</v>
      </c>
      <c r="E64" s="125"/>
      <c r="F64" s="125"/>
      <c r="G64" s="125"/>
      <c r="H64" s="125"/>
      <c r="I64" s="125"/>
      <c r="J64" s="125"/>
      <c r="K64" s="125"/>
      <c r="L64" s="125"/>
      <c r="M64" s="336"/>
    </row>
    <row r="65" spans="1:13" s="50" customFormat="1" ht="30">
      <c r="A65" s="327" t="s">
        <v>484</v>
      </c>
      <c r="B65" s="809"/>
      <c r="C65" s="810">
        <v>88171</v>
      </c>
      <c r="D65" s="817">
        <v>88171</v>
      </c>
      <c r="E65" s="125"/>
      <c r="F65" s="125"/>
      <c r="G65" s="125"/>
      <c r="H65" s="125"/>
      <c r="I65" s="125"/>
      <c r="J65" s="125"/>
      <c r="K65" s="125"/>
      <c r="L65" s="125"/>
      <c r="M65" s="336"/>
    </row>
    <row r="66" spans="1:13" s="50" customFormat="1">
      <c r="A66" s="327" t="s">
        <v>819</v>
      </c>
      <c r="B66" s="809"/>
      <c r="C66" s="810">
        <v>1238</v>
      </c>
      <c r="D66" s="817">
        <v>1238</v>
      </c>
      <c r="E66" s="125"/>
      <c r="F66" s="125"/>
      <c r="G66" s="125"/>
      <c r="H66" s="125"/>
      <c r="I66" s="125"/>
      <c r="J66" s="125"/>
      <c r="K66" s="125"/>
      <c r="L66" s="125"/>
      <c r="M66" s="336"/>
    </row>
    <row r="67" spans="1:13" s="50" customFormat="1" ht="31.5">
      <c r="A67" s="331" t="s">
        <v>485</v>
      </c>
      <c r="B67" s="809"/>
      <c r="C67" s="810">
        <v>8017</v>
      </c>
      <c r="D67" s="817">
        <v>8017</v>
      </c>
      <c r="E67" s="125"/>
      <c r="F67" s="125"/>
      <c r="G67" s="125"/>
      <c r="H67" s="125"/>
      <c r="I67" s="125"/>
      <c r="J67" s="125"/>
      <c r="K67" s="125"/>
      <c r="L67" s="125"/>
      <c r="M67" s="336"/>
    </row>
    <row r="68" spans="1:13" s="50" customFormat="1" ht="30">
      <c r="A68" s="327" t="s">
        <v>683</v>
      </c>
      <c r="B68" s="809"/>
      <c r="C68" s="810">
        <v>96270</v>
      </c>
      <c r="D68" s="817">
        <v>96270</v>
      </c>
      <c r="E68" s="125"/>
      <c r="F68" s="125"/>
      <c r="G68" s="125"/>
      <c r="H68" s="125"/>
      <c r="I68" s="125"/>
      <c r="J68" s="125"/>
      <c r="K68" s="125"/>
      <c r="L68" s="125"/>
      <c r="M68" s="336"/>
    </row>
    <row r="69" spans="1:13" s="50" customFormat="1">
      <c r="A69" s="327"/>
      <c r="B69" s="809"/>
      <c r="C69" s="810"/>
      <c r="D69" s="811"/>
      <c r="E69" s="125"/>
      <c r="F69" s="125"/>
      <c r="G69" s="125"/>
      <c r="H69" s="125"/>
      <c r="I69" s="125"/>
      <c r="J69" s="125"/>
      <c r="K69" s="125"/>
      <c r="L69" s="125"/>
      <c r="M69" s="336"/>
    </row>
    <row r="70" spans="1:13">
      <c r="A70" s="343" t="s">
        <v>179</v>
      </c>
      <c r="B70" s="818">
        <f>B52</f>
        <v>113219</v>
      </c>
      <c r="C70" s="819">
        <f>C52+C64</f>
        <v>954882</v>
      </c>
      <c r="D70" s="820">
        <f>D52+D64</f>
        <v>818090</v>
      </c>
    </row>
    <row r="71" spans="1:13">
      <c r="A71" s="327"/>
      <c r="B71" s="809"/>
      <c r="C71" s="810"/>
      <c r="D71" s="811"/>
    </row>
    <row r="72" spans="1:13" s="53" customFormat="1" ht="30">
      <c r="A72" s="340" t="s">
        <v>176</v>
      </c>
      <c r="B72" s="814">
        <f>SUM(B73:B75)</f>
        <v>360</v>
      </c>
      <c r="C72" s="815">
        <f>SUM(C73:C75)</f>
        <v>360</v>
      </c>
      <c r="D72" s="1233">
        <f>SUM(D73:D75)</f>
        <v>360</v>
      </c>
      <c r="E72" s="126"/>
      <c r="F72" s="126"/>
      <c r="G72" s="126"/>
      <c r="H72" s="126"/>
      <c r="I72" s="126"/>
      <c r="J72" s="126"/>
      <c r="K72" s="126"/>
      <c r="L72" s="126"/>
      <c r="M72" s="337"/>
    </row>
    <row r="73" spans="1:13">
      <c r="A73" s="327" t="s">
        <v>482</v>
      </c>
      <c r="B73" s="809">
        <v>50</v>
      </c>
      <c r="C73" s="810">
        <v>50</v>
      </c>
      <c r="D73" s="817">
        <v>50</v>
      </c>
    </row>
    <row r="74" spans="1:13">
      <c r="A74" s="327" t="s">
        <v>480</v>
      </c>
      <c r="B74" s="809">
        <v>160</v>
      </c>
      <c r="C74" s="810">
        <v>160</v>
      </c>
      <c r="D74" s="817">
        <v>160</v>
      </c>
    </row>
    <row r="75" spans="1:13">
      <c r="A75" s="327" t="s">
        <v>483</v>
      </c>
      <c r="B75" s="809">
        <v>150</v>
      </c>
      <c r="C75" s="810">
        <v>150</v>
      </c>
      <c r="D75" s="817">
        <v>150</v>
      </c>
    </row>
    <row r="76" spans="1:13">
      <c r="A76" s="327"/>
      <c r="B76" s="809"/>
      <c r="C76" s="810"/>
      <c r="D76" s="811"/>
    </row>
    <row r="77" spans="1:13">
      <c r="A77" s="343" t="s">
        <v>180</v>
      </c>
      <c r="B77" s="818">
        <f>B72</f>
        <v>360</v>
      </c>
      <c r="C77" s="819">
        <f>C72</f>
        <v>360</v>
      </c>
      <c r="D77" s="820">
        <f>D72</f>
        <v>360</v>
      </c>
    </row>
    <row r="78" spans="1:13">
      <c r="A78" s="343"/>
      <c r="B78" s="818"/>
      <c r="C78" s="819"/>
      <c r="D78" s="820"/>
    </row>
    <row r="79" spans="1:13" ht="28.5">
      <c r="A79" s="343" t="s">
        <v>172</v>
      </c>
      <c r="B79" s="818">
        <f>B70+B77</f>
        <v>113579</v>
      </c>
      <c r="C79" s="819">
        <f>C70+C77</f>
        <v>955242</v>
      </c>
      <c r="D79" s="820">
        <f>D70+D77</f>
        <v>818450</v>
      </c>
    </row>
    <row r="80" spans="1:13" ht="15.75" thickBot="1">
      <c r="A80" s="345"/>
      <c r="B80" s="821"/>
      <c r="C80" s="822"/>
      <c r="D80" s="823"/>
    </row>
    <row r="81" spans="1:13" ht="29.25" thickBot="1">
      <c r="A81" s="156" t="s">
        <v>314</v>
      </c>
      <c r="B81" s="573">
        <f>B50+B79</f>
        <v>418521</v>
      </c>
      <c r="C81" s="585">
        <f>C50+C79</f>
        <v>1600129</v>
      </c>
      <c r="D81" s="240">
        <f>D50+D79</f>
        <v>1463484</v>
      </c>
    </row>
    <row r="82" spans="1:13">
      <c r="A82" s="185"/>
      <c r="B82" s="574"/>
      <c r="C82" s="583"/>
      <c r="D82" s="241"/>
    </row>
    <row r="83" spans="1:13">
      <c r="A83" s="154" t="s">
        <v>168</v>
      </c>
      <c r="B83" s="575"/>
      <c r="C83" s="586"/>
      <c r="D83" s="581"/>
    </row>
    <row r="84" spans="1:13">
      <c r="A84" s="151"/>
      <c r="B84" s="576"/>
      <c r="C84" s="461"/>
      <c r="D84" s="432"/>
    </row>
    <row r="85" spans="1:13" s="54" customFormat="1" ht="30">
      <c r="A85" s="155" t="s">
        <v>176</v>
      </c>
      <c r="B85" s="577">
        <f>B87</f>
        <v>250</v>
      </c>
      <c r="C85" s="584">
        <f>C87</f>
        <v>250</v>
      </c>
      <c r="D85" s="580">
        <f>D87</f>
        <v>250</v>
      </c>
      <c r="E85" s="124"/>
      <c r="F85" s="124"/>
      <c r="G85" s="124"/>
      <c r="H85" s="124"/>
      <c r="I85" s="124"/>
      <c r="J85" s="124"/>
      <c r="K85" s="124"/>
      <c r="L85" s="124"/>
      <c r="M85" s="335"/>
    </row>
    <row r="86" spans="1:13" s="54" customFormat="1">
      <c r="A86" s="155"/>
      <c r="B86" s="577"/>
      <c r="C86" s="584"/>
      <c r="D86" s="580"/>
      <c r="E86" s="124"/>
      <c r="F86" s="124"/>
      <c r="G86" s="124"/>
      <c r="H86" s="124"/>
      <c r="I86" s="124"/>
      <c r="J86" s="124"/>
      <c r="K86" s="124"/>
      <c r="L86" s="124"/>
      <c r="M86" s="335"/>
    </row>
    <row r="87" spans="1:13">
      <c r="A87" s="154" t="s">
        <v>118</v>
      </c>
      <c r="B87" s="578">
        <f>B88</f>
        <v>250</v>
      </c>
      <c r="C87" s="463">
        <f>C88</f>
        <v>250</v>
      </c>
      <c r="D87" s="433">
        <f>D88</f>
        <v>250</v>
      </c>
    </row>
    <row r="88" spans="1:13">
      <c r="A88" s="151" t="s">
        <v>490</v>
      </c>
      <c r="B88" s="576">
        <v>250</v>
      </c>
      <c r="C88" s="461">
        <v>250</v>
      </c>
      <c r="D88" s="432">
        <v>250</v>
      </c>
    </row>
    <row r="89" spans="1:13">
      <c r="A89" s="151"/>
      <c r="B89" s="576"/>
      <c r="C89" s="461"/>
      <c r="D89" s="432"/>
    </row>
    <row r="90" spans="1:13" ht="28.5">
      <c r="A90" s="160" t="s">
        <v>172</v>
      </c>
      <c r="B90" s="577">
        <f>B85</f>
        <v>250</v>
      </c>
      <c r="C90" s="584">
        <f>C85</f>
        <v>250</v>
      </c>
      <c r="D90" s="580">
        <f>D85</f>
        <v>250</v>
      </c>
    </row>
    <row r="91" spans="1:13">
      <c r="A91" s="151"/>
      <c r="B91" s="576"/>
      <c r="C91" s="461"/>
      <c r="D91" s="432"/>
    </row>
    <row r="92" spans="1:13" s="54" customFormat="1">
      <c r="A92" s="155" t="s">
        <v>173</v>
      </c>
      <c r="B92" s="577">
        <f>B99+B102+B106+B95</f>
        <v>88617</v>
      </c>
      <c r="C92" s="584">
        <f>C99+C102+C106+C94</f>
        <v>97080</v>
      </c>
      <c r="D92" s="580">
        <f>D99+D102+D106+D94</f>
        <v>103313</v>
      </c>
      <c r="E92" s="124"/>
      <c r="F92" s="124"/>
      <c r="G92" s="124"/>
      <c r="H92" s="124"/>
      <c r="I92" s="124"/>
      <c r="J92" s="124"/>
      <c r="K92" s="124"/>
      <c r="L92" s="124"/>
      <c r="M92" s="335"/>
    </row>
    <row r="93" spans="1:13" s="54" customFormat="1">
      <c r="A93" s="155"/>
      <c r="B93" s="577"/>
      <c r="C93" s="584"/>
      <c r="D93" s="580"/>
      <c r="E93" s="124"/>
      <c r="F93" s="124"/>
      <c r="G93" s="124"/>
      <c r="H93" s="124"/>
      <c r="I93" s="124"/>
      <c r="J93" s="124"/>
      <c r="K93" s="124"/>
      <c r="L93" s="124"/>
      <c r="M93" s="335"/>
    </row>
    <row r="94" spans="1:13" s="54" customFormat="1">
      <c r="A94" s="154" t="s">
        <v>118</v>
      </c>
      <c r="B94" s="577">
        <f>SUM(B95)</f>
        <v>33410</v>
      </c>
      <c r="C94" s="584">
        <f>SUM(C95:C96)</f>
        <v>35929</v>
      </c>
      <c r="D94" s="580">
        <f>SUM(D95:D97)</f>
        <v>41636</v>
      </c>
      <c r="E94" s="124"/>
      <c r="F94" s="124"/>
      <c r="G94" s="124"/>
      <c r="H94" s="124"/>
      <c r="I94" s="124"/>
      <c r="J94" s="124"/>
      <c r="K94" s="124"/>
      <c r="L94" s="124"/>
      <c r="M94" s="335"/>
    </row>
    <row r="95" spans="1:13" s="54" customFormat="1">
      <c r="A95" s="151" t="s">
        <v>503</v>
      </c>
      <c r="B95" s="577">
        <v>33410</v>
      </c>
      <c r="C95" s="584">
        <v>35782</v>
      </c>
      <c r="D95" s="580">
        <v>35782</v>
      </c>
      <c r="E95" s="124"/>
      <c r="F95" s="124"/>
      <c r="G95" s="124"/>
      <c r="H95" s="124"/>
      <c r="I95" s="124"/>
      <c r="J95" s="124"/>
      <c r="K95" s="124"/>
      <c r="L95" s="124"/>
      <c r="M95" s="335"/>
    </row>
    <row r="96" spans="1:13" s="54" customFormat="1">
      <c r="A96" s="813" t="s">
        <v>983</v>
      </c>
      <c r="B96" s="814"/>
      <c r="C96" s="815">
        <v>147</v>
      </c>
      <c r="D96" s="816">
        <v>5284</v>
      </c>
      <c r="E96" s="126"/>
      <c r="F96" s="124"/>
      <c r="G96" s="124"/>
      <c r="H96" s="124"/>
      <c r="I96" s="124"/>
      <c r="J96" s="124"/>
      <c r="K96" s="124"/>
      <c r="L96" s="124"/>
      <c r="M96" s="335"/>
    </row>
    <row r="97" spans="1:13" s="54" customFormat="1">
      <c r="A97" s="813" t="s">
        <v>984</v>
      </c>
      <c r="B97" s="814"/>
      <c r="C97" s="815"/>
      <c r="D97" s="816">
        <v>570</v>
      </c>
      <c r="E97" s="126"/>
      <c r="F97" s="124"/>
      <c r="G97" s="124"/>
      <c r="H97" s="124"/>
      <c r="I97" s="124"/>
      <c r="J97" s="124"/>
      <c r="K97" s="124"/>
      <c r="L97" s="124"/>
      <c r="M97" s="335"/>
    </row>
    <row r="98" spans="1:13" s="54" customFormat="1">
      <c r="A98" s="155"/>
      <c r="B98" s="577"/>
      <c r="C98" s="584"/>
      <c r="D98" s="580"/>
      <c r="E98" s="124"/>
      <c r="F98" s="124"/>
      <c r="G98" s="124"/>
      <c r="H98" s="124"/>
      <c r="I98" s="124"/>
      <c r="J98" s="124"/>
      <c r="K98" s="124"/>
      <c r="L98" s="124"/>
      <c r="M98" s="335"/>
    </row>
    <row r="99" spans="1:13">
      <c r="A99" s="154" t="s">
        <v>121</v>
      </c>
      <c r="B99" s="578">
        <f>SUM(B100:B100)</f>
        <v>15297</v>
      </c>
      <c r="C99" s="463">
        <f>SUM(C100:C100)</f>
        <v>21241</v>
      </c>
      <c r="D99" s="433">
        <f>SUM(D100:D100)</f>
        <v>21241</v>
      </c>
    </row>
    <row r="100" spans="1:13">
      <c r="A100" s="151" t="s">
        <v>491</v>
      </c>
      <c r="B100" s="576">
        <v>15297</v>
      </c>
      <c r="C100" s="461">
        <v>21241</v>
      </c>
      <c r="D100" s="432">
        <v>21241</v>
      </c>
    </row>
    <row r="101" spans="1:13">
      <c r="A101" s="151"/>
      <c r="B101" s="576"/>
      <c r="C101" s="461"/>
      <c r="D101" s="432"/>
    </row>
    <row r="102" spans="1:13" s="50" customFormat="1" ht="14.25">
      <c r="A102" s="154" t="s">
        <v>122</v>
      </c>
      <c r="B102" s="578">
        <f>SUM(B103:B103)</f>
        <v>13890</v>
      </c>
      <c r="C102" s="463">
        <f>SUM(C103:C103)</f>
        <v>13890</v>
      </c>
      <c r="D102" s="433">
        <f>SUM(D103:D104)</f>
        <v>14416</v>
      </c>
      <c r="E102" s="125"/>
      <c r="F102" s="125"/>
      <c r="G102" s="125"/>
      <c r="H102" s="125"/>
      <c r="I102" s="125"/>
      <c r="J102" s="125"/>
      <c r="K102" s="125"/>
      <c r="L102" s="125"/>
      <c r="M102" s="336"/>
    </row>
    <row r="103" spans="1:13" s="50" customFormat="1">
      <c r="A103" s="151" t="s">
        <v>492</v>
      </c>
      <c r="B103" s="576">
        <v>13890</v>
      </c>
      <c r="C103" s="461">
        <v>13890</v>
      </c>
      <c r="D103" s="432">
        <v>13890</v>
      </c>
      <c r="E103" s="125"/>
      <c r="F103" s="125"/>
      <c r="G103" s="125"/>
      <c r="H103" s="125"/>
      <c r="I103" s="125"/>
      <c r="J103" s="125"/>
      <c r="K103" s="125"/>
      <c r="L103" s="125"/>
      <c r="M103" s="336"/>
    </row>
    <row r="104" spans="1:13" s="50" customFormat="1">
      <c r="A104" s="813" t="s">
        <v>984</v>
      </c>
      <c r="B104" s="809"/>
      <c r="C104" s="810"/>
      <c r="D104" s="811">
        <v>526</v>
      </c>
      <c r="E104" s="125"/>
      <c r="F104" s="125"/>
      <c r="G104" s="125"/>
      <c r="H104" s="125"/>
      <c r="I104" s="125"/>
      <c r="J104" s="125"/>
      <c r="K104" s="125"/>
      <c r="L104" s="125"/>
      <c r="M104" s="336"/>
    </row>
    <row r="105" spans="1:13">
      <c r="A105" s="151"/>
      <c r="B105" s="576"/>
      <c r="C105" s="461"/>
      <c r="D105" s="432"/>
    </row>
    <row r="106" spans="1:13">
      <c r="A106" s="154" t="s">
        <v>120</v>
      </c>
      <c r="B106" s="578">
        <f>SUM(B107:B107)</f>
        <v>26020</v>
      </c>
      <c r="C106" s="463">
        <f>SUM(C107:C107)</f>
        <v>26020</v>
      </c>
      <c r="D106" s="433">
        <f>SUM(D107:D107)</f>
        <v>26020</v>
      </c>
    </row>
    <row r="107" spans="1:13">
      <c r="A107" s="151" t="s">
        <v>493</v>
      </c>
      <c r="B107" s="576">
        <v>26020</v>
      </c>
      <c r="C107" s="461">
        <v>26020</v>
      </c>
      <c r="D107" s="432">
        <v>26020</v>
      </c>
    </row>
    <row r="108" spans="1:13" s="53" customFormat="1">
      <c r="A108" s="151"/>
      <c r="B108" s="576"/>
      <c r="C108" s="461"/>
      <c r="D108" s="432"/>
      <c r="E108" s="126"/>
      <c r="F108" s="126"/>
      <c r="G108" s="126"/>
      <c r="H108" s="126"/>
      <c r="I108" s="126"/>
      <c r="J108" s="126"/>
      <c r="K108" s="126"/>
      <c r="L108" s="126"/>
      <c r="M108" s="337"/>
    </row>
    <row r="109" spans="1:13" ht="28.5">
      <c r="A109" s="160" t="s">
        <v>171</v>
      </c>
      <c r="B109" s="577">
        <f>B92</f>
        <v>88617</v>
      </c>
      <c r="C109" s="584">
        <f>C92</f>
        <v>97080</v>
      </c>
      <c r="D109" s="580">
        <f>D92</f>
        <v>103313</v>
      </c>
    </row>
    <row r="110" spans="1:13" ht="15.75" thickBot="1">
      <c r="A110" s="184"/>
      <c r="B110" s="579"/>
      <c r="C110" s="587"/>
      <c r="D110" s="435"/>
    </row>
    <row r="111" spans="1:13" ht="29.25" thickBot="1">
      <c r="A111" s="156" t="s">
        <v>313</v>
      </c>
      <c r="B111" s="573">
        <f>B90+B109</f>
        <v>88867</v>
      </c>
      <c r="C111" s="489">
        <f>C90+C109</f>
        <v>97330</v>
      </c>
      <c r="D111" s="242">
        <f>D90+D109</f>
        <v>103563</v>
      </c>
    </row>
    <row r="114" spans="1:1">
      <c r="A114" s="119"/>
    </row>
    <row r="115" spans="1:1">
      <c r="A115" s="119"/>
    </row>
  </sheetData>
  <mergeCells count="1">
    <mergeCell ref="A1:D2"/>
  </mergeCells>
  <pageMargins left="0.43" right="0.25" top="0.75" bottom="0.75" header="0.3" footer="0.3"/>
  <pageSetup paperSize="9" scale="73" fitToHeight="2" orientation="portrait" r:id="rId1"/>
  <headerFooter>
    <oddHeader>&amp;L&amp;"Times New Roman,Normál"&amp;8 11. melléklet a 31/2020.(XII.2.) Tata Város Önkormányzat Polgármesterének rendeletéhez</oddHeader>
    <oddFooter>&amp;L&amp;8 24/2019.(XII.19.)önk.rend. Hatályos:2020.01.01.
17/2020.(VII.9.)önk.rend. Hatályos:2020.07.10.
22/2020.(VIII.6.)önk.rend. Hatályos:2020.08.10.</oddFooter>
  </headerFooter>
  <rowBreaks count="1" manualBreakCount="1">
    <brk id="55" max="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4"/>
  <sheetViews>
    <sheetView view="pageLayout" zoomScale="130" zoomScaleNormal="100" zoomScalePageLayoutView="130" workbookViewId="0">
      <selection activeCell="C21" sqref="C21"/>
    </sheetView>
  </sheetViews>
  <sheetFormatPr defaultRowHeight="15"/>
  <cols>
    <col min="1" max="1" width="54.28515625" style="34" bestFit="1" customWidth="1"/>
    <col min="2" max="2" width="17.5703125" style="34" bestFit="1" customWidth="1"/>
    <col min="3" max="4" width="17.5703125" style="176" bestFit="1" customWidth="1"/>
    <col min="5" max="16384" width="9.140625" style="34"/>
  </cols>
  <sheetData>
    <row r="1" spans="1:4" ht="15" customHeight="1">
      <c r="A1" s="2280" t="s">
        <v>181</v>
      </c>
      <c r="B1" s="2280"/>
      <c r="C1" s="2280"/>
      <c r="D1" s="34"/>
    </row>
    <row r="2" spans="1:4" ht="15.75" thickBot="1">
      <c r="A2" s="18"/>
      <c r="B2" s="17"/>
      <c r="C2" s="181"/>
      <c r="D2" s="181"/>
    </row>
    <row r="3" spans="1:4" ht="29.25" customHeight="1" thickBot="1">
      <c r="A3" s="2232" t="s">
        <v>182</v>
      </c>
      <c r="B3" s="2285" t="s">
        <v>183</v>
      </c>
      <c r="C3" s="2286"/>
      <c r="D3" s="2287"/>
    </row>
    <row r="4" spans="1:4" ht="15.75" thickBot="1">
      <c r="A4" s="2282"/>
      <c r="B4" s="549" t="s">
        <v>3</v>
      </c>
      <c r="C4" s="548" t="s">
        <v>960</v>
      </c>
      <c r="D4" s="1401" t="s">
        <v>972</v>
      </c>
    </row>
    <row r="5" spans="1:4">
      <c r="A5" s="422" t="s">
        <v>184</v>
      </c>
      <c r="B5" s="550">
        <v>22</v>
      </c>
      <c r="C5" s="556">
        <v>22</v>
      </c>
      <c r="D5" s="804">
        <v>22</v>
      </c>
    </row>
    <row r="6" spans="1:4">
      <c r="A6" s="423" t="s">
        <v>130</v>
      </c>
      <c r="B6" s="551">
        <v>18.75</v>
      </c>
      <c r="C6" s="557">
        <v>18.75</v>
      </c>
      <c r="D6" s="805">
        <v>18.75</v>
      </c>
    </row>
    <row r="7" spans="1:4">
      <c r="A7" s="423" t="s">
        <v>185</v>
      </c>
      <c r="B7" s="551">
        <v>3.5</v>
      </c>
      <c r="C7" s="557">
        <v>3.5</v>
      </c>
      <c r="D7" s="805">
        <v>3.5</v>
      </c>
    </row>
    <row r="8" spans="1:4">
      <c r="A8" s="424" t="s">
        <v>186</v>
      </c>
      <c r="B8" s="552">
        <f>SUM(B6:B7)</f>
        <v>22.25</v>
      </c>
      <c r="C8" s="558">
        <f>SUM(C6:C7)</f>
        <v>22.25</v>
      </c>
      <c r="D8" s="806">
        <f>SUM(D6:D7)</f>
        <v>22.25</v>
      </c>
    </row>
    <row r="9" spans="1:4">
      <c r="A9" s="423" t="s">
        <v>187</v>
      </c>
      <c r="B9" s="551">
        <v>24</v>
      </c>
      <c r="C9" s="557">
        <v>24</v>
      </c>
      <c r="D9" s="805">
        <v>24</v>
      </c>
    </row>
    <row r="10" spans="1:4">
      <c r="A10" s="423" t="s">
        <v>132</v>
      </c>
      <c r="B10" s="551">
        <v>13</v>
      </c>
      <c r="C10" s="557">
        <v>13</v>
      </c>
      <c r="D10" s="805">
        <v>13</v>
      </c>
    </row>
    <row r="11" spans="1:4">
      <c r="A11" s="423" t="s">
        <v>188</v>
      </c>
      <c r="B11" s="551">
        <v>23</v>
      </c>
      <c r="C11" s="557">
        <v>23</v>
      </c>
      <c r="D11" s="805">
        <v>23</v>
      </c>
    </row>
    <row r="12" spans="1:4">
      <c r="A12" s="423" t="s">
        <v>189</v>
      </c>
      <c r="B12" s="551">
        <v>7</v>
      </c>
      <c r="C12" s="557">
        <v>7</v>
      </c>
      <c r="D12" s="805">
        <v>7</v>
      </c>
    </row>
    <row r="13" spans="1:4">
      <c r="A13" s="424" t="s">
        <v>190</v>
      </c>
      <c r="B13" s="552">
        <f>SUM(B11:B12)</f>
        <v>30</v>
      </c>
      <c r="C13" s="558">
        <f>SUM(C11:C12)</f>
        <v>30</v>
      </c>
      <c r="D13" s="806">
        <f>SUM(D11:D12)</f>
        <v>30</v>
      </c>
    </row>
    <row r="14" spans="1:4">
      <c r="A14" s="424" t="s">
        <v>191</v>
      </c>
      <c r="B14" s="552">
        <f>B5+B8+B9+B10+B13</f>
        <v>111.25</v>
      </c>
      <c r="C14" s="558">
        <f>C5+C8+C9+C10+C13</f>
        <v>111.25</v>
      </c>
      <c r="D14" s="545">
        <f>D5+D8+D9+D10+D13</f>
        <v>111.25</v>
      </c>
    </row>
    <row r="15" spans="1:4">
      <c r="A15" s="423" t="s">
        <v>192</v>
      </c>
      <c r="B15" s="551">
        <v>40.5</v>
      </c>
      <c r="C15" s="557">
        <v>40.5</v>
      </c>
      <c r="D15" s="805">
        <v>40.5</v>
      </c>
    </row>
    <row r="16" spans="1:4">
      <c r="A16" s="423" t="s">
        <v>193</v>
      </c>
      <c r="B16" s="551">
        <v>9.75</v>
      </c>
      <c r="C16" s="557">
        <v>9.75</v>
      </c>
      <c r="D16" s="805">
        <v>9.75</v>
      </c>
    </row>
    <row r="17" spans="1:4">
      <c r="A17" s="423" t="s">
        <v>148</v>
      </c>
      <c r="B17" s="551">
        <v>15.5</v>
      </c>
      <c r="C17" s="557">
        <v>15.5</v>
      </c>
      <c r="D17" s="805">
        <v>15.5</v>
      </c>
    </row>
    <row r="18" spans="1:4">
      <c r="A18" s="423" t="s">
        <v>194</v>
      </c>
      <c r="B18" s="551">
        <v>10</v>
      </c>
      <c r="C18" s="557">
        <v>10</v>
      </c>
      <c r="D18" s="805">
        <v>10</v>
      </c>
    </row>
    <row r="19" spans="1:4">
      <c r="A19" s="425" t="s">
        <v>195</v>
      </c>
      <c r="B19" s="551">
        <v>44</v>
      </c>
      <c r="C19" s="557">
        <v>44</v>
      </c>
      <c r="D19" s="805">
        <v>46</v>
      </c>
    </row>
    <row r="20" spans="1:4">
      <c r="A20" s="426" t="s">
        <v>197</v>
      </c>
      <c r="B20" s="553">
        <f>SUM(B14:B19)</f>
        <v>231</v>
      </c>
      <c r="C20" s="559">
        <f>SUM(C14:C19)</f>
        <v>231</v>
      </c>
      <c r="D20" s="546">
        <f>SUM(D14:D19)</f>
        <v>233</v>
      </c>
    </row>
    <row r="21" spans="1:4">
      <c r="A21" s="423"/>
      <c r="B21" s="551"/>
      <c r="C21" s="557"/>
      <c r="D21" s="544"/>
    </row>
    <row r="22" spans="1:4">
      <c r="A22" s="426" t="s">
        <v>67</v>
      </c>
      <c r="B22" s="551"/>
      <c r="C22" s="557"/>
      <c r="D22" s="544"/>
    </row>
    <row r="23" spans="1:4">
      <c r="A23" s="423" t="s">
        <v>200</v>
      </c>
      <c r="B23" s="554">
        <v>87</v>
      </c>
      <c r="C23" s="560">
        <v>87</v>
      </c>
      <c r="D23" s="807">
        <v>87</v>
      </c>
    </row>
    <row r="24" spans="1:4">
      <c r="A24" s="427" t="s">
        <v>199</v>
      </c>
      <c r="B24" s="551">
        <v>5</v>
      </c>
      <c r="C24" s="557">
        <v>5</v>
      </c>
      <c r="D24" s="805">
        <v>5</v>
      </c>
    </row>
    <row r="25" spans="1:4">
      <c r="A25" s="423" t="s">
        <v>198</v>
      </c>
      <c r="B25" s="551">
        <v>3</v>
      </c>
      <c r="C25" s="557">
        <v>3</v>
      </c>
      <c r="D25" s="805">
        <v>3</v>
      </c>
    </row>
    <row r="26" spans="1:4">
      <c r="A26" s="423" t="s">
        <v>201</v>
      </c>
      <c r="B26" s="551">
        <v>6</v>
      </c>
      <c r="C26" s="557">
        <v>6</v>
      </c>
      <c r="D26" s="805">
        <v>6</v>
      </c>
    </row>
    <row r="27" spans="1:4">
      <c r="A27" s="426" t="s">
        <v>202</v>
      </c>
      <c r="B27" s="553">
        <f>SUM(B23:B26)</f>
        <v>101</v>
      </c>
      <c r="C27" s="559">
        <f>SUM(C23:C26)</f>
        <v>101</v>
      </c>
      <c r="D27" s="546">
        <f>SUM(D23:D26)</f>
        <v>101</v>
      </c>
    </row>
    <row r="28" spans="1:4">
      <c r="A28" s="426"/>
      <c r="B28" s="551"/>
      <c r="C28" s="557"/>
      <c r="D28" s="544"/>
    </row>
    <row r="29" spans="1:4">
      <c r="A29" s="426" t="s">
        <v>776</v>
      </c>
      <c r="B29" s="553">
        <v>3</v>
      </c>
      <c r="C29" s="559">
        <v>3</v>
      </c>
      <c r="D29" s="808">
        <v>3</v>
      </c>
    </row>
    <row r="30" spans="1:4">
      <c r="A30" s="428" t="s">
        <v>511</v>
      </c>
      <c r="B30" s="553">
        <v>12</v>
      </c>
      <c r="C30" s="559">
        <v>12</v>
      </c>
      <c r="D30" s="808">
        <v>12</v>
      </c>
    </row>
    <row r="31" spans="1:4" ht="15.75" thickBot="1">
      <c r="A31" s="428"/>
      <c r="B31" s="555"/>
      <c r="C31" s="561"/>
      <c r="D31" s="547"/>
    </row>
    <row r="32" spans="1:4" ht="15.75" thickBot="1">
      <c r="A32" s="166" t="s">
        <v>61</v>
      </c>
      <c r="B32" s="562">
        <f>B20+B27+B29+B30</f>
        <v>347</v>
      </c>
      <c r="C32" s="563">
        <f>C20+C27+C29+C30</f>
        <v>347</v>
      </c>
      <c r="D32" s="430">
        <f>D20+D27+D29+D30</f>
        <v>349</v>
      </c>
    </row>
    <row r="33" spans="1:4">
      <c r="A33" s="56"/>
      <c r="B33" s="57"/>
      <c r="C33" s="429"/>
      <c r="D33" s="429"/>
    </row>
    <row r="34" spans="1:4">
      <c r="A34" s="58"/>
      <c r="B34" s="17"/>
      <c r="C34" s="181"/>
      <c r="D34" s="181"/>
    </row>
    <row r="35" spans="1:4">
      <c r="A35" s="2291" t="s">
        <v>203</v>
      </c>
      <c r="B35" s="2291"/>
      <c r="C35" s="2291"/>
      <c r="D35" s="2291"/>
    </row>
    <row r="36" spans="1:4" ht="15.75" thickBot="1">
      <c r="A36" s="17"/>
      <c r="B36" s="17"/>
      <c r="C36" s="181"/>
      <c r="D36" s="181"/>
    </row>
    <row r="37" spans="1:4">
      <c r="A37" s="2283" t="s">
        <v>2</v>
      </c>
      <c r="B37" s="2288" t="s">
        <v>204</v>
      </c>
      <c r="C37" s="2289"/>
      <c r="D37" s="2290"/>
    </row>
    <row r="38" spans="1:4" ht="15.75" thickBot="1">
      <c r="A38" s="2284"/>
      <c r="B38" s="566" t="s">
        <v>3</v>
      </c>
      <c r="C38" s="569" t="s">
        <v>960</v>
      </c>
      <c r="D38" s="1402" t="s">
        <v>972</v>
      </c>
    </row>
    <row r="39" spans="1:4" ht="15.75" thickBot="1">
      <c r="A39" s="167" t="s">
        <v>196</v>
      </c>
      <c r="B39" s="567">
        <v>35</v>
      </c>
      <c r="C39" s="570">
        <v>35</v>
      </c>
      <c r="D39" s="564">
        <v>35</v>
      </c>
    </row>
    <row r="40" spans="1:4" ht="15.75" thickBot="1">
      <c r="A40" s="168" t="s">
        <v>68</v>
      </c>
      <c r="B40" s="568">
        <f>B39</f>
        <v>35</v>
      </c>
      <c r="C40" s="571">
        <f>C39</f>
        <v>35</v>
      </c>
      <c r="D40" s="565">
        <f>D39</f>
        <v>35</v>
      </c>
    </row>
    <row r="43" spans="1:4">
      <c r="A43" s="119"/>
    </row>
    <row r="44" spans="1:4">
      <c r="A44" s="119"/>
    </row>
  </sheetData>
  <mergeCells count="6">
    <mergeCell ref="A3:A4"/>
    <mergeCell ref="A37:A38"/>
    <mergeCell ref="A1:C1"/>
    <mergeCell ref="B3:D3"/>
    <mergeCell ref="B37:D37"/>
    <mergeCell ref="A35:D3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Header>&amp;L&amp;"Times New Roman,Normál"&amp;8 12.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view="pageLayout" zoomScale="118" zoomScaleNormal="100" zoomScalePageLayoutView="118" workbookViewId="0">
      <selection sqref="A1:M1"/>
    </sheetView>
  </sheetViews>
  <sheetFormatPr defaultRowHeight="15"/>
  <cols>
    <col min="1" max="1" width="4.7109375" style="209" customWidth="1"/>
    <col min="2" max="2" width="11.28515625" style="209" customWidth="1"/>
    <col min="3" max="5" width="12.7109375" style="209" customWidth="1"/>
    <col min="6" max="8" width="12.7109375" style="223" customWidth="1"/>
    <col min="9" max="12" width="12.7109375" style="209" customWidth="1"/>
    <col min="13" max="14" width="12.5703125" style="209" customWidth="1"/>
    <col min="15" max="16384" width="9.140625" style="209"/>
  </cols>
  <sheetData>
    <row r="1" spans="1:14">
      <c r="A1" s="2294" t="s">
        <v>453</v>
      </c>
      <c r="B1" s="2294"/>
      <c r="C1" s="2294"/>
      <c r="D1" s="2294"/>
      <c r="E1" s="2294"/>
      <c r="F1" s="2294"/>
      <c r="G1" s="2294"/>
      <c r="H1" s="2294"/>
      <c r="I1" s="2294"/>
      <c r="J1" s="2294"/>
      <c r="K1" s="2294"/>
      <c r="L1" s="2294"/>
      <c r="M1" s="2294"/>
    </row>
    <row r="2" spans="1:14">
      <c r="A2" s="2294" t="s">
        <v>932</v>
      </c>
      <c r="B2" s="2294"/>
      <c r="C2" s="2294"/>
      <c r="D2" s="2294"/>
      <c r="E2" s="2294"/>
      <c r="F2" s="2294"/>
      <c r="G2" s="2294"/>
      <c r="H2" s="2294"/>
      <c r="I2" s="2294"/>
      <c r="J2" s="2294"/>
      <c r="K2" s="2294"/>
      <c r="L2" s="2294"/>
      <c r="M2" s="2294"/>
    </row>
    <row r="3" spans="1:14" ht="15.75" thickBot="1">
      <c r="A3" s="2295"/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</row>
    <row r="4" spans="1:14" ht="28.5" customHeight="1">
      <c r="A4" s="2314" t="s">
        <v>2</v>
      </c>
      <c r="B4" s="2315"/>
      <c r="C4" s="2308" t="s">
        <v>549</v>
      </c>
      <c r="D4" s="2309"/>
      <c r="E4" s="2310"/>
      <c r="F4" s="2306" t="s">
        <v>550</v>
      </c>
      <c r="G4" s="2306"/>
      <c r="H4" s="2306"/>
      <c r="I4" s="2302" t="s">
        <v>738</v>
      </c>
      <c r="J4" s="2297"/>
      <c r="K4" s="2298"/>
      <c r="L4" s="2296" t="s">
        <v>61</v>
      </c>
      <c r="M4" s="2297"/>
      <c r="N4" s="2298"/>
    </row>
    <row r="5" spans="1:14" ht="37.5" customHeight="1">
      <c r="A5" s="2316"/>
      <c r="B5" s="2317"/>
      <c r="C5" s="2311" t="s">
        <v>739</v>
      </c>
      <c r="D5" s="2312"/>
      <c r="E5" s="2313"/>
      <c r="F5" s="2307" t="s">
        <v>740</v>
      </c>
      <c r="G5" s="2307"/>
      <c r="H5" s="2307"/>
      <c r="I5" s="2303" t="s">
        <v>566</v>
      </c>
      <c r="J5" s="2304"/>
      <c r="K5" s="2305"/>
      <c r="L5" s="2299"/>
      <c r="M5" s="2300"/>
      <c r="N5" s="2301"/>
    </row>
    <row r="6" spans="1:14" s="453" customFormat="1" ht="29.25" thickBot="1">
      <c r="A6" s="2318"/>
      <c r="B6" s="2319"/>
      <c r="C6" s="2005" t="s">
        <v>4</v>
      </c>
      <c r="D6" s="1992" t="s">
        <v>960</v>
      </c>
      <c r="E6" s="2006" t="s">
        <v>972</v>
      </c>
      <c r="F6" s="1999" t="s">
        <v>4</v>
      </c>
      <c r="G6" s="1992" t="s">
        <v>960</v>
      </c>
      <c r="H6" s="1993" t="s">
        <v>972</v>
      </c>
      <c r="I6" s="2005" t="s">
        <v>3</v>
      </c>
      <c r="J6" s="1992" t="s">
        <v>960</v>
      </c>
      <c r="K6" s="2006" t="s">
        <v>972</v>
      </c>
      <c r="L6" s="2021" t="s">
        <v>4</v>
      </c>
      <c r="M6" s="1994" t="s">
        <v>960</v>
      </c>
      <c r="N6" s="1995" t="s">
        <v>972</v>
      </c>
    </row>
    <row r="7" spans="1:14" s="211" customFormat="1">
      <c r="A7" s="2292" t="s">
        <v>207</v>
      </c>
      <c r="B7" s="2293"/>
      <c r="C7" s="2007">
        <v>35030</v>
      </c>
      <c r="D7" s="1989">
        <v>35050</v>
      </c>
      <c r="E7" s="2008"/>
      <c r="F7" s="2000">
        <v>393783</v>
      </c>
      <c r="G7" s="1989">
        <v>393783</v>
      </c>
      <c r="H7" s="2015">
        <v>393783</v>
      </c>
      <c r="I7" s="2007">
        <v>543251</v>
      </c>
      <c r="J7" s="1989">
        <v>543251</v>
      </c>
      <c r="K7" s="2008">
        <v>531104</v>
      </c>
      <c r="L7" s="2022">
        <f t="shared" ref="L7:L27" si="0">C7+F7+I7</f>
        <v>972064</v>
      </c>
      <c r="M7" s="1990">
        <f t="shared" ref="M7:M27" si="1">D7+G7+J7</f>
        <v>972084</v>
      </c>
      <c r="N7" s="1991">
        <f t="shared" ref="N7:N27" si="2">E7+H7+K7</f>
        <v>924887</v>
      </c>
    </row>
    <row r="8" spans="1:14">
      <c r="A8" s="1982"/>
      <c r="B8" s="1996" t="s">
        <v>205</v>
      </c>
      <c r="C8" s="2009">
        <v>35030</v>
      </c>
      <c r="D8" s="212">
        <v>35050</v>
      </c>
      <c r="E8" s="2010">
        <v>35050</v>
      </c>
      <c r="F8" s="2001">
        <v>71519</v>
      </c>
      <c r="G8" s="212">
        <v>71519</v>
      </c>
      <c r="H8" s="2016">
        <v>107279</v>
      </c>
      <c r="I8" s="2009">
        <v>0</v>
      </c>
      <c r="J8" s="212">
        <v>0</v>
      </c>
      <c r="K8" s="2010">
        <v>0</v>
      </c>
      <c r="L8" s="2023">
        <f t="shared" si="0"/>
        <v>106549</v>
      </c>
      <c r="M8" s="1980">
        <f t="shared" si="1"/>
        <v>106569</v>
      </c>
      <c r="N8" s="1981">
        <f t="shared" si="2"/>
        <v>142329</v>
      </c>
    </row>
    <row r="9" spans="1:14">
      <c r="A9" s="1982"/>
      <c r="B9" s="1996" t="s">
        <v>206</v>
      </c>
      <c r="C9" s="2009">
        <v>254</v>
      </c>
      <c r="D9" s="212">
        <v>254</v>
      </c>
      <c r="E9" s="2010">
        <v>254</v>
      </c>
      <c r="F9" s="2001">
        <v>4039</v>
      </c>
      <c r="G9" s="212">
        <v>4039</v>
      </c>
      <c r="H9" s="2016">
        <v>4039</v>
      </c>
      <c r="I9" s="2009">
        <v>8561</v>
      </c>
      <c r="J9" s="212">
        <v>8561</v>
      </c>
      <c r="K9" s="2010">
        <v>8561</v>
      </c>
      <c r="L9" s="2023">
        <f t="shared" si="0"/>
        <v>12854</v>
      </c>
      <c r="M9" s="1980">
        <f t="shared" si="1"/>
        <v>12854</v>
      </c>
      <c r="N9" s="1981">
        <f t="shared" si="2"/>
        <v>12854</v>
      </c>
    </row>
    <row r="10" spans="1:14" s="211" customFormat="1">
      <c r="A10" s="2320" t="s">
        <v>208</v>
      </c>
      <c r="B10" s="2321"/>
      <c r="C10" s="2011"/>
      <c r="D10" s="210"/>
      <c r="E10" s="2012"/>
      <c r="F10" s="2002">
        <f>F7-F8</f>
        <v>322264</v>
      </c>
      <c r="G10" s="210">
        <f>G7-G8</f>
        <v>322264</v>
      </c>
      <c r="H10" s="2017">
        <f>H7-H8</f>
        <v>286504</v>
      </c>
      <c r="I10" s="2011">
        <v>543251</v>
      </c>
      <c r="J10" s="210">
        <v>543251</v>
      </c>
      <c r="K10" s="2012">
        <f>K7-K8</f>
        <v>531104</v>
      </c>
      <c r="L10" s="2023">
        <f t="shared" si="0"/>
        <v>865515</v>
      </c>
      <c r="M10" s="1980">
        <f t="shared" si="1"/>
        <v>865515</v>
      </c>
      <c r="N10" s="1981">
        <f t="shared" si="2"/>
        <v>817608</v>
      </c>
    </row>
    <row r="11" spans="1:14">
      <c r="A11" s="1982"/>
      <c r="B11" s="1996" t="s">
        <v>205</v>
      </c>
      <c r="C11" s="2009"/>
      <c r="D11" s="212"/>
      <c r="E11" s="2010"/>
      <c r="F11" s="2001">
        <v>71519</v>
      </c>
      <c r="G11" s="212">
        <v>71519</v>
      </c>
      <c r="H11" s="2016">
        <v>71519</v>
      </c>
      <c r="I11" s="2009">
        <v>0</v>
      </c>
      <c r="J11" s="212">
        <v>0</v>
      </c>
      <c r="K11" s="2010">
        <v>0</v>
      </c>
      <c r="L11" s="2023">
        <f t="shared" si="0"/>
        <v>71519</v>
      </c>
      <c r="M11" s="1980">
        <f t="shared" si="1"/>
        <v>71519</v>
      </c>
      <c r="N11" s="1981">
        <f t="shared" si="2"/>
        <v>71519</v>
      </c>
    </row>
    <row r="12" spans="1:14">
      <c r="A12" s="1982"/>
      <c r="B12" s="1996" t="s">
        <v>206</v>
      </c>
      <c r="C12" s="2009"/>
      <c r="D12" s="212"/>
      <c r="E12" s="2010"/>
      <c r="F12" s="2001">
        <v>3232</v>
      </c>
      <c r="G12" s="212">
        <v>3232</v>
      </c>
      <c r="H12" s="2016">
        <v>3232</v>
      </c>
      <c r="I12" s="2009">
        <v>8537</v>
      </c>
      <c r="J12" s="212">
        <v>8537</v>
      </c>
      <c r="K12" s="2010">
        <v>8537</v>
      </c>
      <c r="L12" s="2023">
        <f t="shared" si="0"/>
        <v>11769</v>
      </c>
      <c r="M12" s="1980">
        <f t="shared" si="1"/>
        <v>11769</v>
      </c>
      <c r="N12" s="1981">
        <f t="shared" si="2"/>
        <v>11769</v>
      </c>
    </row>
    <row r="13" spans="1:14" s="211" customFormat="1">
      <c r="A13" s="2320" t="s">
        <v>209</v>
      </c>
      <c r="B13" s="2321"/>
      <c r="C13" s="2011"/>
      <c r="D13" s="210"/>
      <c r="E13" s="2012"/>
      <c r="F13" s="2002">
        <f>F10-F11</f>
        <v>250745</v>
      </c>
      <c r="G13" s="210">
        <f>G10-G11</f>
        <v>250745</v>
      </c>
      <c r="H13" s="2017">
        <f>H10-H11</f>
        <v>214985</v>
      </c>
      <c r="I13" s="2011">
        <v>543251</v>
      </c>
      <c r="J13" s="210">
        <v>543251</v>
      </c>
      <c r="K13" s="2012">
        <f>K10-K11</f>
        <v>531104</v>
      </c>
      <c r="L13" s="2023">
        <f t="shared" si="0"/>
        <v>793996</v>
      </c>
      <c r="M13" s="1980">
        <f t="shared" si="1"/>
        <v>793996</v>
      </c>
      <c r="N13" s="1981">
        <f t="shared" si="2"/>
        <v>746089</v>
      </c>
    </row>
    <row r="14" spans="1:14">
      <c r="A14" s="1982"/>
      <c r="B14" s="1996" t="s">
        <v>205</v>
      </c>
      <c r="C14" s="2009"/>
      <c r="D14" s="212"/>
      <c r="E14" s="2010"/>
      <c r="F14" s="2001">
        <v>71519</v>
      </c>
      <c r="G14" s="212">
        <v>71519</v>
      </c>
      <c r="H14" s="2016">
        <v>71519</v>
      </c>
      <c r="I14" s="2009">
        <v>108650</v>
      </c>
      <c r="J14" s="212">
        <v>108650</v>
      </c>
      <c r="K14" s="2010">
        <v>108650</v>
      </c>
      <c r="L14" s="2023">
        <f t="shared" si="0"/>
        <v>180169</v>
      </c>
      <c r="M14" s="1980">
        <f t="shared" si="1"/>
        <v>180169</v>
      </c>
      <c r="N14" s="1981">
        <f t="shared" si="2"/>
        <v>180169</v>
      </c>
    </row>
    <row r="15" spans="1:14">
      <c r="A15" s="1982"/>
      <c r="B15" s="1996" t="s">
        <v>206</v>
      </c>
      <c r="C15" s="2009"/>
      <c r="D15" s="212"/>
      <c r="E15" s="2010"/>
      <c r="F15" s="2001">
        <v>2425</v>
      </c>
      <c r="G15" s="212">
        <v>2425</v>
      </c>
      <c r="H15" s="2016">
        <v>2425</v>
      </c>
      <c r="I15" s="2009">
        <v>7893</v>
      </c>
      <c r="J15" s="212">
        <v>7893</v>
      </c>
      <c r="K15" s="2010">
        <v>7893</v>
      </c>
      <c r="L15" s="2023">
        <f t="shared" si="0"/>
        <v>10318</v>
      </c>
      <c r="M15" s="1980">
        <f t="shared" si="1"/>
        <v>10318</v>
      </c>
      <c r="N15" s="1981">
        <f t="shared" si="2"/>
        <v>10318</v>
      </c>
    </row>
    <row r="16" spans="1:14" s="211" customFormat="1">
      <c r="A16" s="2320" t="s">
        <v>210</v>
      </c>
      <c r="B16" s="2321"/>
      <c r="C16" s="2011"/>
      <c r="D16" s="210"/>
      <c r="E16" s="2012"/>
      <c r="F16" s="2002">
        <f>F13-F14</f>
        <v>179226</v>
      </c>
      <c r="G16" s="210">
        <f>G13-G14</f>
        <v>179226</v>
      </c>
      <c r="H16" s="2017">
        <f>H13-H14</f>
        <v>143466</v>
      </c>
      <c r="I16" s="2011">
        <v>434601</v>
      </c>
      <c r="J16" s="210">
        <v>434601</v>
      </c>
      <c r="K16" s="2012">
        <f>K13-K14</f>
        <v>422454</v>
      </c>
      <c r="L16" s="2023">
        <f t="shared" si="0"/>
        <v>613827</v>
      </c>
      <c r="M16" s="1980">
        <f t="shared" si="1"/>
        <v>613827</v>
      </c>
      <c r="N16" s="1981">
        <f t="shared" si="2"/>
        <v>565920</v>
      </c>
    </row>
    <row r="17" spans="1:14">
      <c r="A17" s="1982"/>
      <c r="B17" s="1996" t="s">
        <v>205</v>
      </c>
      <c r="C17" s="2009"/>
      <c r="D17" s="212"/>
      <c r="E17" s="2010"/>
      <c r="F17" s="2001">
        <v>71519</v>
      </c>
      <c r="G17" s="212">
        <v>71519</v>
      </c>
      <c r="H17" s="2016">
        <v>71519</v>
      </c>
      <c r="I17" s="2009">
        <v>108650</v>
      </c>
      <c r="J17" s="212">
        <v>108650</v>
      </c>
      <c r="K17" s="2010">
        <v>108650</v>
      </c>
      <c r="L17" s="2023">
        <f t="shared" si="0"/>
        <v>180169</v>
      </c>
      <c r="M17" s="1980">
        <f t="shared" si="1"/>
        <v>180169</v>
      </c>
      <c r="N17" s="1981">
        <f t="shared" si="2"/>
        <v>180169</v>
      </c>
    </row>
    <row r="18" spans="1:14">
      <c r="A18" s="1982"/>
      <c r="B18" s="1996" t="s">
        <v>206</v>
      </c>
      <c r="C18" s="2009"/>
      <c r="D18" s="212"/>
      <c r="E18" s="2010"/>
      <c r="F18" s="2001">
        <v>1618</v>
      </c>
      <c r="G18" s="212">
        <v>1618</v>
      </c>
      <c r="H18" s="2016">
        <v>1618</v>
      </c>
      <c r="I18" s="2009">
        <v>6185</v>
      </c>
      <c r="J18" s="212">
        <v>6185</v>
      </c>
      <c r="K18" s="2010">
        <v>6185</v>
      </c>
      <c r="L18" s="2023">
        <f t="shared" si="0"/>
        <v>7803</v>
      </c>
      <c r="M18" s="1980">
        <f t="shared" si="1"/>
        <v>7803</v>
      </c>
      <c r="N18" s="1981">
        <f t="shared" si="2"/>
        <v>7803</v>
      </c>
    </row>
    <row r="19" spans="1:14" s="211" customFormat="1">
      <c r="A19" s="2320" t="s">
        <v>211</v>
      </c>
      <c r="B19" s="2321"/>
      <c r="C19" s="2011"/>
      <c r="D19" s="210"/>
      <c r="E19" s="2012"/>
      <c r="F19" s="2002">
        <f>F16-F17</f>
        <v>107707</v>
      </c>
      <c r="G19" s="210">
        <f>G16-G17</f>
        <v>107707</v>
      </c>
      <c r="H19" s="2017">
        <f>H16-H17</f>
        <v>71947</v>
      </c>
      <c r="I19" s="2011">
        <v>325951</v>
      </c>
      <c r="J19" s="210">
        <v>325951</v>
      </c>
      <c r="K19" s="2012">
        <f>K16-K17</f>
        <v>313804</v>
      </c>
      <c r="L19" s="2023">
        <f t="shared" si="0"/>
        <v>433658</v>
      </c>
      <c r="M19" s="1980">
        <f t="shared" si="1"/>
        <v>433658</v>
      </c>
      <c r="N19" s="1981">
        <f t="shared" si="2"/>
        <v>385751</v>
      </c>
    </row>
    <row r="20" spans="1:14">
      <c r="A20" s="1982"/>
      <c r="B20" s="1996" t="s">
        <v>205</v>
      </c>
      <c r="C20" s="2009"/>
      <c r="D20" s="212"/>
      <c r="E20" s="2010"/>
      <c r="F20" s="2001">
        <v>71519</v>
      </c>
      <c r="G20" s="212">
        <v>71519</v>
      </c>
      <c r="H20" s="2016">
        <v>71519</v>
      </c>
      <c r="I20" s="2009">
        <v>108650</v>
      </c>
      <c r="J20" s="212">
        <v>108650</v>
      </c>
      <c r="K20" s="2010">
        <v>108650</v>
      </c>
      <c r="L20" s="2023">
        <f t="shared" si="0"/>
        <v>180169</v>
      </c>
      <c r="M20" s="1980">
        <f t="shared" si="1"/>
        <v>180169</v>
      </c>
      <c r="N20" s="1981">
        <f t="shared" si="2"/>
        <v>180169</v>
      </c>
    </row>
    <row r="21" spans="1:14">
      <c r="A21" s="1982"/>
      <c r="B21" s="1996" t="s">
        <v>206</v>
      </c>
      <c r="C21" s="2009"/>
      <c r="D21" s="212"/>
      <c r="E21" s="2010"/>
      <c r="F21" s="2001">
        <v>910</v>
      </c>
      <c r="G21" s="212">
        <v>910</v>
      </c>
      <c r="H21" s="2016">
        <v>910</v>
      </c>
      <c r="I21" s="2009">
        <v>4492</v>
      </c>
      <c r="J21" s="212">
        <v>4492</v>
      </c>
      <c r="K21" s="2010">
        <v>4492</v>
      </c>
      <c r="L21" s="2023">
        <f t="shared" si="0"/>
        <v>5402</v>
      </c>
      <c r="M21" s="1980">
        <f t="shared" si="1"/>
        <v>5402</v>
      </c>
      <c r="N21" s="1981">
        <f t="shared" si="2"/>
        <v>5402</v>
      </c>
    </row>
    <row r="22" spans="1:14">
      <c r="A22" s="2320" t="s">
        <v>543</v>
      </c>
      <c r="B22" s="2321"/>
      <c r="C22" s="1983"/>
      <c r="D22" s="213"/>
      <c r="E22" s="2013"/>
      <c r="F22" s="2003">
        <f>F19-F20</f>
        <v>36188</v>
      </c>
      <c r="G22" s="214">
        <f>G19-G20</f>
        <v>36188</v>
      </c>
      <c r="H22" s="2018">
        <f>H19-H20</f>
        <v>428</v>
      </c>
      <c r="I22" s="2025">
        <v>217301</v>
      </c>
      <c r="J22" s="214">
        <v>217301</v>
      </c>
      <c r="K22" s="2026">
        <f>K19-K20</f>
        <v>205154</v>
      </c>
      <c r="L22" s="2023">
        <f t="shared" si="0"/>
        <v>253489</v>
      </c>
      <c r="M22" s="1980">
        <f t="shared" si="1"/>
        <v>253489</v>
      </c>
      <c r="N22" s="1981">
        <f t="shared" si="2"/>
        <v>205582</v>
      </c>
    </row>
    <row r="23" spans="1:14">
      <c r="A23" s="1983"/>
      <c r="B23" s="1997" t="s">
        <v>205</v>
      </c>
      <c r="C23" s="1983"/>
      <c r="D23" s="213"/>
      <c r="E23" s="2013"/>
      <c r="F23" s="2003">
        <v>36188</v>
      </c>
      <c r="G23" s="214">
        <v>36188</v>
      </c>
      <c r="H23" s="2019">
        <v>428</v>
      </c>
      <c r="I23" s="2025">
        <v>108650</v>
      </c>
      <c r="J23" s="214">
        <v>108650</v>
      </c>
      <c r="K23" s="2026">
        <v>108650</v>
      </c>
      <c r="L23" s="2023">
        <f t="shared" si="0"/>
        <v>144838</v>
      </c>
      <c r="M23" s="1980">
        <f t="shared" si="1"/>
        <v>144838</v>
      </c>
      <c r="N23" s="1981">
        <f t="shared" si="2"/>
        <v>109078</v>
      </c>
    </row>
    <row r="24" spans="1:14">
      <c r="A24" s="1983"/>
      <c r="B24" s="1996" t="s">
        <v>206</v>
      </c>
      <c r="C24" s="1983"/>
      <c r="D24" s="213"/>
      <c r="E24" s="2013"/>
      <c r="F24" s="2003">
        <v>104</v>
      </c>
      <c r="G24" s="214">
        <v>104</v>
      </c>
      <c r="H24" s="2019">
        <v>104</v>
      </c>
      <c r="I24" s="2025">
        <v>2771</v>
      </c>
      <c r="J24" s="214">
        <v>2771</v>
      </c>
      <c r="K24" s="2026">
        <v>2771</v>
      </c>
      <c r="L24" s="2023">
        <f t="shared" si="0"/>
        <v>2875</v>
      </c>
      <c r="M24" s="1980">
        <f t="shared" si="1"/>
        <v>2875</v>
      </c>
      <c r="N24" s="1981">
        <f t="shared" si="2"/>
        <v>2875</v>
      </c>
    </row>
    <row r="25" spans="1:14">
      <c r="A25" s="2320" t="s">
        <v>544</v>
      </c>
      <c r="B25" s="2321"/>
      <c r="C25" s="1983"/>
      <c r="D25" s="213"/>
      <c r="E25" s="2013"/>
      <c r="F25" s="2003"/>
      <c r="G25" s="214"/>
      <c r="H25" s="2019"/>
      <c r="I25" s="2025">
        <v>108651</v>
      </c>
      <c r="J25" s="214">
        <v>108651</v>
      </c>
      <c r="K25" s="2026">
        <f>K22-K23</f>
        <v>96504</v>
      </c>
      <c r="L25" s="2023">
        <f t="shared" si="0"/>
        <v>108651</v>
      </c>
      <c r="M25" s="1980">
        <f t="shared" si="1"/>
        <v>108651</v>
      </c>
      <c r="N25" s="1981">
        <f t="shared" si="2"/>
        <v>96504</v>
      </c>
    </row>
    <row r="26" spans="1:14">
      <c r="A26" s="1983"/>
      <c r="B26" s="1997" t="s">
        <v>205</v>
      </c>
      <c r="C26" s="1983"/>
      <c r="D26" s="213"/>
      <c r="E26" s="2013"/>
      <c r="F26" s="2003"/>
      <c r="G26" s="214"/>
      <c r="H26" s="2019"/>
      <c r="I26" s="2025">
        <v>108651</v>
      </c>
      <c r="J26" s="214">
        <v>108651</v>
      </c>
      <c r="K26" s="2026">
        <v>108651</v>
      </c>
      <c r="L26" s="2023">
        <f t="shared" si="0"/>
        <v>108651</v>
      </c>
      <c r="M26" s="1980">
        <f t="shared" si="1"/>
        <v>108651</v>
      </c>
      <c r="N26" s="1981">
        <f t="shared" si="2"/>
        <v>108651</v>
      </c>
    </row>
    <row r="27" spans="1:14" ht="15.75" thickBot="1">
      <c r="A27" s="1984"/>
      <c r="B27" s="1998" t="s">
        <v>206</v>
      </c>
      <c r="C27" s="1984"/>
      <c r="D27" s="1985"/>
      <c r="E27" s="2014"/>
      <c r="F27" s="2004"/>
      <c r="G27" s="1986"/>
      <c r="H27" s="2020"/>
      <c r="I27" s="2027">
        <v>1063</v>
      </c>
      <c r="J27" s="1986">
        <v>1063</v>
      </c>
      <c r="K27" s="2028">
        <v>1063</v>
      </c>
      <c r="L27" s="2024">
        <f t="shared" si="0"/>
        <v>1063</v>
      </c>
      <c r="M27" s="1987">
        <f t="shared" si="1"/>
        <v>1063</v>
      </c>
      <c r="N27" s="1988">
        <f t="shared" si="2"/>
        <v>1063</v>
      </c>
    </row>
    <row r="41" spans="2:2">
      <c r="B41" s="215"/>
    </row>
  </sheetData>
  <mergeCells count="18">
    <mergeCell ref="A25:B25"/>
    <mergeCell ref="A10:B10"/>
    <mergeCell ref="A13:B13"/>
    <mergeCell ref="A16:B16"/>
    <mergeCell ref="A19:B19"/>
    <mergeCell ref="A22:B22"/>
    <mergeCell ref="A7:B7"/>
    <mergeCell ref="A1:M1"/>
    <mergeCell ref="A2:M2"/>
    <mergeCell ref="A3:M3"/>
    <mergeCell ref="L4:N5"/>
    <mergeCell ref="I4:K4"/>
    <mergeCell ref="I5:K5"/>
    <mergeCell ref="F4:H4"/>
    <mergeCell ref="F5:H5"/>
    <mergeCell ref="C4:E4"/>
    <mergeCell ref="C5:E5"/>
    <mergeCell ref="A4:B6"/>
  </mergeCells>
  <printOptions horizontalCentered="1"/>
  <pageMargins left="0.2" right="0.18" top="0.74803149606299213" bottom="0.74803149606299213" header="0.31496062992125984" footer="0.31496062992125984"/>
  <pageSetup paperSize="9" scale="86" orientation="landscape" r:id="rId1"/>
  <headerFooter>
    <oddHeader>&amp;L&amp;"Times New Roman,Normál"&amp;8 13.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view="pageLayout" zoomScaleNormal="100" workbookViewId="0">
      <selection sqref="A1:H1"/>
    </sheetView>
  </sheetViews>
  <sheetFormatPr defaultRowHeight="15"/>
  <cols>
    <col min="1" max="1" width="26.140625" style="176" customWidth="1"/>
    <col min="2" max="8" width="14.85546875" style="34" customWidth="1"/>
    <col min="9" max="16384" width="9.140625" style="34"/>
  </cols>
  <sheetData>
    <row r="1" spans="1:8" ht="42.75" customHeight="1">
      <c r="A1" s="2322" t="s">
        <v>933</v>
      </c>
      <c r="B1" s="2323"/>
      <c r="C1" s="2323"/>
      <c r="D1" s="2323"/>
      <c r="E1" s="2323"/>
      <c r="F1" s="2324"/>
      <c r="G1" s="2324"/>
      <c r="H1" s="2324"/>
    </row>
    <row r="2" spans="1:8" ht="15.75" thickBot="1">
      <c r="A2" s="454"/>
      <c r="B2" s="59"/>
      <c r="C2" s="59"/>
      <c r="D2" s="59"/>
      <c r="E2" s="59"/>
    </row>
    <row r="3" spans="1:8" ht="35.25" customHeight="1" thickBot="1">
      <c r="A3" s="455" t="s">
        <v>2</v>
      </c>
      <c r="B3" s="1241" t="s">
        <v>886</v>
      </c>
      <c r="C3" s="1242" t="s">
        <v>212</v>
      </c>
      <c r="D3" s="1242" t="s">
        <v>213</v>
      </c>
      <c r="E3" s="1242" t="s">
        <v>214</v>
      </c>
      <c r="F3" s="1242" t="s">
        <v>452</v>
      </c>
      <c r="G3" s="1242" t="s">
        <v>545</v>
      </c>
      <c r="H3" s="1243" t="s">
        <v>546</v>
      </c>
    </row>
    <row r="4" spans="1:8">
      <c r="A4" s="1236" t="s">
        <v>790</v>
      </c>
      <c r="B4" s="912">
        <v>2235000</v>
      </c>
      <c r="C4" s="913">
        <v>2025000</v>
      </c>
      <c r="D4" s="913">
        <v>2025000</v>
      </c>
      <c r="E4" s="913">
        <v>2025000</v>
      </c>
      <c r="F4" s="914">
        <v>2025000</v>
      </c>
      <c r="G4" s="914">
        <v>2025000</v>
      </c>
      <c r="H4" s="915">
        <v>2025000</v>
      </c>
    </row>
    <row r="5" spans="1:8">
      <c r="A5" s="1237" t="s">
        <v>960</v>
      </c>
      <c r="B5" s="916">
        <v>2262545</v>
      </c>
      <c r="C5" s="917">
        <v>2025000</v>
      </c>
      <c r="D5" s="917">
        <v>2025000</v>
      </c>
      <c r="E5" s="917">
        <v>2025000</v>
      </c>
      <c r="F5" s="918">
        <v>2025000</v>
      </c>
      <c r="G5" s="918">
        <v>2025000</v>
      </c>
      <c r="H5" s="919">
        <v>2025000</v>
      </c>
    </row>
    <row r="6" spans="1:8">
      <c r="A6" s="1237" t="s">
        <v>972</v>
      </c>
      <c r="B6" s="916">
        <v>2262545</v>
      </c>
      <c r="C6" s="917">
        <v>2025000</v>
      </c>
      <c r="D6" s="917">
        <v>2025000</v>
      </c>
      <c r="E6" s="917">
        <v>2025000</v>
      </c>
      <c r="F6" s="918">
        <v>2025000</v>
      </c>
      <c r="G6" s="918">
        <v>2025000</v>
      </c>
      <c r="H6" s="919">
        <v>2025000</v>
      </c>
    </row>
    <row r="7" spans="1:8" ht="29.25" customHeight="1">
      <c r="A7" s="1238" t="s">
        <v>791</v>
      </c>
      <c r="B7" s="916">
        <v>2000</v>
      </c>
      <c r="C7" s="917">
        <v>11100</v>
      </c>
      <c r="D7" s="917">
        <v>10800</v>
      </c>
      <c r="E7" s="917">
        <v>10000</v>
      </c>
      <c r="F7" s="917">
        <v>10000</v>
      </c>
      <c r="G7" s="917">
        <v>10000</v>
      </c>
      <c r="H7" s="920">
        <v>100000</v>
      </c>
    </row>
    <row r="8" spans="1:8">
      <c r="A8" s="1237" t="s">
        <v>960</v>
      </c>
      <c r="B8" s="916">
        <v>5065</v>
      </c>
      <c r="C8" s="917">
        <v>11100</v>
      </c>
      <c r="D8" s="917">
        <v>10800</v>
      </c>
      <c r="E8" s="917">
        <v>10000</v>
      </c>
      <c r="F8" s="917">
        <v>10000</v>
      </c>
      <c r="G8" s="917">
        <v>10000</v>
      </c>
      <c r="H8" s="920">
        <v>100000</v>
      </c>
    </row>
    <row r="9" spans="1:8">
      <c r="A9" s="1237" t="s">
        <v>972</v>
      </c>
      <c r="B9" s="916">
        <v>5065</v>
      </c>
      <c r="C9" s="917">
        <v>11100</v>
      </c>
      <c r="D9" s="917">
        <v>10800</v>
      </c>
      <c r="E9" s="917">
        <v>10000</v>
      </c>
      <c r="F9" s="917">
        <v>10000</v>
      </c>
      <c r="G9" s="917">
        <v>10000</v>
      </c>
      <c r="H9" s="920">
        <v>100000</v>
      </c>
    </row>
    <row r="10" spans="1:8">
      <c r="A10" s="1239" t="s">
        <v>792</v>
      </c>
      <c r="B10" s="921">
        <v>500</v>
      </c>
      <c r="C10" s="922">
        <v>1100</v>
      </c>
      <c r="D10" s="922">
        <v>800</v>
      </c>
      <c r="E10" s="922">
        <v>0</v>
      </c>
      <c r="F10" s="923">
        <v>0</v>
      </c>
      <c r="G10" s="923">
        <v>0</v>
      </c>
      <c r="H10" s="924">
        <v>0</v>
      </c>
    </row>
    <row r="11" spans="1:8">
      <c r="A11" s="1240" t="s">
        <v>960</v>
      </c>
      <c r="B11" s="921">
        <v>500</v>
      </c>
      <c r="C11" s="922">
        <v>1100</v>
      </c>
      <c r="D11" s="922">
        <v>800</v>
      </c>
      <c r="E11" s="922">
        <v>0</v>
      </c>
      <c r="F11" s="923">
        <v>0</v>
      </c>
      <c r="G11" s="923">
        <v>0</v>
      </c>
      <c r="H11" s="924">
        <v>0</v>
      </c>
    </row>
    <row r="12" spans="1:8">
      <c r="A12" s="1240" t="s">
        <v>972</v>
      </c>
      <c r="B12" s="921">
        <v>500</v>
      </c>
      <c r="C12" s="922">
        <v>1100</v>
      </c>
      <c r="D12" s="922">
        <v>800</v>
      </c>
      <c r="E12" s="922">
        <v>0</v>
      </c>
      <c r="F12" s="923">
        <v>0</v>
      </c>
      <c r="G12" s="923">
        <v>0</v>
      </c>
      <c r="H12" s="924">
        <v>0</v>
      </c>
    </row>
    <row r="13" spans="1:8">
      <c r="A13" s="1239" t="s">
        <v>887</v>
      </c>
      <c r="B13" s="921">
        <v>1500</v>
      </c>
      <c r="C13" s="922">
        <v>10000</v>
      </c>
      <c r="D13" s="922">
        <v>10000</v>
      </c>
      <c r="E13" s="922">
        <v>10000</v>
      </c>
      <c r="F13" s="923">
        <v>10000</v>
      </c>
      <c r="G13" s="923">
        <v>10000</v>
      </c>
      <c r="H13" s="924">
        <v>100000</v>
      </c>
    </row>
    <row r="14" spans="1:8">
      <c r="A14" s="1240" t="s">
        <v>960</v>
      </c>
      <c r="B14" s="921">
        <v>4565</v>
      </c>
      <c r="C14" s="922">
        <v>10000</v>
      </c>
      <c r="D14" s="922">
        <v>10000</v>
      </c>
      <c r="E14" s="922">
        <v>10000</v>
      </c>
      <c r="F14" s="923">
        <v>10000</v>
      </c>
      <c r="G14" s="923">
        <v>10000</v>
      </c>
      <c r="H14" s="924">
        <v>100000</v>
      </c>
    </row>
    <row r="15" spans="1:8">
      <c r="A15" s="1240" t="s">
        <v>972</v>
      </c>
      <c r="B15" s="921">
        <v>4565</v>
      </c>
      <c r="C15" s="922">
        <v>10000</v>
      </c>
      <c r="D15" s="922">
        <v>10000</v>
      </c>
      <c r="E15" s="922">
        <v>10000</v>
      </c>
      <c r="F15" s="923">
        <v>10000</v>
      </c>
      <c r="G15" s="923">
        <v>10000</v>
      </c>
      <c r="H15" s="924">
        <v>100000</v>
      </c>
    </row>
    <row r="16" spans="1:8" ht="62.25" customHeight="1">
      <c r="A16" s="1238" t="s">
        <v>793</v>
      </c>
      <c r="B16" s="916">
        <v>88191</v>
      </c>
      <c r="C16" s="917">
        <v>68000</v>
      </c>
      <c r="D16" s="917">
        <v>67000</v>
      </c>
      <c r="E16" s="917">
        <v>67000</v>
      </c>
      <c r="F16" s="918">
        <v>67000</v>
      </c>
      <c r="G16" s="918">
        <v>0</v>
      </c>
      <c r="H16" s="919">
        <v>0</v>
      </c>
    </row>
    <row r="17" spans="1:8">
      <c r="A17" s="1240" t="s">
        <v>960</v>
      </c>
      <c r="B17" s="921">
        <v>88191</v>
      </c>
      <c r="C17" s="922">
        <v>68000</v>
      </c>
      <c r="D17" s="922">
        <v>67000</v>
      </c>
      <c r="E17" s="922">
        <v>67000</v>
      </c>
      <c r="F17" s="923">
        <v>67000</v>
      </c>
      <c r="G17" s="923">
        <v>0</v>
      </c>
      <c r="H17" s="924">
        <v>0</v>
      </c>
    </row>
    <row r="18" spans="1:8">
      <c r="A18" s="1240" t="s">
        <v>972</v>
      </c>
      <c r="B18" s="921">
        <v>88191</v>
      </c>
      <c r="C18" s="922">
        <v>68000</v>
      </c>
      <c r="D18" s="922">
        <v>67000</v>
      </c>
      <c r="E18" s="922">
        <v>67000</v>
      </c>
      <c r="F18" s="923">
        <v>67000</v>
      </c>
      <c r="G18" s="923">
        <v>0</v>
      </c>
      <c r="H18" s="924">
        <v>0</v>
      </c>
    </row>
    <row r="19" spans="1:8" ht="99" customHeight="1">
      <c r="A19" s="1238" t="s">
        <v>215</v>
      </c>
      <c r="B19" s="916">
        <v>1397914</v>
      </c>
      <c r="C19" s="917">
        <v>66000</v>
      </c>
      <c r="D19" s="917">
        <v>66000</v>
      </c>
      <c r="E19" s="917">
        <v>66000</v>
      </c>
      <c r="F19" s="918">
        <v>66000</v>
      </c>
      <c r="G19" s="918">
        <v>0</v>
      </c>
      <c r="H19" s="919">
        <v>0</v>
      </c>
    </row>
    <row r="20" spans="1:8">
      <c r="A20" s="1237" t="s">
        <v>960</v>
      </c>
      <c r="B20" s="916">
        <v>1385613</v>
      </c>
      <c r="C20" s="917">
        <v>66000</v>
      </c>
      <c r="D20" s="917">
        <v>66000</v>
      </c>
      <c r="E20" s="917">
        <v>66000</v>
      </c>
      <c r="F20" s="918">
        <v>66000</v>
      </c>
      <c r="G20" s="918">
        <v>0</v>
      </c>
      <c r="H20" s="919">
        <v>0</v>
      </c>
    </row>
    <row r="21" spans="1:8">
      <c r="A21" s="1237" t="s">
        <v>972</v>
      </c>
      <c r="B21" s="916">
        <v>1019713</v>
      </c>
      <c r="C21" s="917">
        <v>66000</v>
      </c>
      <c r="D21" s="917">
        <v>66000</v>
      </c>
      <c r="E21" s="917">
        <v>66000</v>
      </c>
      <c r="F21" s="918">
        <v>66000</v>
      </c>
      <c r="G21" s="918">
        <v>0</v>
      </c>
      <c r="H21" s="919">
        <v>0</v>
      </c>
    </row>
    <row r="22" spans="1:8">
      <c r="A22" s="1238" t="s">
        <v>216</v>
      </c>
      <c r="B22" s="916">
        <v>3723105</v>
      </c>
      <c r="C22" s="917">
        <v>2170100</v>
      </c>
      <c r="D22" s="917">
        <v>2168800</v>
      </c>
      <c r="E22" s="917">
        <v>2168000</v>
      </c>
      <c r="F22" s="917">
        <v>2168000</v>
      </c>
      <c r="G22" s="917">
        <v>2035000</v>
      </c>
      <c r="H22" s="920">
        <v>2125000</v>
      </c>
    </row>
    <row r="23" spans="1:8">
      <c r="A23" s="1237" t="s">
        <v>960</v>
      </c>
      <c r="B23" s="916">
        <v>3741414</v>
      </c>
      <c r="C23" s="917">
        <v>2170100</v>
      </c>
      <c r="D23" s="917">
        <v>2168800</v>
      </c>
      <c r="E23" s="917">
        <v>2168000</v>
      </c>
      <c r="F23" s="917">
        <v>2168000</v>
      </c>
      <c r="G23" s="917">
        <v>2035000</v>
      </c>
      <c r="H23" s="920">
        <v>2125000</v>
      </c>
    </row>
    <row r="24" spans="1:8">
      <c r="A24" s="1237" t="s">
        <v>972</v>
      </c>
      <c r="B24" s="916">
        <f>B6+B9+B18+B21</f>
        <v>3375514</v>
      </c>
      <c r="C24" s="917">
        <f t="shared" ref="C24:H24" si="0">C6+C9+C18+C21</f>
        <v>2170100</v>
      </c>
      <c r="D24" s="917">
        <f t="shared" si="0"/>
        <v>2168800</v>
      </c>
      <c r="E24" s="917">
        <f t="shared" si="0"/>
        <v>2168000</v>
      </c>
      <c r="F24" s="917">
        <f t="shared" si="0"/>
        <v>2168000</v>
      </c>
      <c r="G24" s="917">
        <f t="shared" si="0"/>
        <v>2035000</v>
      </c>
      <c r="H24" s="920">
        <f t="shared" si="0"/>
        <v>2125000</v>
      </c>
    </row>
    <row r="25" spans="1:8">
      <c r="A25" s="1238" t="s">
        <v>217</v>
      </c>
      <c r="B25" s="916">
        <v>1861553</v>
      </c>
      <c r="C25" s="917">
        <v>1085050</v>
      </c>
      <c r="D25" s="917">
        <v>1084400</v>
      </c>
      <c r="E25" s="917">
        <v>1084000</v>
      </c>
      <c r="F25" s="917">
        <v>1084000</v>
      </c>
      <c r="G25" s="917">
        <v>1017500</v>
      </c>
      <c r="H25" s="920">
        <v>1062500</v>
      </c>
    </row>
    <row r="26" spans="1:8">
      <c r="A26" s="1237" t="s">
        <v>960</v>
      </c>
      <c r="B26" s="916">
        <v>1870707</v>
      </c>
      <c r="C26" s="917">
        <v>1085050</v>
      </c>
      <c r="D26" s="917">
        <v>1084400</v>
      </c>
      <c r="E26" s="917">
        <v>1084000</v>
      </c>
      <c r="F26" s="917">
        <v>1084000</v>
      </c>
      <c r="G26" s="917">
        <v>1017500</v>
      </c>
      <c r="H26" s="920">
        <v>1062500</v>
      </c>
    </row>
    <row r="27" spans="1:8">
      <c r="A27" s="1237" t="s">
        <v>972</v>
      </c>
      <c r="B27" s="916">
        <f>B24/2</f>
        <v>1687757</v>
      </c>
      <c r="C27" s="917">
        <f t="shared" ref="C27:H27" si="1">C24/2</f>
        <v>1085050</v>
      </c>
      <c r="D27" s="917">
        <f t="shared" si="1"/>
        <v>1084400</v>
      </c>
      <c r="E27" s="917">
        <f t="shared" si="1"/>
        <v>1084000</v>
      </c>
      <c r="F27" s="917">
        <f t="shared" si="1"/>
        <v>1084000</v>
      </c>
      <c r="G27" s="917">
        <f t="shared" si="1"/>
        <v>1017500</v>
      </c>
      <c r="H27" s="920">
        <f t="shared" si="1"/>
        <v>1062500</v>
      </c>
    </row>
    <row r="28" spans="1:8" ht="63" customHeight="1">
      <c r="A28" s="1238" t="s">
        <v>777</v>
      </c>
      <c r="B28" s="916">
        <v>119403</v>
      </c>
      <c r="C28" s="917">
        <v>83288</v>
      </c>
      <c r="D28" s="917">
        <v>190487</v>
      </c>
      <c r="E28" s="917">
        <v>187972</v>
      </c>
      <c r="F28" s="917">
        <v>185571</v>
      </c>
      <c r="G28" s="917">
        <v>147713</v>
      </c>
      <c r="H28" s="919">
        <v>109714</v>
      </c>
    </row>
    <row r="29" spans="1:8">
      <c r="A29" s="1237" t="s">
        <v>960</v>
      </c>
      <c r="B29" s="916">
        <v>119423</v>
      </c>
      <c r="C29" s="917">
        <v>83288</v>
      </c>
      <c r="D29" s="917">
        <v>190487</v>
      </c>
      <c r="E29" s="917">
        <v>187972</v>
      </c>
      <c r="F29" s="917">
        <v>185571</v>
      </c>
      <c r="G29" s="917">
        <v>147713</v>
      </c>
      <c r="H29" s="919">
        <v>109714</v>
      </c>
    </row>
    <row r="30" spans="1:8">
      <c r="A30" s="1237" t="s">
        <v>972</v>
      </c>
      <c r="B30" s="916">
        <v>155183</v>
      </c>
      <c r="C30" s="917">
        <v>83288</v>
      </c>
      <c r="D30" s="917">
        <v>190487</v>
      </c>
      <c r="E30" s="917">
        <v>187972</v>
      </c>
      <c r="F30" s="917">
        <v>185571</v>
      </c>
      <c r="G30" s="917">
        <v>111953</v>
      </c>
      <c r="H30" s="920">
        <v>109714</v>
      </c>
    </row>
    <row r="31" spans="1:8" ht="30">
      <c r="A31" s="1239" t="s">
        <v>218</v>
      </c>
      <c r="B31" s="921">
        <v>119403</v>
      </c>
      <c r="C31" s="922">
        <v>83288</v>
      </c>
      <c r="D31" s="922">
        <v>190487</v>
      </c>
      <c r="E31" s="922">
        <v>187972</v>
      </c>
      <c r="F31" s="923">
        <v>185571</v>
      </c>
      <c r="G31" s="923">
        <v>147713</v>
      </c>
      <c r="H31" s="924">
        <v>109714</v>
      </c>
    </row>
    <row r="32" spans="1:8">
      <c r="A32" s="1240" t="s">
        <v>960</v>
      </c>
      <c r="B32" s="921">
        <v>119423</v>
      </c>
      <c r="C32" s="922">
        <v>83288</v>
      </c>
      <c r="D32" s="922">
        <v>190487</v>
      </c>
      <c r="E32" s="922">
        <v>187972</v>
      </c>
      <c r="F32" s="923">
        <v>185571</v>
      </c>
      <c r="G32" s="923">
        <v>147713</v>
      </c>
      <c r="H32" s="924">
        <v>109714</v>
      </c>
    </row>
    <row r="33" spans="1:8">
      <c r="A33" s="1240" t="s">
        <v>972</v>
      </c>
      <c r="B33" s="921">
        <v>155183</v>
      </c>
      <c r="C33" s="922">
        <v>83288</v>
      </c>
      <c r="D33" s="922">
        <v>190487</v>
      </c>
      <c r="E33" s="922">
        <v>187972</v>
      </c>
      <c r="F33" s="923">
        <v>185571</v>
      </c>
      <c r="G33" s="923">
        <v>111953</v>
      </c>
      <c r="H33" s="924">
        <v>109714</v>
      </c>
    </row>
    <row r="34" spans="1:8" ht="57">
      <c r="A34" s="1238" t="s">
        <v>219</v>
      </c>
      <c r="B34" s="916">
        <v>0</v>
      </c>
      <c r="C34" s="917">
        <v>0</v>
      </c>
      <c r="D34" s="917">
        <v>0</v>
      </c>
      <c r="E34" s="917">
        <v>0</v>
      </c>
      <c r="F34" s="917">
        <v>0</v>
      </c>
      <c r="G34" s="917">
        <v>0</v>
      </c>
      <c r="H34" s="920">
        <v>0</v>
      </c>
    </row>
    <row r="35" spans="1:8">
      <c r="A35" s="1237" t="s">
        <v>960</v>
      </c>
      <c r="B35" s="916">
        <v>0</v>
      </c>
      <c r="C35" s="917">
        <v>0</v>
      </c>
      <c r="D35" s="917">
        <v>0</v>
      </c>
      <c r="E35" s="917">
        <v>0</v>
      </c>
      <c r="F35" s="917">
        <v>0</v>
      </c>
      <c r="G35" s="917">
        <v>0</v>
      </c>
      <c r="H35" s="920">
        <v>0</v>
      </c>
    </row>
    <row r="36" spans="1:8">
      <c r="A36" s="1237" t="s">
        <v>972</v>
      </c>
      <c r="B36" s="916">
        <v>0</v>
      </c>
      <c r="C36" s="917">
        <v>0</v>
      </c>
      <c r="D36" s="917">
        <v>0</v>
      </c>
      <c r="E36" s="917">
        <v>0</v>
      </c>
      <c r="F36" s="917">
        <v>0</v>
      </c>
      <c r="G36" s="917">
        <v>0</v>
      </c>
      <c r="H36" s="920">
        <v>0</v>
      </c>
    </row>
    <row r="37" spans="1:8" ht="45">
      <c r="A37" s="1239" t="s">
        <v>219</v>
      </c>
      <c r="B37" s="916">
        <v>0</v>
      </c>
      <c r="C37" s="917">
        <v>0</v>
      </c>
      <c r="D37" s="917">
        <v>0</v>
      </c>
      <c r="E37" s="917">
        <v>0</v>
      </c>
      <c r="F37" s="923">
        <v>0</v>
      </c>
      <c r="G37" s="923">
        <v>0</v>
      </c>
      <c r="H37" s="924">
        <v>0</v>
      </c>
    </row>
    <row r="38" spans="1:8">
      <c r="A38" s="1237" t="s">
        <v>960</v>
      </c>
      <c r="B38" s="916">
        <v>0</v>
      </c>
      <c r="C38" s="917">
        <v>0</v>
      </c>
      <c r="D38" s="917">
        <v>0</v>
      </c>
      <c r="E38" s="917">
        <v>0</v>
      </c>
      <c r="F38" s="923">
        <v>0</v>
      </c>
      <c r="G38" s="923">
        <v>0</v>
      </c>
      <c r="H38" s="924">
        <v>0</v>
      </c>
    </row>
    <row r="39" spans="1:8">
      <c r="A39" s="1237" t="s">
        <v>972</v>
      </c>
      <c r="B39" s="916">
        <v>0</v>
      </c>
      <c r="C39" s="917">
        <v>0</v>
      </c>
      <c r="D39" s="917">
        <v>0</v>
      </c>
      <c r="E39" s="917">
        <v>0</v>
      </c>
      <c r="F39" s="923">
        <v>0</v>
      </c>
      <c r="G39" s="923">
        <v>0</v>
      </c>
      <c r="H39" s="924">
        <v>0</v>
      </c>
    </row>
    <row r="40" spans="1:8" ht="43.5" customHeight="1">
      <c r="A40" s="1238" t="s">
        <v>220</v>
      </c>
      <c r="B40" s="916">
        <v>119403</v>
      </c>
      <c r="C40" s="917">
        <v>83288</v>
      </c>
      <c r="D40" s="917">
        <v>190487</v>
      </c>
      <c r="E40" s="917">
        <v>187972</v>
      </c>
      <c r="F40" s="917">
        <v>185571</v>
      </c>
      <c r="G40" s="917">
        <v>147713</v>
      </c>
      <c r="H40" s="920">
        <v>109714</v>
      </c>
    </row>
    <row r="41" spans="1:8">
      <c r="A41" s="1237" t="s">
        <v>960</v>
      </c>
      <c r="B41" s="916">
        <v>119423</v>
      </c>
      <c r="C41" s="917">
        <v>83288</v>
      </c>
      <c r="D41" s="917">
        <v>190487</v>
      </c>
      <c r="E41" s="917">
        <v>187972</v>
      </c>
      <c r="F41" s="917">
        <v>185571</v>
      </c>
      <c r="G41" s="917">
        <v>147713</v>
      </c>
      <c r="H41" s="920">
        <v>109714</v>
      </c>
    </row>
    <row r="42" spans="1:8">
      <c r="A42" s="1237" t="s">
        <v>972</v>
      </c>
      <c r="B42" s="916">
        <f>B30+B36</f>
        <v>155183</v>
      </c>
      <c r="C42" s="917">
        <f t="shared" ref="C42:H42" si="2">C30+C36</f>
        <v>83288</v>
      </c>
      <c r="D42" s="917">
        <f t="shared" si="2"/>
        <v>190487</v>
      </c>
      <c r="E42" s="917">
        <f t="shared" si="2"/>
        <v>187972</v>
      </c>
      <c r="F42" s="917">
        <f t="shared" si="2"/>
        <v>185571</v>
      </c>
      <c r="G42" s="917">
        <f t="shared" si="2"/>
        <v>111953</v>
      </c>
      <c r="H42" s="920">
        <f t="shared" si="2"/>
        <v>109714</v>
      </c>
    </row>
    <row r="43" spans="1:8" ht="45" customHeight="1">
      <c r="A43" s="1238" t="s">
        <v>778</v>
      </c>
      <c r="B43" s="925">
        <v>1742150</v>
      </c>
      <c r="C43" s="926">
        <v>1001762</v>
      </c>
      <c r="D43" s="926">
        <v>893913</v>
      </c>
      <c r="E43" s="926">
        <v>896028</v>
      </c>
      <c r="F43" s="926">
        <v>898429</v>
      </c>
      <c r="G43" s="926">
        <v>869787</v>
      </c>
      <c r="H43" s="927">
        <v>952786</v>
      </c>
    </row>
    <row r="44" spans="1:8">
      <c r="A44" s="1237" t="s">
        <v>960</v>
      </c>
      <c r="B44" s="925">
        <v>1751284</v>
      </c>
      <c r="C44" s="926">
        <v>1001762</v>
      </c>
      <c r="D44" s="926">
        <v>893913</v>
      </c>
      <c r="E44" s="926">
        <v>896028</v>
      </c>
      <c r="F44" s="926">
        <v>898429</v>
      </c>
      <c r="G44" s="926">
        <v>869787</v>
      </c>
      <c r="H44" s="927">
        <v>952786</v>
      </c>
    </row>
    <row r="45" spans="1:8" ht="15.75" thickBot="1">
      <c r="A45" s="1403" t="s">
        <v>972</v>
      </c>
      <c r="B45" s="928">
        <f>B27-B42</f>
        <v>1532574</v>
      </c>
      <c r="C45" s="929">
        <f t="shared" ref="C45:H45" si="3">C27-C42</f>
        <v>1001762</v>
      </c>
      <c r="D45" s="929">
        <f t="shared" si="3"/>
        <v>893913</v>
      </c>
      <c r="E45" s="929">
        <f t="shared" si="3"/>
        <v>896028</v>
      </c>
      <c r="F45" s="929">
        <f t="shared" si="3"/>
        <v>898429</v>
      </c>
      <c r="G45" s="929">
        <f t="shared" si="3"/>
        <v>905547</v>
      </c>
      <c r="H45" s="930">
        <f t="shared" si="3"/>
        <v>952786</v>
      </c>
    </row>
  </sheetData>
  <mergeCells count="1">
    <mergeCell ref="A1:H1"/>
  </mergeCells>
  <pageMargins left="0.49" right="0.35" top="0.74803149606299213" bottom="0.74803149606299213" header="0.31496062992125984" footer="0.31496062992125984"/>
  <pageSetup paperSize="9" scale="71" orientation="portrait" r:id="rId1"/>
  <headerFooter>
    <oddHeader>&amp;L&amp;"Times New Roman,Normál"13.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"/>
  <sheetViews>
    <sheetView view="pageLayout" zoomScale="142" zoomScaleNormal="100" zoomScalePageLayoutView="142" workbookViewId="0">
      <selection activeCell="B9" sqref="B9"/>
    </sheetView>
  </sheetViews>
  <sheetFormatPr defaultRowHeight="15"/>
  <cols>
    <col min="1" max="1" width="66.5703125" style="182" customWidth="1"/>
    <col min="2" max="2" width="12" customWidth="1"/>
    <col min="3" max="4" width="14.7109375" bestFit="1" customWidth="1"/>
    <col min="5" max="5" width="21.5703125" style="172" customWidth="1"/>
    <col min="6" max="6" width="15.140625" style="172" customWidth="1"/>
    <col min="7" max="7" width="17" style="172" customWidth="1"/>
    <col min="8" max="10" width="9.140625" style="172"/>
  </cols>
  <sheetData>
    <row r="1" spans="1:7" ht="34.5" customHeight="1">
      <c r="A1" s="2325" t="s">
        <v>1038</v>
      </c>
      <c r="B1" s="2325"/>
      <c r="C1" s="2325"/>
      <c r="D1" s="2325"/>
    </row>
    <row r="2" spans="1:7" ht="15.75" thickBot="1"/>
    <row r="3" spans="1:7" ht="15.75" thickBot="1">
      <c r="A3" s="949" t="s">
        <v>2</v>
      </c>
      <c r="B3" s="945" t="s">
        <v>3</v>
      </c>
      <c r="C3" s="946" t="s">
        <v>960</v>
      </c>
      <c r="D3" s="947" t="s">
        <v>972</v>
      </c>
    </row>
    <row r="4" spans="1:7" ht="28.5">
      <c r="A4" s="1605" t="s">
        <v>527</v>
      </c>
      <c r="B4" s="950">
        <v>24174</v>
      </c>
      <c r="C4" s="951">
        <v>24174</v>
      </c>
      <c r="D4" s="952">
        <v>24174</v>
      </c>
    </row>
    <row r="5" spans="1:7" ht="28.5">
      <c r="A5" s="1605" t="s">
        <v>495</v>
      </c>
      <c r="B5" s="953">
        <v>69850</v>
      </c>
      <c r="C5" s="948">
        <v>69850</v>
      </c>
      <c r="D5" s="954">
        <v>193544</v>
      </c>
    </row>
    <row r="6" spans="1:7" ht="28.5">
      <c r="A6" s="1605" t="s">
        <v>528</v>
      </c>
      <c r="B6" s="953">
        <v>116684</v>
      </c>
      <c r="C6" s="948">
        <v>116684</v>
      </c>
      <c r="D6" s="954">
        <v>116684</v>
      </c>
    </row>
    <row r="7" spans="1:7" ht="28.5">
      <c r="A7" s="1605" t="s">
        <v>497</v>
      </c>
      <c r="B7" s="953">
        <v>89734</v>
      </c>
      <c r="C7" s="948">
        <v>89734</v>
      </c>
      <c r="D7" s="954">
        <v>89734</v>
      </c>
    </row>
    <row r="8" spans="1:7" ht="28.5">
      <c r="A8" s="1605" t="s">
        <v>488</v>
      </c>
      <c r="B8" s="953">
        <v>15930</v>
      </c>
      <c r="C8" s="948">
        <v>15930</v>
      </c>
      <c r="D8" s="954">
        <v>31860</v>
      </c>
    </row>
    <row r="9" spans="1:7" ht="28.5">
      <c r="A9" s="1605" t="s">
        <v>487</v>
      </c>
      <c r="B9" s="953">
        <v>12147</v>
      </c>
      <c r="C9" s="948">
        <v>12147</v>
      </c>
      <c r="D9" s="954">
        <v>0</v>
      </c>
    </row>
    <row r="10" spans="1:7">
      <c r="A10" s="1605" t="s">
        <v>981</v>
      </c>
      <c r="B10" s="953"/>
      <c r="C10" s="948"/>
      <c r="D10" s="954">
        <v>9000</v>
      </c>
    </row>
    <row r="11" spans="1:7" ht="27.75" customHeight="1">
      <c r="A11" s="1605" t="s">
        <v>820</v>
      </c>
      <c r="B11" s="953"/>
      <c r="C11" s="948"/>
      <c r="D11" s="954">
        <v>21108</v>
      </c>
    </row>
    <row r="12" spans="1:7" ht="27.75" customHeight="1" thickBot="1">
      <c r="A12" s="1606" t="s">
        <v>982</v>
      </c>
      <c r="B12" s="955"/>
      <c r="C12" s="956"/>
      <c r="D12" s="957">
        <v>45000</v>
      </c>
    </row>
    <row r="13" spans="1:7" ht="15.75" thickBot="1">
      <c r="A13" s="169" t="s">
        <v>68</v>
      </c>
      <c r="B13" s="239">
        <f>SUM(B4:B9)</f>
        <v>328519</v>
      </c>
      <c r="C13" s="543">
        <f>SUM(C4:C9)</f>
        <v>328519</v>
      </c>
      <c r="D13" s="542">
        <f>SUM(D4:D12)</f>
        <v>531104</v>
      </c>
    </row>
    <row r="14" spans="1:7">
      <c r="G14" s="173"/>
    </row>
    <row r="16" spans="1:7">
      <c r="A16" s="183"/>
    </row>
    <row r="17" spans="1:1">
      <c r="A17" s="183"/>
    </row>
  </sheetData>
  <mergeCells count="1">
    <mergeCell ref="A1:D1"/>
  </mergeCells>
  <pageMargins left="0.7" right="0.7" top="0.75" bottom="0.75" header="0.3" footer="0.3"/>
  <pageSetup paperSize="9" scale="81" orientation="portrait" r:id="rId1"/>
  <headerFooter>
    <oddHeader>&amp;L&amp;"Times New Roman,Normál"&amp;8 13. melléklet 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view="pageLayout" zoomScale="232" zoomScaleNormal="100" zoomScaleSheetLayoutView="80" zoomScalePageLayoutView="232" workbookViewId="0">
      <selection activeCell="A2" sqref="A2"/>
    </sheetView>
  </sheetViews>
  <sheetFormatPr defaultRowHeight="15"/>
  <cols>
    <col min="1" max="1" width="42.28515625" style="61" customWidth="1"/>
    <col min="2" max="3" width="10.42578125" style="62" bestFit="1" customWidth="1"/>
    <col min="4" max="4" width="10.42578125" style="62" customWidth="1"/>
    <col min="5" max="5" width="40.140625" style="61" customWidth="1"/>
    <col min="6" max="7" width="10.42578125" style="62" bestFit="1" customWidth="1"/>
    <col min="8" max="8" width="10.42578125" style="62" customWidth="1"/>
    <col min="9" max="11" width="10.140625" style="62" customWidth="1"/>
    <col min="12" max="12" width="10.42578125" style="62" bestFit="1" customWidth="1"/>
    <col min="13" max="14" width="10.42578125" style="63" bestFit="1" customWidth="1"/>
    <col min="15" max="16384" width="9.140625" style="61"/>
  </cols>
  <sheetData>
    <row r="1" spans="1:14">
      <c r="A1" s="2326" t="s">
        <v>934</v>
      </c>
      <c r="B1" s="2326"/>
      <c r="C1" s="2326"/>
      <c r="D1" s="2326"/>
      <c r="E1" s="2326"/>
      <c r="F1" s="2326"/>
      <c r="G1" s="2326"/>
      <c r="H1" s="2326"/>
      <c r="I1" s="2326"/>
      <c r="J1" s="2326"/>
      <c r="K1" s="2326"/>
      <c r="L1" s="2326"/>
      <c r="M1" s="2326"/>
      <c r="N1" s="61"/>
    </row>
    <row r="2" spans="1:14" ht="15.75" thickBot="1"/>
    <row r="3" spans="1:14" ht="15.75" thickBot="1">
      <c r="A3" s="2337" t="s">
        <v>95</v>
      </c>
      <c r="B3" s="2338"/>
      <c r="C3" s="2338"/>
      <c r="D3" s="2339"/>
      <c r="E3" s="2337" t="s">
        <v>504</v>
      </c>
      <c r="F3" s="2338"/>
      <c r="G3" s="2338"/>
      <c r="H3" s="2338"/>
      <c r="I3" s="2338"/>
      <c r="J3" s="2338"/>
      <c r="K3" s="2338"/>
      <c r="L3" s="2338"/>
      <c r="M3" s="2338"/>
      <c r="N3" s="2339"/>
    </row>
    <row r="4" spans="1:14" s="64" customFormat="1" ht="30.75" customHeight="1">
      <c r="A4" s="2327" t="s">
        <v>737</v>
      </c>
      <c r="B4" s="2329" t="s">
        <v>3</v>
      </c>
      <c r="C4" s="2333" t="s">
        <v>962</v>
      </c>
      <c r="D4" s="2335" t="s">
        <v>975</v>
      </c>
      <c r="E4" s="2331" t="s">
        <v>737</v>
      </c>
      <c r="F4" s="2346" t="s">
        <v>56</v>
      </c>
      <c r="G4" s="2347"/>
      <c r="H4" s="2348"/>
      <c r="I4" s="2343" t="s">
        <v>57</v>
      </c>
      <c r="J4" s="2344"/>
      <c r="K4" s="2345"/>
      <c r="L4" s="2340" t="s">
        <v>68</v>
      </c>
      <c r="M4" s="2341"/>
      <c r="N4" s="2342"/>
    </row>
    <row r="5" spans="1:14" s="64" customFormat="1" ht="29.25" thickBot="1">
      <c r="A5" s="2328"/>
      <c r="B5" s="2330"/>
      <c r="C5" s="2334"/>
      <c r="D5" s="2336"/>
      <c r="E5" s="2332"/>
      <c r="F5" s="516" t="s">
        <v>3</v>
      </c>
      <c r="G5" s="517" t="s">
        <v>962</v>
      </c>
      <c r="H5" s="1404" t="s">
        <v>975</v>
      </c>
      <c r="I5" s="516" t="s">
        <v>3</v>
      </c>
      <c r="J5" s="517" t="s">
        <v>962</v>
      </c>
      <c r="K5" s="1405" t="s">
        <v>975</v>
      </c>
      <c r="L5" s="537" t="s">
        <v>3</v>
      </c>
      <c r="M5" s="931" t="s">
        <v>962</v>
      </c>
      <c r="N5" s="1406" t="s">
        <v>975</v>
      </c>
    </row>
    <row r="6" spans="1:14" s="64" customFormat="1" ht="30">
      <c r="A6" s="407" t="s">
        <v>500</v>
      </c>
      <c r="B6" s="413">
        <v>27000</v>
      </c>
      <c r="C6" s="521">
        <v>0</v>
      </c>
      <c r="D6" s="521">
        <v>0</v>
      </c>
      <c r="E6" s="407" t="s">
        <v>500</v>
      </c>
      <c r="F6" s="413">
        <v>27000</v>
      </c>
      <c r="G6" s="521">
        <v>0</v>
      </c>
      <c r="H6" s="521">
        <v>0</v>
      </c>
      <c r="I6" s="413"/>
      <c r="J6" s="521"/>
      <c r="K6" s="520"/>
      <c r="L6" s="231">
        <f t="shared" ref="L6:N10" si="0">F6+I6</f>
        <v>27000</v>
      </c>
      <c r="M6" s="538">
        <f t="shared" si="0"/>
        <v>0</v>
      </c>
      <c r="N6" s="534">
        <f t="shared" si="0"/>
        <v>0</v>
      </c>
    </row>
    <row r="7" spans="1:14" s="64" customFormat="1" ht="30">
      <c r="A7" s="408" t="s">
        <v>494</v>
      </c>
      <c r="B7" s="456">
        <v>169425</v>
      </c>
      <c r="C7" s="506">
        <v>167616</v>
      </c>
      <c r="D7" s="506">
        <v>167616</v>
      </c>
      <c r="E7" s="408" t="s">
        <v>494</v>
      </c>
      <c r="F7" s="394">
        <v>169425</v>
      </c>
      <c r="G7" s="395">
        <v>167616</v>
      </c>
      <c r="H7" s="395">
        <v>167616</v>
      </c>
      <c r="I7" s="396"/>
      <c r="J7" s="397"/>
      <c r="K7" s="515"/>
      <c r="L7" s="417">
        <f t="shared" si="0"/>
        <v>169425</v>
      </c>
      <c r="M7" s="392">
        <f t="shared" si="0"/>
        <v>167616</v>
      </c>
      <c r="N7" s="504">
        <f t="shared" si="0"/>
        <v>167616</v>
      </c>
    </row>
    <row r="8" spans="1:14" s="64" customFormat="1" ht="45">
      <c r="A8" s="409" t="s">
        <v>495</v>
      </c>
      <c r="B8" s="456">
        <v>124460</v>
      </c>
      <c r="C8" s="506">
        <v>158275</v>
      </c>
      <c r="D8" s="506">
        <v>158275</v>
      </c>
      <c r="E8" s="409" t="s">
        <v>495</v>
      </c>
      <c r="F8" s="414">
        <v>124460</v>
      </c>
      <c r="G8" s="525">
        <v>158275</v>
      </c>
      <c r="H8" s="525">
        <v>158275</v>
      </c>
      <c r="I8" s="396"/>
      <c r="J8" s="397"/>
      <c r="K8" s="515"/>
      <c r="L8" s="417">
        <f t="shared" si="0"/>
        <v>124460</v>
      </c>
      <c r="M8" s="388">
        <f t="shared" si="0"/>
        <v>158275</v>
      </c>
      <c r="N8" s="502">
        <f t="shared" si="0"/>
        <v>158275</v>
      </c>
    </row>
    <row r="9" spans="1:14" s="64" customFormat="1" ht="30">
      <c r="A9" s="410" t="s">
        <v>496</v>
      </c>
      <c r="B9" s="456">
        <v>27926</v>
      </c>
      <c r="C9" s="506">
        <v>114350</v>
      </c>
      <c r="D9" s="506">
        <v>114350</v>
      </c>
      <c r="E9" s="410" t="s">
        <v>496</v>
      </c>
      <c r="F9" s="415">
        <v>27926</v>
      </c>
      <c r="G9" s="526">
        <v>114350</v>
      </c>
      <c r="H9" s="526">
        <v>114350</v>
      </c>
      <c r="I9" s="396"/>
      <c r="J9" s="397"/>
      <c r="K9" s="515"/>
      <c r="L9" s="417">
        <f t="shared" si="0"/>
        <v>27926</v>
      </c>
      <c r="M9" s="388">
        <f t="shared" si="0"/>
        <v>114350</v>
      </c>
      <c r="N9" s="502">
        <f t="shared" si="0"/>
        <v>114350</v>
      </c>
    </row>
    <row r="10" spans="1:14" s="64" customFormat="1" ht="45">
      <c r="A10" s="411" t="s">
        <v>497</v>
      </c>
      <c r="B10" s="456">
        <v>311300</v>
      </c>
      <c r="C10" s="506">
        <v>311300</v>
      </c>
      <c r="D10" s="506">
        <v>311300</v>
      </c>
      <c r="E10" s="411" t="s">
        <v>497</v>
      </c>
      <c r="F10" s="416">
        <v>311300</v>
      </c>
      <c r="G10" s="527">
        <v>311300</v>
      </c>
      <c r="H10" s="527">
        <v>311300</v>
      </c>
      <c r="I10" s="396"/>
      <c r="J10" s="397"/>
      <c r="K10" s="515"/>
      <c r="L10" s="417">
        <f t="shared" si="0"/>
        <v>311300</v>
      </c>
      <c r="M10" s="388">
        <f t="shared" si="0"/>
        <v>311300</v>
      </c>
      <c r="N10" s="502">
        <f t="shared" si="0"/>
        <v>311300</v>
      </c>
    </row>
    <row r="11" spans="1:14" s="64" customFormat="1" ht="30">
      <c r="A11" s="408" t="s">
        <v>450</v>
      </c>
      <c r="B11" s="456">
        <v>136646</v>
      </c>
      <c r="C11" s="506">
        <v>138102</v>
      </c>
      <c r="D11" s="506">
        <v>138102</v>
      </c>
      <c r="E11" s="408" t="s">
        <v>450</v>
      </c>
      <c r="F11" s="394"/>
      <c r="G11" s="395"/>
      <c r="H11" s="395"/>
      <c r="I11" s="396">
        <v>136646</v>
      </c>
      <c r="J11" s="397">
        <v>138102</v>
      </c>
      <c r="K11" s="397">
        <v>138102</v>
      </c>
      <c r="L11" s="417">
        <f t="shared" ref="L11" si="1">F11+I11</f>
        <v>136646</v>
      </c>
      <c r="M11" s="388">
        <f t="shared" ref="M11:N20" si="2">G11+J11</f>
        <v>138102</v>
      </c>
      <c r="N11" s="502">
        <f t="shared" si="2"/>
        <v>138102</v>
      </c>
    </row>
    <row r="12" spans="1:14" s="64" customFormat="1" ht="45">
      <c r="A12" s="408" t="s">
        <v>484</v>
      </c>
      <c r="B12" s="456">
        <v>90000</v>
      </c>
      <c r="C12" s="506">
        <v>8088</v>
      </c>
      <c r="D12" s="506">
        <v>8088</v>
      </c>
      <c r="E12" s="408" t="s">
        <v>484</v>
      </c>
      <c r="F12" s="394">
        <v>90000</v>
      </c>
      <c r="G12" s="395">
        <v>8088</v>
      </c>
      <c r="H12" s="395">
        <v>8088</v>
      </c>
      <c r="I12" s="396"/>
      <c r="J12" s="397"/>
      <c r="K12" s="397"/>
      <c r="L12" s="417">
        <f t="shared" ref="L12:L20" si="3">F12+I12</f>
        <v>90000</v>
      </c>
      <c r="M12" s="388">
        <f t="shared" si="2"/>
        <v>8088</v>
      </c>
      <c r="N12" s="502">
        <f t="shared" si="2"/>
        <v>8088</v>
      </c>
    </row>
    <row r="13" spans="1:14" s="64" customFormat="1" ht="60">
      <c r="A13" s="408" t="s">
        <v>444</v>
      </c>
      <c r="B13" s="456">
        <v>4161</v>
      </c>
      <c r="C13" s="506">
        <v>11818</v>
      </c>
      <c r="D13" s="506">
        <v>11818</v>
      </c>
      <c r="E13" s="408" t="s">
        <v>444</v>
      </c>
      <c r="F13" s="394">
        <v>4161</v>
      </c>
      <c r="G13" s="395">
        <v>11818</v>
      </c>
      <c r="H13" s="395">
        <v>11818</v>
      </c>
      <c r="I13" s="396"/>
      <c r="J13" s="397"/>
      <c r="K13" s="397"/>
      <c r="L13" s="417">
        <f t="shared" si="3"/>
        <v>4161</v>
      </c>
      <c r="M13" s="388">
        <f t="shared" si="2"/>
        <v>11818</v>
      </c>
      <c r="N13" s="502">
        <f t="shared" si="2"/>
        <v>11818</v>
      </c>
    </row>
    <row r="14" spans="1:14" s="64" customFormat="1" ht="30">
      <c r="A14" s="408" t="s">
        <v>445</v>
      </c>
      <c r="B14" s="456">
        <v>363888</v>
      </c>
      <c r="C14" s="506">
        <v>353953</v>
      </c>
      <c r="D14" s="506">
        <v>353953</v>
      </c>
      <c r="E14" s="408" t="s">
        <v>445</v>
      </c>
      <c r="F14" s="394">
        <v>363888</v>
      </c>
      <c r="G14" s="395">
        <v>353953</v>
      </c>
      <c r="H14" s="395">
        <v>353953</v>
      </c>
      <c r="I14" s="396"/>
      <c r="J14" s="397"/>
      <c r="K14" s="397"/>
      <c r="L14" s="417">
        <f t="shared" si="3"/>
        <v>363888</v>
      </c>
      <c r="M14" s="388">
        <f t="shared" si="2"/>
        <v>353953</v>
      </c>
      <c r="N14" s="502">
        <f t="shared" si="2"/>
        <v>353953</v>
      </c>
    </row>
    <row r="15" spans="1:14" s="459" customFormat="1" ht="30">
      <c r="A15" s="943" t="s">
        <v>447</v>
      </c>
      <c r="B15" s="457">
        <v>37218</v>
      </c>
      <c r="C15" s="522">
        <v>36850</v>
      </c>
      <c r="D15" s="522">
        <v>0</v>
      </c>
      <c r="E15" s="943" t="s">
        <v>447</v>
      </c>
      <c r="F15" s="419">
        <v>37218</v>
      </c>
      <c r="G15" s="528">
        <v>36850</v>
      </c>
      <c r="H15" s="528">
        <v>0</v>
      </c>
      <c r="I15" s="420"/>
      <c r="J15" s="531"/>
      <c r="K15" s="531"/>
      <c r="L15" s="944">
        <f t="shared" si="3"/>
        <v>37218</v>
      </c>
      <c r="M15" s="539">
        <f t="shared" si="2"/>
        <v>36850</v>
      </c>
      <c r="N15" s="535">
        <f t="shared" si="2"/>
        <v>0</v>
      </c>
    </row>
    <row r="16" spans="1:14" s="64" customFormat="1" ht="30">
      <c r="A16" s="408" t="s">
        <v>446</v>
      </c>
      <c r="B16" s="456">
        <v>33627</v>
      </c>
      <c r="C16" s="506">
        <v>15456</v>
      </c>
      <c r="D16" s="506">
        <v>15456</v>
      </c>
      <c r="E16" s="408" t="s">
        <v>446</v>
      </c>
      <c r="F16" s="394">
        <v>33627</v>
      </c>
      <c r="G16" s="395">
        <v>15456</v>
      </c>
      <c r="H16" s="395">
        <v>15456</v>
      </c>
      <c r="I16" s="396"/>
      <c r="J16" s="397"/>
      <c r="K16" s="397"/>
      <c r="L16" s="417">
        <f t="shared" si="3"/>
        <v>33627</v>
      </c>
      <c r="M16" s="388">
        <f t="shared" si="2"/>
        <v>15456</v>
      </c>
      <c r="N16" s="502">
        <f t="shared" si="2"/>
        <v>15456</v>
      </c>
    </row>
    <row r="17" spans="1:14" s="64" customFormat="1" ht="60">
      <c r="A17" s="418" t="s">
        <v>553</v>
      </c>
      <c r="B17" s="457">
        <v>224517</v>
      </c>
      <c r="C17" s="522">
        <v>234994</v>
      </c>
      <c r="D17" s="522">
        <v>234994</v>
      </c>
      <c r="E17" s="418" t="s">
        <v>553</v>
      </c>
      <c r="F17" s="419">
        <v>224517</v>
      </c>
      <c r="G17" s="528">
        <v>234994</v>
      </c>
      <c r="H17" s="528">
        <v>234994</v>
      </c>
      <c r="I17" s="420"/>
      <c r="J17" s="531"/>
      <c r="K17" s="531"/>
      <c r="L17" s="417">
        <f t="shared" si="3"/>
        <v>224517</v>
      </c>
      <c r="M17" s="539">
        <f t="shared" si="2"/>
        <v>234994</v>
      </c>
      <c r="N17" s="535">
        <f t="shared" si="2"/>
        <v>234994</v>
      </c>
    </row>
    <row r="18" spans="1:14" s="64" customFormat="1">
      <c r="A18" s="412" t="s">
        <v>694</v>
      </c>
      <c r="B18" s="456">
        <v>101040</v>
      </c>
      <c r="C18" s="506">
        <v>47055</v>
      </c>
      <c r="D18" s="506">
        <v>47055</v>
      </c>
      <c r="E18" s="412" t="s">
        <v>694</v>
      </c>
      <c r="F18" s="394"/>
      <c r="G18" s="395">
        <v>47055</v>
      </c>
      <c r="H18" s="395">
        <v>47055</v>
      </c>
      <c r="I18" s="396">
        <v>101040</v>
      </c>
      <c r="J18" s="397"/>
      <c r="K18" s="397"/>
      <c r="L18" s="417">
        <f t="shared" si="3"/>
        <v>101040</v>
      </c>
      <c r="M18" s="388">
        <f t="shared" si="2"/>
        <v>47055</v>
      </c>
      <c r="N18" s="502">
        <f t="shared" si="2"/>
        <v>47055</v>
      </c>
    </row>
    <row r="19" spans="1:14" s="64" customFormat="1" ht="30.75" thickBot="1">
      <c r="A19" s="421" t="s">
        <v>885</v>
      </c>
      <c r="B19" s="458"/>
      <c r="C19" s="523">
        <v>6838</v>
      </c>
      <c r="D19" s="523">
        <v>6838</v>
      </c>
      <c r="E19" s="421" t="s">
        <v>500</v>
      </c>
      <c r="F19" s="529"/>
      <c r="G19" s="530"/>
      <c r="H19" s="530"/>
      <c r="I19" s="532"/>
      <c r="J19" s="533">
        <v>6838</v>
      </c>
      <c r="K19" s="533">
        <v>6838</v>
      </c>
      <c r="L19" s="478">
        <f t="shared" si="3"/>
        <v>0</v>
      </c>
      <c r="M19" s="540">
        <f t="shared" si="2"/>
        <v>6838</v>
      </c>
      <c r="N19" s="536">
        <f t="shared" si="2"/>
        <v>6838</v>
      </c>
    </row>
    <row r="20" spans="1:14" ht="15.75" thickBot="1">
      <c r="A20" s="232" t="s">
        <v>68</v>
      </c>
      <c r="B20" s="237">
        <f>SUM(B6:B18)</f>
        <v>1651208</v>
      </c>
      <c r="C20" s="524">
        <f>SUM(C6:C19)</f>
        <v>1604695</v>
      </c>
      <c r="D20" s="234">
        <f>SUM(D6:D19)</f>
        <v>1567845</v>
      </c>
      <c r="E20" s="232" t="s">
        <v>68</v>
      </c>
      <c r="F20" s="233">
        <f>SUM(F6:F17)</f>
        <v>1413522</v>
      </c>
      <c r="G20" s="524">
        <f>SUM(G6:G19)</f>
        <v>1459755</v>
      </c>
      <c r="H20" s="234">
        <f>SUM(H6:H19)</f>
        <v>1422905</v>
      </c>
      <c r="I20" s="233">
        <f>SUM(I6:I18)</f>
        <v>237686</v>
      </c>
      <c r="J20" s="524">
        <f>SUM(J6:J19)</f>
        <v>144940</v>
      </c>
      <c r="K20" s="234">
        <f>SUM(K6:K19)</f>
        <v>144940</v>
      </c>
      <c r="L20" s="233">
        <f t="shared" si="3"/>
        <v>1651208</v>
      </c>
      <c r="M20" s="541">
        <f t="shared" si="2"/>
        <v>1604695</v>
      </c>
      <c r="N20" s="477">
        <f t="shared" si="2"/>
        <v>1567845</v>
      </c>
    </row>
    <row r="21" spans="1:14">
      <c r="A21" s="66"/>
      <c r="B21" s="67"/>
      <c r="C21" s="67"/>
      <c r="D21" s="67"/>
      <c r="E21" s="66"/>
      <c r="F21" s="68"/>
      <c r="G21" s="68"/>
      <c r="H21" s="68"/>
      <c r="I21" s="67"/>
      <c r="J21" s="67"/>
      <c r="K21" s="67"/>
      <c r="L21" s="67"/>
      <c r="M21" s="67"/>
      <c r="N21" s="67"/>
    </row>
    <row r="23" spans="1:14">
      <c r="A23" s="119"/>
    </row>
    <row r="24" spans="1:14">
      <c r="A24" s="119"/>
    </row>
  </sheetData>
  <sortState ref="A6:X14">
    <sortCondition ref="N6:N14"/>
  </sortState>
  <mergeCells count="11">
    <mergeCell ref="A1:M1"/>
    <mergeCell ref="A4:A5"/>
    <mergeCell ref="B4:B5"/>
    <mergeCell ref="E4:E5"/>
    <mergeCell ref="C4:C5"/>
    <mergeCell ref="D4:D5"/>
    <mergeCell ref="A3:D3"/>
    <mergeCell ref="E3:N3"/>
    <mergeCell ref="L4:N4"/>
    <mergeCell ref="I4:K4"/>
    <mergeCell ref="F4:H4"/>
  </mergeCells>
  <pageMargins left="0.53" right="0.26" top="0.74803149606299213" bottom="0.74803149606299213" header="0.31496062992125984" footer="0.31496062992125984"/>
  <pageSetup paperSize="9" scale="68" orientation="landscape" r:id="rId1"/>
  <headerFooter>
    <oddHeader>&amp;L&amp;"Times New Roman,Normál"&amp;8 14. melléklet  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0"/>
  <sheetViews>
    <sheetView view="pageLayout" zoomScale="91" zoomScaleNormal="66" zoomScaleSheetLayoutView="20" zoomScalePageLayoutView="91" workbookViewId="0">
      <selection sqref="A1:Z1"/>
    </sheetView>
  </sheetViews>
  <sheetFormatPr defaultRowHeight="15"/>
  <cols>
    <col min="1" max="1" width="54" style="61" customWidth="1"/>
    <col min="2" max="2" width="9.85546875" style="62" customWidth="1"/>
    <col min="3" max="4" width="12.7109375" style="62" customWidth="1"/>
    <col min="5" max="5" width="50.42578125" style="61" customWidth="1"/>
    <col min="6" max="6" width="10" style="62" customWidth="1"/>
    <col min="7" max="7" width="11.85546875" style="62" customWidth="1"/>
    <col min="8" max="9" width="10" style="62" customWidth="1"/>
    <col min="10" max="10" width="12.5703125" style="62" customWidth="1"/>
    <col min="11" max="12" width="10" style="62" customWidth="1"/>
    <col min="13" max="13" width="11.28515625" style="62" customWidth="1"/>
    <col min="14" max="15" width="10" style="62" customWidth="1"/>
    <col min="16" max="16" width="11.42578125" style="62" customWidth="1"/>
    <col min="17" max="18" width="10" style="62" customWidth="1"/>
    <col min="19" max="19" width="10.7109375" style="62" customWidth="1"/>
    <col min="20" max="20" width="10" style="62" customWidth="1"/>
    <col min="21" max="23" width="9" style="62" customWidth="1"/>
    <col min="24" max="24" width="10" style="62" customWidth="1"/>
    <col min="25" max="25" width="12" style="63" customWidth="1"/>
    <col min="26" max="26" width="13.85546875" style="519" customWidth="1"/>
    <col min="27" max="16384" width="9.140625" style="61"/>
  </cols>
  <sheetData>
    <row r="1" spans="1:26" ht="18.75">
      <c r="A1" s="2349" t="s">
        <v>907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  <c r="P1" s="2349"/>
      <c r="Q1" s="2349"/>
      <c r="R1" s="2349"/>
      <c r="S1" s="2349"/>
      <c r="T1" s="2349"/>
      <c r="U1" s="2349"/>
      <c r="V1" s="2349"/>
      <c r="W1" s="2349"/>
      <c r="X1" s="2349"/>
      <c r="Y1" s="2349"/>
      <c r="Z1" s="2349"/>
    </row>
    <row r="2" spans="1:26" ht="19.5" thickBot="1">
      <c r="A2" s="1852"/>
      <c r="B2" s="1853"/>
      <c r="C2" s="1853"/>
      <c r="D2" s="1853"/>
      <c r="E2" s="1852"/>
      <c r="F2" s="1853"/>
      <c r="G2" s="1853"/>
      <c r="H2" s="1853"/>
      <c r="I2" s="1853"/>
      <c r="J2" s="1853"/>
      <c r="K2" s="1853"/>
      <c r="L2" s="1853"/>
      <c r="M2" s="1853"/>
      <c r="N2" s="1853"/>
      <c r="O2" s="1853"/>
      <c r="P2" s="1853"/>
      <c r="Q2" s="1853"/>
      <c r="R2" s="1853"/>
      <c r="S2" s="1853"/>
      <c r="T2" s="1853"/>
      <c r="U2" s="1853"/>
      <c r="V2" s="1853"/>
      <c r="W2" s="1853"/>
      <c r="X2" s="1853"/>
      <c r="Y2" s="1854"/>
      <c r="Z2" s="1855"/>
    </row>
    <row r="3" spans="1:26" ht="19.5" thickBot="1">
      <c r="A3" s="2350" t="s">
        <v>95</v>
      </c>
      <c r="B3" s="2351"/>
      <c r="C3" s="2351"/>
      <c r="D3" s="2352"/>
      <c r="E3" s="2350" t="s">
        <v>504</v>
      </c>
      <c r="F3" s="2351"/>
      <c r="G3" s="2351"/>
      <c r="H3" s="2351"/>
      <c r="I3" s="2351"/>
      <c r="J3" s="2351"/>
      <c r="K3" s="2351"/>
      <c r="L3" s="2351"/>
      <c r="M3" s="2351"/>
      <c r="N3" s="2351"/>
      <c r="O3" s="2351"/>
      <c r="P3" s="2351"/>
      <c r="Q3" s="2351"/>
      <c r="R3" s="2356"/>
      <c r="S3" s="2356"/>
      <c r="T3" s="2356"/>
      <c r="U3" s="2351"/>
      <c r="V3" s="2351"/>
      <c r="W3" s="2351"/>
      <c r="X3" s="2351"/>
      <c r="Y3" s="2351"/>
      <c r="Z3" s="2352"/>
    </row>
    <row r="4" spans="1:26" s="518" customFormat="1" ht="69.75" customHeight="1">
      <c r="A4" s="2357" t="s">
        <v>714</v>
      </c>
      <c r="B4" s="2361" t="s">
        <v>3</v>
      </c>
      <c r="C4" s="2363" t="s">
        <v>976</v>
      </c>
      <c r="D4" s="2365" t="s">
        <v>975</v>
      </c>
      <c r="E4" s="2359" t="s">
        <v>714</v>
      </c>
      <c r="F4" s="2353" t="s">
        <v>6</v>
      </c>
      <c r="G4" s="2354"/>
      <c r="H4" s="2355"/>
      <c r="I4" s="2367" t="s">
        <v>221</v>
      </c>
      <c r="J4" s="2368"/>
      <c r="K4" s="2369"/>
      <c r="L4" s="2353" t="s">
        <v>12</v>
      </c>
      <c r="M4" s="2354"/>
      <c r="N4" s="2355"/>
      <c r="O4" s="2353" t="s">
        <v>949</v>
      </c>
      <c r="P4" s="2354"/>
      <c r="Q4" s="2354"/>
      <c r="R4" s="2353" t="s">
        <v>950</v>
      </c>
      <c r="S4" s="2354"/>
      <c r="T4" s="2355"/>
      <c r="U4" s="2354" t="s">
        <v>327</v>
      </c>
      <c r="V4" s="2354"/>
      <c r="W4" s="2355"/>
      <c r="X4" s="2353" t="s">
        <v>68</v>
      </c>
      <c r="Y4" s="2354"/>
      <c r="Z4" s="2355"/>
    </row>
    <row r="5" spans="1:26" s="459" customFormat="1" ht="59.25" customHeight="1" thickBot="1">
      <c r="A5" s="2358"/>
      <c r="B5" s="2362"/>
      <c r="C5" s="2364"/>
      <c r="D5" s="2366"/>
      <c r="E5" s="2360"/>
      <c r="F5" s="1856" t="s">
        <v>3</v>
      </c>
      <c r="G5" s="1857" t="s">
        <v>962</v>
      </c>
      <c r="H5" s="1858" t="s">
        <v>975</v>
      </c>
      <c r="I5" s="1856" t="s">
        <v>3</v>
      </c>
      <c r="J5" s="1857" t="s">
        <v>962</v>
      </c>
      <c r="K5" s="1859" t="s">
        <v>975</v>
      </c>
      <c r="L5" s="1860" t="s">
        <v>3</v>
      </c>
      <c r="M5" s="1857" t="s">
        <v>962</v>
      </c>
      <c r="N5" s="1858" t="s">
        <v>975</v>
      </c>
      <c r="O5" s="1856" t="s">
        <v>3</v>
      </c>
      <c r="P5" s="1858" t="s">
        <v>962</v>
      </c>
      <c r="Q5" s="1858" t="s">
        <v>975</v>
      </c>
      <c r="R5" s="1861" t="s">
        <v>3</v>
      </c>
      <c r="S5" s="1862" t="s">
        <v>962</v>
      </c>
      <c r="T5" s="1863" t="s">
        <v>975</v>
      </c>
      <c r="U5" s="1860" t="s">
        <v>3</v>
      </c>
      <c r="V5" s="1858" t="s">
        <v>1035</v>
      </c>
      <c r="W5" s="1858" t="s">
        <v>975</v>
      </c>
      <c r="X5" s="1864" t="s">
        <v>3</v>
      </c>
      <c r="Y5" s="1862" t="s">
        <v>962</v>
      </c>
      <c r="Z5" s="1865" t="s">
        <v>975</v>
      </c>
    </row>
    <row r="6" spans="1:26" s="64" customFormat="1" ht="43.5" customHeight="1">
      <c r="A6" s="1866" t="s">
        <v>500</v>
      </c>
      <c r="B6" s="1867">
        <v>46700</v>
      </c>
      <c r="C6" s="1867"/>
      <c r="D6" s="1868"/>
      <c r="E6" s="1869" t="s">
        <v>500</v>
      </c>
      <c r="F6" s="1870"/>
      <c r="G6" s="1871"/>
      <c r="H6" s="1872"/>
      <c r="I6" s="1873"/>
      <c r="J6" s="1874"/>
      <c r="K6" s="1875"/>
      <c r="L6" s="1876">
        <v>46700</v>
      </c>
      <c r="M6" s="1871"/>
      <c r="N6" s="1872"/>
      <c r="O6" s="1870"/>
      <c r="P6" s="1871"/>
      <c r="Q6" s="1872"/>
      <c r="R6" s="1873"/>
      <c r="S6" s="1874"/>
      <c r="T6" s="1877"/>
      <c r="U6" s="1876"/>
      <c r="V6" s="1871"/>
      <c r="W6" s="1872"/>
      <c r="X6" s="1878">
        <f>F6+I6+L6+O6+U6+R6</f>
        <v>46700</v>
      </c>
      <c r="Y6" s="1879">
        <f t="shared" ref="Y6:Z21" si="0">G6+J6+M6+P6+V6+S6</f>
        <v>0</v>
      </c>
      <c r="Z6" s="1880">
        <f t="shared" si="0"/>
        <v>0</v>
      </c>
    </row>
    <row r="7" spans="1:26" s="64" customFormat="1" ht="30" customHeight="1">
      <c r="A7" s="1881" t="s">
        <v>869</v>
      </c>
      <c r="B7" s="1882"/>
      <c r="C7" s="1882">
        <v>2155</v>
      </c>
      <c r="D7" s="1883">
        <v>2155</v>
      </c>
      <c r="E7" s="1884" t="s">
        <v>869</v>
      </c>
      <c r="F7" s="1885"/>
      <c r="G7" s="1886"/>
      <c r="H7" s="1887"/>
      <c r="I7" s="1888"/>
      <c r="J7" s="1889"/>
      <c r="K7" s="1890"/>
      <c r="L7" s="1891"/>
      <c r="M7" s="1886"/>
      <c r="N7" s="1887"/>
      <c r="O7" s="1885"/>
      <c r="P7" s="1886">
        <v>2155</v>
      </c>
      <c r="Q7" s="1887">
        <v>2155</v>
      </c>
      <c r="R7" s="1885"/>
      <c r="S7" s="1889"/>
      <c r="T7" s="1892"/>
      <c r="U7" s="1891"/>
      <c r="V7" s="1886"/>
      <c r="W7" s="1887"/>
      <c r="X7" s="1893">
        <f t="shared" ref="X7:Z25" si="1">F7+I7+L7+O7+U7+R7</f>
        <v>0</v>
      </c>
      <c r="Y7" s="1894">
        <f t="shared" si="0"/>
        <v>2155</v>
      </c>
      <c r="Z7" s="1895">
        <f t="shared" si="0"/>
        <v>2155</v>
      </c>
    </row>
    <row r="8" spans="1:26" s="64" customFormat="1" ht="56.25">
      <c r="A8" s="1881" t="s">
        <v>501</v>
      </c>
      <c r="B8" s="1882">
        <v>50000</v>
      </c>
      <c r="C8" s="1882">
        <v>0</v>
      </c>
      <c r="D8" s="1883">
        <v>0</v>
      </c>
      <c r="E8" s="1896" t="s">
        <v>501</v>
      </c>
      <c r="F8" s="1885"/>
      <c r="G8" s="1886"/>
      <c r="H8" s="1887"/>
      <c r="I8" s="1888"/>
      <c r="J8" s="1889"/>
      <c r="K8" s="1890"/>
      <c r="L8" s="1891">
        <v>50000</v>
      </c>
      <c r="M8" s="1886"/>
      <c r="N8" s="1887"/>
      <c r="O8" s="1897"/>
      <c r="P8" s="1898"/>
      <c r="Q8" s="1899"/>
      <c r="R8" s="1897"/>
      <c r="S8" s="1894"/>
      <c r="T8" s="1900"/>
      <c r="U8" s="1901"/>
      <c r="V8" s="1898"/>
      <c r="W8" s="1899"/>
      <c r="X8" s="1893">
        <f t="shared" si="1"/>
        <v>50000</v>
      </c>
      <c r="Y8" s="1894">
        <f t="shared" si="0"/>
        <v>0</v>
      </c>
      <c r="Z8" s="1895">
        <f t="shared" si="0"/>
        <v>0</v>
      </c>
    </row>
    <row r="9" spans="1:26" s="64" customFormat="1" ht="71.25" customHeight="1">
      <c r="A9" s="1881" t="s">
        <v>502</v>
      </c>
      <c r="B9" s="1882">
        <v>10</v>
      </c>
      <c r="C9" s="1882">
        <v>3199</v>
      </c>
      <c r="D9" s="1883">
        <v>3199</v>
      </c>
      <c r="E9" s="1896" t="s">
        <v>502</v>
      </c>
      <c r="F9" s="1885">
        <v>10</v>
      </c>
      <c r="G9" s="1886">
        <v>2500</v>
      </c>
      <c r="H9" s="1886">
        <v>2500</v>
      </c>
      <c r="I9" s="1888"/>
      <c r="J9" s="1889">
        <v>431</v>
      </c>
      <c r="K9" s="1890">
        <v>431</v>
      </c>
      <c r="L9" s="1891"/>
      <c r="M9" s="1886">
        <v>268</v>
      </c>
      <c r="N9" s="1886">
        <v>268</v>
      </c>
      <c r="O9" s="1885"/>
      <c r="P9" s="1886"/>
      <c r="Q9" s="1887"/>
      <c r="R9" s="1885"/>
      <c r="S9" s="1889"/>
      <c r="T9" s="1892"/>
      <c r="U9" s="1891"/>
      <c r="V9" s="1886"/>
      <c r="W9" s="1887"/>
      <c r="X9" s="1893">
        <f t="shared" si="1"/>
        <v>10</v>
      </c>
      <c r="Y9" s="1894">
        <f t="shared" si="0"/>
        <v>3199</v>
      </c>
      <c r="Z9" s="1895">
        <f t="shared" si="0"/>
        <v>3199</v>
      </c>
    </row>
    <row r="10" spans="1:26" s="64" customFormat="1" ht="56.25">
      <c r="A10" s="1881" t="s">
        <v>498</v>
      </c>
      <c r="B10" s="1882">
        <v>500</v>
      </c>
      <c r="C10" s="1882">
        <v>0</v>
      </c>
      <c r="D10" s="1883">
        <v>0</v>
      </c>
      <c r="E10" s="1896" t="s">
        <v>498</v>
      </c>
      <c r="F10" s="1885"/>
      <c r="G10" s="1886"/>
      <c r="H10" s="1886"/>
      <c r="I10" s="1888"/>
      <c r="J10" s="1889"/>
      <c r="K10" s="1890"/>
      <c r="L10" s="1891">
        <v>500</v>
      </c>
      <c r="M10" s="1886"/>
      <c r="N10" s="1886"/>
      <c r="O10" s="1885"/>
      <c r="P10" s="1886"/>
      <c r="Q10" s="1887"/>
      <c r="R10" s="1885"/>
      <c r="S10" s="1889"/>
      <c r="T10" s="1892"/>
      <c r="U10" s="1891"/>
      <c r="V10" s="1886"/>
      <c r="W10" s="1887"/>
      <c r="X10" s="1893">
        <f t="shared" si="1"/>
        <v>500</v>
      </c>
      <c r="Y10" s="1894">
        <f t="shared" si="0"/>
        <v>0</v>
      </c>
      <c r="Z10" s="1895">
        <f t="shared" si="0"/>
        <v>0</v>
      </c>
    </row>
    <row r="11" spans="1:26" s="64" customFormat="1" ht="37.5">
      <c r="A11" s="1881" t="s">
        <v>499</v>
      </c>
      <c r="B11" s="1882">
        <v>8000</v>
      </c>
      <c r="C11" s="1882">
        <v>4412</v>
      </c>
      <c r="D11" s="1883">
        <v>4412</v>
      </c>
      <c r="E11" s="1896" t="s">
        <v>499</v>
      </c>
      <c r="F11" s="1885">
        <v>4720</v>
      </c>
      <c r="G11" s="1886">
        <v>3770</v>
      </c>
      <c r="H11" s="1886">
        <v>3770</v>
      </c>
      <c r="I11" s="1888">
        <v>1000</v>
      </c>
      <c r="J11" s="1889">
        <v>642</v>
      </c>
      <c r="K11" s="1890">
        <v>642</v>
      </c>
      <c r="L11" s="1891">
        <v>2280</v>
      </c>
      <c r="M11" s="1886"/>
      <c r="N11" s="1886"/>
      <c r="O11" s="1885"/>
      <c r="P11" s="1886"/>
      <c r="Q11" s="1887"/>
      <c r="R11" s="1885"/>
      <c r="S11" s="1889"/>
      <c r="T11" s="1892"/>
      <c r="U11" s="1891"/>
      <c r="V11" s="1886"/>
      <c r="W11" s="1887"/>
      <c r="X11" s="1893">
        <f t="shared" si="1"/>
        <v>8000</v>
      </c>
      <c r="Y11" s="1894">
        <f t="shared" si="0"/>
        <v>4412</v>
      </c>
      <c r="Z11" s="1895">
        <f t="shared" si="0"/>
        <v>4412</v>
      </c>
    </row>
    <row r="12" spans="1:26" s="64" customFormat="1" ht="37.5">
      <c r="A12" s="1881" t="s">
        <v>870</v>
      </c>
      <c r="B12" s="1882"/>
      <c r="C12" s="1882">
        <v>436</v>
      </c>
      <c r="D12" s="1883">
        <v>436</v>
      </c>
      <c r="E12" s="1896" t="s">
        <v>870</v>
      </c>
      <c r="F12" s="1885"/>
      <c r="G12" s="1886">
        <v>9</v>
      </c>
      <c r="H12" s="1886">
        <v>9</v>
      </c>
      <c r="I12" s="1888"/>
      <c r="J12" s="1889">
        <v>0</v>
      </c>
      <c r="K12" s="1890">
        <v>0</v>
      </c>
      <c r="L12" s="1891"/>
      <c r="M12" s="1886"/>
      <c r="N12" s="1886"/>
      <c r="O12" s="1885"/>
      <c r="P12" s="1886"/>
      <c r="Q12" s="1887"/>
      <c r="R12" s="1885"/>
      <c r="S12" s="1889">
        <v>427</v>
      </c>
      <c r="T12" s="1892">
        <v>427</v>
      </c>
      <c r="U12" s="1891"/>
      <c r="V12" s="1886"/>
      <c r="W12" s="1887"/>
      <c r="X12" s="1893">
        <f t="shared" si="1"/>
        <v>0</v>
      </c>
      <c r="Y12" s="1894">
        <f t="shared" si="0"/>
        <v>436</v>
      </c>
      <c r="Z12" s="1895">
        <f t="shared" si="0"/>
        <v>436</v>
      </c>
    </row>
    <row r="13" spans="1:26" s="64" customFormat="1" ht="66" customHeight="1">
      <c r="A13" s="1881" t="s">
        <v>871</v>
      </c>
      <c r="B13" s="1882"/>
      <c r="C13" s="1882">
        <v>506</v>
      </c>
      <c r="D13" s="1883">
        <v>506</v>
      </c>
      <c r="E13" s="1896" t="s">
        <v>871</v>
      </c>
      <c r="F13" s="1885"/>
      <c r="G13" s="1886"/>
      <c r="H13" s="1886"/>
      <c r="I13" s="1888"/>
      <c r="J13" s="1889"/>
      <c r="K13" s="1890"/>
      <c r="L13" s="1891"/>
      <c r="M13" s="1886">
        <v>506</v>
      </c>
      <c r="N13" s="1886">
        <v>506</v>
      </c>
      <c r="O13" s="1885"/>
      <c r="P13" s="1886"/>
      <c r="Q13" s="1887"/>
      <c r="R13" s="1885"/>
      <c r="S13" s="1889"/>
      <c r="T13" s="1892"/>
      <c r="U13" s="1891"/>
      <c r="V13" s="1886"/>
      <c r="W13" s="1887"/>
      <c r="X13" s="1893">
        <f t="shared" si="1"/>
        <v>0</v>
      </c>
      <c r="Y13" s="1894">
        <f t="shared" si="0"/>
        <v>506</v>
      </c>
      <c r="Z13" s="1895">
        <f t="shared" si="0"/>
        <v>506</v>
      </c>
    </row>
    <row r="14" spans="1:26" s="64" customFormat="1" ht="37.5">
      <c r="A14" s="1902" t="s">
        <v>494</v>
      </c>
      <c r="B14" s="1882">
        <v>5444</v>
      </c>
      <c r="C14" s="1882">
        <v>5444</v>
      </c>
      <c r="D14" s="1883">
        <v>5444</v>
      </c>
      <c r="E14" s="1903" t="s">
        <v>494</v>
      </c>
      <c r="F14" s="1904">
        <v>1169</v>
      </c>
      <c r="G14" s="1905">
        <v>1169</v>
      </c>
      <c r="H14" s="1905">
        <v>1169</v>
      </c>
      <c r="I14" s="1906">
        <v>205</v>
      </c>
      <c r="J14" s="1907">
        <v>205</v>
      </c>
      <c r="K14" s="1908">
        <v>205</v>
      </c>
      <c r="L14" s="1909">
        <v>4070</v>
      </c>
      <c r="M14" s="1905">
        <v>4070</v>
      </c>
      <c r="N14" s="1905">
        <v>4070</v>
      </c>
      <c r="O14" s="1904"/>
      <c r="P14" s="1905"/>
      <c r="Q14" s="1910"/>
      <c r="R14" s="1904"/>
      <c r="S14" s="1907"/>
      <c r="T14" s="1911"/>
      <c r="U14" s="1909"/>
      <c r="V14" s="1905"/>
      <c r="W14" s="1910"/>
      <c r="X14" s="1893">
        <f t="shared" si="1"/>
        <v>5444</v>
      </c>
      <c r="Y14" s="1894">
        <f t="shared" si="0"/>
        <v>5444</v>
      </c>
      <c r="Z14" s="1895">
        <f t="shared" si="0"/>
        <v>5444</v>
      </c>
    </row>
    <row r="15" spans="1:26" s="64" customFormat="1" ht="76.5" customHeight="1">
      <c r="A15" s="1912" t="s">
        <v>495</v>
      </c>
      <c r="B15" s="1882">
        <v>7100</v>
      </c>
      <c r="C15" s="1882">
        <v>7100</v>
      </c>
      <c r="D15" s="1883">
        <v>7100</v>
      </c>
      <c r="E15" s="1913" t="s">
        <v>495</v>
      </c>
      <c r="F15" s="1914">
        <v>1353</v>
      </c>
      <c r="G15" s="1915">
        <v>1353</v>
      </c>
      <c r="H15" s="1915">
        <v>1353</v>
      </c>
      <c r="I15" s="1916">
        <v>213</v>
      </c>
      <c r="J15" s="1917">
        <v>213</v>
      </c>
      <c r="K15" s="1918">
        <v>213</v>
      </c>
      <c r="L15" s="1919">
        <v>5534</v>
      </c>
      <c r="M15" s="1915">
        <v>5534</v>
      </c>
      <c r="N15" s="1915">
        <v>5534</v>
      </c>
      <c r="O15" s="1904"/>
      <c r="P15" s="1905"/>
      <c r="Q15" s="1910"/>
      <c r="R15" s="1904"/>
      <c r="S15" s="1907"/>
      <c r="T15" s="1911"/>
      <c r="U15" s="1909"/>
      <c r="V15" s="1905"/>
      <c r="W15" s="1910"/>
      <c r="X15" s="1893">
        <f t="shared" si="1"/>
        <v>7100</v>
      </c>
      <c r="Y15" s="1894">
        <f t="shared" si="0"/>
        <v>7100</v>
      </c>
      <c r="Z15" s="1895">
        <f t="shared" si="0"/>
        <v>7100</v>
      </c>
    </row>
    <row r="16" spans="1:26" s="64" customFormat="1" ht="60" customHeight="1">
      <c r="A16" s="1920" t="s">
        <v>496</v>
      </c>
      <c r="B16" s="1882">
        <v>5694</v>
      </c>
      <c r="C16" s="1882">
        <v>20274</v>
      </c>
      <c r="D16" s="1883">
        <v>20274</v>
      </c>
      <c r="E16" s="1921" t="s">
        <v>496</v>
      </c>
      <c r="F16" s="1914">
        <v>340</v>
      </c>
      <c r="G16" s="1915">
        <v>340</v>
      </c>
      <c r="H16" s="1915">
        <v>340</v>
      </c>
      <c r="I16" s="1916"/>
      <c r="J16" s="1917"/>
      <c r="K16" s="1918"/>
      <c r="L16" s="1919">
        <v>5354</v>
      </c>
      <c r="M16" s="1915">
        <v>19934</v>
      </c>
      <c r="N16" s="1915">
        <v>19934</v>
      </c>
      <c r="O16" s="1922"/>
      <c r="P16" s="1923"/>
      <c r="Q16" s="1924"/>
      <c r="R16" s="1922"/>
      <c r="S16" s="1925"/>
      <c r="T16" s="1926"/>
      <c r="U16" s="1927"/>
      <c r="V16" s="1923"/>
      <c r="W16" s="1924"/>
      <c r="X16" s="1893">
        <f t="shared" si="1"/>
        <v>5694</v>
      </c>
      <c r="Y16" s="1894">
        <f t="shared" si="0"/>
        <v>20274</v>
      </c>
      <c r="Z16" s="1895">
        <f t="shared" si="0"/>
        <v>20274</v>
      </c>
    </row>
    <row r="17" spans="1:26" s="64" customFormat="1" ht="56.25">
      <c r="A17" s="1920" t="s">
        <v>497</v>
      </c>
      <c r="B17" s="1882">
        <v>9438</v>
      </c>
      <c r="C17" s="1882">
        <v>9109</v>
      </c>
      <c r="D17" s="1883">
        <v>9109</v>
      </c>
      <c r="E17" s="1921" t="s">
        <v>497</v>
      </c>
      <c r="F17" s="1922">
        <v>1483</v>
      </c>
      <c r="G17" s="1923">
        <v>1483</v>
      </c>
      <c r="H17" s="1923">
        <v>1483</v>
      </c>
      <c r="I17" s="1928">
        <v>319</v>
      </c>
      <c r="J17" s="1925">
        <v>319</v>
      </c>
      <c r="K17" s="1929">
        <v>319</v>
      </c>
      <c r="L17" s="1927">
        <v>7636</v>
      </c>
      <c r="M17" s="1923">
        <v>7307</v>
      </c>
      <c r="N17" s="1923">
        <v>7307</v>
      </c>
      <c r="O17" s="1922"/>
      <c r="P17" s="1923"/>
      <c r="Q17" s="1924"/>
      <c r="R17" s="1922"/>
      <c r="S17" s="1925"/>
      <c r="T17" s="1926"/>
      <c r="U17" s="1927"/>
      <c r="V17" s="1923"/>
      <c r="W17" s="1924"/>
      <c r="X17" s="1893">
        <f t="shared" si="1"/>
        <v>9438</v>
      </c>
      <c r="Y17" s="1894">
        <f t="shared" si="0"/>
        <v>9109</v>
      </c>
      <c r="Z17" s="1895">
        <f t="shared" si="0"/>
        <v>9109</v>
      </c>
    </row>
    <row r="18" spans="1:26" s="64" customFormat="1" ht="81" customHeight="1">
      <c r="A18" s="1930" t="s">
        <v>444</v>
      </c>
      <c r="B18" s="1931">
        <v>2308</v>
      </c>
      <c r="C18" s="1931">
        <v>2308</v>
      </c>
      <c r="D18" s="1932">
        <v>2308</v>
      </c>
      <c r="E18" s="1933" t="s">
        <v>444</v>
      </c>
      <c r="F18" s="1914"/>
      <c r="G18" s="1915"/>
      <c r="H18" s="1915"/>
      <c r="I18" s="1916"/>
      <c r="J18" s="1917"/>
      <c r="K18" s="1918"/>
      <c r="L18" s="1919">
        <v>2308</v>
      </c>
      <c r="M18" s="1915">
        <v>2308</v>
      </c>
      <c r="N18" s="1915">
        <v>2308</v>
      </c>
      <c r="O18" s="1897"/>
      <c r="P18" s="1898"/>
      <c r="Q18" s="1899"/>
      <c r="R18" s="1897"/>
      <c r="S18" s="1894"/>
      <c r="T18" s="1900"/>
      <c r="U18" s="1901"/>
      <c r="V18" s="1898"/>
      <c r="W18" s="1899"/>
      <c r="X18" s="1893">
        <f t="shared" si="1"/>
        <v>2308</v>
      </c>
      <c r="Y18" s="1894">
        <f t="shared" si="0"/>
        <v>2308</v>
      </c>
      <c r="Z18" s="1895">
        <f t="shared" si="0"/>
        <v>2308</v>
      </c>
    </row>
    <row r="19" spans="1:26" s="64" customFormat="1" ht="42.75" customHeight="1">
      <c r="A19" s="1930" t="s">
        <v>445</v>
      </c>
      <c r="B19" s="1931">
        <v>21888</v>
      </c>
      <c r="C19" s="1931">
        <v>21888</v>
      </c>
      <c r="D19" s="1932">
        <v>21888</v>
      </c>
      <c r="E19" s="1933" t="s">
        <v>445</v>
      </c>
      <c r="F19" s="1914">
        <v>6219</v>
      </c>
      <c r="G19" s="1915">
        <v>6219</v>
      </c>
      <c r="H19" s="1915">
        <v>6219</v>
      </c>
      <c r="I19" s="1916">
        <v>1565</v>
      </c>
      <c r="J19" s="1917">
        <v>1565</v>
      </c>
      <c r="K19" s="1918">
        <v>1565</v>
      </c>
      <c r="L19" s="1919">
        <v>14104</v>
      </c>
      <c r="M19" s="1915">
        <v>14104</v>
      </c>
      <c r="N19" s="1915">
        <v>14104</v>
      </c>
      <c r="O19" s="1897"/>
      <c r="P19" s="1898"/>
      <c r="Q19" s="1899"/>
      <c r="R19" s="1897"/>
      <c r="S19" s="1894"/>
      <c r="T19" s="1900"/>
      <c r="U19" s="1901"/>
      <c r="V19" s="1898"/>
      <c r="W19" s="1899"/>
      <c r="X19" s="1893">
        <f t="shared" si="1"/>
        <v>21888</v>
      </c>
      <c r="Y19" s="1894">
        <f t="shared" si="0"/>
        <v>21888</v>
      </c>
      <c r="Z19" s="1895">
        <f t="shared" si="0"/>
        <v>21888</v>
      </c>
    </row>
    <row r="20" spans="1:26" s="459" customFormat="1" ht="56.25" customHeight="1">
      <c r="A20" s="1934" t="s">
        <v>447</v>
      </c>
      <c r="B20" s="1935">
        <v>2219</v>
      </c>
      <c r="C20" s="1935">
        <v>2220</v>
      </c>
      <c r="D20" s="1936">
        <v>39070</v>
      </c>
      <c r="E20" s="1937" t="s">
        <v>447</v>
      </c>
      <c r="F20" s="1938">
        <v>840</v>
      </c>
      <c r="G20" s="1939">
        <v>840</v>
      </c>
      <c r="H20" s="1940">
        <v>0</v>
      </c>
      <c r="I20" s="1941">
        <v>197</v>
      </c>
      <c r="J20" s="1942">
        <v>197</v>
      </c>
      <c r="K20" s="1943">
        <v>0</v>
      </c>
      <c r="L20" s="1944">
        <v>1182</v>
      </c>
      <c r="M20" s="1939">
        <v>1183</v>
      </c>
      <c r="N20" s="1940">
        <v>0</v>
      </c>
      <c r="O20" s="1938"/>
      <c r="P20" s="1939"/>
      <c r="Q20" s="1940"/>
      <c r="R20" s="1938"/>
      <c r="S20" s="1942"/>
      <c r="T20" s="1945">
        <v>39070</v>
      </c>
      <c r="U20" s="1944"/>
      <c r="V20" s="1939"/>
      <c r="W20" s="1940"/>
      <c r="X20" s="1946">
        <f t="shared" si="1"/>
        <v>2219</v>
      </c>
      <c r="Y20" s="1947">
        <f t="shared" si="0"/>
        <v>2220</v>
      </c>
      <c r="Z20" s="1948">
        <f t="shared" si="0"/>
        <v>39070</v>
      </c>
    </row>
    <row r="21" spans="1:26" s="64" customFormat="1" ht="37.5">
      <c r="A21" s="1881" t="s">
        <v>446</v>
      </c>
      <c r="B21" s="1882">
        <v>1088</v>
      </c>
      <c r="C21" s="1882">
        <v>1088</v>
      </c>
      <c r="D21" s="1883">
        <v>1088</v>
      </c>
      <c r="E21" s="1896" t="s">
        <v>446</v>
      </c>
      <c r="F21" s="1885">
        <v>307</v>
      </c>
      <c r="G21" s="1886">
        <v>307</v>
      </c>
      <c r="H21" s="1886">
        <v>307</v>
      </c>
      <c r="I21" s="1888">
        <v>112</v>
      </c>
      <c r="J21" s="1889">
        <v>112</v>
      </c>
      <c r="K21" s="1890">
        <v>112</v>
      </c>
      <c r="L21" s="1891">
        <v>669</v>
      </c>
      <c r="M21" s="1886">
        <v>669</v>
      </c>
      <c r="N21" s="1886">
        <v>669</v>
      </c>
      <c r="O21" s="1885"/>
      <c r="P21" s="1886"/>
      <c r="Q21" s="1887"/>
      <c r="R21" s="1885"/>
      <c r="S21" s="1889"/>
      <c r="T21" s="1892"/>
      <c r="U21" s="1891"/>
      <c r="V21" s="1886"/>
      <c r="W21" s="1887"/>
      <c r="X21" s="1893">
        <f t="shared" si="1"/>
        <v>1088</v>
      </c>
      <c r="Y21" s="1894">
        <f t="shared" si="0"/>
        <v>1088</v>
      </c>
      <c r="Z21" s="1895">
        <f t="shared" si="0"/>
        <v>1088</v>
      </c>
    </row>
    <row r="22" spans="1:26" s="64" customFormat="1" ht="56.25">
      <c r="A22" s="1881" t="s">
        <v>489</v>
      </c>
      <c r="B22" s="1882"/>
      <c r="C22" s="1882">
        <v>18595</v>
      </c>
      <c r="D22" s="1883">
        <v>18595</v>
      </c>
      <c r="E22" s="1949" t="s">
        <v>489</v>
      </c>
      <c r="F22" s="1885"/>
      <c r="G22" s="1886">
        <v>3075</v>
      </c>
      <c r="H22" s="1886">
        <v>3075</v>
      </c>
      <c r="I22" s="1888"/>
      <c r="J22" s="1889">
        <v>520</v>
      </c>
      <c r="K22" s="1890">
        <v>520</v>
      </c>
      <c r="L22" s="1891"/>
      <c r="M22" s="1886">
        <v>15000</v>
      </c>
      <c r="N22" s="1886">
        <v>15000</v>
      </c>
      <c r="O22" s="1885"/>
      <c r="P22" s="1886"/>
      <c r="Q22" s="1887"/>
      <c r="R22" s="1885"/>
      <c r="S22" s="1889"/>
      <c r="T22" s="1892"/>
      <c r="U22" s="1891"/>
      <c r="V22" s="1886"/>
      <c r="W22" s="1887"/>
      <c r="X22" s="1893">
        <f t="shared" si="1"/>
        <v>0</v>
      </c>
      <c r="Y22" s="1894">
        <f t="shared" si="1"/>
        <v>18595</v>
      </c>
      <c r="Z22" s="1895">
        <f t="shared" si="1"/>
        <v>18595</v>
      </c>
    </row>
    <row r="23" spans="1:26" s="64" customFormat="1" ht="37.5">
      <c r="A23" s="1881" t="s">
        <v>872</v>
      </c>
      <c r="B23" s="1882"/>
      <c r="C23" s="1882">
        <v>20000</v>
      </c>
      <c r="D23" s="1883">
        <v>20000</v>
      </c>
      <c r="E23" s="1949" t="s">
        <v>872</v>
      </c>
      <c r="F23" s="1885"/>
      <c r="G23" s="1886"/>
      <c r="H23" s="1886"/>
      <c r="I23" s="1888"/>
      <c r="J23" s="1889"/>
      <c r="K23" s="1890"/>
      <c r="L23" s="1891"/>
      <c r="M23" s="1886">
        <v>20000</v>
      </c>
      <c r="N23" s="1886">
        <v>20000</v>
      </c>
      <c r="O23" s="1885"/>
      <c r="P23" s="1886"/>
      <c r="Q23" s="1887"/>
      <c r="R23" s="1885"/>
      <c r="S23" s="1889"/>
      <c r="T23" s="1892"/>
      <c r="U23" s="1891"/>
      <c r="V23" s="1886"/>
      <c r="W23" s="1887"/>
      <c r="X23" s="1893">
        <f t="shared" si="1"/>
        <v>0</v>
      </c>
      <c r="Y23" s="1894">
        <f t="shared" si="1"/>
        <v>20000</v>
      </c>
      <c r="Z23" s="1895">
        <f t="shared" si="1"/>
        <v>20000</v>
      </c>
    </row>
    <row r="24" spans="1:26" s="64" customFormat="1" ht="51" customHeight="1">
      <c r="A24" s="1881" t="s">
        <v>450</v>
      </c>
      <c r="B24" s="1882"/>
      <c r="C24" s="1882">
        <v>10399</v>
      </c>
      <c r="D24" s="1883">
        <v>10399</v>
      </c>
      <c r="E24" s="1949" t="s">
        <v>450</v>
      </c>
      <c r="F24" s="1885"/>
      <c r="G24" s="1886">
        <v>2738</v>
      </c>
      <c r="H24" s="1886">
        <v>2738</v>
      </c>
      <c r="I24" s="1888"/>
      <c r="J24" s="1889">
        <v>1013</v>
      </c>
      <c r="K24" s="1890">
        <v>1013</v>
      </c>
      <c r="L24" s="1891"/>
      <c r="M24" s="1886">
        <v>6648</v>
      </c>
      <c r="N24" s="1886">
        <v>6648</v>
      </c>
      <c r="O24" s="1885"/>
      <c r="P24" s="1886"/>
      <c r="Q24" s="1887"/>
      <c r="R24" s="1885"/>
      <c r="S24" s="1889"/>
      <c r="T24" s="1892"/>
      <c r="U24" s="1891"/>
      <c r="V24" s="1886"/>
      <c r="W24" s="1887"/>
      <c r="X24" s="1893">
        <f t="shared" si="1"/>
        <v>0</v>
      </c>
      <c r="Y24" s="1894">
        <f t="shared" si="1"/>
        <v>10399</v>
      </c>
      <c r="Z24" s="1895">
        <f t="shared" si="1"/>
        <v>10399</v>
      </c>
    </row>
    <row r="25" spans="1:26" s="64" customFormat="1" ht="34.5" customHeight="1" thickBot="1">
      <c r="A25" s="1950" t="s">
        <v>554</v>
      </c>
      <c r="B25" s="1951">
        <v>97510</v>
      </c>
      <c r="C25" s="1951"/>
      <c r="D25" s="1952"/>
      <c r="E25" s="1953" t="s">
        <v>555</v>
      </c>
      <c r="F25" s="1954"/>
      <c r="G25" s="1955"/>
      <c r="H25" s="1956"/>
      <c r="I25" s="1957"/>
      <c r="J25" s="1958"/>
      <c r="K25" s="1959"/>
      <c r="L25" s="1960"/>
      <c r="M25" s="1955"/>
      <c r="N25" s="1956"/>
      <c r="O25" s="1954"/>
      <c r="P25" s="1955"/>
      <c r="Q25" s="1961"/>
      <c r="R25" s="1962"/>
      <c r="S25" s="1958"/>
      <c r="T25" s="1963"/>
      <c r="U25" s="1960">
        <v>97510</v>
      </c>
      <c r="V25" s="1955"/>
      <c r="W25" s="1956"/>
      <c r="X25" s="1964">
        <f t="shared" si="1"/>
        <v>97510</v>
      </c>
      <c r="Y25" s="1965">
        <f t="shared" si="1"/>
        <v>0</v>
      </c>
      <c r="Z25" s="1966">
        <f t="shared" si="1"/>
        <v>0</v>
      </c>
    </row>
    <row r="26" spans="1:26" ht="19.5" thickBot="1">
      <c r="A26" s="1967" t="s">
        <v>68</v>
      </c>
      <c r="B26" s="1968">
        <f>SUM(B6:B25)</f>
        <v>257899</v>
      </c>
      <c r="C26" s="1968">
        <f>SUM(C6:C25)</f>
        <v>129133</v>
      </c>
      <c r="D26" s="1969">
        <f>SUM(D6:D25)</f>
        <v>165983</v>
      </c>
      <c r="E26" s="1970" t="s">
        <v>68</v>
      </c>
      <c r="F26" s="1971">
        <f t="shared" ref="F26:V26" si="2">SUM(F6:F25)</f>
        <v>16441</v>
      </c>
      <c r="G26" s="1968">
        <f t="shared" si="2"/>
        <v>23803</v>
      </c>
      <c r="H26" s="1972">
        <f t="shared" ref="H26" si="3">SUM(H6:H25)</f>
        <v>22963</v>
      </c>
      <c r="I26" s="1971">
        <f t="shared" si="2"/>
        <v>3611</v>
      </c>
      <c r="J26" s="1968">
        <f t="shared" si="2"/>
        <v>5217</v>
      </c>
      <c r="K26" s="1969">
        <f t="shared" ref="K26" si="4">SUM(K6:K25)</f>
        <v>5020</v>
      </c>
      <c r="L26" s="1973">
        <f t="shared" si="2"/>
        <v>140337</v>
      </c>
      <c r="M26" s="1968">
        <f t="shared" si="2"/>
        <v>97531</v>
      </c>
      <c r="N26" s="1972">
        <f t="shared" ref="N26" si="5">SUM(N6:N25)</f>
        <v>96348</v>
      </c>
      <c r="O26" s="1971">
        <f t="shared" si="2"/>
        <v>0</v>
      </c>
      <c r="P26" s="1968">
        <f t="shared" si="2"/>
        <v>2155</v>
      </c>
      <c r="Q26" s="1972">
        <f t="shared" ref="Q26" si="6">SUM(Q6:Q25)</f>
        <v>2155</v>
      </c>
      <c r="R26" s="1971">
        <f>SUM(R6:R25)</f>
        <v>0</v>
      </c>
      <c r="S26" s="1968">
        <f t="shared" ref="S26:T26" si="7">SUM(S6:S25)</f>
        <v>427</v>
      </c>
      <c r="T26" s="1969">
        <f t="shared" si="7"/>
        <v>39497</v>
      </c>
      <c r="U26" s="1973">
        <f t="shared" si="2"/>
        <v>97510</v>
      </c>
      <c r="V26" s="1968">
        <f t="shared" si="2"/>
        <v>0</v>
      </c>
      <c r="W26" s="1972">
        <f t="shared" ref="W26" si="8">SUM(W6:W25)</f>
        <v>0</v>
      </c>
      <c r="X26" s="1974">
        <f>F26+I26+L26+O26+U26</f>
        <v>257899</v>
      </c>
      <c r="Y26" s="1975">
        <f t="shared" ref="Y26" si="9">G26+J26+M26+P26+V26</f>
        <v>128706</v>
      </c>
      <c r="Z26" s="1976">
        <f>H26+K26+N26+Q26+W26+T26</f>
        <v>165983</v>
      </c>
    </row>
    <row r="27" spans="1:26">
      <c r="A27" s="66"/>
      <c r="B27" s="68"/>
      <c r="C27" s="68"/>
      <c r="D27" s="68"/>
      <c r="E27" s="66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7"/>
      <c r="Z27" s="67"/>
    </row>
    <row r="28" spans="1:26">
      <c r="A28" s="62"/>
    </row>
    <row r="29" spans="1:26">
      <c r="A29" s="119"/>
    </row>
    <row r="30" spans="1:26">
      <c r="A30" s="119"/>
    </row>
  </sheetData>
  <sortState ref="A6:AP19">
    <sortCondition ref="AA6:AA19"/>
  </sortState>
  <mergeCells count="15">
    <mergeCell ref="A1:Z1"/>
    <mergeCell ref="A3:D3"/>
    <mergeCell ref="L4:N4"/>
    <mergeCell ref="O4:Q4"/>
    <mergeCell ref="U4:W4"/>
    <mergeCell ref="X4:Z4"/>
    <mergeCell ref="E3:Z3"/>
    <mergeCell ref="A4:A5"/>
    <mergeCell ref="E4:E5"/>
    <mergeCell ref="B4:B5"/>
    <mergeCell ref="C4:C5"/>
    <mergeCell ref="D4:D5"/>
    <mergeCell ref="F4:H4"/>
    <mergeCell ref="I4:K4"/>
    <mergeCell ref="R4:T4"/>
  </mergeCells>
  <pageMargins left="0.33" right="0.33" top="0.47" bottom="0.5" header="0.2" footer="0.16"/>
  <pageSetup paperSize="9" scale="39" orientation="landscape" r:id="rId1"/>
  <headerFooter>
    <oddHeader>&amp;L&amp;"Times New Roman,Normál"&amp;8 14.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9"/>
  <sheetViews>
    <sheetView view="pageLayout" zoomScale="68" zoomScaleNormal="80" zoomScaleSheetLayoutView="87" zoomScalePageLayoutView="68" workbookViewId="0">
      <selection sqref="A1:I1"/>
    </sheetView>
  </sheetViews>
  <sheetFormatPr defaultRowHeight="15"/>
  <cols>
    <col min="1" max="1" width="45.7109375" style="7" customWidth="1"/>
    <col min="2" max="4" width="12.7109375" style="5" customWidth="1"/>
    <col min="5" max="5" width="4.28515625" style="5" customWidth="1"/>
    <col min="6" max="6" width="45.7109375" style="7" customWidth="1"/>
    <col min="7" max="9" width="12.7109375" style="5" customWidth="1"/>
    <col min="10" max="13" width="9.140625" style="5"/>
    <col min="14" max="14" width="13.28515625" style="5" customWidth="1"/>
    <col min="15" max="16384" width="9.140625" style="5"/>
  </cols>
  <sheetData>
    <row r="1" spans="1:10" s="6" customFormat="1" ht="15" customHeight="1">
      <c r="A1" s="2041" t="s">
        <v>910</v>
      </c>
      <c r="B1" s="2041"/>
      <c r="C1" s="2041"/>
      <c r="D1" s="2041"/>
      <c r="E1" s="2041"/>
      <c r="F1" s="2041"/>
      <c r="G1" s="2041"/>
      <c r="H1" s="2041"/>
      <c r="I1" s="2041"/>
      <c r="J1" s="1300"/>
    </row>
    <row r="2" spans="1:10" ht="15.75" thickBot="1">
      <c r="A2" s="1301"/>
      <c r="B2" s="1302"/>
      <c r="C2" s="1302"/>
      <c r="D2" s="1302"/>
      <c r="E2" s="1302"/>
      <c r="F2" s="1301"/>
      <c r="G2" s="1302"/>
      <c r="H2" s="1302"/>
      <c r="I2" s="1302"/>
      <c r="J2" s="1302"/>
    </row>
    <row r="3" spans="1:10">
      <c r="A3" s="2038" t="s">
        <v>0</v>
      </c>
      <c r="B3" s="2039"/>
      <c r="C3" s="2039"/>
      <c r="D3" s="2040"/>
      <c r="E3" s="1303"/>
      <c r="F3" s="2038" t="s">
        <v>1</v>
      </c>
      <c r="G3" s="2039"/>
      <c r="H3" s="2039"/>
      <c r="I3" s="2040"/>
      <c r="J3" s="1302"/>
    </row>
    <row r="4" spans="1:10" s="7" customFormat="1" ht="29.25" thickBot="1">
      <c r="A4" s="1304" t="s">
        <v>2</v>
      </c>
      <c r="B4" s="1305" t="s">
        <v>3</v>
      </c>
      <c r="C4" s="1066" t="s">
        <v>960</v>
      </c>
      <c r="D4" s="1306" t="s">
        <v>975</v>
      </c>
      <c r="E4" s="1307"/>
      <c r="F4" s="1304" t="s">
        <v>2</v>
      </c>
      <c r="G4" s="1305" t="s">
        <v>3</v>
      </c>
      <c r="H4" s="1066" t="s">
        <v>960</v>
      </c>
      <c r="I4" s="1306" t="s">
        <v>975</v>
      </c>
      <c r="J4" s="1301"/>
    </row>
    <row r="5" spans="1:10">
      <c r="A5" s="1308" t="s">
        <v>5</v>
      </c>
      <c r="B5" s="1309">
        <f>'3. melléklet'!K6</f>
        <v>1269779.419</v>
      </c>
      <c r="C5" s="1310">
        <f>'3. melléklet'!L6</f>
        <v>1528933</v>
      </c>
      <c r="D5" s="1311">
        <f>'3. melléklet'!M6</f>
        <v>1572561</v>
      </c>
      <c r="E5" s="207"/>
      <c r="F5" s="1312" t="s">
        <v>6</v>
      </c>
      <c r="G5" s="1309">
        <f>'4. melléklet'!M6</f>
        <v>1852786</v>
      </c>
      <c r="H5" s="1310">
        <f>'4. melléklet'!N6</f>
        <v>1900782</v>
      </c>
      <c r="I5" s="1311">
        <f>'4. melléklet'!O6</f>
        <v>1909198</v>
      </c>
      <c r="J5" s="1302"/>
    </row>
    <row r="6" spans="1:10">
      <c r="A6" s="1313"/>
      <c r="B6" s="734"/>
      <c r="C6" s="735"/>
      <c r="D6" s="751"/>
      <c r="E6" s="207"/>
      <c r="F6" s="1314"/>
      <c r="G6" s="734"/>
      <c r="H6" s="735"/>
      <c r="I6" s="1315"/>
      <c r="J6" s="1302"/>
    </row>
    <row r="7" spans="1:10" ht="28.5">
      <c r="A7" s="1313" t="s">
        <v>7</v>
      </c>
      <c r="B7" s="1316">
        <f>SUM(B8:B9)</f>
        <v>404378</v>
      </c>
      <c r="C7" s="1317">
        <f>SUM(C8:C9)</f>
        <v>746148</v>
      </c>
      <c r="D7" s="1318">
        <f>SUM(D8:D9)</f>
        <v>759168</v>
      </c>
      <c r="E7" s="1319"/>
      <c r="F7" s="1320" t="s">
        <v>9</v>
      </c>
      <c r="G7" s="734">
        <f>'4. melléklet'!M7</f>
        <v>342937</v>
      </c>
      <c r="H7" s="735">
        <f>'4. melléklet'!N7</f>
        <v>342669</v>
      </c>
      <c r="I7" s="1315">
        <f>'4. melléklet'!O7</f>
        <v>344548</v>
      </c>
      <c r="J7" s="1302"/>
    </row>
    <row r="8" spans="1:10" s="78" customFormat="1">
      <c r="A8" s="1321" t="s">
        <v>320</v>
      </c>
      <c r="B8" s="1322">
        <f>'3. melléklet'!K9</f>
        <v>0</v>
      </c>
      <c r="C8" s="1323">
        <f>'3. melléklet'!L9</f>
        <v>37663</v>
      </c>
      <c r="D8" s="1324">
        <f>'3. melléklet'!M9</f>
        <v>37663</v>
      </c>
      <c r="E8" s="1325"/>
      <c r="F8" s="1326"/>
      <c r="G8" s="1322"/>
      <c r="H8" s="1323"/>
      <c r="I8" s="1327"/>
      <c r="J8" s="1328"/>
    </row>
    <row r="9" spans="1:10">
      <c r="A9" s="1329" t="s">
        <v>8</v>
      </c>
      <c r="B9" s="1330">
        <f>'3. melléklet'!K10</f>
        <v>404378</v>
      </c>
      <c r="C9" s="1331">
        <f>'3. melléklet'!L10</f>
        <v>708485</v>
      </c>
      <c r="D9" s="1332">
        <f>'3. melléklet'!M10</f>
        <v>721505</v>
      </c>
      <c r="E9" s="1333"/>
      <c r="F9" s="1314" t="s">
        <v>12</v>
      </c>
      <c r="G9" s="734">
        <f>'4. melléklet'!M8</f>
        <v>2410608</v>
      </c>
      <c r="H9" s="735">
        <f>'4. melléklet'!N8</f>
        <v>2962349</v>
      </c>
      <c r="I9" s="1315">
        <f>'4. melléklet'!O8</f>
        <v>2977433</v>
      </c>
      <c r="J9" s="1302"/>
    </row>
    <row r="10" spans="1:10">
      <c r="A10" s="1313"/>
      <c r="B10" s="734"/>
      <c r="C10" s="735"/>
      <c r="D10" s="751"/>
      <c r="E10" s="207"/>
      <c r="F10" s="1314"/>
      <c r="G10" s="734"/>
      <c r="H10" s="735"/>
      <c r="I10" s="1315"/>
      <c r="J10" s="1302"/>
    </row>
    <row r="11" spans="1:10">
      <c r="A11" s="1313" t="s">
        <v>11</v>
      </c>
      <c r="B11" s="1316">
        <f>SUM(B12:B16)</f>
        <v>2350000</v>
      </c>
      <c r="C11" s="1317">
        <f>SUM(C12:C16)</f>
        <v>2267637</v>
      </c>
      <c r="D11" s="1318">
        <f>SUM(D12:D16)</f>
        <v>2268091</v>
      </c>
      <c r="E11" s="1319"/>
      <c r="F11" s="1314" t="s">
        <v>14</v>
      </c>
      <c r="G11" s="1316">
        <f>'4. melléklet'!M9</f>
        <v>64850</v>
      </c>
      <c r="H11" s="1317">
        <f>'4. melléklet'!N9</f>
        <v>64350</v>
      </c>
      <c r="I11" s="1334">
        <f>'4. melléklet'!O9</f>
        <v>64350</v>
      </c>
      <c r="J11" s="1302"/>
    </row>
    <row r="12" spans="1:10">
      <c r="A12" s="1329" t="s">
        <v>13</v>
      </c>
      <c r="B12" s="1330">
        <f>'3. melléklet'!K14</f>
        <v>530000</v>
      </c>
      <c r="C12" s="1331">
        <f>'3. melléklet'!L14</f>
        <v>530000</v>
      </c>
      <c r="D12" s="1332">
        <f>'3. melléklet'!M14</f>
        <v>530000</v>
      </c>
      <c r="E12" s="1333"/>
      <c r="F12" s="1314"/>
      <c r="G12" s="1330"/>
      <c r="H12" s="1331"/>
      <c r="I12" s="1335"/>
      <c r="J12" s="1302"/>
    </row>
    <row r="13" spans="1:10">
      <c r="A13" s="1329" t="s">
        <v>75</v>
      </c>
      <c r="B13" s="1330">
        <f>'3. melléklet'!K17</f>
        <v>1815000</v>
      </c>
      <c r="C13" s="1331">
        <f>'3. melléklet'!L17</f>
        <v>1732545</v>
      </c>
      <c r="D13" s="1332">
        <f>'3. melléklet'!M17</f>
        <v>1732545</v>
      </c>
      <c r="E13" s="1333"/>
      <c r="F13" s="1314" t="s">
        <v>16</v>
      </c>
      <c r="G13" s="1316">
        <f>SUM(G14:G18)</f>
        <v>1323721</v>
      </c>
      <c r="H13" s="1317">
        <f>SUM(H14:H18)</f>
        <v>1493500</v>
      </c>
      <c r="I13" s="1334">
        <f>SUM(I14:I18)</f>
        <v>1615836</v>
      </c>
      <c r="J13" s="1302"/>
    </row>
    <row r="14" spans="1:10">
      <c r="A14" s="1329" t="s">
        <v>15</v>
      </c>
      <c r="B14" s="1330">
        <f>'3. melléklet'!K21</f>
        <v>3000</v>
      </c>
      <c r="C14" s="1331">
        <f>'3. melléklet'!L21</f>
        <v>3000</v>
      </c>
      <c r="D14" s="1332">
        <f>'3. melléklet'!M21</f>
        <v>3000</v>
      </c>
      <c r="E14" s="1333"/>
      <c r="F14" s="1336" t="s">
        <v>17</v>
      </c>
      <c r="G14" s="1330">
        <f>'4. melléklet'!M11</f>
        <v>0</v>
      </c>
      <c r="H14" s="1331">
        <f>'4. melléklet'!N11</f>
        <v>78160</v>
      </c>
      <c r="I14" s="1335">
        <f>'4. melléklet'!O11</f>
        <v>127698</v>
      </c>
      <c r="J14" s="1302"/>
    </row>
    <row r="15" spans="1:10">
      <c r="A15" s="1329" t="s">
        <v>321</v>
      </c>
      <c r="B15" s="1330">
        <f>'3. melléklet'!K22</f>
        <v>1500</v>
      </c>
      <c r="C15" s="1331">
        <f>'3. melléklet'!L22</f>
        <v>1592</v>
      </c>
      <c r="D15" s="1332">
        <f>'3. melléklet'!M22</f>
        <v>2046</v>
      </c>
      <c r="E15" s="1333"/>
      <c r="F15" s="1336" t="s">
        <v>18</v>
      </c>
      <c r="G15" s="1330">
        <f>'4. melléklet'!M12</f>
        <v>18000</v>
      </c>
      <c r="H15" s="1331">
        <f>'4. melléklet'!N12</f>
        <v>18000</v>
      </c>
      <c r="I15" s="1335">
        <f>'4. melléklet'!O12</f>
        <v>18000</v>
      </c>
      <c r="J15" s="1302"/>
    </row>
    <row r="16" spans="1:10">
      <c r="A16" s="1329" t="s">
        <v>84</v>
      </c>
      <c r="B16" s="1330">
        <f>'3. melléklet'!K23</f>
        <v>500</v>
      </c>
      <c r="C16" s="1331">
        <f>'3. melléklet'!L23</f>
        <v>500</v>
      </c>
      <c r="D16" s="1332">
        <f>'3. melléklet'!M23</f>
        <v>500</v>
      </c>
      <c r="E16" s="1333"/>
      <c r="F16" s="1336" t="s">
        <v>19</v>
      </c>
      <c r="G16" s="1330">
        <f>'4. melléklet'!M13</f>
        <v>20000</v>
      </c>
      <c r="H16" s="1331">
        <f>'4. melléklet'!N13</f>
        <v>20000</v>
      </c>
      <c r="I16" s="1335">
        <f>'4. melléklet'!O13</f>
        <v>20000</v>
      </c>
      <c r="J16" s="1302"/>
    </row>
    <row r="17" spans="1:10" ht="35.25" customHeight="1">
      <c r="A17" s="1329"/>
      <c r="B17" s="1330"/>
      <c r="C17" s="1331"/>
      <c r="D17" s="1332"/>
      <c r="E17" s="1333"/>
      <c r="F17" s="1337" t="s">
        <v>949</v>
      </c>
      <c r="G17" s="1330">
        <f>'4. melléklet'!M14</f>
        <v>1182077</v>
      </c>
      <c r="H17" s="1331">
        <f>'4. melléklet'!N14</f>
        <v>1254032</v>
      </c>
      <c r="I17" s="1335">
        <f>'4. melléklet'!O14</f>
        <v>1337275</v>
      </c>
      <c r="J17" s="1302"/>
    </row>
    <row r="18" spans="1:10">
      <c r="A18" s="1313" t="s">
        <v>20</v>
      </c>
      <c r="B18" s="1316">
        <f>SUM(B19:B26)</f>
        <v>2371771</v>
      </c>
      <c r="C18" s="1317">
        <f>SUM(C19:C26)</f>
        <v>2541818</v>
      </c>
      <c r="D18" s="1318">
        <f>SUM(D19:D26)</f>
        <v>2499070</v>
      </c>
      <c r="E18" s="1319"/>
      <c r="F18" s="1336" t="s">
        <v>23</v>
      </c>
      <c r="G18" s="1330">
        <f>SUM(G19:G21)</f>
        <v>103644</v>
      </c>
      <c r="H18" s="1331">
        <f>SUM(H19:H21)</f>
        <v>123308</v>
      </c>
      <c r="I18" s="1335">
        <f>SUM(I19:I21)</f>
        <v>112863</v>
      </c>
      <c r="J18" s="1302"/>
    </row>
    <row r="19" spans="1:10" ht="45">
      <c r="A19" s="1329" t="s">
        <v>62</v>
      </c>
      <c r="B19" s="1322">
        <f>'3. melléklet'!K25</f>
        <v>1402614</v>
      </c>
      <c r="C19" s="1323">
        <f>'3. melléklet'!L25</f>
        <v>1371313</v>
      </c>
      <c r="D19" s="1324">
        <f>'3. melléklet'!M25</f>
        <v>1324413</v>
      </c>
      <c r="E19" s="1325"/>
      <c r="F19" s="1338" t="s">
        <v>25</v>
      </c>
      <c r="G19" s="1339">
        <f>'4. melléklet'!M16</f>
        <v>30000</v>
      </c>
      <c r="H19" s="1340">
        <f>'4. melléklet'!N16</f>
        <v>37236</v>
      </c>
      <c r="I19" s="1341">
        <f>'4. melléklet'!O16</f>
        <v>26245</v>
      </c>
      <c r="J19" s="1302"/>
    </row>
    <row r="20" spans="1:10">
      <c r="A20" s="1329" t="s">
        <v>24</v>
      </c>
      <c r="B20" s="1322">
        <f>'3. melléklet'!K26</f>
        <v>255073</v>
      </c>
      <c r="C20" s="1323">
        <f>'3. melléklet'!L26</f>
        <v>412438</v>
      </c>
      <c r="D20" s="1324">
        <f>'3. melléklet'!M26</f>
        <v>412438</v>
      </c>
      <c r="E20" s="1325"/>
      <c r="F20" s="1342" t="s">
        <v>893</v>
      </c>
      <c r="G20" s="1339">
        <f>'4. melléklet'!M17</f>
        <v>0</v>
      </c>
      <c r="H20" s="1340">
        <f>'4. melléklet'!N17</f>
        <v>760</v>
      </c>
      <c r="I20" s="1341">
        <f>'4. melléklet'!O17</f>
        <v>1306</v>
      </c>
      <c r="J20" s="1302"/>
    </row>
    <row r="21" spans="1:10">
      <c r="A21" s="1329" t="s">
        <v>26</v>
      </c>
      <c r="B21" s="1322">
        <f>'3. melléklet'!K27</f>
        <v>28516</v>
      </c>
      <c r="C21" s="1323">
        <f>'3. melléklet'!L27</f>
        <v>29493</v>
      </c>
      <c r="D21" s="1324">
        <f>'3. melléklet'!M27</f>
        <v>29664</v>
      </c>
      <c r="E21" s="1325"/>
      <c r="F21" s="1343" t="s">
        <v>87</v>
      </c>
      <c r="G21" s="1344">
        <f>'4. melléklet'!M18</f>
        <v>73644</v>
      </c>
      <c r="H21" s="1345">
        <f>'4. melléklet'!N18</f>
        <v>85312</v>
      </c>
      <c r="I21" s="1346">
        <f>'4. melléklet'!O18</f>
        <v>85312</v>
      </c>
      <c r="J21" s="1302"/>
    </row>
    <row r="22" spans="1:10">
      <c r="A22" s="1329" t="s">
        <v>27</v>
      </c>
      <c r="B22" s="1322">
        <f>'3. melléklet'!K28</f>
        <v>88191</v>
      </c>
      <c r="C22" s="1323">
        <f>'3. melléklet'!L28</f>
        <v>88191</v>
      </c>
      <c r="D22" s="1324">
        <f>'3. melléklet'!M28</f>
        <v>88191</v>
      </c>
      <c r="E22" s="1325"/>
      <c r="F22" s="1343"/>
      <c r="G22" s="1344"/>
      <c r="H22" s="1345"/>
      <c r="I22" s="1346"/>
      <c r="J22" s="1302"/>
    </row>
    <row r="23" spans="1:10">
      <c r="A23" s="1329" t="s">
        <v>28</v>
      </c>
      <c r="B23" s="1322">
        <f>'3. melléklet'!K29</f>
        <v>100617</v>
      </c>
      <c r="C23" s="1323">
        <f>'3. melléklet'!L29</f>
        <v>99870</v>
      </c>
      <c r="D23" s="1324">
        <f>'3. melléklet'!M29</f>
        <v>102870</v>
      </c>
      <c r="E23" s="1325"/>
      <c r="F23" s="1343"/>
      <c r="G23" s="1330"/>
      <c r="H23" s="1331"/>
      <c r="I23" s="1335"/>
      <c r="J23" s="1302"/>
    </row>
    <row r="24" spans="1:10">
      <c r="A24" s="1329" t="s">
        <v>29</v>
      </c>
      <c r="B24" s="1322">
        <f>'3. melléklet'!K30</f>
        <v>429193</v>
      </c>
      <c r="C24" s="1323">
        <f>'3. melléklet'!L30</f>
        <v>471729</v>
      </c>
      <c r="D24" s="1324">
        <f>'3. melléklet'!M30</f>
        <v>471729</v>
      </c>
      <c r="E24" s="1325"/>
      <c r="F24" s="1347"/>
      <c r="G24" s="1344"/>
      <c r="H24" s="1345"/>
      <c r="I24" s="1346"/>
      <c r="J24" s="1302"/>
    </row>
    <row r="25" spans="1:10">
      <c r="A25" s="1329" t="s">
        <v>322</v>
      </c>
      <c r="B25" s="1322">
        <f>'3. melléklet'!K31</f>
        <v>14811</v>
      </c>
      <c r="C25" s="1323">
        <f>'3. melléklet'!L31</f>
        <v>15514</v>
      </c>
      <c r="D25" s="1324">
        <f>'3. melléklet'!M31</f>
        <v>15514</v>
      </c>
      <c r="E25" s="1325"/>
      <c r="F25" s="1348"/>
      <c r="G25" s="1344"/>
      <c r="H25" s="1345"/>
      <c r="I25" s="1346"/>
      <c r="J25" s="1302"/>
    </row>
    <row r="26" spans="1:10" ht="30">
      <c r="A26" s="1349" t="s">
        <v>997</v>
      </c>
      <c r="B26" s="1322">
        <f>'3. melléklet'!K32</f>
        <v>52756</v>
      </c>
      <c r="C26" s="1323">
        <f>'3. melléklet'!L32</f>
        <v>53270</v>
      </c>
      <c r="D26" s="1324">
        <f>'3. melléklet'!M32</f>
        <v>54251</v>
      </c>
      <c r="E26" s="1325"/>
      <c r="F26" s="1348"/>
      <c r="G26" s="1330"/>
      <c r="H26" s="1331"/>
      <c r="I26" s="1335"/>
      <c r="J26" s="1302"/>
    </row>
    <row r="27" spans="1:10">
      <c r="A27" s="1350"/>
      <c r="B27" s="1330"/>
      <c r="C27" s="1331"/>
      <c r="D27" s="1332"/>
      <c r="E27" s="1333"/>
      <c r="F27" s="1348"/>
      <c r="G27" s="1330"/>
      <c r="H27" s="1331"/>
      <c r="I27" s="1335"/>
      <c r="J27" s="1302"/>
    </row>
    <row r="28" spans="1:10">
      <c r="A28" s="1313" t="s">
        <v>51</v>
      </c>
      <c r="B28" s="734">
        <f>B29</f>
        <v>756474</v>
      </c>
      <c r="C28" s="735">
        <f>SUM(C29)</f>
        <v>667675</v>
      </c>
      <c r="D28" s="751">
        <f>SUM(D29)</f>
        <v>665483</v>
      </c>
      <c r="E28" s="207"/>
      <c r="F28" s="1351"/>
      <c r="G28" s="1330"/>
      <c r="H28" s="1331"/>
      <c r="I28" s="1335"/>
      <c r="J28" s="1302"/>
    </row>
    <row r="29" spans="1:10">
      <c r="A29" s="1329" t="s">
        <v>52</v>
      </c>
      <c r="B29" s="1330">
        <v>756474</v>
      </c>
      <c r="C29" s="1331">
        <v>667675</v>
      </c>
      <c r="D29" s="1332">
        <v>665483</v>
      </c>
      <c r="E29" s="1333"/>
      <c r="F29" s="1351"/>
      <c r="G29" s="1330"/>
      <c r="H29" s="1331"/>
      <c r="I29" s="1335"/>
      <c r="J29" s="1302"/>
    </row>
    <row r="30" spans="1:10" ht="17.25" customHeight="1">
      <c r="A30" s="1329"/>
      <c r="B30" s="1330"/>
      <c r="C30" s="1331"/>
      <c r="D30" s="1332"/>
      <c r="E30" s="1333"/>
      <c r="F30" s="1351"/>
      <c r="G30" s="1330"/>
      <c r="H30" s="1331"/>
      <c r="I30" s="1335"/>
      <c r="J30" s="1302"/>
    </row>
    <row r="31" spans="1:10" ht="28.5">
      <c r="A31" s="1313" t="s">
        <v>35</v>
      </c>
      <c r="B31" s="734">
        <f>SUM(B32:B33)</f>
        <v>77549</v>
      </c>
      <c r="C31" s="735">
        <f>SUM(C32:C33)</f>
        <v>110649</v>
      </c>
      <c r="D31" s="751">
        <f>SUM(D32:D33)</f>
        <v>110649</v>
      </c>
      <c r="E31" s="207"/>
      <c r="F31" s="1351"/>
      <c r="G31" s="1330"/>
      <c r="H31" s="1331"/>
      <c r="I31" s="1335"/>
      <c r="J31" s="1302"/>
    </row>
    <row r="32" spans="1:10">
      <c r="A32" s="1329" t="s">
        <v>19</v>
      </c>
      <c r="B32" s="1330">
        <f>'3. melléklet'!K37</f>
        <v>77549</v>
      </c>
      <c r="C32" s="1331">
        <f>'3. melléklet'!L37</f>
        <v>77549</v>
      </c>
      <c r="D32" s="1332">
        <f>'3. melléklet'!M37</f>
        <v>77549</v>
      </c>
      <c r="E32" s="1333"/>
      <c r="F32" s="1351"/>
      <c r="G32" s="1330"/>
      <c r="H32" s="1331"/>
      <c r="I32" s="1335"/>
      <c r="J32" s="1302"/>
    </row>
    <row r="33" spans="1:10">
      <c r="A33" s="1329" t="s">
        <v>8</v>
      </c>
      <c r="B33" s="1330">
        <f>'3. melléklet'!K38</f>
        <v>0</v>
      </c>
      <c r="C33" s="1331">
        <f>'3. melléklet'!L38</f>
        <v>33100</v>
      </c>
      <c r="D33" s="1332">
        <f>'3. melléklet'!M38</f>
        <v>33100</v>
      </c>
      <c r="E33" s="1333"/>
      <c r="F33" s="1351"/>
      <c r="G33" s="1330"/>
      <c r="H33" s="1331"/>
      <c r="I33" s="1335"/>
      <c r="J33" s="1302"/>
    </row>
    <row r="34" spans="1:10" ht="15.75" thickBot="1">
      <c r="A34" s="1352"/>
      <c r="B34" s="1353"/>
      <c r="C34" s="1354"/>
      <c r="D34" s="1355"/>
      <c r="E34" s="1333"/>
      <c r="F34" s="1356"/>
      <c r="G34" s="1353"/>
      <c r="H34" s="1354"/>
      <c r="I34" s="1355"/>
      <c r="J34" s="1302"/>
    </row>
    <row r="35" spans="1:10" ht="15.75" thickBot="1">
      <c r="A35" s="1357" t="s">
        <v>48</v>
      </c>
      <c r="B35" s="1358">
        <f>B5+B7+B11+B18-B28+B31</f>
        <v>5717003.4189999998</v>
      </c>
      <c r="C35" s="1359">
        <f>C5+C7+C11+C18-C28+C31</f>
        <v>6527510</v>
      </c>
      <c r="D35" s="1360">
        <f>D5+D7+D11+D18-D28+D31</f>
        <v>6544056</v>
      </c>
      <c r="E35" s="207"/>
      <c r="F35" s="1361" t="s">
        <v>49</v>
      </c>
      <c r="G35" s="1358">
        <f>G5+G7+G9+G11+G13</f>
        <v>5994902</v>
      </c>
      <c r="H35" s="1359">
        <f>H5+H7+H9+H11+H13</f>
        <v>6763650</v>
      </c>
      <c r="I35" s="1360">
        <f>I5+I7+I9+I11+I13</f>
        <v>6911365</v>
      </c>
      <c r="J35" s="1302"/>
    </row>
    <row r="36" spans="1:10">
      <c r="A36" s="1362" t="s">
        <v>533</v>
      </c>
      <c r="B36" s="1363"/>
      <c r="C36" s="1364"/>
      <c r="D36" s="1365"/>
      <c r="E36" s="207"/>
      <c r="F36" s="1362"/>
      <c r="G36" s="1363"/>
      <c r="H36" s="1364"/>
      <c r="I36" s="1365"/>
      <c r="J36" s="1302"/>
    </row>
    <row r="37" spans="1:10" ht="28.5">
      <c r="A37" s="1314" t="s">
        <v>319</v>
      </c>
      <c r="B37" s="1316">
        <f>'14. melléklet 2'!B26+'14. melléklet 3'!B14</f>
        <v>277899</v>
      </c>
      <c r="C37" s="1317">
        <v>330459</v>
      </c>
      <c r="D37" s="1318">
        <v>367309</v>
      </c>
      <c r="E37" s="1319"/>
      <c r="F37" s="1314"/>
      <c r="G37" s="734"/>
      <c r="H37" s="735"/>
      <c r="I37" s="1315"/>
      <c r="J37" s="1302"/>
    </row>
    <row r="38" spans="1:10">
      <c r="A38" s="1314" t="s">
        <v>789</v>
      </c>
      <c r="B38" s="1316">
        <f>'3. melléklet'!K44</f>
        <v>2000000</v>
      </c>
      <c r="C38" s="1317">
        <f>'3. melléklet'!L44</f>
        <v>3000000</v>
      </c>
      <c r="D38" s="1318">
        <f>'3. melléklet'!M44</f>
        <v>3000000</v>
      </c>
      <c r="E38" s="1319"/>
      <c r="F38" s="1314" t="s">
        <v>736</v>
      </c>
      <c r="G38" s="734">
        <f>'4. melléklet'!M29</f>
        <v>2000000</v>
      </c>
      <c r="H38" s="735">
        <f>'4. melléklet'!N29</f>
        <v>3000000</v>
      </c>
      <c r="I38" s="1315">
        <f>'4. melléklet'!O29</f>
        <v>3000000</v>
      </c>
      <c r="J38" s="1302"/>
    </row>
    <row r="39" spans="1:10">
      <c r="A39" s="1366" t="s">
        <v>53</v>
      </c>
      <c r="B39" s="734">
        <f>G39</f>
        <v>2252621</v>
      </c>
      <c r="C39" s="735">
        <v>2207043</v>
      </c>
      <c r="D39" s="751">
        <v>2190112</v>
      </c>
      <c r="E39" s="207"/>
      <c r="F39" s="1314" t="s">
        <v>54</v>
      </c>
      <c r="G39" s="1367">
        <f>'4. melléklet'!M31-G67</f>
        <v>2252621</v>
      </c>
      <c r="H39" s="1368">
        <f>'4. melléklet'!N31-H67</f>
        <v>2301362</v>
      </c>
      <c r="I39" s="1369">
        <f>'4. melléklet'!O31-I67</f>
        <v>2190112</v>
      </c>
      <c r="J39" s="1302"/>
    </row>
    <row r="40" spans="1:10" ht="28.5">
      <c r="A40" s="1366" t="s">
        <v>82</v>
      </c>
      <c r="B40" s="734">
        <f>'3. melléklet'!K45</f>
        <v>60000</v>
      </c>
      <c r="C40" s="735">
        <f>'3. melléklet'!L45</f>
        <v>60000</v>
      </c>
      <c r="D40" s="751">
        <f>'3. melléklet'!M45</f>
        <v>60000</v>
      </c>
      <c r="E40" s="207"/>
      <c r="F40" s="1314" t="s">
        <v>93</v>
      </c>
      <c r="G40" s="734">
        <f>'4. melléklet'!M30</f>
        <v>60000</v>
      </c>
      <c r="H40" s="735">
        <f>'4. melléklet'!N30</f>
        <v>60000</v>
      </c>
      <c r="I40" s="1315">
        <f>'4. melléklet'!O30</f>
        <v>60000</v>
      </c>
      <c r="J40" s="1302"/>
    </row>
    <row r="41" spans="1:10" ht="15.75" thickBot="1">
      <c r="A41" s="1370"/>
      <c r="B41" s="1371"/>
      <c r="C41" s="1372"/>
      <c r="D41" s="1373"/>
      <c r="E41" s="207"/>
      <c r="F41" s="1374"/>
      <c r="G41" s="1371"/>
      <c r="H41" s="1372"/>
      <c r="I41" s="1373"/>
      <c r="J41" s="1302"/>
    </row>
    <row r="42" spans="1:10" ht="15.75" thickBot="1">
      <c r="A42" s="1375" t="s">
        <v>47</v>
      </c>
      <c r="B42" s="1358">
        <f>SUM(B37:B40)</f>
        <v>4590520</v>
      </c>
      <c r="C42" s="1359">
        <f>SUM(C37:C41)</f>
        <v>5597502</v>
      </c>
      <c r="D42" s="1360">
        <f>SUM(D37:D41)</f>
        <v>5617421</v>
      </c>
      <c r="E42" s="207"/>
      <c r="F42" s="1361" t="s">
        <v>50</v>
      </c>
      <c r="G42" s="1358">
        <f>SUM(G38:G40)</f>
        <v>4312621</v>
      </c>
      <c r="H42" s="1359">
        <f>SUM(H38:H40)</f>
        <v>5361362</v>
      </c>
      <c r="I42" s="1360">
        <f>SUM(I38:I40)</f>
        <v>5250112</v>
      </c>
      <c r="J42" s="1302"/>
    </row>
    <row r="43" spans="1:10" ht="15.75" thickBot="1">
      <c r="A43" s="1376"/>
      <c r="B43" s="1377"/>
      <c r="C43" s="1378"/>
      <c r="D43" s="1379"/>
      <c r="E43" s="207"/>
      <c r="F43" s="1376"/>
      <c r="G43" s="1377"/>
      <c r="H43" s="1378"/>
      <c r="I43" s="1379"/>
      <c r="J43" s="1302"/>
    </row>
    <row r="44" spans="1:10" ht="29.25" thickBot="1">
      <c r="A44" s="1380" t="s">
        <v>89</v>
      </c>
      <c r="B44" s="1381">
        <f>B35+B42</f>
        <v>10307523.419</v>
      </c>
      <c r="C44" s="1382">
        <f>C35+C42</f>
        <v>12125012</v>
      </c>
      <c r="D44" s="1383">
        <f>D35+D42</f>
        <v>12161477</v>
      </c>
      <c r="E44" s="1384"/>
      <c r="F44" s="1380" t="s">
        <v>92</v>
      </c>
      <c r="G44" s="1358">
        <f>G35+G42</f>
        <v>10307523</v>
      </c>
      <c r="H44" s="1359">
        <f>H35+H42</f>
        <v>12125012</v>
      </c>
      <c r="I44" s="1360">
        <f>I35+I42</f>
        <v>12161477</v>
      </c>
      <c r="J44" s="1302"/>
    </row>
    <row r="45" spans="1:10" s="6" customFormat="1" ht="24.75" customHeight="1">
      <c r="A45" s="1385"/>
      <c r="B45" s="1386"/>
      <c r="C45" s="1386"/>
      <c r="D45" s="1386"/>
      <c r="E45" s="1386"/>
      <c r="F45" s="1385"/>
      <c r="G45" s="1387"/>
      <c r="H45" s="1387"/>
      <c r="I45" s="1302"/>
      <c r="J45" s="1300"/>
    </row>
    <row r="46" spans="1:10" ht="14.25" customHeight="1">
      <c r="A46" s="2037" t="s">
        <v>569</v>
      </c>
      <c r="B46" s="2037"/>
      <c r="C46" s="2037"/>
      <c r="D46" s="2037"/>
      <c r="E46" s="2037"/>
      <c r="F46" s="2037"/>
      <c r="G46" s="2037"/>
      <c r="H46" s="2037"/>
      <c r="I46" s="1302"/>
      <c r="J46" s="1302"/>
    </row>
    <row r="47" spans="1:10" s="6" customFormat="1" ht="15.75" thickBot="1">
      <c r="A47" s="1388"/>
      <c r="B47" s="1387"/>
      <c r="C47" s="1387"/>
      <c r="D47" s="1387"/>
      <c r="E47" s="1387"/>
      <c r="F47" s="1307"/>
      <c r="G47" s="1387"/>
      <c r="H47" s="1387"/>
      <c r="I47" s="1302"/>
      <c r="J47" s="1300"/>
    </row>
    <row r="48" spans="1:10" s="6" customFormat="1" ht="15" customHeight="1">
      <c r="A48" s="2038" t="s">
        <v>0</v>
      </c>
      <c r="B48" s="2039"/>
      <c r="C48" s="2039"/>
      <c r="D48" s="2040"/>
      <c r="E48" s="1303"/>
      <c r="F48" s="2038" t="s">
        <v>1</v>
      </c>
      <c r="G48" s="2039"/>
      <c r="H48" s="2039"/>
      <c r="I48" s="2040"/>
      <c r="J48" s="1300"/>
    </row>
    <row r="49" spans="1:10" s="6" customFormat="1" ht="29.25" thickBot="1">
      <c r="A49" s="1304" t="s">
        <v>2</v>
      </c>
      <c r="B49" s="1389" t="s">
        <v>3</v>
      </c>
      <c r="C49" s="1066" t="s">
        <v>998</v>
      </c>
      <c r="D49" s="1306" t="s">
        <v>975</v>
      </c>
      <c r="E49" s="1303"/>
      <c r="F49" s="1304" t="s">
        <v>2</v>
      </c>
      <c r="G49" s="1389" t="s">
        <v>4</v>
      </c>
      <c r="H49" s="1066" t="s">
        <v>962</v>
      </c>
      <c r="I49" s="1306" t="s">
        <v>975</v>
      </c>
      <c r="J49" s="1300"/>
    </row>
    <row r="50" spans="1:10" s="6" customFormat="1" ht="14.25">
      <c r="A50" s="753" t="s">
        <v>5</v>
      </c>
      <c r="B50" s="289">
        <v>80000</v>
      </c>
      <c r="C50" s="772">
        <v>0</v>
      </c>
      <c r="D50" s="285">
        <v>28000</v>
      </c>
      <c r="E50" s="202"/>
      <c r="F50" s="754"/>
      <c r="G50" s="297"/>
      <c r="H50" s="755"/>
      <c r="I50" s="293"/>
    </row>
    <row r="51" spans="1:10" s="6" customFormat="1" ht="14.25">
      <c r="A51" s="756"/>
      <c r="B51" s="757"/>
      <c r="C51" s="759"/>
      <c r="D51" s="758"/>
      <c r="E51" s="201"/>
      <c r="F51" s="756"/>
      <c r="G51" s="757"/>
      <c r="H51" s="759"/>
      <c r="I51" s="286"/>
    </row>
    <row r="52" spans="1:10" s="6" customFormat="1" ht="14.25">
      <c r="A52" s="740" t="s">
        <v>32</v>
      </c>
      <c r="B52" s="726">
        <f>SUM(B53:B54)</f>
        <v>300</v>
      </c>
      <c r="C52" s="727">
        <f>SUM(C53:C54)</f>
        <v>19300</v>
      </c>
      <c r="D52" s="741">
        <f>SUM(D53:D54)</f>
        <v>19300</v>
      </c>
      <c r="E52" s="203"/>
      <c r="F52" s="742" t="s">
        <v>56</v>
      </c>
      <c r="G52" s="726">
        <f>'4. melléklet'!M19</f>
        <v>2196341</v>
      </c>
      <c r="H52" s="727">
        <f>'4. melléklet'!N19</f>
        <v>3091509</v>
      </c>
      <c r="I52" s="268">
        <f>'4. melléklet'!O19</f>
        <v>2949564</v>
      </c>
    </row>
    <row r="53" spans="1:10" s="78" customFormat="1">
      <c r="A53" s="760" t="s">
        <v>33</v>
      </c>
      <c r="B53" s="290">
        <f>'3. melléklet'!K34</f>
        <v>300</v>
      </c>
      <c r="C53" s="773">
        <f>'3. melléklet'!L34</f>
        <v>19300</v>
      </c>
      <c r="D53" s="287">
        <f>'3. melléklet'!M34</f>
        <v>19300</v>
      </c>
      <c r="E53" s="204"/>
      <c r="F53" s="746"/>
      <c r="G53" s="730"/>
      <c r="H53" s="731"/>
      <c r="I53" s="269"/>
    </row>
    <row r="54" spans="1:10" s="6" customFormat="1">
      <c r="A54" s="747" t="s">
        <v>323</v>
      </c>
      <c r="B54" s="730">
        <f>'3. melléklet'!K35</f>
        <v>0</v>
      </c>
      <c r="C54" s="731">
        <f>'3. melléklet'!L35</f>
        <v>0</v>
      </c>
      <c r="D54" s="745">
        <f>'3. melléklet'!M35</f>
        <v>0</v>
      </c>
      <c r="E54" s="204"/>
      <c r="F54" s="742" t="s">
        <v>57</v>
      </c>
      <c r="G54" s="726">
        <f>'4. melléklet'!M20</f>
        <v>602340</v>
      </c>
      <c r="H54" s="727">
        <f>'4. melléklet'!N20</f>
        <v>450796</v>
      </c>
      <c r="I54" s="268">
        <f>'4. melléklet'!O20</f>
        <v>433113</v>
      </c>
    </row>
    <row r="55" spans="1:10" s="6" customFormat="1">
      <c r="A55" s="747"/>
      <c r="B55" s="730"/>
      <c r="C55" s="731"/>
      <c r="D55" s="745"/>
      <c r="E55" s="204"/>
      <c r="F55" s="742"/>
      <c r="G55" s="726"/>
      <c r="H55" s="727"/>
      <c r="I55" s="268"/>
    </row>
    <row r="56" spans="1:10" s="6" customFormat="1" ht="28.5">
      <c r="A56" s="740" t="s">
        <v>58</v>
      </c>
      <c r="B56" s="728">
        <f>'3. melléklet'!K12</f>
        <v>113219</v>
      </c>
      <c r="C56" s="729">
        <f>'3. melléklet'!L12</f>
        <v>761186</v>
      </c>
      <c r="D56" s="743">
        <f>'3. melléklet'!M12</f>
        <v>624394</v>
      </c>
      <c r="E56" s="205"/>
      <c r="F56" s="761" t="s">
        <v>59</v>
      </c>
      <c r="G56" s="726">
        <f>SUM(G57:G59)</f>
        <v>25100</v>
      </c>
      <c r="H56" s="727">
        <f>SUM(H57:H59)</f>
        <v>27600</v>
      </c>
      <c r="I56" s="268">
        <f>SUM(I57:I59)</f>
        <v>117596</v>
      </c>
    </row>
    <row r="57" spans="1:10">
      <c r="A57" s="747"/>
      <c r="B57" s="730"/>
      <c r="C57" s="731"/>
      <c r="D57" s="745"/>
      <c r="E57" s="204"/>
      <c r="F57" s="752" t="s">
        <v>19</v>
      </c>
      <c r="G57" s="730">
        <f>'4. melléklet'!M22</f>
        <v>1200</v>
      </c>
      <c r="H57" s="731">
        <f>'4. melléklet'!N22</f>
        <v>1200</v>
      </c>
      <c r="I57" s="269">
        <f>'4. melléklet'!O22</f>
        <v>2700</v>
      </c>
    </row>
    <row r="58" spans="1:10" ht="31.5" customHeight="1">
      <c r="A58" s="740" t="s">
        <v>40</v>
      </c>
      <c r="B58" s="726">
        <f>SUM(B59:B60)</f>
        <v>610</v>
      </c>
      <c r="C58" s="727">
        <f>SUM(C59:C60)</f>
        <v>194306</v>
      </c>
      <c r="D58" s="741">
        <f>SUM(D59:D60)</f>
        <v>200002</v>
      </c>
      <c r="E58" s="203"/>
      <c r="F58" s="752" t="s">
        <v>36</v>
      </c>
      <c r="G58" s="730">
        <f>'4. melléklet'!M23</f>
        <v>13900</v>
      </c>
      <c r="H58" s="731">
        <f>'4. melléklet'!N23</f>
        <v>16400</v>
      </c>
      <c r="I58" s="269">
        <f>'4. melléklet'!O23</f>
        <v>18650</v>
      </c>
    </row>
    <row r="59" spans="1:10">
      <c r="A59" s="747" t="s">
        <v>19</v>
      </c>
      <c r="B59" s="732">
        <f>'3. melléklet'!K40</f>
        <v>610</v>
      </c>
      <c r="C59" s="733">
        <f>'3. melléklet'!L40</f>
        <v>610</v>
      </c>
      <c r="D59" s="748">
        <f>'3. melléklet'!M40</f>
        <v>6306</v>
      </c>
      <c r="E59" s="206"/>
      <c r="F59" s="752" t="s">
        <v>37</v>
      </c>
      <c r="G59" s="732">
        <f>SUM(G60:G61)</f>
        <v>10000</v>
      </c>
      <c r="H59" s="733">
        <f>SUM(H60:H61)</f>
        <v>10000</v>
      </c>
      <c r="I59" s="270">
        <f>SUM(I60:I61)</f>
        <v>96246</v>
      </c>
    </row>
    <row r="60" spans="1:10">
      <c r="A60" s="747" t="s">
        <v>60</v>
      </c>
      <c r="B60" s="732">
        <f>'3. melléklet'!K41</f>
        <v>0</v>
      </c>
      <c r="C60" s="733">
        <f>'3. melléklet'!L41</f>
        <v>193696</v>
      </c>
      <c r="D60" s="748">
        <f>'3. melléklet'!M41</f>
        <v>193696</v>
      </c>
      <c r="E60" s="206"/>
      <c r="F60" s="762" t="s">
        <v>39</v>
      </c>
      <c r="G60" s="763">
        <f>'4. melléklet'!M25</f>
        <v>10000</v>
      </c>
      <c r="H60" s="764">
        <f>'4. melléklet'!N25</f>
        <v>10000</v>
      </c>
      <c r="I60" s="294">
        <f>'4. melléklet'!O25</f>
        <v>68246</v>
      </c>
    </row>
    <row r="61" spans="1:10">
      <c r="A61" s="740"/>
      <c r="B61" s="726"/>
      <c r="C61" s="727"/>
      <c r="D61" s="741"/>
      <c r="E61" s="203"/>
      <c r="F61" s="762" t="s">
        <v>529</v>
      </c>
      <c r="G61" s="763">
        <f>'4. melléklet'!M26</f>
        <v>0</v>
      </c>
      <c r="H61" s="764">
        <f>'4. melléklet'!N26</f>
        <v>0</v>
      </c>
      <c r="I61" s="294">
        <f>'4. melléklet'!O26</f>
        <v>28000</v>
      </c>
    </row>
    <row r="62" spans="1:10">
      <c r="A62" s="740" t="s">
        <v>63</v>
      </c>
      <c r="B62" s="728">
        <f>B63</f>
        <v>756474</v>
      </c>
      <c r="C62" s="729">
        <f>C63</f>
        <v>667675</v>
      </c>
      <c r="D62" s="743">
        <f>D63</f>
        <v>665483</v>
      </c>
      <c r="E62" s="205"/>
      <c r="F62" s="762"/>
      <c r="G62" s="763"/>
      <c r="H62" s="764"/>
      <c r="I62" s="294"/>
    </row>
    <row r="63" spans="1:10">
      <c r="A63" s="747" t="s">
        <v>52</v>
      </c>
      <c r="B63" s="732">
        <f>B29</f>
        <v>756474</v>
      </c>
      <c r="C63" s="733">
        <f>C29</f>
        <v>667675</v>
      </c>
      <c r="D63" s="748">
        <f>D29</f>
        <v>665483</v>
      </c>
      <c r="E63" s="206"/>
      <c r="F63" s="765"/>
      <c r="G63" s="749"/>
      <c r="H63" s="750"/>
      <c r="I63" s="280"/>
    </row>
    <row r="64" spans="1:10" ht="15.75" thickBot="1">
      <c r="A64" s="279"/>
      <c r="B64" s="277"/>
      <c r="C64" s="738"/>
      <c r="D64" s="273"/>
      <c r="E64" s="203"/>
      <c r="F64" s="284"/>
      <c r="G64" s="277"/>
      <c r="H64" s="738"/>
      <c r="I64" s="273"/>
    </row>
    <row r="65" spans="1:9" ht="15.75" thickBot="1">
      <c r="A65" s="21" t="s">
        <v>48</v>
      </c>
      <c r="B65" s="276">
        <f>B52+B56+B58+B62+B50</f>
        <v>950603</v>
      </c>
      <c r="C65" s="737">
        <f>C52+C56+C58+C62+C50</f>
        <v>1642467</v>
      </c>
      <c r="D65" s="272">
        <f>D52+D56+D58+D62+D50</f>
        <v>1537179</v>
      </c>
      <c r="E65" s="203"/>
      <c r="F65" s="133" t="s">
        <v>49</v>
      </c>
      <c r="G65" s="276">
        <f>G52+G54+G56</f>
        <v>2823781</v>
      </c>
      <c r="H65" s="737">
        <f>H52+H54+H56</f>
        <v>3569905</v>
      </c>
      <c r="I65" s="272">
        <f>I52+I54+I56</f>
        <v>3500273</v>
      </c>
    </row>
    <row r="66" spans="1:9">
      <c r="A66" s="766" t="s">
        <v>533</v>
      </c>
      <c r="B66" s="291"/>
      <c r="C66" s="774"/>
      <c r="D66" s="288"/>
      <c r="E66" s="205"/>
      <c r="F66" s="767"/>
      <c r="G66" s="298"/>
      <c r="H66" s="768"/>
      <c r="I66" s="295"/>
    </row>
    <row r="67" spans="1:9">
      <c r="A67" s="766" t="s">
        <v>53</v>
      </c>
      <c r="B67" s="291">
        <f>'3. melléklet'!K47-'2. melléklet'!B39</f>
        <v>124650</v>
      </c>
      <c r="C67" s="774">
        <v>94319</v>
      </c>
      <c r="D67" s="288">
        <v>106664</v>
      </c>
      <c r="E67" s="205"/>
      <c r="F67" s="769" t="s">
        <v>53</v>
      </c>
      <c r="G67" s="770">
        <f>124900-250</f>
        <v>124650</v>
      </c>
      <c r="H67" s="771"/>
      <c r="I67" s="296">
        <v>106664</v>
      </c>
    </row>
    <row r="68" spans="1:9" ht="28.5">
      <c r="A68" s="766" t="s">
        <v>742</v>
      </c>
      <c r="B68" s="291">
        <f>'3. melléklet'!K43</f>
        <v>328519</v>
      </c>
      <c r="C68" s="774">
        <f>'3. melléklet'!L43</f>
        <v>328519</v>
      </c>
      <c r="D68" s="288">
        <f>'3. melléklet'!M43</f>
        <v>531104</v>
      </c>
      <c r="E68" s="205"/>
      <c r="F68" s="742" t="s">
        <v>41</v>
      </c>
      <c r="G68" s="726">
        <f>'4. melléklet'!M28</f>
        <v>106549</v>
      </c>
      <c r="H68" s="727">
        <f>'4. melléklet'!N28</f>
        <v>106569</v>
      </c>
      <c r="I68" s="268">
        <f>'4. melléklet'!O28</f>
        <v>142329</v>
      </c>
    </row>
    <row r="69" spans="1:9" ht="15.75" customHeight="1">
      <c r="A69" s="740" t="s">
        <v>64</v>
      </c>
      <c r="B69" s="726">
        <f>B70</f>
        <v>1651208</v>
      </c>
      <c r="C69" s="727">
        <f>C70</f>
        <v>1611169</v>
      </c>
      <c r="D69" s="741">
        <f>D70</f>
        <v>1574319</v>
      </c>
      <c r="E69" s="203"/>
      <c r="F69" s="742"/>
      <c r="G69" s="726"/>
      <c r="H69" s="727"/>
      <c r="I69" s="268"/>
    </row>
    <row r="70" spans="1:9" ht="30">
      <c r="A70" s="744" t="s">
        <v>42</v>
      </c>
      <c r="B70" s="730">
        <f>'3. melléklet'!K46-'2. melléklet'!B37</f>
        <v>1651208</v>
      </c>
      <c r="C70" s="731">
        <v>1611169</v>
      </c>
      <c r="D70" s="745">
        <v>1574319</v>
      </c>
      <c r="E70" s="204"/>
      <c r="F70" s="742"/>
      <c r="G70" s="726"/>
      <c r="H70" s="727"/>
      <c r="I70" s="268"/>
    </row>
    <row r="71" spans="1:9" ht="15.75" thickBot="1">
      <c r="A71" s="292"/>
      <c r="B71" s="275"/>
      <c r="C71" s="736"/>
      <c r="D71" s="271"/>
      <c r="E71" s="206"/>
      <c r="F71" s="284"/>
      <c r="G71" s="277"/>
      <c r="H71" s="738"/>
      <c r="I71" s="273"/>
    </row>
    <row r="72" spans="1:9" ht="15.75" thickBot="1">
      <c r="A72" s="16" t="s">
        <v>47</v>
      </c>
      <c r="B72" s="276">
        <f>B69+B67+B68</f>
        <v>2104377</v>
      </c>
      <c r="C72" s="737">
        <f>C69+C67+C68</f>
        <v>2034007</v>
      </c>
      <c r="D72" s="272">
        <f>D69+D67+D68</f>
        <v>2212087</v>
      </c>
      <c r="E72" s="203"/>
      <c r="F72" s="133" t="s">
        <v>50</v>
      </c>
      <c r="G72" s="276">
        <f>SUM(G67:G68)</f>
        <v>231199</v>
      </c>
      <c r="H72" s="737">
        <f>SUM(H67:H68)</f>
        <v>106569</v>
      </c>
      <c r="I72" s="272">
        <f>SUM(I67:I68)</f>
        <v>248993</v>
      </c>
    </row>
    <row r="73" spans="1:9" ht="15.75" thickBot="1">
      <c r="A73" s="775"/>
      <c r="B73" s="776"/>
      <c r="C73" s="777"/>
      <c r="D73" s="274"/>
      <c r="E73" s="203"/>
      <c r="F73" s="107"/>
      <c r="G73" s="278"/>
      <c r="H73" s="739"/>
      <c r="I73" s="274"/>
    </row>
    <row r="74" spans="1:9" ht="29.25" thickBot="1">
      <c r="A74" s="8" t="s">
        <v>90</v>
      </c>
      <c r="B74" s="276">
        <f>B65+B72</f>
        <v>3054980</v>
      </c>
      <c r="C74" s="276">
        <f>C65+C72</f>
        <v>3676474</v>
      </c>
      <c r="D74" s="272">
        <f>D65+D72</f>
        <v>3749266</v>
      </c>
      <c r="E74" s="203"/>
      <c r="F74" s="8" t="s">
        <v>91</v>
      </c>
      <c r="G74" s="276">
        <f>G65+G72</f>
        <v>3054980</v>
      </c>
      <c r="H74" s="737">
        <f>H65+H72</f>
        <v>3676474</v>
      </c>
      <c r="I74" s="272">
        <f>I65+I72</f>
        <v>3749266</v>
      </c>
    </row>
    <row r="75" spans="1:9">
      <c r="A75" s="9"/>
      <c r="B75" s="10"/>
      <c r="C75" s="10"/>
      <c r="D75" s="10"/>
      <c r="E75" s="10"/>
      <c r="F75" s="9"/>
      <c r="G75" s="10"/>
      <c r="H75" s="10"/>
      <c r="I75" s="10"/>
    </row>
    <row r="76" spans="1:9">
      <c r="A76" s="11" t="s">
        <v>45</v>
      </c>
      <c r="B76" s="12">
        <f>B44+B74</f>
        <v>13362503.419</v>
      </c>
      <c r="C76" s="12">
        <f>C44+C74</f>
        <v>15801486</v>
      </c>
      <c r="D76" s="12">
        <f>D44+D74</f>
        <v>15910743</v>
      </c>
      <c r="E76" s="12"/>
      <c r="F76" s="11" t="s">
        <v>46</v>
      </c>
      <c r="G76" s="12">
        <f>G44+G74</f>
        <v>13362503</v>
      </c>
      <c r="H76" s="12">
        <f>H44+H74</f>
        <v>15801486</v>
      </c>
      <c r="I76" s="12">
        <f>I44+I74</f>
        <v>15910743</v>
      </c>
    </row>
    <row r="78" spans="1:9">
      <c r="A78" s="119"/>
      <c r="B78" s="13"/>
      <c r="C78" s="13"/>
      <c r="D78" s="13"/>
      <c r="E78" s="13"/>
      <c r="F78" s="14"/>
      <c r="G78" s="79"/>
      <c r="H78" s="79"/>
      <c r="I78" s="79"/>
    </row>
    <row r="79" spans="1:9">
      <c r="A79" s="119"/>
      <c r="B79" s="15"/>
      <c r="C79" s="15"/>
      <c r="D79" s="15"/>
      <c r="E79" s="15"/>
      <c r="F79" s="14"/>
    </row>
  </sheetData>
  <mergeCells count="6">
    <mergeCell ref="A46:H46"/>
    <mergeCell ref="A3:D3"/>
    <mergeCell ref="F3:I3"/>
    <mergeCell ref="F48:I48"/>
    <mergeCell ref="A1:I1"/>
    <mergeCell ref="A48:D48"/>
  </mergeCells>
  <printOptions horizontalCentered="1" verticalCentered="1"/>
  <pageMargins left="0.27559055118110237" right="0.15748031496062992" top="0.62992125984251968" bottom="0.70866141732283472" header="0.31496062992125984" footer="0.15748031496062992"/>
  <pageSetup paperSize="9" scale="55" orientation="portrait" r:id="rId1"/>
  <headerFooter>
    <oddHeader>&amp;L&amp;"Times New Roman,Normál"&amp;8 2.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  <rowBreaks count="1" manualBreakCount="1">
    <brk id="16" max="16383" man="1"/>
  </rowBreaks>
  <colBreaks count="1" manualBreakCount="1">
    <brk id="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35"/>
  <sheetViews>
    <sheetView view="pageLayout" zoomScaleNormal="89" workbookViewId="0">
      <selection activeCell="A4" sqref="A4:W6"/>
    </sheetView>
  </sheetViews>
  <sheetFormatPr defaultColWidth="9.140625" defaultRowHeight="15.75"/>
  <cols>
    <col min="1" max="1" width="28.28515625" style="403" bestFit="1" customWidth="1"/>
    <col min="2" max="2" width="8" style="387" bestFit="1" customWidth="1"/>
    <col min="3" max="4" width="10.140625" style="387" customWidth="1"/>
    <col min="5" max="5" width="18.28515625" style="387" bestFit="1" customWidth="1"/>
    <col min="6" max="6" width="9.7109375" style="404" customWidth="1"/>
    <col min="7" max="23" width="9.7109375" style="387" customWidth="1"/>
    <col min="24" max="25" width="10.7109375" style="387" customWidth="1"/>
    <col min="26" max="26" width="10.28515625" style="387" bestFit="1" customWidth="1"/>
    <col min="27" max="32" width="10" style="387" customWidth="1"/>
    <col min="33" max="35" width="10" style="405" customWidth="1"/>
    <col min="36" max="36" width="10.5703125" style="406" customWidth="1"/>
    <col min="37" max="16384" width="9.140625" style="404"/>
  </cols>
  <sheetData>
    <row r="2" spans="1:25" s="61" customFormat="1" ht="15">
      <c r="A2" s="2326" t="s">
        <v>873</v>
      </c>
      <c r="B2" s="2326"/>
      <c r="C2" s="2326"/>
      <c r="D2" s="2326"/>
      <c r="E2" s="2326"/>
      <c r="F2" s="2326"/>
      <c r="G2" s="2326"/>
      <c r="H2" s="2326"/>
      <c r="I2" s="2326"/>
      <c r="J2" s="2326"/>
      <c r="K2" s="2326"/>
      <c r="L2" s="2326"/>
      <c r="M2" s="2326"/>
      <c r="N2" s="2326"/>
      <c r="O2" s="2326"/>
      <c r="P2" s="2326"/>
      <c r="Q2" s="2326"/>
      <c r="R2" s="2326"/>
      <c r="S2" s="2326"/>
      <c r="T2" s="2326"/>
      <c r="U2" s="2326"/>
      <c r="V2" s="2326"/>
      <c r="W2" s="2326"/>
      <c r="X2" s="333"/>
      <c r="Y2" s="60"/>
    </row>
    <row r="3" spans="1:25" ht="16.5" thickBot="1">
      <c r="A3" s="2392"/>
      <c r="B3" s="2392"/>
      <c r="C3" s="2392"/>
      <c r="D3" s="2392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2393"/>
      <c r="R3" s="2393"/>
      <c r="S3" s="2393"/>
      <c r="T3" s="2393"/>
      <c r="U3" s="2393"/>
      <c r="V3" s="2393"/>
    </row>
    <row r="4" spans="1:25">
      <c r="A4" s="2327" t="s">
        <v>95</v>
      </c>
      <c r="B4" s="2401"/>
      <c r="C4" s="2401"/>
      <c r="D4" s="2401"/>
      <c r="E4" s="2398" t="s">
        <v>504</v>
      </c>
      <c r="F4" s="2399"/>
      <c r="G4" s="2399"/>
      <c r="H4" s="2399"/>
      <c r="I4" s="2399"/>
      <c r="J4" s="2399"/>
      <c r="K4" s="2399"/>
      <c r="L4" s="2399"/>
      <c r="M4" s="2399"/>
      <c r="N4" s="2399"/>
      <c r="O4" s="2399"/>
      <c r="P4" s="2399"/>
      <c r="Q4" s="2399"/>
      <c r="R4" s="2399"/>
      <c r="S4" s="2399"/>
      <c r="T4" s="2399"/>
      <c r="U4" s="2399"/>
      <c r="V4" s="2399"/>
      <c r="W4" s="2400"/>
    </row>
    <row r="5" spans="1:25" ht="43.5" customHeight="1">
      <c r="A5" s="2394" t="s">
        <v>874</v>
      </c>
      <c r="B5" s="2370" t="s">
        <v>3</v>
      </c>
      <c r="C5" s="2370" t="s">
        <v>963</v>
      </c>
      <c r="D5" s="2396" t="s">
        <v>974</v>
      </c>
      <c r="E5" s="2394" t="s">
        <v>948</v>
      </c>
      <c r="F5" s="2379" t="s">
        <v>315</v>
      </c>
      <c r="G5" s="2380"/>
      <c r="H5" s="2381"/>
      <c r="I5" s="2376" t="s">
        <v>221</v>
      </c>
      <c r="J5" s="2377"/>
      <c r="K5" s="2378"/>
      <c r="L5" s="2379" t="s">
        <v>12</v>
      </c>
      <c r="M5" s="2380"/>
      <c r="N5" s="2381"/>
      <c r="O5" s="2379" t="s">
        <v>875</v>
      </c>
      <c r="P5" s="2380"/>
      <c r="Q5" s="2381"/>
      <c r="R5" s="2379" t="s">
        <v>889</v>
      </c>
      <c r="S5" s="2380"/>
      <c r="T5" s="2381"/>
      <c r="U5" s="2370" t="s">
        <v>68</v>
      </c>
      <c r="V5" s="2370"/>
      <c r="W5" s="2371"/>
    </row>
    <row r="6" spans="1:25" ht="29.25" thickBot="1">
      <c r="A6" s="2395"/>
      <c r="B6" s="2389"/>
      <c r="C6" s="2389"/>
      <c r="D6" s="2397"/>
      <c r="E6" s="2386"/>
      <c r="F6" s="517" t="s">
        <v>3</v>
      </c>
      <c r="G6" s="517" t="s">
        <v>962</v>
      </c>
      <c r="H6" s="517" t="s">
        <v>975</v>
      </c>
      <c r="I6" s="517" t="s">
        <v>3</v>
      </c>
      <c r="J6" s="517" t="s">
        <v>962</v>
      </c>
      <c r="K6" s="517" t="s">
        <v>975</v>
      </c>
      <c r="L6" s="517" t="s">
        <v>3</v>
      </c>
      <c r="M6" s="517" t="s">
        <v>962</v>
      </c>
      <c r="N6" s="517" t="s">
        <v>975</v>
      </c>
      <c r="O6" s="517" t="s">
        <v>3</v>
      </c>
      <c r="P6" s="517" t="s">
        <v>962</v>
      </c>
      <c r="Q6" s="517" t="s">
        <v>975</v>
      </c>
      <c r="R6" s="517" t="s">
        <v>3</v>
      </c>
      <c r="S6" s="517" t="s">
        <v>962</v>
      </c>
      <c r="T6" s="517" t="s">
        <v>975</v>
      </c>
      <c r="U6" s="517" t="s">
        <v>3</v>
      </c>
      <c r="V6" s="931" t="s">
        <v>962</v>
      </c>
      <c r="W6" s="1510" t="s">
        <v>975</v>
      </c>
    </row>
    <row r="7" spans="1:25">
      <c r="A7" s="1511" t="s">
        <v>118</v>
      </c>
      <c r="B7" s="1512"/>
      <c r="C7" s="1512"/>
      <c r="D7" s="1513"/>
      <c r="E7" s="1514"/>
      <c r="F7" s="1515"/>
      <c r="G7" s="1515"/>
      <c r="H7" s="1515"/>
      <c r="I7" s="1515"/>
      <c r="J7" s="1515"/>
      <c r="K7" s="1515"/>
      <c r="L7" s="1515"/>
      <c r="M7" s="1515"/>
      <c r="N7" s="1515"/>
      <c r="O7" s="1515"/>
      <c r="P7" s="1515"/>
      <c r="Q7" s="1515"/>
      <c r="R7" s="1515"/>
      <c r="S7" s="1515"/>
      <c r="T7" s="1515"/>
      <c r="U7" s="1515"/>
      <c r="V7" s="1516"/>
      <c r="W7" s="1517"/>
    </row>
    <row r="8" spans="1:25">
      <c r="A8" s="1518"/>
      <c r="B8" s="1519">
        <v>0</v>
      </c>
      <c r="C8" s="1519">
        <v>14166</v>
      </c>
      <c r="D8" s="1520">
        <v>14166</v>
      </c>
      <c r="E8" s="1521"/>
      <c r="F8" s="1522">
        <v>0</v>
      </c>
      <c r="G8" s="1522">
        <v>10280</v>
      </c>
      <c r="H8" s="1522">
        <v>10280</v>
      </c>
      <c r="I8" s="1522">
        <v>0</v>
      </c>
      <c r="J8" s="1522">
        <v>1796</v>
      </c>
      <c r="K8" s="1522">
        <v>1796</v>
      </c>
      <c r="L8" s="1522">
        <v>0</v>
      </c>
      <c r="M8" s="1522">
        <v>1811</v>
      </c>
      <c r="N8" s="1522">
        <v>1811</v>
      </c>
      <c r="O8" s="1522"/>
      <c r="P8" s="1522"/>
      <c r="Q8" s="1522"/>
      <c r="R8" s="1522"/>
      <c r="S8" s="1522">
        <v>279</v>
      </c>
      <c r="T8" s="1522">
        <v>279</v>
      </c>
      <c r="U8" s="1523">
        <f>SUM(F8+I8+L8+R8+O8)</f>
        <v>0</v>
      </c>
      <c r="V8" s="1523">
        <f t="shared" ref="V8:W9" si="0">SUM(G8+J8+M8+S8+P8)</f>
        <v>14166</v>
      </c>
      <c r="W8" s="1524">
        <f t="shared" si="0"/>
        <v>14166</v>
      </c>
    </row>
    <row r="9" spans="1:25" ht="93.75" customHeight="1" thickBot="1">
      <c r="A9" s="1525" t="s">
        <v>503</v>
      </c>
      <c r="B9" s="1526">
        <v>20000</v>
      </c>
      <c r="C9" s="1526">
        <v>20603</v>
      </c>
      <c r="D9" s="1527">
        <v>20603</v>
      </c>
      <c r="E9" s="1528" t="s">
        <v>503</v>
      </c>
      <c r="F9" s="1529">
        <v>20000</v>
      </c>
      <c r="G9" s="1529">
        <v>18842</v>
      </c>
      <c r="H9" s="1529">
        <v>18842</v>
      </c>
      <c r="I9" s="1529">
        <v>0</v>
      </c>
      <c r="J9" s="1529">
        <v>1761</v>
      </c>
      <c r="K9" s="1529">
        <v>1761</v>
      </c>
      <c r="L9" s="1530">
        <v>0</v>
      </c>
      <c r="M9" s="1530">
        <v>0</v>
      </c>
      <c r="N9" s="1530">
        <v>0</v>
      </c>
      <c r="O9" s="1530"/>
      <c r="P9" s="1530"/>
      <c r="Q9" s="1530"/>
      <c r="R9" s="1530">
        <v>0</v>
      </c>
      <c r="S9" s="1530"/>
      <c r="T9" s="1530"/>
      <c r="U9" s="1531">
        <f>SUM(F9+I9+L9+R9+O9)</f>
        <v>20000</v>
      </c>
      <c r="V9" s="1531">
        <f t="shared" si="0"/>
        <v>20603</v>
      </c>
      <c r="W9" s="1532">
        <f t="shared" si="0"/>
        <v>20603</v>
      </c>
    </row>
    <row r="10" spans="1:25" ht="16.5" thickBot="1">
      <c r="A10" s="1533" t="s">
        <v>68</v>
      </c>
      <c r="B10" s="1534">
        <f>SUM(B9:B9)</f>
        <v>20000</v>
      </c>
      <c r="C10" s="1534">
        <f>SUM(C8:C9)</f>
        <v>34769</v>
      </c>
      <c r="D10" s="1535">
        <f>SUM(D8:D9)</f>
        <v>34769</v>
      </c>
      <c r="E10" s="1536" t="s">
        <v>68</v>
      </c>
      <c r="F10" s="1534">
        <f t="shared" ref="F10:U10" si="1">SUM(F8:F9)</f>
        <v>20000</v>
      </c>
      <c r="G10" s="1534">
        <f>SUM(G8:G9)</f>
        <v>29122</v>
      </c>
      <c r="H10" s="1534">
        <f>SUM(H8:H9)</f>
        <v>29122</v>
      </c>
      <c r="I10" s="1534">
        <f t="shared" si="1"/>
        <v>0</v>
      </c>
      <c r="J10" s="1534">
        <f>SUM(J8:J9)</f>
        <v>3557</v>
      </c>
      <c r="K10" s="1534">
        <f>SUM(K8:K9)</f>
        <v>3557</v>
      </c>
      <c r="L10" s="1534">
        <f t="shared" si="1"/>
        <v>0</v>
      </c>
      <c r="M10" s="1534">
        <f t="shared" si="1"/>
        <v>1811</v>
      </c>
      <c r="N10" s="1534">
        <f t="shared" ref="N10" si="2">SUM(N8:N9)</f>
        <v>1811</v>
      </c>
      <c r="O10" s="1534"/>
      <c r="P10" s="1534"/>
      <c r="Q10" s="1534"/>
      <c r="R10" s="1534">
        <f t="shared" si="1"/>
        <v>0</v>
      </c>
      <c r="S10" s="1534">
        <f t="shared" ref="S10:T10" si="3">SUM(S8:S9)</f>
        <v>279</v>
      </c>
      <c r="T10" s="1534">
        <f t="shared" si="3"/>
        <v>279</v>
      </c>
      <c r="U10" s="1534">
        <f t="shared" si="1"/>
        <v>20000</v>
      </c>
      <c r="V10" s="1534">
        <f>SUM(V8:V9)</f>
        <v>34769</v>
      </c>
      <c r="W10" s="1537">
        <f>SUM(W8:W9)</f>
        <v>34769</v>
      </c>
    </row>
    <row r="11" spans="1:25">
      <c r="A11" s="1511" t="s">
        <v>559</v>
      </c>
      <c r="B11" s="1538"/>
      <c r="C11" s="1538">
        <v>992</v>
      </c>
      <c r="D11" s="1539">
        <v>992</v>
      </c>
      <c r="E11" s="1540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>
        <v>992</v>
      </c>
      <c r="Q11" s="1538">
        <v>992</v>
      </c>
      <c r="R11" s="1538"/>
      <c r="S11" s="1538"/>
      <c r="T11" s="1538"/>
      <c r="U11" s="1538"/>
      <c r="V11" s="1538">
        <f>G11+J11+M11+P11+S11</f>
        <v>992</v>
      </c>
      <c r="W11" s="1541">
        <f>SUM(H11+K11+N11+T11+Q11)</f>
        <v>992</v>
      </c>
    </row>
    <row r="12" spans="1:25" ht="28.5">
      <c r="A12" s="1542" t="s">
        <v>122</v>
      </c>
      <c r="B12" s="1543"/>
      <c r="C12" s="1543">
        <v>9015</v>
      </c>
      <c r="D12" s="1544">
        <v>9015</v>
      </c>
      <c r="E12" s="1545"/>
      <c r="F12" s="1543"/>
      <c r="G12" s="1543">
        <v>62</v>
      </c>
      <c r="H12" s="1543">
        <v>62</v>
      </c>
      <c r="I12" s="1543"/>
      <c r="J12" s="1543">
        <v>8</v>
      </c>
      <c r="K12" s="1543">
        <v>8</v>
      </c>
      <c r="L12" s="1543"/>
      <c r="M12" s="1543"/>
      <c r="N12" s="1543"/>
      <c r="O12" s="1543"/>
      <c r="P12" s="1543">
        <v>8945</v>
      </c>
      <c r="Q12" s="1543">
        <v>8945</v>
      </c>
      <c r="R12" s="1543"/>
      <c r="S12" s="1543"/>
      <c r="T12" s="1543"/>
      <c r="U12" s="1543"/>
      <c r="V12" s="1538">
        <f t="shared" ref="V12:V13" si="4">G12+J12+M12+P12+S12</f>
        <v>9015</v>
      </c>
      <c r="W12" s="1546">
        <f>H12+K12+N12+Q12</f>
        <v>9015</v>
      </c>
    </row>
    <row r="13" spans="1:25" ht="16.5" thickBot="1">
      <c r="A13" s="1547" t="s">
        <v>120</v>
      </c>
      <c r="B13" s="1548"/>
      <c r="C13" s="1548">
        <v>14627</v>
      </c>
      <c r="D13" s="1549">
        <v>14627</v>
      </c>
      <c r="E13" s="1550"/>
      <c r="F13" s="1548"/>
      <c r="G13" s="1548">
        <v>809</v>
      </c>
      <c r="H13" s="1548">
        <v>809</v>
      </c>
      <c r="I13" s="1548"/>
      <c r="J13" s="1548">
        <v>103</v>
      </c>
      <c r="K13" s="1548">
        <v>103</v>
      </c>
      <c r="L13" s="1548"/>
      <c r="M13" s="1548"/>
      <c r="N13" s="1548"/>
      <c r="O13" s="1548"/>
      <c r="P13" s="1548">
        <v>13715</v>
      </c>
      <c r="Q13" s="1548">
        <v>13715</v>
      </c>
      <c r="R13" s="1548"/>
      <c r="S13" s="1548"/>
      <c r="T13" s="1548"/>
      <c r="U13" s="1548"/>
      <c r="V13" s="1538">
        <f t="shared" si="4"/>
        <v>14627</v>
      </c>
      <c r="W13" s="1551">
        <f>H13+K13+N13+Q13</f>
        <v>14627</v>
      </c>
    </row>
    <row r="14" spans="1:25" ht="16.5" thickBot="1">
      <c r="A14" s="1533" t="s">
        <v>560</v>
      </c>
      <c r="B14" s="1534">
        <f t="shared" ref="B14" si="5">SUM(B10:B13)</f>
        <v>20000</v>
      </c>
      <c r="C14" s="1534">
        <f>SUM(C10:C13)</f>
        <v>59403</v>
      </c>
      <c r="D14" s="1535">
        <f>SUM(D10:D13)</f>
        <v>59403</v>
      </c>
      <c r="E14" s="1552" t="s">
        <v>561</v>
      </c>
      <c r="F14" s="1534">
        <f t="shared" ref="F14:R14" si="6">SUM(F10:F13)</f>
        <v>20000</v>
      </c>
      <c r="G14" s="1534">
        <f>SUM(G10:G13)</f>
        <v>29993</v>
      </c>
      <c r="H14" s="1534">
        <f>SUM(H10:H13)</f>
        <v>29993</v>
      </c>
      <c r="I14" s="1534">
        <f t="shared" si="6"/>
        <v>0</v>
      </c>
      <c r="J14" s="1534">
        <f>SUM(J10:J13)</f>
        <v>3668</v>
      </c>
      <c r="K14" s="1534">
        <f>SUM(K10:K13)</f>
        <v>3668</v>
      </c>
      <c r="L14" s="1534">
        <f t="shared" si="6"/>
        <v>0</v>
      </c>
      <c r="M14" s="1534">
        <f t="shared" si="6"/>
        <v>1811</v>
      </c>
      <c r="N14" s="1534">
        <f t="shared" ref="N14" si="7">SUM(N10:N13)</f>
        <v>1811</v>
      </c>
      <c r="O14" s="1534"/>
      <c r="P14" s="1534">
        <f>SUM(P11:P13)</f>
        <v>23652</v>
      </c>
      <c r="Q14" s="1534">
        <f>SUM(Q11:Q13)</f>
        <v>23652</v>
      </c>
      <c r="R14" s="1534">
        <f t="shared" si="6"/>
        <v>0</v>
      </c>
      <c r="S14" s="1534">
        <f t="shared" ref="S14:T14" si="8">SUM(S10:S13)</f>
        <v>279</v>
      </c>
      <c r="T14" s="1534">
        <f t="shared" si="8"/>
        <v>279</v>
      </c>
      <c r="U14" s="1534">
        <f>U10+U11+U12+U13</f>
        <v>20000</v>
      </c>
      <c r="V14" s="1534">
        <f>G14+J14+M14+P14+S14</f>
        <v>59403</v>
      </c>
      <c r="W14" s="1537">
        <f>H14+K14+N14+Q14+T14</f>
        <v>59403</v>
      </c>
    </row>
    <row r="15" spans="1:25">
      <c r="A15" s="1553"/>
      <c r="B15" s="1554"/>
      <c r="C15" s="1554"/>
      <c r="D15" s="1554"/>
      <c r="E15" s="1554"/>
      <c r="F15" s="1555"/>
      <c r="G15" s="1554"/>
      <c r="H15" s="1554"/>
      <c r="I15" s="1554"/>
      <c r="J15" s="1554"/>
      <c r="K15" s="1554"/>
      <c r="L15" s="1554"/>
      <c r="M15" s="1554"/>
      <c r="N15" s="1554"/>
      <c r="O15" s="1554"/>
      <c r="P15" s="1554"/>
      <c r="Q15" s="1554"/>
      <c r="R15" s="1554"/>
      <c r="S15" s="1554"/>
      <c r="T15" s="1554"/>
      <c r="U15" s="1554"/>
      <c r="V15" s="1554"/>
      <c r="W15" s="1554"/>
    </row>
    <row r="16" spans="1:25">
      <c r="A16" s="1553"/>
      <c r="B16" s="1554"/>
      <c r="C16" s="1554"/>
      <c r="D16" s="1554"/>
      <c r="E16" s="1554"/>
      <c r="F16" s="1555"/>
      <c r="G16" s="1554"/>
      <c r="H16" s="1554"/>
      <c r="I16" s="1554"/>
      <c r="J16" s="1554"/>
      <c r="K16" s="1554"/>
      <c r="L16" s="1554"/>
      <c r="M16" s="1554"/>
      <c r="N16" s="1554"/>
      <c r="O16" s="1554"/>
      <c r="P16" s="1554"/>
      <c r="Q16" s="1554"/>
      <c r="R16" s="1554"/>
      <c r="S16" s="1554"/>
      <c r="T16" s="1554"/>
      <c r="U16" s="1554"/>
      <c r="V16" s="1554"/>
      <c r="W16" s="1554"/>
    </row>
    <row r="17" spans="1:26">
      <c r="A17" s="2372" t="s">
        <v>876</v>
      </c>
      <c r="B17" s="2372"/>
      <c r="C17" s="2372"/>
      <c r="D17" s="2372"/>
      <c r="E17" s="2372"/>
      <c r="F17" s="2372"/>
      <c r="G17" s="2372"/>
      <c r="H17" s="2372"/>
      <c r="I17" s="2372"/>
      <c r="J17" s="2372"/>
      <c r="K17" s="2372"/>
      <c r="L17" s="2372"/>
      <c r="M17" s="2372"/>
      <c r="N17" s="2372"/>
      <c r="O17" s="2372"/>
      <c r="P17" s="2372"/>
      <c r="Q17" s="2372"/>
      <c r="R17" s="2372"/>
      <c r="S17" s="2372"/>
      <c r="T17" s="1556"/>
      <c r="U17" s="1557"/>
      <c r="V17" s="1557"/>
      <c r="W17" s="1557"/>
      <c r="X17" s="393"/>
      <c r="Y17" s="393"/>
      <c r="Z17" s="393"/>
    </row>
    <row r="18" spans="1:26">
      <c r="A18" s="1553"/>
      <c r="B18" s="1554"/>
      <c r="C18" s="1554"/>
      <c r="D18" s="1554"/>
      <c r="E18" s="1554"/>
      <c r="F18" s="1555"/>
      <c r="G18" s="1554"/>
      <c r="H18" s="1554"/>
      <c r="I18" s="1554"/>
      <c r="J18" s="1554"/>
      <c r="K18" s="1554"/>
      <c r="L18" s="1554"/>
      <c r="M18" s="1554"/>
      <c r="N18" s="1554"/>
      <c r="O18" s="1554"/>
      <c r="P18" s="1554"/>
      <c r="Q18" s="1554"/>
      <c r="R18" s="1554"/>
      <c r="S18" s="1554"/>
      <c r="T18" s="1554"/>
      <c r="U18" s="1554"/>
      <c r="V18" s="1554"/>
      <c r="W18" s="1554"/>
    </row>
    <row r="19" spans="1:26" ht="16.5" thickBot="1">
      <c r="A19" s="1558"/>
      <c r="B19" s="1559"/>
      <c r="C19" s="1559"/>
      <c r="D19" s="1559"/>
      <c r="E19" s="1560"/>
      <c r="F19" s="1559"/>
      <c r="G19" s="1559"/>
      <c r="H19" s="1559"/>
      <c r="I19" s="1559"/>
      <c r="J19" s="1559"/>
      <c r="K19" s="1559"/>
      <c r="L19" s="1559"/>
      <c r="M19" s="1559"/>
      <c r="N19" s="1559"/>
      <c r="O19" s="1559"/>
      <c r="P19" s="1561"/>
      <c r="Q19" s="1561"/>
      <c r="R19" s="1561"/>
      <c r="S19" s="1562"/>
      <c r="T19" s="1562"/>
      <c r="U19" s="1554"/>
      <c r="V19" s="1554"/>
      <c r="W19" s="1554"/>
    </row>
    <row r="20" spans="1:26" ht="16.5" thickBot="1">
      <c r="A20" s="2373" t="s">
        <v>95</v>
      </c>
      <c r="B20" s="2374"/>
      <c r="C20" s="2374"/>
      <c r="D20" s="2375"/>
      <c r="E20" s="2373" t="s">
        <v>504</v>
      </c>
      <c r="F20" s="2374"/>
      <c r="G20" s="2374"/>
      <c r="H20" s="2374"/>
      <c r="I20" s="2374"/>
      <c r="J20" s="2374"/>
      <c r="K20" s="2374"/>
      <c r="L20" s="2374"/>
      <c r="M20" s="2374"/>
      <c r="N20" s="2374"/>
      <c r="O20" s="2374"/>
      <c r="P20" s="2374"/>
      <c r="Q20" s="2374"/>
      <c r="R20" s="2374"/>
      <c r="S20" s="2374"/>
      <c r="T20" s="2375"/>
      <c r="U20" s="1554"/>
      <c r="V20" s="1554"/>
      <c r="W20" s="1554"/>
    </row>
    <row r="21" spans="1:26" ht="28.5" customHeight="1">
      <c r="A21" s="2385" t="s">
        <v>874</v>
      </c>
      <c r="B21" s="2387" t="s">
        <v>3</v>
      </c>
      <c r="C21" s="2383" t="s">
        <v>962</v>
      </c>
      <c r="D21" s="2335" t="s">
        <v>975</v>
      </c>
      <c r="E21" s="2390" t="s">
        <v>877</v>
      </c>
      <c r="F21" s="2383" t="s">
        <v>6</v>
      </c>
      <c r="G21" s="2383"/>
      <c r="H21" s="2383"/>
      <c r="I21" s="2382" t="s">
        <v>221</v>
      </c>
      <c r="J21" s="2382"/>
      <c r="K21" s="2382"/>
      <c r="L21" s="2383" t="s">
        <v>12</v>
      </c>
      <c r="M21" s="2383"/>
      <c r="N21" s="2383"/>
      <c r="O21" s="2383" t="s">
        <v>56</v>
      </c>
      <c r="P21" s="2383"/>
      <c r="Q21" s="2383"/>
      <c r="R21" s="2383" t="s">
        <v>68</v>
      </c>
      <c r="S21" s="2383"/>
      <c r="T21" s="2384"/>
      <c r="U21" s="1554"/>
      <c r="V21" s="1554"/>
      <c r="W21" s="1554"/>
    </row>
    <row r="22" spans="1:26" ht="29.25" thickBot="1">
      <c r="A22" s="2386"/>
      <c r="B22" s="2388"/>
      <c r="C22" s="2389"/>
      <c r="D22" s="2336"/>
      <c r="E22" s="2391"/>
      <c r="F22" s="517" t="s">
        <v>3</v>
      </c>
      <c r="G22" s="517" t="s">
        <v>962</v>
      </c>
      <c r="H22" s="517" t="s">
        <v>975</v>
      </c>
      <c r="I22" s="517" t="s">
        <v>3</v>
      </c>
      <c r="J22" s="517" t="s">
        <v>962</v>
      </c>
      <c r="K22" s="517" t="s">
        <v>975</v>
      </c>
      <c r="L22" s="517" t="s">
        <v>3</v>
      </c>
      <c r="M22" s="517" t="s">
        <v>962</v>
      </c>
      <c r="N22" s="517" t="s">
        <v>975</v>
      </c>
      <c r="O22" s="517" t="s">
        <v>3</v>
      </c>
      <c r="P22" s="517" t="s">
        <v>962</v>
      </c>
      <c r="Q22" s="517" t="s">
        <v>975</v>
      </c>
      <c r="R22" s="517" t="s">
        <v>3</v>
      </c>
      <c r="S22" s="517" t="s">
        <v>962</v>
      </c>
      <c r="T22" s="1563" t="s">
        <v>975</v>
      </c>
      <c r="U22" s="1554"/>
      <c r="V22" s="1554"/>
      <c r="W22" s="1554"/>
    </row>
    <row r="23" spans="1:26">
      <c r="A23" s="1564" t="s">
        <v>195</v>
      </c>
      <c r="B23" s="1565"/>
      <c r="C23" s="1515"/>
      <c r="D23" s="1235"/>
      <c r="E23" s="1566"/>
      <c r="F23" s="1515"/>
      <c r="G23" s="1515"/>
      <c r="H23" s="1515"/>
      <c r="I23" s="1515"/>
      <c r="J23" s="1515"/>
      <c r="K23" s="1515"/>
      <c r="L23" s="1515"/>
      <c r="M23" s="1515"/>
      <c r="N23" s="1515"/>
      <c r="O23" s="1515"/>
      <c r="P23" s="1515"/>
      <c r="Q23" s="1515"/>
      <c r="R23" s="1515"/>
      <c r="S23" s="1515"/>
      <c r="T23" s="1567"/>
      <c r="U23" s="1554"/>
      <c r="V23" s="1554"/>
      <c r="W23" s="1554"/>
    </row>
    <row r="24" spans="1:26">
      <c r="A24" s="1568" t="s">
        <v>878</v>
      </c>
      <c r="B24" s="1569"/>
      <c r="C24" s="522">
        <v>6000</v>
      </c>
      <c r="D24" s="522">
        <v>6000</v>
      </c>
      <c r="E24" s="1570" t="s">
        <v>879</v>
      </c>
      <c r="F24" s="528"/>
      <c r="G24" s="528"/>
      <c r="H24" s="528"/>
      <c r="I24" s="528"/>
      <c r="J24" s="528"/>
      <c r="K24" s="528"/>
      <c r="L24" s="531"/>
      <c r="M24" s="531"/>
      <c r="N24" s="531"/>
      <c r="O24" s="531"/>
      <c r="P24" s="531">
        <v>6000</v>
      </c>
      <c r="Q24" s="531">
        <v>6000</v>
      </c>
      <c r="R24" s="539">
        <f t="shared" ref="R24:R34" si="9">F24+I24+L24+O24</f>
        <v>0</v>
      </c>
      <c r="S24" s="539">
        <f t="shared" ref="S24:S34" si="10">G24+J24+M24+P24</f>
        <v>6000</v>
      </c>
      <c r="T24" s="1571">
        <f t="shared" ref="T24:T34" si="11">H24+K24+N24+Q24</f>
        <v>6000</v>
      </c>
      <c r="U24" s="1554"/>
      <c r="V24" s="1554"/>
      <c r="W24" s="1554"/>
    </row>
    <row r="25" spans="1:26">
      <c r="A25" s="1568" t="s">
        <v>880</v>
      </c>
      <c r="B25" s="1569"/>
      <c r="C25" s="522">
        <v>139883</v>
      </c>
      <c r="D25" s="522">
        <v>139883</v>
      </c>
      <c r="E25" s="1572" t="s">
        <v>881</v>
      </c>
      <c r="F25" s="528"/>
      <c r="G25" s="528"/>
      <c r="H25" s="528"/>
      <c r="I25" s="528"/>
      <c r="J25" s="528"/>
      <c r="K25" s="528"/>
      <c r="L25" s="531"/>
      <c r="M25" s="531">
        <v>139883</v>
      </c>
      <c r="N25" s="531">
        <v>139883</v>
      </c>
      <c r="O25" s="531"/>
      <c r="P25" s="531"/>
      <c r="Q25" s="531"/>
      <c r="R25" s="539">
        <f t="shared" si="9"/>
        <v>0</v>
      </c>
      <c r="S25" s="539">
        <f t="shared" si="10"/>
        <v>139883</v>
      </c>
      <c r="T25" s="1571">
        <f t="shared" si="11"/>
        <v>139883</v>
      </c>
      <c r="U25" s="1554"/>
      <c r="V25" s="1554"/>
      <c r="W25" s="1554"/>
    </row>
    <row r="26" spans="1:26" ht="28.5">
      <c r="A26" s="1573" t="s">
        <v>882</v>
      </c>
      <c r="B26" s="1569"/>
      <c r="C26" s="522">
        <v>80</v>
      </c>
      <c r="D26" s="522">
        <v>80</v>
      </c>
      <c r="E26" s="1572" t="s">
        <v>881</v>
      </c>
      <c r="F26" s="528"/>
      <c r="G26" s="528"/>
      <c r="H26" s="528"/>
      <c r="I26" s="528"/>
      <c r="J26" s="528"/>
      <c r="K26" s="528"/>
      <c r="L26" s="531"/>
      <c r="M26" s="531">
        <v>80</v>
      </c>
      <c r="N26" s="531">
        <v>80</v>
      </c>
      <c r="O26" s="531"/>
      <c r="P26" s="531"/>
      <c r="Q26" s="531"/>
      <c r="R26" s="539">
        <f t="shared" si="9"/>
        <v>0</v>
      </c>
      <c r="S26" s="539">
        <f t="shared" si="10"/>
        <v>80</v>
      </c>
      <c r="T26" s="1571">
        <f t="shared" si="11"/>
        <v>80</v>
      </c>
      <c r="U26" s="1554"/>
      <c r="V26" s="1554"/>
      <c r="W26" s="1554"/>
    </row>
    <row r="27" spans="1:26">
      <c r="A27" s="1573" t="s">
        <v>132</v>
      </c>
      <c r="B27" s="1569"/>
      <c r="C27" s="522">
        <v>65</v>
      </c>
      <c r="D27" s="522">
        <v>65</v>
      </c>
      <c r="E27" s="1572" t="s">
        <v>881</v>
      </c>
      <c r="F27" s="528"/>
      <c r="G27" s="528"/>
      <c r="H27" s="528"/>
      <c r="I27" s="528"/>
      <c r="J27" s="528"/>
      <c r="K27" s="528"/>
      <c r="L27" s="531"/>
      <c r="M27" s="531">
        <v>65</v>
      </c>
      <c r="N27" s="531">
        <v>65</v>
      </c>
      <c r="O27" s="531"/>
      <c r="P27" s="531"/>
      <c r="Q27" s="531"/>
      <c r="R27" s="539">
        <f t="shared" si="9"/>
        <v>0</v>
      </c>
      <c r="S27" s="539">
        <f t="shared" si="10"/>
        <v>65</v>
      </c>
      <c r="T27" s="1571">
        <f t="shared" si="11"/>
        <v>65</v>
      </c>
      <c r="U27" s="1554"/>
      <c r="V27" s="1554"/>
      <c r="W27" s="1554"/>
    </row>
    <row r="28" spans="1:26">
      <c r="A28" s="1573" t="s">
        <v>131</v>
      </c>
      <c r="B28" s="1569"/>
      <c r="C28" s="522">
        <v>129</v>
      </c>
      <c r="D28" s="522">
        <v>129</v>
      </c>
      <c r="E28" s="1572" t="s">
        <v>881</v>
      </c>
      <c r="F28" s="528"/>
      <c r="G28" s="528"/>
      <c r="H28" s="528"/>
      <c r="I28" s="528"/>
      <c r="J28" s="528"/>
      <c r="K28" s="528"/>
      <c r="L28" s="531"/>
      <c r="M28" s="531">
        <v>129</v>
      </c>
      <c r="N28" s="531">
        <v>129</v>
      </c>
      <c r="O28" s="531"/>
      <c r="P28" s="531"/>
      <c r="Q28" s="531"/>
      <c r="R28" s="539">
        <f t="shared" si="9"/>
        <v>0</v>
      </c>
      <c r="S28" s="539">
        <f t="shared" si="10"/>
        <v>129</v>
      </c>
      <c r="T28" s="1571">
        <f t="shared" si="11"/>
        <v>129</v>
      </c>
      <c r="U28" s="1554"/>
      <c r="V28" s="1554"/>
      <c r="W28" s="1554"/>
    </row>
    <row r="29" spans="1:26">
      <c r="A29" s="398" t="s">
        <v>188</v>
      </c>
      <c r="B29" s="505"/>
      <c r="C29" s="506">
        <v>32</v>
      </c>
      <c r="D29" s="506">
        <v>32</v>
      </c>
      <c r="E29" s="508" t="s">
        <v>881</v>
      </c>
      <c r="F29" s="395"/>
      <c r="G29" s="395"/>
      <c r="H29" s="395"/>
      <c r="I29" s="395"/>
      <c r="J29" s="395"/>
      <c r="K29" s="395"/>
      <c r="L29" s="397"/>
      <c r="M29" s="397">
        <v>32</v>
      </c>
      <c r="N29" s="397">
        <v>32</v>
      </c>
      <c r="O29" s="397"/>
      <c r="P29" s="397"/>
      <c r="Q29" s="397"/>
      <c r="R29" s="388">
        <f t="shared" si="9"/>
        <v>0</v>
      </c>
      <c r="S29" s="388">
        <f t="shared" si="10"/>
        <v>32</v>
      </c>
      <c r="T29" s="389">
        <f t="shared" si="11"/>
        <v>32</v>
      </c>
    </row>
    <row r="30" spans="1:26">
      <c r="A30" s="398" t="s">
        <v>130</v>
      </c>
      <c r="B30" s="505"/>
      <c r="C30" s="506">
        <v>14</v>
      </c>
      <c r="D30" s="506">
        <v>14</v>
      </c>
      <c r="E30" s="508" t="s">
        <v>881</v>
      </c>
      <c r="F30" s="395"/>
      <c r="G30" s="395">
        <v>14</v>
      </c>
      <c r="H30" s="395">
        <v>14</v>
      </c>
      <c r="I30" s="395"/>
      <c r="J30" s="395"/>
      <c r="K30" s="395"/>
      <c r="L30" s="397"/>
      <c r="M30" s="397"/>
      <c r="N30" s="397"/>
      <c r="O30" s="397"/>
      <c r="P30" s="397"/>
      <c r="Q30" s="397"/>
      <c r="R30" s="388">
        <f t="shared" si="9"/>
        <v>0</v>
      </c>
      <c r="S30" s="388">
        <f t="shared" si="10"/>
        <v>14</v>
      </c>
      <c r="T30" s="389">
        <f t="shared" si="11"/>
        <v>14</v>
      </c>
    </row>
    <row r="31" spans="1:26">
      <c r="A31" s="398" t="s">
        <v>192</v>
      </c>
      <c r="B31" s="505"/>
      <c r="C31" s="506">
        <v>216</v>
      </c>
      <c r="D31" s="506">
        <v>216</v>
      </c>
      <c r="E31" s="508" t="s">
        <v>881</v>
      </c>
      <c r="F31" s="395"/>
      <c r="G31" s="395">
        <v>216</v>
      </c>
      <c r="H31" s="395">
        <v>216</v>
      </c>
      <c r="I31" s="395"/>
      <c r="J31" s="395"/>
      <c r="K31" s="395"/>
      <c r="L31" s="397"/>
      <c r="M31" s="397"/>
      <c r="N31" s="397"/>
      <c r="O31" s="397"/>
      <c r="P31" s="397"/>
      <c r="Q31" s="397"/>
      <c r="R31" s="388">
        <f t="shared" si="9"/>
        <v>0</v>
      </c>
      <c r="S31" s="388">
        <f t="shared" si="10"/>
        <v>216</v>
      </c>
      <c r="T31" s="389">
        <f t="shared" si="11"/>
        <v>216</v>
      </c>
    </row>
    <row r="32" spans="1:26" ht="28.5">
      <c r="A32" s="398" t="s">
        <v>883</v>
      </c>
      <c r="B32" s="505"/>
      <c r="C32" s="506">
        <v>195</v>
      </c>
      <c r="D32" s="506">
        <v>195</v>
      </c>
      <c r="E32" s="508" t="s">
        <v>881</v>
      </c>
      <c r="F32" s="395"/>
      <c r="G32" s="395"/>
      <c r="H32" s="395"/>
      <c r="I32" s="395"/>
      <c r="J32" s="395"/>
      <c r="K32" s="395"/>
      <c r="L32" s="397"/>
      <c r="M32" s="397"/>
      <c r="N32" s="397"/>
      <c r="O32" s="397"/>
      <c r="P32" s="397">
        <v>195</v>
      </c>
      <c r="Q32" s="397">
        <v>195</v>
      </c>
      <c r="R32" s="388">
        <f t="shared" si="9"/>
        <v>0</v>
      </c>
      <c r="S32" s="388">
        <f t="shared" si="10"/>
        <v>195</v>
      </c>
      <c r="T32" s="389">
        <f t="shared" si="11"/>
        <v>195</v>
      </c>
    </row>
    <row r="33" spans="1:20" ht="28.5">
      <c r="A33" s="398" t="s">
        <v>884</v>
      </c>
      <c r="B33" s="505"/>
      <c r="C33" s="506">
        <v>617</v>
      </c>
      <c r="D33" s="506">
        <v>617</v>
      </c>
      <c r="E33" s="508" t="s">
        <v>881</v>
      </c>
      <c r="F33" s="395"/>
      <c r="G33" s="395"/>
      <c r="H33" s="395"/>
      <c r="I33" s="395"/>
      <c r="J33" s="395"/>
      <c r="K33" s="395"/>
      <c r="L33" s="397"/>
      <c r="M33" s="397">
        <v>617</v>
      </c>
      <c r="N33" s="397">
        <v>617</v>
      </c>
      <c r="O33" s="397"/>
      <c r="P33" s="397"/>
      <c r="Q33" s="397"/>
      <c r="R33" s="388">
        <f t="shared" si="9"/>
        <v>0</v>
      </c>
      <c r="S33" s="388">
        <f t="shared" si="10"/>
        <v>617</v>
      </c>
      <c r="T33" s="389">
        <f t="shared" si="11"/>
        <v>617</v>
      </c>
    </row>
    <row r="34" spans="1:20" ht="29.25" thickBot="1">
      <c r="A34" s="399" t="s">
        <v>143</v>
      </c>
      <c r="B34" s="400"/>
      <c r="C34" s="390">
        <v>1166</v>
      </c>
      <c r="D34" s="390">
        <v>1166</v>
      </c>
      <c r="E34" s="509" t="s">
        <v>881</v>
      </c>
      <c r="F34" s="510"/>
      <c r="G34" s="510">
        <v>1010</v>
      </c>
      <c r="H34" s="510">
        <v>1010</v>
      </c>
      <c r="I34" s="510"/>
      <c r="J34" s="510">
        <v>156</v>
      </c>
      <c r="K34" s="510">
        <v>156</v>
      </c>
      <c r="L34" s="511"/>
      <c r="M34" s="511"/>
      <c r="N34" s="511"/>
      <c r="O34" s="511"/>
      <c r="P34" s="511"/>
      <c r="Q34" s="511"/>
      <c r="R34" s="512">
        <f t="shared" si="9"/>
        <v>0</v>
      </c>
      <c r="S34" s="512">
        <f t="shared" si="10"/>
        <v>1166</v>
      </c>
      <c r="T34" s="513">
        <f t="shared" si="11"/>
        <v>1166</v>
      </c>
    </row>
    <row r="35" spans="1:20" ht="16.5" thickBot="1">
      <c r="A35" s="391" t="s">
        <v>68</v>
      </c>
      <c r="B35" s="401">
        <f>SUM(B24:B24)</f>
        <v>0</v>
      </c>
      <c r="C35" s="235">
        <f>SUM(C24:C34)</f>
        <v>148397</v>
      </c>
      <c r="D35" s="503">
        <f>SUM(D24:D34)</f>
        <v>148397</v>
      </c>
      <c r="E35" s="236" t="s">
        <v>68</v>
      </c>
      <c r="F35" s="235">
        <f>SUM(F24:F34)</f>
        <v>0</v>
      </c>
      <c r="G35" s="235">
        <f t="shared" ref="G35:O35" si="12">SUM(G24:G34)</f>
        <v>1240</v>
      </c>
      <c r="H35" s="235">
        <f t="shared" ref="H35" si="13">SUM(H24:H34)</f>
        <v>1240</v>
      </c>
      <c r="I35" s="235">
        <f t="shared" si="12"/>
        <v>0</v>
      </c>
      <c r="J35" s="235">
        <f t="shared" si="12"/>
        <v>156</v>
      </c>
      <c r="K35" s="235">
        <f t="shared" ref="K35" si="14">SUM(K24:K34)</f>
        <v>156</v>
      </c>
      <c r="L35" s="235">
        <f t="shared" si="12"/>
        <v>0</v>
      </c>
      <c r="M35" s="235">
        <f t="shared" si="12"/>
        <v>140806</v>
      </c>
      <c r="N35" s="235">
        <f t="shared" ref="N35" si="15">SUM(N24:N34)</f>
        <v>140806</v>
      </c>
      <c r="O35" s="235">
        <f t="shared" si="12"/>
        <v>0</v>
      </c>
      <c r="P35" s="235">
        <f>SUM(P24:P34)</f>
        <v>6195</v>
      </c>
      <c r="Q35" s="235">
        <f>SUM(Q24:Q34)</f>
        <v>6195</v>
      </c>
      <c r="R35" s="514">
        <f>SUM(R24:R34)</f>
        <v>0</v>
      </c>
      <c r="S35" s="514">
        <f>SUM(S24:S34)</f>
        <v>148397</v>
      </c>
      <c r="T35" s="402">
        <f>SUM(T24:T34)</f>
        <v>148397</v>
      </c>
    </row>
  </sheetData>
  <mergeCells count="28">
    <mergeCell ref="A21:A22"/>
    <mergeCell ref="B21:B22"/>
    <mergeCell ref="C21:C22"/>
    <mergeCell ref="E21:E22"/>
    <mergeCell ref="A2:W2"/>
    <mergeCell ref="A3:V3"/>
    <mergeCell ref="A5:A6"/>
    <mergeCell ref="B5:B6"/>
    <mergeCell ref="C5:C6"/>
    <mergeCell ref="E5:E6"/>
    <mergeCell ref="D5:D6"/>
    <mergeCell ref="F5:H5"/>
    <mergeCell ref="E4:W4"/>
    <mergeCell ref="A4:D4"/>
    <mergeCell ref="D21:D22"/>
    <mergeCell ref="A20:D20"/>
    <mergeCell ref="I21:K21"/>
    <mergeCell ref="F21:H21"/>
    <mergeCell ref="L21:N21"/>
    <mergeCell ref="O21:Q21"/>
    <mergeCell ref="R21:T21"/>
    <mergeCell ref="U5:W5"/>
    <mergeCell ref="A17:S17"/>
    <mergeCell ref="E20:T20"/>
    <mergeCell ref="I5:K5"/>
    <mergeCell ref="L5:N5"/>
    <mergeCell ref="O5:Q5"/>
    <mergeCell ref="R5:T5"/>
  </mergeCells>
  <pageMargins left="0.31496062992125984" right="0.11811023622047245" top="0.74803149606299213" bottom="0.74803149606299213" header="0.31496062992125984" footer="0.31496062992125984"/>
  <pageSetup paperSize="9" scale="57" orientation="landscape" r:id="rId1"/>
  <headerFooter>
    <oddHeader>&amp;L&amp;"Times New Roman,Normál" 14.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  <rowBreaks count="2" manualBreakCount="2">
    <brk id="35" max="16" man="1"/>
    <brk id="39" max="1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4"/>
  <sheetViews>
    <sheetView view="pageLayout" zoomScaleNormal="80" workbookViewId="0">
      <selection activeCell="A2" sqref="A2:L2"/>
    </sheetView>
  </sheetViews>
  <sheetFormatPr defaultColWidth="8.85546875" defaultRowHeight="15.75"/>
  <cols>
    <col min="1" max="1" width="12.28515625" style="1247" customWidth="1"/>
    <col min="2" max="2" width="68.42578125" style="1247" customWidth="1"/>
    <col min="3" max="3" width="19.7109375" style="1247" customWidth="1"/>
    <col min="4" max="4" width="15.42578125" style="1248" customWidth="1"/>
    <col min="5" max="5" width="19.140625" style="223" bestFit="1" customWidth="1"/>
    <col min="6" max="6" width="16.28515625" style="1249" customWidth="1"/>
    <col min="7" max="7" width="15.28515625" style="223" customWidth="1"/>
    <col min="8" max="8" width="21.7109375" style="223" hidden="1" customWidth="1"/>
    <col min="9" max="10" width="15.28515625" style="223" hidden="1" customWidth="1"/>
    <col min="11" max="11" width="12.5703125" style="223" customWidth="1"/>
    <col min="12" max="12" width="12.42578125" style="223" customWidth="1"/>
    <col min="13" max="16384" width="8.85546875" style="1247"/>
  </cols>
  <sheetData>
    <row r="1" spans="1:12" ht="29.25" customHeight="1">
      <c r="A1" s="2415" t="s">
        <v>597</v>
      </c>
      <c r="B1" s="2415"/>
      <c r="C1" s="2415"/>
      <c r="D1" s="2415"/>
      <c r="E1" s="2415"/>
      <c r="F1" s="2415"/>
      <c r="G1" s="2415"/>
      <c r="H1" s="2415"/>
      <c r="I1" s="2415"/>
      <c r="J1" s="2415"/>
      <c r="K1" s="2415"/>
      <c r="L1" s="2415"/>
    </row>
    <row r="2" spans="1:12" ht="29.25" customHeight="1">
      <c r="A2" s="2415" t="s">
        <v>222</v>
      </c>
      <c r="B2" s="2415"/>
      <c r="C2" s="2415"/>
      <c r="D2" s="2415"/>
      <c r="E2" s="2415"/>
      <c r="F2" s="2415"/>
      <c r="G2" s="2415"/>
      <c r="H2" s="2415"/>
      <c r="I2" s="2415"/>
      <c r="J2" s="2415"/>
      <c r="K2" s="2415"/>
      <c r="L2" s="2415"/>
    </row>
    <row r="3" spans="1:12" ht="16.5" thickBot="1"/>
    <row r="4" spans="1:12" ht="28.5" customHeight="1" thickBot="1">
      <c r="A4" s="2416" t="s">
        <v>523</v>
      </c>
      <c r="B4" s="2418" t="s">
        <v>223</v>
      </c>
      <c r="C4" s="2420" t="s">
        <v>568</v>
      </c>
      <c r="D4" s="2421"/>
      <c r="E4" s="2421"/>
      <c r="F4" s="2422"/>
      <c r="G4" s="2423" t="s">
        <v>849</v>
      </c>
      <c r="H4" s="2430" t="s">
        <v>850</v>
      </c>
      <c r="I4" s="2432" t="s">
        <v>1018</v>
      </c>
      <c r="J4" s="1627"/>
      <c r="K4" s="2423" t="s">
        <v>1019</v>
      </c>
      <c r="L4" s="2427" t="s">
        <v>1020</v>
      </c>
    </row>
    <row r="5" spans="1:12" ht="41.45" customHeight="1" thickTop="1" thickBot="1">
      <c r="A5" s="2417"/>
      <c r="B5" s="2419"/>
      <c r="C5" s="2425" t="s">
        <v>851</v>
      </c>
      <c r="D5" s="2426"/>
      <c r="E5" s="1625" t="s">
        <v>524</v>
      </c>
      <c r="F5" s="2029" t="s">
        <v>1039</v>
      </c>
      <c r="G5" s="2424"/>
      <c r="H5" s="2431"/>
      <c r="I5" s="2433"/>
      <c r="J5" s="1628"/>
      <c r="K5" s="2424"/>
      <c r="L5" s="2428"/>
    </row>
    <row r="6" spans="1:12" ht="23.25" customHeight="1">
      <c r="A6" s="1701" t="s">
        <v>224</v>
      </c>
      <c r="B6" s="1630" t="s">
        <v>225</v>
      </c>
      <c r="C6" s="1250"/>
      <c r="D6" s="1251"/>
      <c r="E6" s="1629"/>
      <c r="F6" s="1748"/>
      <c r="G6" s="1768"/>
      <c r="H6" s="1757"/>
      <c r="I6" s="1646"/>
      <c r="J6" s="1784"/>
      <c r="K6" s="1768"/>
      <c r="L6" s="1810"/>
    </row>
    <row r="7" spans="1:12" ht="31.5">
      <c r="A7" s="1702" t="s">
        <v>226</v>
      </c>
      <c r="B7" s="1252" t="s">
        <v>1031</v>
      </c>
      <c r="C7" s="1253">
        <v>56.73</v>
      </c>
      <c r="D7" s="1254" t="s">
        <v>227</v>
      </c>
      <c r="E7" s="1634">
        <v>5450000</v>
      </c>
      <c r="F7" s="1749"/>
      <c r="G7" s="1769"/>
      <c r="H7" s="1758"/>
      <c r="I7" s="1641"/>
      <c r="J7" s="1785"/>
      <c r="K7" s="1769"/>
      <c r="L7" s="1811"/>
    </row>
    <row r="8" spans="1:12">
      <c r="A8" s="1702"/>
      <c r="B8" s="1677" t="s">
        <v>598</v>
      </c>
      <c r="C8" s="1253">
        <v>58.37</v>
      </c>
      <c r="D8" s="1254" t="s">
        <v>227</v>
      </c>
      <c r="E8" s="1634">
        <v>4580000</v>
      </c>
      <c r="F8" s="1750">
        <f>(C8*E8)/12*2</f>
        <v>44555766.666666664</v>
      </c>
      <c r="G8" s="1770">
        <v>44556</v>
      </c>
      <c r="H8" s="1759"/>
      <c r="I8" s="1642"/>
      <c r="J8" s="1786"/>
      <c r="K8" s="1770"/>
      <c r="L8" s="1812"/>
    </row>
    <row r="9" spans="1:12">
      <c r="A9" s="1702"/>
      <c r="B9" s="1677" t="s">
        <v>599</v>
      </c>
      <c r="C9" s="1253">
        <v>56.7</v>
      </c>
      <c r="D9" s="1254" t="s">
        <v>227</v>
      </c>
      <c r="E9" s="1634">
        <v>5450000</v>
      </c>
      <c r="F9" s="1750">
        <f>(C9*E9)/12*10</f>
        <v>257512500</v>
      </c>
      <c r="G9" s="1770">
        <v>257649</v>
      </c>
      <c r="H9" s="1759">
        <f>C9*E9</f>
        <v>309015000</v>
      </c>
      <c r="I9" s="1643">
        <v>309178</v>
      </c>
      <c r="J9" s="1787"/>
      <c r="K9" s="1805">
        <v>309178</v>
      </c>
      <c r="L9" s="1812">
        <v>309178</v>
      </c>
    </row>
    <row r="10" spans="1:12">
      <c r="A10" s="1702"/>
      <c r="B10" s="1626" t="s">
        <v>600</v>
      </c>
      <c r="C10" s="1256"/>
      <c r="D10" s="1257"/>
      <c r="E10" s="1635"/>
      <c r="F10" s="1749">
        <f>F8+F9</f>
        <v>302068266.66666669</v>
      </c>
      <c r="G10" s="1769">
        <f>G8+G9</f>
        <v>302205</v>
      </c>
      <c r="H10" s="1758">
        <f>H9</f>
        <v>309015000</v>
      </c>
      <c r="I10" s="1644">
        <f>I8+I9</f>
        <v>309178</v>
      </c>
      <c r="J10" s="1788"/>
      <c r="K10" s="1806">
        <f>K8+K9</f>
        <v>309178</v>
      </c>
      <c r="L10" s="1811">
        <f>L8+L9</f>
        <v>309178</v>
      </c>
    </row>
    <row r="11" spans="1:12">
      <c r="A11" s="1702"/>
      <c r="B11" s="1266" t="s">
        <v>512</v>
      </c>
      <c r="C11" s="1253"/>
      <c r="D11" s="1254"/>
      <c r="E11" s="1634"/>
      <c r="F11" s="1750">
        <v>-107695914.03231999</v>
      </c>
      <c r="G11" s="1770">
        <v>-107696</v>
      </c>
      <c r="H11" s="1759">
        <v>-96436469</v>
      </c>
      <c r="I11" s="1643">
        <v>-96436</v>
      </c>
      <c r="J11" s="1787"/>
      <c r="K11" s="1805">
        <v>-96436</v>
      </c>
      <c r="L11" s="1812">
        <v>-96436</v>
      </c>
    </row>
    <row r="12" spans="1:12">
      <c r="A12" s="1702"/>
      <c r="B12" s="1258" t="s">
        <v>228</v>
      </c>
      <c r="C12" s="1259"/>
      <c r="D12" s="1254"/>
      <c r="E12" s="1634"/>
      <c r="F12" s="1749">
        <f>F10+F11</f>
        <v>194372352.63434669</v>
      </c>
      <c r="G12" s="1769">
        <f>G10+G11</f>
        <v>194509</v>
      </c>
      <c r="H12" s="1758">
        <f>H10+H11</f>
        <v>212578531</v>
      </c>
      <c r="I12" s="1644">
        <f>I10+I11</f>
        <v>212742</v>
      </c>
      <c r="J12" s="1788"/>
      <c r="K12" s="1806">
        <f>K10+K11</f>
        <v>212742</v>
      </c>
      <c r="L12" s="1811">
        <f>L10+L11</f>
        <v>212742</v>
      </c>
    </row>
    <row r="13" spans="1:12">
      <c r="A13" s="1703" t="s">
        <v>230</v>
      </c>
      <c r="B13" s="1260" t="s">
        <v>601</v>
      </c>
      <c r="C13" s="1261">
        <v>1706.3</v>
      </c>
      <c r="D13" s="1262" t="s">
        <v>231</v>
      </c>
      <c r="E13" s="1636">
        <v>25200</v>
      </c>
      <c r="F13" s="1749">
        <f>C13*E13</f>
        <v>42998760</v>
      </c>
      <c r="G13" s="1769">
        <v>42974</v>
      </c>
      <c r="H13" s="1758">
        <v>42998760</v>
      </c>
      <c r="I13" s="1644">
        <v>42999</v>
      </c>
      <c r="J13" s="1788"/>
      <c r="K13" s="1806">
        <v>42999</v>
      </c>
      <c r="L13" s="1811">
        <v>42999</v>
      </c>
    </row>
    <row r="14" spans="1:12">
      <c r="A14" s="1703"/>
      <c r="B14" s="1266" t="s">
        <v>512</v>
      </c>
      <c r="C14" s="1261"/>
      <c r="D14" s="1262"/>
      <c r="E14" s="1636"/>
      <c r="F14" s="1750">
        <v>-42973560</v>
      </c>
      <c r="G14" s="1770">
        <v>-42974</v>
      </c>
      <c r="H14" s="1759">
        <v>-42998760</v>
      </c>
      <c r="I14" s="1643">
        <v>-42999</v>
      </c>
      <c r="J14" s="1787"/>
      <c r="K14" s="1805">
        <v>-42999</v>
      </c>
      <c r="L14" s="1812">
        <v>-42999</v>
      </c>
    </row>
    <row r="15" spans="1:12">
      <c r="A15" s="1703" t="s">
        <v>232</v>
      </c>
      <c r="B15" s="1263" t="s">
        <v>602</v>
      </c>
      <c r="C15" s="1264">
        <v>212.1</v>
      </c>
      <c r="D15" s="1265" t="s">
        <v>233</v>
      </c>
      <c r="E15" s="1636">
        <v>400000</v>
      </c>
      <c r="F15" s="1749">
        <v>83760000</v>
      </c>
      <c r="G15" s="1769">
        <v>83760</v>
      </c>
      <c r="H15" s="1758">
        <v>84840000</v>
      </c>
      <c r="I15" s="1644">
        <v>84840</v>
      </c>
      <c r="J15" s="1788"/>
      <c r="K15" s="1806">
        <v>84840</v>
      </c>
      <c r="L15" s="1811">
        <v>84840</v>
      </c>
    </row>
    <row r="16" spans="1:12">
      <c r="A16" s="1703"/>
      <c r="B16" s="1266" t="s">
        <v>512</v>
      </c>
      <c r="C16" s="1264"/>
      <c r="D16" s="1265"/>
      <c r="E16" s="1636"/>
      <c r="F16" s="1750">
        <v>-83760000</v>
      </c>
      <c r="G16" s="1770">
        <v>-83760</v>
      </c>
      <c r="H16" s="1759">
        <v>-84840000</v>
      </c>
      <c r="I16" s="1643">
        <v>-84840</v>
      </c>
      <c r="J16" s="1787"/>
      <c r="K16" s="1805">
        <v>-84840</v>
      </c>
      <c r="L16" s="1812">
        <v>-84840</v>
      </c>
    </row>
    <row r="17" spans="1:12">
      <c r="A17" s="1703" t="s">
        <v>234</v>
      </c>
      <c r="B17" s="1266" t="s">
        <v>603</v>
      </c>
      <c r="C17" s="1267">
        <f>F17/E17</f>
        <v>129404</v>
      </c>
      <c r="D17" s="1265" t="s">
        <v>235</v>
      </c>
      <c r="E17" s="1636">
        <v>104</v>
      </c>
      <c r="F17" s="1749">
        <v>13458016</v>
      </c>
      <c r="G17" s="1769">
        <v>13458</v>
      </c>
      <c r="H17" s="1758">
        <v>13458016</v>
      </c>
      <c r="I17" s="1644">
        <v>13458</v>
      </c>
      <c r="J17" s="1788"/>
      <c r="K17" s="1806">
        <v>13458</v>
      </c>
      <c r="L17" s="1811">
        <v>13458</v>
      </c>
    </row>
    <row r="18" spans="1:12">
      <c r="A18" s="1703"/>
      <c r="B18" s="1266" t="s">
        <v>512</v>
      </c>
      <c r="C18" s="1267"/>
      <c r="D18" s="1265"/>
      <c r="E18" s="1636"/>
      <c r="F18" s="1750">
        <v>-13458016</v>
      </c>
      <c r="G18" s="1770">
        <v>-13458</v>
      </c>
      <c r="H18" s="1759">
        <v>-13458016</v>
      </c>
      <c r="I18" s="1643">
        <v>-13458</v>
      </c>
      <c r="J18" s="1787"/>
      <c r="K18" s="1805">
        <v>-13458</v>
      </c>
      <c r="L18" s="1812">
        <v>-13458</v>
      </c>
    </row>
    <row r="19" spans="1:12">
      <c r="A19" s="1703" t="s">
        <v>236</v>
      </c>
      <c r="B19" s="1266" t="s">
        <v>604</v>
      </c>
      <c r="C19" s="1268">
        <f>F19/E19</f>
        <v>102.41</v>
      </c>
      <c r="D19" s="1265" t="s">
        <v>233</v>
      </c>
      <c r="E19" s="1636">
        <v>295000</v>
      </c>
      <c r="F19" s="1749">
        <v>30210950</v>
      </c>
      <c r="G19" s="1769">
        <v>30211</v>
      </c>
      <c r="H19" s="1758">
        <v>30210950</v>
      </c>
      <c r="I19" s="1644">
        <v>30211</v>
      </c>
      <c r="J19" s="1788"/>
      <c r="K19" s="1806">
        <v>30211</v>
      </c>
      <c r="L19" s="1811">
        <v>30211</v>
      </c>
    </row>
    <row r="20" spans="1:12">
      <c r="A20" s="1703"/>
      <c r="B20" s="1266" t="s">
        <v>512</v>
      </c>
      <c r="C20" s="1268"/>
      <c r="D20" s="1265"/>
      <c r="E20" s="1636"/>
      <c r="F20" s="1750">
        <v>-30210950</v>
      </c>
      <c r="G20" s="1770">
        <v>-30211</v>
      </c>
      <c r="H20" s="1760">
        <v>-30210950</v>
      </c>
      <c r="I20" s="1643">
        <v>-30211</v>
      </c>
      <c r="J20" s="1787"/>
      <c r="K20" s="1805">
        <v>-30211</v>
      </c>
      <c r="L20" s="1812">
        <v>-30211</v>
      </c>
    </row>
    <row r="21" spans="1:12">
      <c r="A21" s="1704" t="s">
        <v>229</v>
      </c>
      <c r="B21" s="1269" t="s">
        <v>237</v>
      </c>
      <c r="C21" s="1253"/>
      <c r="D21" s="1254"/>
      <c r="E21" s="1634"/>
      <c r="F21" s="1749">
        <f>SUM(F13:F20)</f>
        <v>25200</v>
      </c>
      <c r="G21" s="1769">
        <f>G13+G14+G15+G16+G17+G18+G19+G20</f>
        <v>0</v>
      </c>
      <c r="H21" s="1761">
        <f>H13+H14+H15+H16+H17+H18+H19+H20</f>
        <v>0</v>
      </c>
      <c r="I21" s="1644">
        <f>I13+I14+I15+I16+I17+I18+I19+I20</f>
        <v>0</v>
      </c>
      <c r="J21" s="1788"/>
      <c r="K21" s="1806">
        <f>K13+K14+K15+K16+K17+K18+K19+K20</f>
        <v>0</v>
      </c>
      <c r="L21" s="1811">
        <f>L13+L14+L15+L16+L17+L18+L19+L20</f>
        <v>0</v>
      </c>
    </row>
    <row r="22" spans="1:12" ht="31.5">
      <c r="A22" s="1704" t="s">
        <v>238</v>
      </c>
      <c r="B22" s="1678" t="s">
        <v>1032</v>
      </c>
      <c r="C22" s="1255">
        <v>23169</v>
      </c>
      <c r="D22" s="1254" t="s">
        <v>227</v>
      </c>
      <c r="E22" s="1634">
        <v>2700</v>
      </c>
      <c r="F22" s="1749">
        <f>C22*E22</f>
        <v>62556300</v>
      </c>
      <c r="G22" s="1769">
        <v>62556</v>
      </c>
      <c r="H22" s="1761">
        <v>62556300</v>
      </c>
      <c r="I22" s="1644">
        <v>62556</v>
      </c>
      <c r="J22" s="1788"/>
      <c r="K22" s="1806">
        <v>62556</v>
      </c>
      <c r="L22" s="1811">
        <v>62556</v>
      </c>
    </row>
    <row r="23" spans="1:12">
      <c r="A23" s="1704"/>
      <c r="B23" s="1266" t="s">
        <v>512</v>
      </c>
      <c r="C23" s="1255"/>
      <c r="D23" s="1254"/>
      <c r="E23" s="1634"/>
      <c r="F23" s="1750">
        <v>-62556300</v>
      </c>
      <c r="G23" s="1770">
        <v>-62556</v>
      </c>
      <c r="H23" s="1760">
        <v>-62556300</v>
      </c>
      <c r="I23" s="1643">
        <v>-62556</v>
      </c>
      <c r="J23" s="1787"/>
      <c r="K23" s="1805">
        <v>-62556</v>
      </c>
      <c r="L23" s="1812">
        <v>-62556</v>
      </c>
    </row>
    <row r="24" spans="1:12" ht="30" customHeight="1">
      <c r="A24" s="1704" t="s">
        <v>239</v>
      </c>
      <c r="B24" s="1269" t="s">
        <v>240</v>
      </c>
      <c r="C24" s="1253">
        <v>527</v>
      </c>
      <c r="D24" s="1254" t="s">
        <v>227</v>
      </c>
      <c r="E24" s="1634">
        <v>2550</v>
      </c>
      <c r="F24" s="1749">
        <f>C24*E24</f>
        <v>1343850</v>
      </c>
      <c r="G24" s="1769">
        <v>1344</v>
      </c>
      <c r="H24" s="1761">
        <v>1060800</v>
      </c>
      <c r="I24" s="1644">
        <v>1061</v>
      </c>
      <c r="J24" s="1788"/>
      <c r="K24" s="1806">
        <v>1061</v>
      </c>
      <c r="L24" s="1811">
        <v>1061</v>
      </c>
    </row>
    <row r="25" spans="1:12">
      <c r="A25" s="1704"/>
      <c r="B25" s="1266" t="s">
        <v>512</v>
      </c>
      <c r="C25" s="1253"/>
      <c r="D25" s="1254"/>
      <c r="E25" s="1634"/>
      <c r="F25" s="1750">
        <v>-1343850</v>
      </c>
      <c r="G25" s="1770">
        <v>-1344</v>
      </c>
      <c r="H25" s="1759">
        <v>-1060800</v>
      </c>
      <c r="I25" s="1643">
        <v>-1061</v>
      </c>
      <c r="J25" s="1787"/>
      <c r="K25" s="1805">
        <v>-1061</v>
      </c>
      <c r="L25" s="1812">
        <v>-1061</v>
      </c>
    </row>
    <row r="26" spans="1:12" ht="34.5" customHeight="1">
      <c r="A26" s="1704" t="s">
        <v>241</v>
      </c>
      <c r="B26" s="1269" t="s">
        <v>1021</v>
      </c>
      <c r="C26" s="1270">
        <v>46767280</v>
      </c>
      <c r="D26" s="1271" t="s">
        <v>852</v>
      </c>
      <c r="E26" s="1637">
        <v>1</v>
      </c>
      <c r="F26" s="1751">
        <f>C26*E26</f>
        <v>46767280</v>
      </c>
      <c r="G26" s="1769">
        <v>46767</v>
      </c>
      <c r="H26" s="1758">
        <v>46767280</v>
      </c>
      <c r="I26" s="1644">
        <v>46767</v>
      </c>
      <c r="J26" s="1788"/>
      <c r="K26" s="1806">
        <v>46767</v>
      </c>
      <c r="L26" s="1811">
        <v>46767</v>
      </c>
    </row>
    <row r="27" spans="1:12">
      <c r="A27" s="1704"/>
      <c r="B27" s="1266" t="s">
        <v>512</v>
      </c>
      <c r="C27" s="1270"/>
      <c r="D27" s="1272"/>
      <c r="E27" s="1637"/>
      <c r="F27" s="1752">
        <v>-46767280</v>
      </c>
      <c r="G27" s="1770">
        <v>-46767</v>
      </c>
      <c r="H27" s="1759">
        <v>-46767280</v>
      </c>
      <c r="I27" s="1643">
        <v>-46767</v>
      </c>
      <c r="J27" s="1787"/>
      <c r="K27" s="1805">
        <v>-46767</v>
      </c>
      <c r="L27" s="1812">
        <v>-46767</v>
      </c>
    </row>
    <row r="28" spans="1:12">
      <c r="A28" s="1705" t="s">
        <v>513</v>
      </c>
      <c r="B28" s="1631" t="s">
        <v>853</v>
      </c>
      <c r="C28" s="1632"/>
      <c r="D28" s="1633"/>
      <c r="E28" s="1638"/>
      <c r="F28" s="1752">
        <v>388765870.03231966</v>
      </c>
      <c r="G28" s="1770">
        <v>388766</v>
      </c>
      <c r="H28" s="1759">
        <v>378328575</v>
      </c>
      <c r="I28" s="1643">
        <v>378329</v>
      </c>
      <c r="J28" s="1787"/>
      <c r="K28" s="1805">
        <v>378329</v>
      </c>
      <c r="L28" s="1812">
        <v>378329</v>
      </c>
    </row>
    <row r="29" spans="1:12" ht="30.75" customHeight="1">
      <c r="A29" s="1702" t="s">
        <v>242</v>
      </c>
      <c r="B29" s="1679" t="s">
        <v>605</v>
      </c>
      <c r="C29" s="1647"/>
      <c r="D29" s="1647"/>
      <c r="E29" s="1648"/>
      <c r="F29" s="1753">
        <f>F10+F13+F15+F17+F19+F22+F24+F26</f>
        <v>583163422.66666675</v>
      </c>
      <c r="G29" s="1771">
        <f>G10+G13+G15+G17+G19+G22+G24+G26</f>
        <v>583275</v>
      </c>
      <c r="H29" s="1762">
        <f>H10+H13+H15+H17+H19+H22+H24+H26</f>
        <v>590907106</v>
      </c>
      <c r="I29" s="1645">
        <f>I10+I13+I15+I17+I19+I22+I24+I26</f>
        <v>591070</v>
      </c>
      <c r="J29" s="1789"/>
      <c r="K29" s="1807">
        <f>K10+K13+K15+K17+K19+K22+K24+K26</f>
        <v>591070</v>
      </c>
      <c r="L29" s="1813">
        <f>L10+L13+L15+L17+L19+L22+L24+L26</f>
        <v>591070</v>
      </c>
    </row>
    <row r="30" spans="1:12" ht="30" customHeight="1">
      <c r="A30" s="1704" t="s">
        <v>224</v>
      </c>
      <c r="B30" s="1680" t="s">
        <v>606</v>
      </c>
      <c r="C30" s="1649"/>
      <c r="D30" s="1649"/>
      <c r="E30" s="1650"/>
      <c r="F30" s="1754">
        <f>F10+F11+F13+F14+F15+F16+F17+F18+F19+F20+F22+F23+F24+F25+F26+F27</f>
        <v>194397552.63434672</v>
      </c>
      <c r="G30" s="1772">
        <f>G10+G11+G13+G14+G15+G16+G17+G18+G19+G20+G22+G23+G24+G25+G26+G27</f>
        <v>194509</v>
      </c>
      <c r="H30" s="1763">
        <v>212742031</v>
      </c>
      <c r="I30" s="1651">
        <f>I10+I11+I13+I14+I15+I16+I17+I18+I19+I20+I22+I23+I24+I25+I26+I27</f>
        <v>212742</v>
      </c>
      <c r="J30" s="1790"/>
      <c r="K30" s="1772">
        <f>K10+K11+K13+K14+K15+K16+K17+K18+K19+K20+K22+K23+K24+K25+K26+K27</f>
        <v>212742</v>
      </c>
      <c r="L30" s="1814">
        <f>L10+L11+L13+L14+L15+L16+L17+L18+L19+L20+L22+L23+L24+L25+L26+L27</f>
        <v>212742</v>
      </c>
    </row>
    <row r="31" spans="1:12" ht="27.75" customHeight="1">
      <c r="A31" s="1704" t="s">
        <v>250</v>
      </c>
      <c r="B31" s="1652" t="s">
        <v>607</v>
      </c>
      <c r="C31" s="1652"/>
      <c r="D31" s="1652"/>
      <c r="E31" s="1653"/>
      <c r="F31" s="1755"/>
      <c r="G31" s="1773"/>
      <c r="H31" s="1654"/>
      <c r="I31" s="1654"/>
      <c r="J31" s="1791"/>
      <c r="K31" s="1773"/>
      <c r="L31" s="1815"/>
    </row>
    <row r="32" spans="1:12" ht="31.5" customHeight="1">
      <c r="A32" s="1704" t="s">
        <v>243</v>
      </c>
      <c r="B32" s="1681" t="s">
        <v>608</v>
      </c>
      <c r="C32" s="1274">
        <v>50.1</v>
      </c>
      <c r="D32" s="1275" t="s">
        <v>227</v>
      </c>
      <c r="E32" s="1640">
        <v>4371500</v>
      </c>
      <c r="F32" s="1752">
        <f>C32*E32</f>
        <v>219012150</v>
      </c>
      <c r="G32" s="1774">
        <v>219012</v>
      </c>
      <c r="H32" s="1764">
        <f>E32*C32+437150</f>
        <v>219449300</v>
      </c>
      <c r="I32" s="1640">
        <f>H32/1000</f>
        <v>219449.3</v>
      </c>
      <c r="J32" s="1792"/>
      <c r="K32" s="1774">
        <f>I32</f>
        <v>219449.3</v>
      </c>
      <c r="L32" s="1816">
        <f>K32+1749</f>
        <v>221198.3</v>
      </c>
    </row>
    <row r="33" spans="1:12" ht="30" customHeight="1">
      <c r="A33" s="1704"/>
      <c r="B33" s="1681" t="s">
        <v>609</v>
      </c>
      <c r="C33" s="1655">
        <v>34</v>
      </c>
      <c r="D33" s="1275" t="s">
        <v>227</v>
      </c>
      <c r="E33" s="1640">
        <v>2400000</v>
      </c>
      <c r="F33" s="1752">
        <f>C33*E33</f>
        <v>81600000</v>
      </c>
      <c r="G33" s="1774">
        <v>81600</v>
      </c>
      <c r="H33" s="1764">
        <f>E33*C33</f>
        <v>81600000</v>
      </c>
      <c r="I33" s="1640">
        <f>H33/1000</f>
        <v>81600</v>
      </c>
      <c r="J33" s="1792"/>
      <c r="K33" s="1774">
        <f>I33</f>
        <v>81600</v>
      </c>
      <c r="L33" s="1816">
        <f>K33</f>
        <v>81600</v>
      </c>
    </row>
    <row r="34" spans="1:12" ht="32.25" customHeight="1">
      <c r="A34" s="1704" t="s">
        <v>610</v>
      </c>
      <c r="B34" s="1682" t="s">
        <v>244</v>
      </c>
      <c r="C34" s="1274"/>
      <c r="D34" s="1275"/>
      <c r="E34" s="1640"/>
      <c r="F34" s="1751">
        <f>SUM(F32:F33)</f>
        <v>300612150</v>
      </c>
      <c r="G34" s="1775">
        <f>G32+G33</f>
        <v>300612</v>
      </c>
      <c r="H34" s="1765">
        <f>H32+H33</f>
        <v>301049300</v>
      </c>
      <c r="I34" s="1656">
        <f>I32+I33</f>
        <v>301049.3</v>
      </c>
      <c r="J34" s="1793"/>
      <c r="K34" s="1775">
        <f>K32+K33</f>
        <v>301049.3</v>
      </c>
      <c r="L34" s="1817">
        <f>L32+L33</f>
        <v>302798.3</v>
      </c>
    </row>
    <row r="35" spans="1:12">
      <c r="A35" s="1706" t="s">
        <v>245</v>
      </c>
      <c r="B35" s="1683" t="s">
        <v>246</v>
      </c>
      <c r="C35" s="1657"/>
      <c r="D35" s="1658"/>
      <c r="E35" s="1659"/>
      <c r="F35" s="1750"/>
      <c r="G35" s="1776"/>
      <c r="H35" s="1766"/>
      <c r="I35" s="1659"/>
      <c r="J35" s="1794"/>
      <c r="K35" s="1776"/>
      <c r="L35" s="1818"/>
    </row>
    <row r="36" spans="1:12" ht="31.5">
      <c r="A36" s="1707" t="s">
        <v>611</v>
      </c>
      <c r="B36" s="1684" t="s">
        <v>612</v>
      </c>
      <c r="C36" s="1274">
        <v>540</v>
      </c>
      <c r="D36" s="1275" t="s">
        <v>227</v>
      </c>
      <c r="E36" s="1640">
        <v>97400</v>
      </c>
      <c r="F36" s="1752">
        <f>(C36*E36)*8/12</f>
        <v>35064000</v>
      </c>
      <c r="G36" s="1774">
        <v>35064</v>
      </c>
      <c r="H36" s="1764">
        <f>(C36*E36)/12*8+68180</f>
        <v>35132180</v>
      </c>
      <c r="I36" s="1640">
        <f>H36/1000</f>
        <v>35132.18</v>
      </c>
      <c r="J36" s="1792"/>
      <c r="K36" s="1774">
        <f>I36</f>
        <v>35132.18</v>
      </c>
      <c r="L36" s="1816">
        <f>K36</f>
        <v>35132.18</v>
      </c>
    </row>
    <row r="37" spans="1:12" ht="31.5">
      <c r="A37" s="1706"/>
      <c r="B37" s="1685" t="s">
        <v>613</v>
      </c>
      <c r="C37" s="1274">
        <v>540</v>
      </c>
      <c r="D37" s="1275" t="s">
        <v>227</v>
      </c>
      <c r="E37" s="1640">
        <v>97400</v>
      </c>
      <c r="F37" s="1752">
        <f>(C37*E37)*4/12</f>
        <v>17532000</v>
      </c>
      <c r="G37" s="1774">
        <v>17532</v>
      </c>
      <c r="H37" s="1764">
        <f>(C37*E37)/12*4</f>
        <v>17532000</v>
      </c>
      <c r="I37" s="1640">
        <f>H37/1000</f>
        <v>17532</v>
      </c>
      <c r="J37" s="1792"/>
      <c r="K37" s="1774">
        <f>I37</f>
        <v>17532</v>
      </c>
      <c r="L37" s="1816">
        <f>K37+292</f>
        <v>17824</v>
      </c>
    </row>
    <row r="38" spans="1:12">
      <c r="A38" s="1706"/>
      <c r="B38" s="1683" t="s">
        <v>247</v>
      </c>
      <c r="C38" s="1657"/>
      <c r="D38" s="1658"/>
      <c r="E38" s="1659"/>
      <c r="F38" s="1749">
        <f>SUM(F36:F37)</f>
        <v>52596000</v>
      </c>
      <c r="G38" s="1777">
        <f>G36+G37</f>
        <v>52596</v>
      </c>
      <c r="H38" s="1767">
        <f>H36+H37</f>
        <v>52664180</v>
      </c>
      <c r="I38" s="1660">
        <f>I36+I37</f>
        <v>52664.18</v>
      </c>
      <c r="J38" s="1795"/>
      <c r="K38" s="1777">
        <f>K36+K37</f>
        <v>52664.18</v>
      </c>
      <c r="L38" s="1808">
        <f>L36+L37</f>
        <v>52956.18</v>
      </c>
    </row>
    <row r="39" spans="1:12">
      <c r="A39" s="1704" t="s">
        <v>248</v>
      </c>
      <c r="B39" s="1686" t="s">
        <v>249</v>
      </c>
      <c r="C39" s="1274"/>
      <c r="D39" s="1275"/>
      <c r="E39" s="1640"/>
      <c r="F39" s="1752"/>
      <c r="G39" s="1774"/>
      <c r="H39" s="1764"/>
      <c r="I39" s="1640"/>
      <c r="J39" s="1792"/>
      <c r="K39" s="1774"/>
      <c r="L39" s="1816"/>
    </row>
    <row r="40" spans="1:12" ht="31.5">
      <c r="A40" s="1704"/>
      <c r="B40" s="1687" t="s">
        <v>854</v>
      </c>
      <c r="C40" s="1274">
        <v>24</v>
      </c>
      <c r="D40" s="1275" t="s">
        <v>227</v>
      </c>
      <c r="E40" s="1640">
        <v>396700</v>
      </c>
      <c r="F40" s="1751">
        <f>C40*E40</f>
        <v>9520800</v>
      </c>
      <c r="G40" s="1775">
        <v>9521</v>
      </c>
      <c r="H40" s="1765">
        <f>C40*E40</f>
        <v>9520800</v>
      </c>
      <c r="I40" s="1656">
        <v>9521</v>
      </c>
      <c r="J40" s="1793"/>
      <c r="K40" s="1775">
        <v>9521</v>
      </c>
      <c r="L40" s="1817">
        <f>K40-674</f>
        <v>8847</v>
      </c>
    </row>
    <row r="41" spans="1:12" ht="31.5">
      <c r="A41" s="1704"/>
      <c r="B41" s="1687" t="s">
        <v>855</v>
      </c>
      <c r="C41" s="1274">
        <v>1</v>
      </c>
      <c r="D41" s="1275" t="s">
        <v>227</v>
      </c>
      <c r="E41" s="1640">
        <v>363642</v>
      </c>
      <c r="F41" s="1751">
        <f>C41*E41</f>
        <v>363642</v>
      </c>
      <c r="G41" s="1775">
        <v>0</v>
      </c>
      <c r="H41" s="1765">
        <v>363642</v>
      </c>
      <c r="I41" s="1656">
        <v>364</v>
      </c>
      <c r="J41" s="1793"/>
      <c r="K41" s="1775">
        <v>364</v>
      </c>
      <c r="L41" s="1817">
        <v>364</v>
      </c>
    </row>
    <row r="42" spans="1:12" ht="23.25" customHeight="1">
      <c r="A42" s="1704" t="s">
        <v>250</v>
      </c>
      <c r="B42" s="1679" t="s">
        <v>607</v>
      </c>
      <c r="C42" s="1274"/>
      <c r="D42" s="1275"/>
      <c r="E42" s="1640"/>
      <c r="F42" s="1756">
        <f>F34+F38+F40</f>
        <v>362728950</v>
      </c>
      <c r="G42" s="1775">
        <f>G34+G38+G40</f>
        <v>362729</v>
      </c>
      <c r="H42" s="1765">
        <f>H34+H38+H40</f>
        <v>363234280</v>
      </c>
      <c r="I42" s="1656">
        <f>I34+I38+I40+I41</f>
        <v>363598.48</v>
      </c>
      <c r="J42" s="1793"/>
      <c r="K42" s="1775">
        <f>K34+K38+K40+K41</f>
        <v>363598.48</v>
      </c>
      <c r="L42" s="1817">
        <f>L34+L38+L40+L41</f>
        <v>364965.48</v>
      </c>
    </row>
    <row r="43" spans="1:12" ht="35.25" customHeight="1">
      <c r="A43" s="1704" t="s">
        <v>614</v>
      </c>
      <c r="B43" s="2434" t="s">
        <v>615</v>
      </c>
      <c r="C43" s="2435"/>
      <c r="D43" s="1275"/>
      <c r="E43" s="1640"/>
      <c r="F43" s="1756"/>
      <c r="G43" s="1775"/>
      <c r="H43" s="1765"/>
      <c r="I43" s="1656"/>
      <c r="J43" s="1793"/>
      <c r="K43" s="1775"/>
      <c r="L43" s="1817"/>
    </row>
    <row r="44" spans="1:12" ht="31.5">
      <c r="A44" s="1702" t="s">
        <v>251</v>
      </c>
      <c r="B44" s="1688" t="s">
        <v>616</v>
      </c>
      <c r="C44" s="1274"/>
      <c r="D44" s="1275"/>
      <c r="E44" s="1640"/>
      <c r="F44" s="1751">
        <v>0</v>
      </c>
      <c r="G44" s="1774">
        <v>0</v>
      </c>
      <c r="H44" s="1764"/>
      <c r="I44" s="1640">
        <v>0</v>
      </c>
      <c r="J44" s="1792"/>
      <c r="K44" s="1774">
        <v>0</v>
      </c>
      <c r="L44" s="1816">
        <v>0</v>
      </c>
    </row>
    <row r="45" spans="1:12">
      <c r="A45" s="1703" t="s">
        <v>617</v>
      </c>
      <c r="B45" s="1689" t="s">
        <v>618</v>
      </c>
      <c r="C45" s="1274"/>
      <c r="D45" s="1275"/>
      <c r="E45" s="1640"/>
      <c r="F45" s="1752"/>
      <c r="G45" s="1774"/>
      <c r="H45" s="1764"/>
      <c r="I45" s="1640"/>
      <c r="J45" s="1792"/>
      <c r="K45" s="1774"/>
      <c r="L45" s="1816"/>
    </row>
    <row r="46" spans="1:12">
      <c r="A46" s="1704" t="s">
        <v>619</v>
      </c>
      <c r="B46" s="1690" t="s">
        <v>620</v>
      </c>
      <c r="C46" s="1274">
        <v>8.3000000000000007</v>
      </c>
      <c r="D46" s="1275" t="s">
        <v>227</v>
      </c>
      <c r="E46" s="1640">
        <v>3780000</v>
      </c>
      <c r="F46" s="1752"/>
      <c r="G46" s="1774"/>
      <c r="H46" s="1764"/>
      <c r="I46" s="1640"/>
      <c r="J46" s="1792"/>
      <c r="K46" s="1774"/>
      <c r="L46" s="1816"/>
    </row>
    <row r="47" spans="1:12">
      <c r="A47" s="1704"/>
      <c r="B47" s="1691" t="s">
        <v>621</v>
      </c>
      <c r="C47" s="1274">
        <v>8.4</v>
      </c>
      <c r="D47" s="1275" t="s">
        <v>227</v>
      </c>
      <c r="E47" s="1640">
        <v>3400000</v>
      </c>
      <c r="F47" s="1752">
        <f>C47*E47/12*2</f>
        <v>4760000</v>
      </c>
      <c r="G47" s="1774"/>
      <c r="H47" s="1764"/>
      <c r="I47" s="1640"/>
      <c r="J47" s="1792"/>
      <c r="K47" s="1774"/>
      <c r="L47" s="1816"/>
    </row>
    <row r="48" spans="1:12">
      <c r="A48" s="1704"/>
      <c r="B48" s="1691" t="s">
        <v>622</v>
      </c>
      <c r="C48" s="1274">
        <v>8.3000000000000007</v>
      </c>
      <c r="D48" s="1275" t="s">
        <v>227</v>
      </c>
      <c r="E48" s="1640">
        <v>3780000</v>
      </c>
      <c r="F48" s="1752">
        <f>C48*E48/12*10</f>
        <v>26145000.000000004</v>
      </c>
      <c r="G48" s="1774"/>
      <c r="H48" s="1764"/>
      <c r="I48" s="1640"/>
      <c r="J48" s="1792"/>
      <c r="K48" s="1774"/>
      <c r="L48" s="1816"/>
    </row>
    <row r="49" spans="1:12">
      <c r="A49" s="1704"/>
      <c r="B49" s="1692" t="s">
        <v>623</v>
      </c>
      <c r="C49" s="1661"/>
      <c r="D49" s="1662"/>
      <c r="E49" s="1656"/>
      <c r="F49" s="1751">
        <f>F47+F48</f>
        <v>30905000.000000004</v>
      </c>
      <c r="G49" s="1775">
        <v>28560</v>
      </c>
      <c r="H49" s="1765">
        <f>28560000+2814000</f>
        <v>31374000</v>
      </c>
      <c r="I49" s="1656">
        <f>H49/1000</f>
        <v>31374</v>
      </c>
      <c r="J49" s="1793"/>
      <c r="K49" s="1775">
        <v>31374</v>
      </c>
      <c r="L49" s="1817">
        <v>31374</v>
      </c>
    </row>
    <row r="50" spans="1:12">
      <c r="A50" s="1704" t="s">
        <v>624</v>
      </c>
      <c r="B50" s="1687" t="s">
        <v>625</v>
      </c>
      <c r="C50" s="1274">
        <v>5.9</v>
      </c>
      <c r="D50" s="1275" t="s">
        <v>227</v>
      </c>
      <c r="E50" s="1640">
        <v>3300000</v>
      </c>
      <c r="F50" s="1752">
        <f>C50*E50</f>
        <v>19470000</v>
      </c>
      <c r="G50" s="1774">
        <v>19470</v>
      </c>
      <c r="H50" s="1764">
        <v>19470000</v>
      </c>
      <c r="I50" s="1640">
        <f>H50/1000</f>
        <v>19470</v>
      </c>
      <c r="J50" s="1792"/>
      <c r="K50" s="1774">
        <v>19470</v>
      </c>
      <c r="L50" s="1816">
        <v>19470</v>
      </c>
    </row>
    <row r="51" spans="1:12">
      <c r="A51" s="1704" t="s">
        <v>626</v>
      </c>
      <c r="B51" s="1690" t="s">
        <v>627</v>
      </c>
      <c r="C51" s="1274">
        <v>69</v>
      </c>
      <c r="D51" s="1275" t="s">
        <v>227</v>
      </c>
      <c r="E51" s="1640">
        <f>65360*1.1</f>
        <v>71896</v>
      </c>
      <c r="F51" s="1752">
        <f>C51*E51</f>
        <v>4960824</v>
      </c>
      <c r="G51" s="1774">
        <v>4961</v>
      </c>
      <c r="H51" s="1764">
        <f>4960824+3666696</f>
        <v>8627520</v>
      </c>
      <c r="I51" s="1640">
        <f>H51/1000</f>
        <v>8627.52</v>
      </c>
      <c r="J51" s="1792"/>
      <c r="K51" s="1774">
        <v>8627.52</v>
      </c>
      <c r="L51" s="1816">
        <f>K51+7190</f>
        <v>15817.52</v>
      </c>
    </row>
    <row r="52" spans="1:12">
      <c r="A52" s="1704"/>
      <c r="B52" s="1690" t="s">
        <v>1022</v>
      </c>
      <c r="C52" s="1274"/>
      <c r="D52" s="1275"/>
      <c r="E52" s="1640"/>
      <c r="F52" s="1752"/>
      <c r="G52" s="1774"/>
      <c r="H52" s="1764"/>
      <c r="I52" s="1640"/>
      <c r="J52" s="1792"/>
      <c r="K52" s="1774">
        <v>-1</v>
      </c>
      <c r="L52" s="1816">
        <v>-1</v>
      </c>
    </row>
    <row r="53" spans="1:12">
      <c r="A53" s="1704" t="s">
        <v>628</v>
      </c>
      <c r="B53" s="1681" t="s">
        <v>1033</v>
      </c>
      <c r="C53" s="1274">
        <v>0</v>
      </c>
      <c r="D53" s="1275" t="s">
        <v>227</v>
      </c>
      <c r="E53" s="1640"/>
      <c r="F53" s="1752"/>
      <c r="G53" s="1774">
        <v>0</v>
      </c>
      <c r="H53" s="1764"/>
      <c r="I53" s="1640">
        <v>0</v>
      </c>
      <c r="J53" s="1792"/>
      <c r="K53" s="1774">
        <v>0</v>
      </c>
      <c r="L53" s="1816">
        <v>0</v>
      </c>
    </row>
    <row r="54" spans="1:12" ht="38.25" customHeight="1">
      <c r="A54" s="1704" t="s">
        <v>629</v>
      </c>
      <c r="B54" s="1681" t="s">
        <v>1034</v>
      </c>
      <c r="C54" s="1274">
        <v>21</v>
      </c>
      <c r="D54" s="1275" t="s">
        <v>227</v>
      </c>
      <c r="E54" s="1640">
        <f>330000*1.3</f>
        <v>429000</v>
      </c>
      <c r="F54" s="1752">
        <f t="shared" ref="F54:F62" si="0">C54*E54</f>
        <v>9009000</v>
      </c>
      <c r="G54" s="1774">
        <v>9009</v>
      </c>
      <c r="H54" s="1764">
        <v>9009000</v>
      </c>
      <c r="I54" s="1640">
        <v>9009</v>
      </c>
      <c r="J54" s="1792"/>
      <c r="K54" s="1774">
        <v>9009</v>
      </c>
      <c r="L54" s="1816">
        <f>K54+429</f>
        <v>9438</v>
      </c>
    </row>
    <row r="55" spans="1:12" ht="34.5" customHeight="1">
      <c r="A55" s="1704" t="s">
        <v>630</v>
      </c>
      <c r="B55" s="1693" t="s">
        <v>631</v>
      </c>
      <c r="C55" s="1274">
        <v>50</v>
      </c>
      <c r="D55" s="1275" t="s">
        <v>227</v>
      </c>
      <c r="E55" s="1640">
        <f>190000*1.5</f>
        <v>285000</v>
      </c>
      <c r="F55" s="1752">
        <f t="shared" si="0"/>
        <v>14250000</v>
      </c>
      <c r="G55" s="1774">
        <v>14250</v>
      </c>
      <c r="H55" s="1764">
        <v>14250000</v>
      </c>
      <c r="I55" s="1640">
        <v>14250</v>
      </c>
      <c r="J55" s="1792"/>
      <c r="K55" s="1774">
        <v>14250</v>
      </c>
      <c r="L55" s="1816">
        <f>K55-2850</f>
        <v>11400</v>
      </c>
    </row>
    <row r="56" spans="1:12" ht="35.25" customHeight="1">
      <c r="A56" s="1704" t="s">
        <v>632</v>
      </c>
      <c r="B56" s="1681" t="s">
        <v>633</v>
      </c>
      <c r="C56" s="1274">
        <v>32</v>
      </c>
      <c r="D56" s="1275" t="s">
        <v>227</v>
      </c>
      <c r="E56" s="1640">
        <f>689000*1.1</f>
        <v>757900.00000000012</v>
      </c>
      <c r="F56" s="1752">
        <f t="shared" si="0"/>
        <v>24252800.000000004</v>
      </c>
      <c r="G56" s="1774">
        <v>24253</v>
      </c>
      <c r="H56" s="1764">
        <v>24252800</v>
      </c>
      <c r="I56" s="1640">
        <v>24253</v>
      </c>
      <c r="J56" s="1792"/>
      <c r="K56" s="1774">
        <v>24253</v>
      </c>
      <c r="L56" s="1816">
        <v>24253</v>
      </c>
    </row>
    <row r="57" spans="1:12" ht="40.5" customHeight="1">
      <c r="A57" s="1704" t="s">
        <v>634</v>
      </c>
      <c r="B57" s="1681" t="s">
        <v>856</v>
      </c>
      <c r="C57" s="1274">
        <v>35</v>
      </c>
      <c r="D57" s="1275" t="s">
        <v>227</v>
      </c>
      <c r="E57" s="1640">
        <f>239100*1.2</f>
        <v>286920</v>
      </c>
      <c r="F57" s="1752">
        <f t="shared" si="0"/>
        <v>10042200</v>
      </c>
      <c r="G57" s="1774">
        <v>10042</v>
      </c>
      <c r="H57" s="1764">
        <v>10042200</v>
      </c>
      <c r="I57" s="1640">
        <v>10042</v>
      </c>
      <c r="J57" s="1792"/>
      <c r="K57" s="1774">
        <v>10042</v>
      </c>
      <c r="L57" s="1816">
        <v>10042</v>
      </c>
    </row>
    <row r="58" spans="1:12" ht="37.5" customHeight="1">
      <c r="A58" s="1704" t="s">
        <v>635</v>
      </c>
      <c r="B58" s="1681" t="s">
        <v>857</v>
      </c>
      <c r="C58" s="1274">
        <v>32</v>
      </c>
      <c r="D58" s="1275" t="s">
        <v>255</v>
      </c>
      <c r="E58" s="1640">
        <f>569350*1.1</f>
        <v>626285</v>
      </c>
      <c r="F58" s="1752">
        <f t="shared" si="0"/>
        <v>20041120</v>
      </c>
      <c r="G58" s="1774">
        <v>20041</v>
      </c>
      <c r="H58" s="1764">
        <v>20041120</v>
      </c>
      <c r="I58" s="1640">
        <v>20041</v>
      </c>
      <c r="J58" s="1792"/>
      <c r="K58" s="1774">
        <v>20041</v>
      </c>
      <c r="L58" s="1816">
        <v>20041</v>
      </c>
    </row>
    <row r="59" spans="1:12" ht="36" customHeight="1">
      <c r="A59" s="1704" t="s">
        <v>636</v>
      </c>
      <c r="B59" s="1681" t="s">
        <v>637</v>
      </c>
      <c r="C59" s="1663">
        <v>1</v>
      </c>
      <c r="D59" s="1664" t="s">
        <v>525</v>
      </c>
      <c r="E59" s="1640">
        <v>3000000</v>
      </c>
      <c r="F59" s="1752">
        <f t="shared" si="0"/>
        <v>3000000</v>
      </c>
      <c r="G59" s="1774">
        <v>3000</v>
      </c>
      <c r="H59" s="1764">
        <v>3000000</v>
      </c>
      <c r="I59" s="1640">
        <v>3000</v>
      </c>
      <c r="J59" s="1792"/>
      <c r="K59" s="1774">
        <v>3000</v>
      </c>
      <c r="L59" s="1816">
        <v>3000</v>
      </c>
    </row>
    <row r="60" spans="1:12" ht="26.25" customHeight="1">
      <c r="A60" s="1704"/>
      <c r="B60" s="1681" t="s">
        <v>514</v>
      </c>
      <c r="C60" s="1274">
        <v>5339</v>
      </c>
      <c r="D60" s="1665" t="s">
        <v>256</v>
      </c>
      <c r="E60" s="1640">
        <v>2500</v>
      </c>
      <c r="F60" s="1752">
        <f t="shared" si="0"/>
        <v>13347500</v>
      </c>
      <c r="G60" s="1774">
        <v>13347</v>
      </c>
      <c r="H60" s="1764">
        <v>13347500</v>
      </c>
      <c r="I60" s="1640">
        <v>13347</v>
      </c>
      <c r="J60" s="1792"/>
      <c r="K60" s="1774">
        <v>13347</v>
      </c>
      <c r="L60" s="1816">
        <v>13347</v>
      </c>
    </row>
    <row r="61" spans="1:12" ht="36.75" customHeight="1">
      <c r="A61" s="1704" t="s">
        <v>638</v>
      </c>
      <c r="B61" s="1681" t="s">
        <v>515</v>
      </c>
      <c r="C61" s="1663">
        <v>1</v>
      </c>
      <c r="D61" s="1664" t="s">
        <v>525</v>
      </c>
      <c r="E61" s="1640">
        <v>2000000</v>
      </c>
      <c r="F61" s="1752">
        <f t="shared" si="0"/>
        <v>2000000</v>
      </c>
      <c r="G61" s="1774">
        <v>2000</v>
      </c>
      <c r="H61" s="1764">
        <v>2000000</v>
      </c>
      <c r="I61" s="1640">
        <v>2000</v>
      </c>
      <c r="J61" s="1792"/>
      <c r="K61" s="1774">
        <v>2000</v>
      </c>
      <c r="L61" s="1816">
        <v>2000</v>
      </c>
    </row>
    <row r="62" spans="1:12" ht="20.25" customHeight="1">
      <c r="A62" s="1704"/>
      <c r="B62" s="1681" t="s">
        <v>257</v>
      </c>
      <c r="C62" s="1274">
        <v>40</v>
      </c>
      <c r="D62" s="1666" t="s">
        <v>258</v>
      </c>
      <c r="E62" s="1640">
        <v>196000</v>
      </c>
      <c r="F62" s="1752">
        <f t="shared" si="0"/>
        <v>7840000</v>
      </c>
      <c r="G62" s="1774">
        <v>7840</v>
      </c>
      <c r="H62" s="1764">
        <v>7840000</v>
      </c>
      <c r="I62" s="1640">
        <v>7840</v>
      </c>
      <c r="J62" s="1792"/>
      <c r="K62" s="1774">
        <v>7840</v>
      </c>
      <c r="L62" s="1816">
        <v>7840</v>
      </c>
    </row>
    <row r="63" spans="1:12" ht="60" customHeight="1" thickBot="1">
      <c r="A63" s="1704" t="s">
        <v>639</v>
      </c>
      <c r="B63" s="1681" t="s">
        <v>259</v>
      </c>
      <c r="C63" s="2436" t="s">
        <v>640</v>
      </c>
      <c r="D63" s="2436"/>
      <c r="E63" s="2436"/>
      <c r="F63" s="1752">
        <v>0</v>
      </c>
      <c r="G63" s="1774">
        <v>0</v>
      </c>
      <c r="H63" s="1764">
        <v>26721837</v>
      </c>
      <c r="I63" s="1640">
        <v>26722</v>
      </c>
      <c r="J63" s="1792"/>
      <c r="K63" s="1774">
        <v>26722</v>
      </c>
      <c r="L63" s="1819">
        <v>26722</v>
      </c>
    </row>
    <row r="64" spans="1:12">
      <c r="A64" s="1704" t="s">
        <v>617</v>
      </c>
      <c r="B64" s="1689" t="s">
        <v>641</v>
      </c>
      <c r="C64" s="1274"/>
      <c r="D64" s="1275"/>
      <c r="E64" s="1640"/>
      <c r="F64" s="1749">
        <f>F49+F50+F51+F53+F54+F55+F56+F57+F58+F59+F60+F61+F62+F63</f>
        <v>159118444</v>
      </c>
      <c r="G64" s="1783">
        <f>G49+G50+G51+G53+G54+G55+G56+G57+G58+G59+G60+G61+G62+G63</f>
        <v>156773</v>
      </c>
      <c r="H64" s="1766">
        <f>H49+H50+H51+H53+H54+H55+H56+H57+H58+H59+H60+H61+H62+H63</f>
        <v>189975977</v>
      </c>
      <c r="I64" s="1660">
        <f>I49+I50+I51+I53+I54+I55+I56+I57+I58+I59+I60+I61+I62+I63</f>
        <v>189975.52000000002</v>
      </c>
      <c r="J64" s="1795"/>
      <c r="K64" s="1777">
        <f>K49+K50+K51++K52+K53+K54+K55+K56+K57+K58+K59+K60+K61+K62+K63</f>
        <v>189974.52000000002</v>
      </c>
      <c r="L64" s="1809">
        <f>L49+L50+L51++L52+L53+L54+L55+L56+L57+L58+L59+L60+L61+L62+L63</f>
        <v>194743.52000000002</v>
      </c>
    </row>
    <row r="65" spans="1:13">
      <c r="A65" s="1704" t="s">
        <v>252</v>
      </c>
      <c r="B65" s="1689" t="s">
        <v>642</v>
      </c>
      <c r="C65" s="1274"/>
      <c r="D65" s="1275"/>
      <c r="E65" s="1640"/>
      <c r="F65" s="1751"/>
      <c r="G65" s="1775"/>
      <c r="H65" s="1764"/>
      <c r="I65" s="1656"/>
      <c r="J65" s="1793"/>
      <c r="K65" s="1775"/>
      <c r="L65" s="1801"/>
    </row>
    <row r="66" spans="1:13" ht="31.5">
      <c r="A66" s="1703" t="s">
        <v>253</v>
      </c>
      <c r="B66" s="1694" t="s">
        <v>265</v>
      </c>
      <c r="C66" s="1657">
        <v>3</v>
      </c>
      <c r="D66" s="1658" t="s">
        <v>227</v>
      </c>
      <c r="E66" s="1659">
        <v>4419000</v>
      </c>
      <c r="F66" s="1749">
        <f>C66*E66</f>
        <v>13257000</v>
      </c>
      <c r="G66" s="1777">
        <v>13257</v>
      </c>
      <c r="H66" s="1766">
        <f>13257000+7954200</f>
        <v>21211200</v>
      </c>
      <c r="I66" s="1660">
        <f>H66/1000</f>
        <v>21211.200000000001</v>
      </c>
      <c r="J66" s="1795"/>
      <c r="K66" s="1777">
        <v>21211</v>
      </c>
      <c r="L66" s="1803">
        <f>K66+8838</f>
        <v>30049</v>
      </c>
    </row>
    <row r="67" spans="1:13">
      <c r="A67" s="1704"/>
      <c r="B67" s="1694" t="s">
        <v>643</v>
      </c>
      <c r="C67" s="1657">
        <v>16.600000000000001</v>
      </c>
      <c r="D67" s="1658" t="s">
        <v>227</v>
      </c>
      <c r="E67" s="1659">
        <v>2993000</v>
      </c>
      <c r="F67" s="1749">
        <f>C67*E67</f>
        <v>49683800.000000007</v>
      </c>
      <c r="G67" s="1777">
        <v>49684</v>
      </c>
      <c r="H67" s="1766">
        <f>49683800-3292300</f>
        <v>46391500</v>
      </c>
      <c r="I67" s="1660">
        <f>H67/1000</f>
        <v>46391.5</v>
      </c>
      <c r="J67" s="1795"/>
      <c r="K67" s="1777">
        <v>46392</v>
      </c>
      <c r="L67" s="1803">
        <f>K67-1197</f>
        <v>45195</v>
      </c>
      <c r="M67" s="1249"/>
    </row>
    <row r="68" spans="1:13" customFormat="1" ht="42" customHeight="1">
      <c r="A68" s="1703" t="s">
        <v>254</v>
      </c>
      <c r="B68" s="1694" t="s">
        <v>644</v>
      </c>
      <c r="C68" s="2429" t="s">
        <v>1023</v>
      </c>
      <c r="D68" s="2429"/>
      <c r="E68" s="2429"/>
      <c r="F68" s="1779">
        <v>48719000</v>
      </c>
      <c r="G68" s="1777">
        <v>48719</v>
      </c>
      <c r="H68" s="1766">
        <f>F68+7100000</f>
        <v>55819000</v>
      </c>
      <c r="I68" s="1660">
        <f>H68/1000</f>
        <v>55819</v>
      </c>
      <c r="J68" s="1796">
        <f>(H68-3305000)</f>
        <v>52514000</v>
      </c>
      <c r="K68" s="1808">
        <v>52514</v>
      </c>
      <c r="L68" s="1803">
        <v>52514</v>
      </c>
      <c r="M68" s="1273"/>
    </row>
    <row r="69" spans="1:13" customFormat="1" ht="21" customHeight="1">
      <c r="A69" s="1704" t="s">
        <v>252</v>
      </c>
      <c r="B69" s="1689" t="s">
        <v>858</v>
      </c>
      <c r="C69" s="1667"/>
      <c r="D69" s="1667"/>
      <c r="E69" s="1667"/>
      <c r="F69" s="1779"/>
      <c r="G69" s="1777">
        <f>G66+G67+G68</f>
        <v>111660</v>
      </c>
      <c r="H69" s="1767">
        <f>H66+H67+H68</f>
        <v>123421700</v>
      </c>
      <c r="I69" s="1660">
        <f>I66+I67+I68</f>
        <v>123421.7</v>
      </c>
      <c r="J69" s="1795"/>
      <c r="K69" s="1777">
        <f>K66+K67+K68</f>
        <v>120117</v>
      </c>
      <c r="L69" s="1803">
        <f>L66+L67+L68</f>
        <v>127758</v>
      </c>
    </row>
    <row r="70" spans="1:13" customFormat="1" ht="29.45" customHeight="1">
      <c r="A70" s="1704" t="s">
        <v>260</v>
      </c>
      <c r="B70" s="2403" t="s">
        <v>645</v>
      </c>
      <c r="C70" s="2404"/>
      <c r="D70" s="1668"/>
      <c r="E70" s="1669"/>
      <c r="F70" s="1749"/>
      <c r="G70" s="1777"/>
      <c r="H70" s="1767"/>
      <c r="I70" s="1660"/>
      <c r="J70" s="1795"/>
      <c r="K70" s="1777"/>
      <c r="L70" s="1803"/>
    </row>
    <row r="71" spans="1:13" customFormat="1" ht="22.5">
      <c r="A71" s="1708" t="s">
        <v>516</v>
      </c>
      <c r="B71" s="1685" t="s">
        <v>646</v>
      </c>
      <c r="C71" s="1657">
        <v>42</v>
      </c>
      <c r="D71" s="1670" t="s">
        <v>526</v>
      </c>
      <c r="E71" s="1659">
        <v>3858040</v>
      </c>
      <c r="F71" s="1750">
        <f>C71*E71</f>
        <v>162037680</v>
      </c>
      <c r="G71" s="1776">
        <v>162038</v>
      </c>
      <c r="H71" s="1766">
        <v>162037680</v>
      </c>
      <c r="I71" s="1659">
        <v>162038</v>
      </c>
      <c r="J71" s="1794"/>
      <c r="K71" s="1776">
        <v>162038</v>
      </c>
      <c r="L71" s="1802">
        <v>162038</v>
      </c>
    </row>
    <row r="72" spans="1:13" customFormat="1" ht="42" customHeight="1">
      <c r="A72" s="1709" t="s">
        <v>517</v>
      </c>
      <c r="B72" s="1695" t="s">
        <v>647</v>
      </c>
      <c r="C72" s="2405" t="s">
        <v>648</v>
      </c>
      <c r="D72" s="2405"/>
      <c r="E72" s="2405"/>
      <c r="F72" s="1750">
        <v>61581000</v>
      </c>
      <c r="G72" s="1776">
        <v>61581</v>
      </c>
      <c r="H72" s="1766">
        <f>F72+217000</f>
        <v>61798000</v>
      </c>
      <c r="I72" s="1659">
        <v>61798</v>
      </c>
      <c r="J72" s="1794"/>
      <c r="K72" s="1776">
        <v>61798</v>
      </c>
      <c r="L72" s="1802">
        <v>61798</v>
      </c>
    </row>
    <row r="73" spans="1:13" customFormat="1">
      <c r="A73" s="1704" t="s">
        <v>260</v>
      </c>
      <c r="B73" s="1683" t="s">
        <v>649</v>
      </c>
      <c r="C73" s="1657"/>
      <c r="D73" s="1658"/>
      <c r="E73" s="1659"/>
      <c r="F73" s="1749">
        <f>SUM(F71:F72)</f>
        <v>223618680</v>
      </c>
      <c r="G73" s="1777">
        <f>G71+G72</f>
        <v>223619</v>
      </c>
      <c r="H73" s="1766">
        <f>H71+H72</f>
        <v>223835680</v>
      </c>
      <c r="I73" s="1660">
        <f>I71+I72</f>
        <v>223836</v>
      </c>
      <c r="J73" s="1795"/>
      <c r="K73" s="1777">
        <f>K71+K72</f>
        <v>223836</v>
      </c>
      <c r="L73" s="1803">
        <f>L71+L72</f>
        <v>223836</v>
      </c>
    </row>
    <row r="74" spans="1:13" customFormat="1">
      <c r="A74" s="1704" t="s">
        <v>261</v>
      </c>
      <c r="B74" s="1686" t="s">
        <v>262</v>
      </c>
      <c r="C74" s="1274"/>
      <c r="D74" s="1275"/>
      <c r="E74" s="1640"/>
      <c r="F74" s="1752"/>
      <c r="G74" s="1774"/>
      <c r="H74" s="1764"/>
      <c r="I74" s="1640"/>
      <c r="J74" s="1792"/>
      <c r="K74" s="1774"/>
      <c r="L74" s="1800"/>
    </row>
    <row r="75" spans="1:13" customFormat="1" ht="32.25" customHeight="1">
      <c r="A75" s="1703" t="s">
        <v>518</v>
      </c>
      <c r="B75" s="1681" t="s">
        <v>650</v>
      </c>
      <c r="C75" s="1274">
        <v>43.92</v>
      </c>
      <c r="D75" s="1275" t="s">
        <v>263</v>
      </c>
      <c r="E75" s="1640">
        <v>2200000</v>
      </c>
      <c r="F75" s="1752">
        <f>C75*E75</f>
        <v>96624000</v>
      </c>
      <c r="G75" s="1774">
        <v>96624</v>
      </c>
      <c r="H75" s="1764">
        <f>96624000-23452000</f>
        <v>73172000</v>
      </c>
      <c r="I75" s="1640">
        <f>H75/1000</f>
        <v>73172</v>
      </c>
      <c r="J75" s="1792"/>
      <c r="K75" s="1774">
        <v>73172</v>
      </c>
      <c r="L75" s="1800">
        <f>K75-814</f>
        <v>72358</v>
      </c>
    </row>
    <row r="76" spans="1:13" customFormat="1" ht="29.25" customHeight="1">
      <c r="A76" s="1703" t="s">
        <v>519</v>
      </c>
      <c r="B76" s="1690" t="s">
        <v>520</v>
      </c>
      <c r="C76" s="2406" t="s">
        <v>651</v>
      </c>
      <c r="D76" s="2406"/>
      <c r="E76" s="2406"/>
      <c r="F76" s="1752">
        <v>94349758</v>
      </c>
      <c r="G76" s="1774">
        <v>94350</v>
      </c>
      <c r="H76" s="1764">
        <f>F76-23028000</f>
        <v>71321758</v>
      </c>
      <c r="I76" s="1640">
        <f>(H76)/1000</f>
        <v>71321.758000000002</v>
      </c>
      <c r="J76" s="1797">
        <f>(H76-10172798)</f>
        <v>61148960</v>
      </c>
      <c r="K76" s="1774">
        <v>61150</v>
      </c>
      <c r="L76" s="1800">
        <v>61150</v>
      </c>
    </row>
    <row r="77" spans="1:13" customFormat="1" ht="31.5">
      <c r="A77" s="1703" t="s">
        <v>521</v>
      </c>
      <c r="B77" s="1696" t="s">
        <v>652</v>
      </c>
      <c r="C77" s="1274">
        <v>1862</v>
      </c>
      <c r="D77" s="1275" t="s">
        <v>227</v>
      </c>
      <c r="E77" s="1640">
        <v>285</v>
      </c>
      <c r="F77" s="1752">
        <f>C77*E77</f>
        <v>530670</v>
      </c>
      <c r="G77" s="1774">
        <v>531</v>
      </c>
      <c r="H77" s="1764">
        <f>530670-570</f>
        <v>530100</v>
      </c>
      <c r="I77" s="1640">
        <f>H77/1000</f>
        <v>530.1</v>
      </c>
      <c r="J77" s="1792"/>
      <c r="K77" s="1774">
        <v>530</v>
      </c>
      <c r="L77" s="1800">
        <f>K77-268</f>
        <v>262</v>
      </c>
    </row>
    <row r="78" spans="1:13" customFormat="1">
      <c r="A78" s="1704" t="s">
        <v>261</v>
      </c>
      <c r="B78" s="1689" t="s">
        <v>264</v>
      </c>
      <c r="C78" s="1274"/>
      <c r="D78" s="1275"/>
      <c r="E78" s="1640"/>
      <c r="F78" s="1751">
        <f>SUM(F75:F77)</f>
        <v>191504428</v>
      </c>
      <c r="G78" s="1775">
        <f>G75+G76+G77</f>
        <v>191505</v>
      </c>
      <c r="H78" s="1764">
        <f>H75+H76+H77</f>
        <v>145023858</v>
      </c>
      <c r="I78" s="1656">
        <f>I75+I76+I77</f>
        <v>145023.85800000001</v>
      </c>
      <c r="J78" s="1793"/>
      <c r="K78" s="1775">
        <f>K75+K76+K77</f>
        <v>134852</v>
      </c>
      <c r="L78" s="1801">
        <f>L75+L76+L77</f>
        <v>133770</v>
      </c>
    </row>
    <row r="79" spans="1:13" customFormat="1" ht="30.75" customHeight="1">
      <c r="A79" s="1710" t="s">
        <v>266</v>
      </c>
      <c r="B79" s="1682" t="s">
        <v>267</v>
      </c>
      <c r="C79" s="1274"/>
      <c r="D79" s="1275"/>
      <c r="E79" s="1640"/>
      <c r="F79" s="1756">
        <f>F64+F66+F67+F68+F73+F78</f>
        <v>685901352</v>
      </c>
      <c r="G79" s="1775">
        <f>G44+G64+G66+G67+G68+G73+G78</f>
        <v>683557</v>
      </c>
      <c r="H79" s="1765">
        <f>H78+H73+H69+H64</f>
        <v>682257215</v>
      </c>
      <c r="I79" s="1656">
        <f>I78+I73+I69+I64</f>
        <v>682257.07799999998</v>
      </c>
      <c r="J79" s="1793"/>
      <c r="K79" s="1775">
        <f>K78+K73+K69+K64</f>
        <v>668779.52000000002</v>
      </c>
      <c r="L79" s="1801">
        <f>L78+L73+L69+L64</f>
        <v>680107.52000000002</v>
      </c>
    </row>
    <row r="80" spans="1:13" customFormat="1" ht="31.5" customHeight="1">
      <c r="A80" s="1704" t="s">
        <v>268</v>
      </c>
      <c r="B80" s="1697" t="s">
        <v>269</v>
      </c>
      <c r="C80" s="1274"/>
      <c r="D80" s="1275"/>
      <c r="E80" s="1640"/>
      <c r="F80" s="1752"/>
      <c r="G80" s="1774"/>
      <c r="H80" s="1764"/>
      <c r="I80" s="1640"/>
      <c r="J80" s="1792"/>
      <c r="K80" s="1774"/>
      <c r="L80" s="1800"/>
    </row>
    <row r="81" spans="1:13" customFormat="1" ht="31.5" customHeight="1">
      <c r="A81" s="1704" t="s">
        <v>653</v>
      </c>
      <c r="B81" s="1698" t="s">
        <v>1024</v>
      </c>
      <c r="C81" s="1639">
        <v>23169</v>
      </c>
      <c r="D81" s="1275" t="s">
        <v>227</v>
      </c>
      <c r="E81" s="1640">
        <v>1251</v>
      </c>
      <c r="F81" s="1752">
        <f>C81*E81</f>
        <v>28984419</v>
      </c>
      <c r="G81" s="1774">
        <f>F81/1000</f>
        <v>28984.419000000002</v>
      </c>
      <c r="H81" s="1764">
        <v>28984419</v>
      </c>
      <c r="I81" s="1640">
        <v>28984</v>
      </c>
      <c r="J81" s="1792"/>
      <c r="K81" s="1774">
        <v>28984</v>
      </c>
      <c r="L81" s="1800">
        <v>28984</v>
      </c>
    </row>
    <row r="82" spans="1:13" customFormat="1" ht="19.5" customHeight="1">
      <c r="A82" s="1711" t="s">
        <v>271</v>
      </c>
      <c r="B82" s="1689" t="s">
        <v>859</v>
      </c>
      <c r="C82" s="1274"/>
      <c r="D82" s="1275"/>
      <c r="E82" s="1640"/>
      <c r="F82" s="1756">
        <f>SUM(F81:F81)</f>
        <v>28984419</v>
      </c>
      <c r="G82" s="1775">
        <f>SUM(G81:G81)</f>
        <v>28984.419000000002</v>
      </c>
      <c r="H82" s="1765">
        <f>SUM(H81:H81)</f>
        <v>28984419</v>
      </c>
      <c r="I82" s="1656">
        <f>SUM(I81:I81)</f>
        <v>28984</v>
      </c>
      <c r="J82" s="1793"/>
      <c r="K82" s="1775">
        <f>SUM(K81:K81)</f>
        <v>28984</v>
      </c>
      <c r="L82" s="1801">
        <f>SUM(L81:L81)</f>
        <v>28984</v>
      </c>
    </row>
    <row r="83" spans="1:13" customFormat="1" ht="48.75" customHeight="1">
      <c r="A83" s="1712" t="s">
        <v>272</v>
      </c>
      <c r="B83" s="1699" t="s">
        <v>654</v>
      </c>
      <c r="C83" s="1274"/>
      <c r="D83" s="1275"/>
      <c r="E83" s="1671"/>
      <c r="F83" s="1780">
        <v>0</v>
      </c>
      <c r="G83" s="1774">
        <v>0</v>
      </c>
      <c r="H83" s="1764"/>
      <c r="I83" s="1640">
        <v>0</v>
      </c>
      <c r="J83" s="1792"/>
      <c r="K83" s="1774">
        <v>0</v>
      </c>
      <c r="L83" s="1800">
        <v>0</v>
      </c>
    </row>
    <row r="84" spans="1:13" customFormat="1" ht="48.75" customHeight="1">
      <c r="A84" s="1712"/>
      <c r="B84" s="1700" t="s">
        <v>1025</v>
      </c>
      <c r="C84" s="1274"/>
      <c r="D84" s="1275"/>
      <c r="E84" s="1671"/>
      <c r="F84" s="1780"/>
      <c r="G84" s="1774"/>
      <c r="H84" s="1764"/>
      <c r="I84" s="1640"/>
      <c r="J84" s="1792"/>
      <c r="K84" s="1774">
        <v>86781</v>
      </c>
      <c r="L84" s="1800">
        <v>86781</v>
      </c>
    </row>
    <row r="85" spans="1:13" customFormat="1" ht="48.75" customHeight="1" thickBot="1">
      <c r="A85" s="1713"/>
      <c r="B85" s="1714" t="s">
        <v>951</v>
      </c>
      <c r="C85" s="1715"/>
      <c r="D85" s="1716"/>
      <c r="E85" s="1717"/>
      <c r="F85" s="1781"/>
      <c r="G85" s="1778"/>
      <c r="H85" s="1782"/>
      <c r="I85" s="1718"/>
      <c r="J85" s="1798"/>
      <c r="K85" s="1778">
        <v>3925</v>
      </c>
      <c r="L85" s="1804">
        <f>K85+2355</f>
        <v>6280</v>
      </c>
    </row>
    <row r="86" spans="1:13" customFormat="1" ht="36.75" customHeight="1" thickBot="1">
      <c r="A86" s="2407" t="s">
        <v>522</v>
      </c>
      <c r="B86" s="2408"/>
      <c r="C86" s="1721"/>
      <c r="D86" s="1845"/>
      <c r="E86" s="1846"/>
      <c r="F86" s="1847">
        <f>F30+F42+F79+F82+F83</f>
        <v>1272012273.6343467</v>
      </c>
      <c r="G86" s="1835">
        <f>G30+G42+G79+G82+G83</f>
        <v>1269779.419</v>
      </c>
      <c r="H86" s="1848">
        <f>H30+H42+H79+H82+H83</f>
        <v>1287217945</v>
      </c>
      <c r="I86" s="1722">
        <f>I30+I42+I79+I82+I83</f>
        <v>1287581.558</v>
      </c>
      <c r="J86" s="1844"/>
      <c r="K86" s="1835">
        <f>K30+K42+K79+K82+K83+K84+K85</f>
        <v>1364810</v>
      </c>
      <c r="L86" s="1838">
        <f>L30+L42+L79+L82+L83+L84+L85</f>
        <v>1379860</v>
      </c>
      <c r="M86" s="1273"/>
    </row>
    <row r="87" spans="1:13" customFormat="1" ht="30" customHeight="1">
      <c r="A87" s="1726" t="s">
        <v>655</v>
      </c>
      <c r="B87" s="1723" t="s">
        <v>656</v>
      </c>
      <c r="C87" s="1719"/>
      <c r="D87" s="1720"/>
      <c r="E87" s="2409"/>
      <c r="F87" s="2410"/>
      <c r="G87" s="1768"/>
      <c r="H87" s="1757"/>
      <c r="I87" s="1646"/>
      <c r="J87" s="1784"/>
      <c r="K87" s="1768"/>
      <c r="L87" s="1799"/>
    </row>
    <row r="88" spans="1:13" customFormat="1" ht="30" customHeight="1">
      <c r="A88" s="1727" t="s">
        <v>657</v>
      </c>
      <c r="B88" s="1724" t="s">
        <v>658</v>
      </c>
      <c r="C88" s="2411"/>
      <c r="D88" s="2411"/>
      <c r="E88" s="2411"/>
      <c r="F88" s="1820"/>
      <c r="G88" s="1774"/>
      <c r="H88" s="1764"/>
      <c r="I88" s="1640"/>
      <c r="J88" s="1792"/>
      <c r="K88" s="1774"/>
      <c r="L88" s="1800"/>
    </row>
    <row r="89" spans="1:13" customFormat="1" ht="44.25" customHeight="1">
      <c r="A89" s="1727" t="s">
        <v>1026</v>
      </c>
      <c r="B89" s="1724" t="s">
        <v>1027</v>
      </c>
      <c r="C89" s="1672"/>
      <c r="D89" s="1672"/>
      <c r="E89" s="1672"/>
      <c r="F89" s="1820"/>
      <c r="G89" s="1774"/>
      <c r="H89" s="1764"/>
      <c r="I89" s="1640"/>
      <c r="J89" s="1792"/>
      <c r="K89" s="1774"/>
      <c r="L89" s="1800">
        <v>3466</v>
      </c>
    </row>
    <row r="90" spans="1:13" customFormat="1" ht="30" customHeight="1">
      <c r="A90" s="1728" t="s">
        <v>659</v>
      </c>
      <c r="B90" s="1724" t="s">
        <v>660</v>
      </c>
      <c r="C90" s="2412" t="s">
        <v>661</v>
      </c>
      <c r="D90" s="2412"/>
      <c r="E90" s="2412"/>
      <c r="F90" s="1820"/>
      <c r="G90" s="1774"/>
      <c r="H90" s="1764"/>
      <c r="I90" s="1640">
        <v>687</v>
      </c>
      <c r="J90" s="1792"/>
      <c r="K90" s="1816">
        <f>687+102</f>
        <v>789</v>
      </c>
      <c r="L90" s="1800">
        <f>K90+389</f>
        <v>1178</v>
      </c>
    </row>
    <row r="91" spans="1:13" customFormat="1" ht="30" customHeight="1">
      <c r="A91" s="1728" t="s">
        <v>662</v>
      </c>
      <c r="B91" s="1725" t="s">
        <v>663</v>
      </c>
      <c r="C91" s="2412" t="s">
        <v>661</v>
      </c>
      <c r="D91" s="2412"/>
      <c r="E91" s="2412"/>
      <c r="F91" s="1820"/>
      <c r="G91" s="1774"/>
      <c r="H91" s="1764"/>
      <c r="I91" s="1640">
        <v>33883</v>
      </c>
      <c r="J91" s="1792">
        <f>I91+14121</f>
        <v>48004</v>
      </c>
      <c r="K91" s="1821">
        <f>33883+14121</f>
        <v>48004</v>
      </c>
      <c r="L91" s="1800">
        <f>K91+21009</f>
        <v>69013</v>
      </c>
    </row>
    <row r="92" spans="1:13" customFormat="1" ht="47.25" customHeight="1">
      <c r="A92" s="1728" t="s">
        <v>664</v>
      </c>
      <c r="B92" s="1725" t="s">
        <v>665</v>
      </c>
      <c r="C92" s="2412" t="s">
        <v>666</v>
      </c>
      <c r="D92" s="2412"/>
      <c r="E92" s="2412"/>
      <c r="F92" s="1752"/>
      <c r="G92" s="1774"/>
      <c r="H92" s="1764">
        <v>107800000</v>
      </c>
      <c r="I92" s="1640">
        <v>107800</v>
      </c>
      <c r="J92" s="1792"/>
      <c r="K92" s="1774">
        <v>107800</v>
      </c>
      <c r="L92" s="1800">
        <v>107800</v>
      </c>
    </row>
    <row r="93" spans="1:13" customFormat="1" ht="47.25" customHeight="1">
      <c r="A93" s="1728" t="s">
        <v>1028</v>
      </c>
      <c r="B93" s="1725" t="s">
        <v>1029</v>
      </c>
      <c r="C93" s="1674"/>
      <c r="D93" s="1674"/>
      <c r="E93" s="1674"/>
      <c r="F93" s="1752"/>
      <c r="G93" s="1774"/>
      <c r="H93" s="1764"/>
      <c r="I93" s="1640"/>
      <c r="J93" s="1792"/>
      <c r="K93" s="1774"/>
      <c r="L93" s="1800">
        <v>631</v>
      </c>
    </row>
    <row r="94" spans="1:13" customFormat="1" ht="30" customHeight="1" thickBot="1">
      <c r="A94" s="1729" t="s">
        <v>667</v>
      </c>
      <c r="B94" s="1730" t="s">
        <v>270</v>
      </c>
      <c r="C94" s="2413" t="s">
        <v>661</v>
      </c>
      <c r="D94" s="2413"/>
      <c r="E94" s="2413"/>
      <c r="F94" s="2414"/>
      <c r="G94" s="1778"/>
      <c r="H94" s="1782"/>
      <c r="I94" s="1718">
        <v>5355</v>
      </c>
      <c r="J94" s="1798">
        <f>I94+2175</f>
        <v>7530</v>
      </c>
      <c r="K94" s="1822">
        <f>5355+2175</f>
        <v>7530</v>
      </c>
      <c r="L94" s="1804">
        <f>K94+3083</f>
        <v>10613</v>
      </c>
    </row>
    <row r="95" spans="1:13" customFormat="1" ht="30" customHeight="1" thickBot="1">
      <c r="A95" s="1850" t="s">
        <v>655</v>
      </c>
      <c r="B95" s="1849" t="s">
        <v>668</v>
      </c>
      <c r="C95" s="2402"/>
      <c r="D95" s="2402"/>
      <c r="E95" s="2402"/>
      <c r="F95" s="1826"/>
      <c r="G95" s="1835"/>
      <c r="H95" s="1831"/>
      <c r="I95" s="1735">
        <f>I88+I90+I91+I92+I94</f>
        <v>147725</v>
      </c>
      <c r="J95" s="1837"/>
      <c r="K95" s="1835">
        <f>K88+K90+K91+K92+K94</f>
        <v>164123</v>
      </c>
      <c r="L95" s="1838">
        <f>L88+L89+L90+L91+L92+L93+L94</f>
        <v>192701</v>
      </c>
    </row>
    <row r="96" spans="1:13" s="961" customFormat="1" ht="30" customHeight="1">
      <c r="A96" s="1726" t="s">
        <v>860</v>
      </c>
      <c r="B96" s="1723" t="s">
        <v>861</v>
      </c>
      <c r="C96" s="1732"/>
      <c r="D96" s="1732"/>
      <c r="E96" s="1733"/>
      <c r="F96" s="1823"/>
      <c r="G96" s="1833"/>
      <c r="H96" s="1828"/>
      <c r="I96" s="1734"/>
      <c r="J96" s="1839"/>
      <c r="K96" s="1833"/>
      <c r="L96" s="1799"/>
    </row>
    <row r="97" spans="1:12" s="961" customFormat="1" ht="30" customHeight="1">
      <c r="A97" s="1743" t="s">
        <v>862</v>
      </c>
      <c r="B97" s="1742" t="s">
        <v>863</v>
      </c>
      <c r="C97" s="1672"/>
      <c r="D97" s="1672"/>
      <c r="E97" s="1675"/>
      <c r="F97" s="1824"/>
      <c r="G97" s="1821">
        <v>80000</v>
      </c>
      <c r="H97" s="1829"/>
      <c r="I97" s="1673">
        <v>0</v>
      </c>
      <c r="J97" s="1840"/>
      <c r="K97" s="1821">
        <v>0</v>
      </c>
      <c r="L97" s="1800">
        <v>0</v>
      </c>
    </row>
    <row r="98" spans="1:12" s="961" customFormat="1" ht="30" customHeight="1" thickBot="1">
      <c r="A98" s="1744"/>
      <c r="B98" s="1745" t="s">
        <v>1030</v>
      </c>
      <c r="C98" s="1746"/>
      <c r="D98" s="1746"/>
      <c r="E98" s="1747"/>
      <c r="F98" s="1825"/>
      <c r="G98" s="1834"/>
      <c r="H98" s="1830"/>
      <c r="I98" s="1731"/>
      <c r="J98" s="1841"/>
      <c r="K98" s="1834"/>
      <c r="L98" s="1804">
        <v>28000</v>
      </c>
    </row>
    <row r="99" spans="1:12" s="961" customFormat="1" ht="30" customHeight="1" thickBot="1">
      <c r="A99" s="1850" t="s">
        <v>860</v>
      </c>
      <c r="B99" s="1849" t="s">
        <v>668</v>
      </c>
      <c r="C99" s="2402"/>
      <c r="D99" s="2402"/>
      <c r="E99" s="2402"/>
      <c r="F99" s="1826">
        <f>F95</f>
        <v>0</v>
      </c>
      <c r="G99" s="1835">
        <f>G96+G97</f>
        <v>80000</v>
      </c>
      <c r="H99" s="1831"/>
      <c r="I99" s="1735">
        <f>I96+I97</f>
        <v>0</v>
      </c>
      <c r="J99" s="1837"/>
      <c r="K99" s="1835">
        <f>K96+K97</f>
        <v>0</v>
      </c>
      <c r="L99" s="1838">
        <f>L96+L97</f>
        <v>0</v>
      </c>
    </row>
    <row r="100" spans="1:12" customFormat="1" ht="45.75" customHeight="1" thickBot="1">
      <c r="A100" s="1736"/>
      <c r="B100" s="1737" t="s">
        <v>864</v>
      </c>
      <c r="C100" s="1738"/>
      <c r="D100" s="1739"/>
      <c r="E100" s="1740"/>
      <c r="F100" s="1827">
        <f>F86+F99</f>
        <v>1272012273.6343467</v>
      </c>
      <c r="G100" s="1836">
        <f>G86+G95+G99</f>
        <v>1349779.419</v>
      </c>
      <c r="H100" s="1832"/>
      <c r="I100" s="1741">
        <f>I86+I95+I99</f>
        <v>1435306.558</v>
      </c>
      <c r="J100" s="1842"/>
      <c r="K100" s="1836">
        <f>K86+K95+K99</f>
        <v>1528933</v>
      </c>
      <c r="L100" s="1843">
        <f>L86+L95+L98+L99</f>
        <v>1600561</v>
      </c>
    </row>
    <row r="101" spans="1:12" customFormat="1" ht="30" customHeight="1">
      <c r="A101" s="1276"/>
      <c r="B101" s="1277"/>
      <c r="C101" s="1247"/>
      <c r="D101" s="1248"/>
      <c r="E101" s="1278"/>
      <c r="F101" s="1279"/>
      <c r="G101" s="223"/>
      <c r="H101" s="223"/>
      <c r="I101" s="223"/>
      <c r="J101" s="223"/>
      <c r="K101" s="223"/>
      <c r="L101" s="223"/>
    </row>
    <row r="102" spans="1:12" customFormat="1">
      <c r="A102" s="1247"/>
      <c r="B102" s="1280"/>
      <c r="C102" s="1247"/>
      <c r="D102" s="1248" t="s">
        <v>865</v>
      </c>
      <c r="E102" s="223"/>
      <c r="F102" s="1249"/>
      <c r="G102" s="223"/>
      <c r="H102" s="223"/>
      <c r="I102" s="223"/>
      <c r="J102" s="223"/>
      <c r="K102" s="223"/>
      <c r="L102" s="223"/>
    </row>
    <row r="103" spans="1:12" customFormat="1">
      <c r="A103" s="1247"/>
      <c r="B103" s="1280"/>
      <c r="C103" s="1247"/>
      <c r="D103" s="1248"/>
      <c r="E103" s="223"/>
      <c r="F103" s="1249"/>
      <c r="G103" s="223"/>
      <c r="H103" s="223"/>
      <c r="I103" s="223"/>
      <c r="J103" s="223"/>
      <c r="K103" s="223"/>
      <c r="L103" s="223"/>
    </row>
    <row r="104" spans="1:12" customFormat="1" ht="18.75">
      <c r="A104" s="1247"/>
      <c r="B104" s="1281" t="s">
        <v>669</v>
      </c>
      <c r="C104" s="1282"/>
      <c r="D104" s="1283"/>
      <c r="E104" s="223"/>
      <c r="G104" s="223"/>
      <c r="H104" s="223"/>
      <c r="I104" s="223"/>
      <c r="J104" s="223"/>
      <c r="K104" s="223"/>
      <c r="L104" s="223"/>
    </row>
    <row r="105" spans="1:12" customFormat="1" ht="18.75">
      <c r="A105" s="1247"/>
      <c r="B105" s="1284" t="s">
        <v>866</v>
      </c>
      <c r="C105" s="1285" t="s">
        <v>867</v>
      </c>
      <c r="D105" s="1286"/>
      <c r="E105" s="1673">
        <v>388765870</v>
      </c>
      <c r="G105" s="223"/>
      <c r="H105" s="223"/>
      <c r="I105" s="223"/>
      <c r="J105" s="223"/>
      <c r="K105" s="223"/>
      <c r="L105" s="223"/>
    </row>
    <row r="106" spans="1:12" customFormat="1" ht="18.75">
      <c r="A106" s="1247"/>
      <c r="B106" s="1287" t="s">
        <v>273</v>
      </c>
      <c r="C106" s="1288" t="s">
        <v>868</v>
      </c>
      <c r="D106" s="1289"/>
      <c r="E106" s="1676">
        <v>378328575.04874879</v>
      </c>
      <c r="F106" t="s">
        <v>670</v>
      </c>
      <c r="G106" s="223"/>
      <c r="H106" s="223"/>
      <c r="I106" s="223"/>
      <c r="J106" s="223"/>
      <c r="K106" s="223"/>
      <c r="L106" s="223"/>
    </row>
    <row r="107" spans="1:12" customFormat="1" ht="18.75">
      <c r="A107" s="1247"/>
      <c r="B107" s="1290" t="s">
        <v>238</v>
      </c>
      <c r="C107" s="1291">
        <v>62556300</v>
      </c>
      <c r="D107" s="1292"/>
      <c r="E107" s="1293">
        <f t="shared" ref="E107:E113" si="1">E106-C107</f>
        <v>315772275.04874879</v>
      </c>
      <c r="G107" s="223"/>
      <c r="H107" s="223"/>
      <c r="I107" s="223"/>
      <c r="J107" s="223"/>
      <c r="K107" s="223"/>
      <c r="L107" s="223"/>
    </row>
    <row r="108" spans="1:12" customFormat="1" ht="18.75">
      <c r="A108" s="1247"/>
      <c r="B108" s="1290" t="s">
        <v>239</v>
      </c>
      <c r="C108" s="1294">
        <v>1060800</v>
      </c>
      <c r="D108" s="1295"/>
      <c r="E108" s="1293">
        <f t="shared" si="1"/>
        <v>314711475.04874879</v>
      </c>
      <c r="G108" s="223"/>
      <c r="H108" s="223"/>
      <c r="I108" s="223"/>
      <c r="J108" s="223"/>
      <c r="K108" s="223"/>
      <c r="L108" s="223"/>
    </row>
    <row r="109" spans="1:12" customFormat="1" ht="18.75">
      <c r="A109" s="1247"/>
      <c r="B109" s="1290" t="s">
        <v>230</v>
      </c>
      <c r="C109" s="1294">
        <v>42998760</v>
      </c>
      <c r="D109" s="1295"/>
      <c r="E109" s="1293">
        <f t="shared" si="1"/>
        <v>271712715.04874879</v>
      </c>
      <c r="G109" s="223"/>
      <c r="H109" s="223"/>
      <c r="I109" s="223"/>
      <c r="J109" s="223"/>
      <c r="K109" s="223"/>
      <c r="L109" s="223"/>
    </row>
    <row r="110" spans="1:12" customFormat="1" ht="18.75">
      <c r="A110" s="1247"/>
      <c r="B110" s="1290" t="s">
        <v>232</v>
      </c>
      <c r="C110" s="1294">
        <v>84840000</v>
      </c>
      <c r="D110" s="1295"/>
      <c r="E110" s="1293">
        <f t="shared" si="1"/>
        <v>186872715.04874879</v>
      </c>
      <c r="G110" s="223"/>
      <c r="H110" s="223"/>
      <c r="I110" s="223"/>
      <c r="J110" s="223"/>
      <c r="K110" s="223"/>
      <c r="L110" s="223"/>
    </row>
    <row r="111" spans="1:12" customFormat="1" ht="18.75">
      <c r="A111" s="1247"/>
      <c r="B111" s="1290" t="s">
        <v>234</v>
      </c>
      <c r="C111" s="1294">
        <v>13458016</v>
      </c>
      <c r="D111" s="1295"/>
      <c r="E111" s="1293">
        <f t="shared" si="1"/>
        <v>173414699.04874879</v>
      </c>
      <c r="G111" s="223"/>
      <c r="H111" s="223"/>
      <c r="I111" s="223"/>
      <c r="J111" s="223"/>
      <c r="K111" s="223"/>
      <c r="L111" s="223"/>
    </row>
    <row r="112" spans="1:12" customFormat="1" ht="18.75">
      <c r="A112" s="1247"/>
      <c r="B112" s="1290" t="s">
        <v>236</v>
      </c>
      <c r="C112" s="1294">
        <v>30210950</v>
      </c>
      <c r="D112" s="1295"/>
      <c r="E112" s="1293">
        <f t="shared" si="1"/>
        <v>143203749.04874879</v>
      </c>
      <c r="G112" s="223"/>
      <c r="H112" s="223"/>
      <c r="I112" s="223"/>
      <c r="J112" s="223"/>
      <c r="K112" s="223"/>
      <c r="L112" s="223"/>
    </row>
    <row r="113" spans="1:12" customFormat="1" ht="18.75">
      <c r="A113" s="1247"/>
      <c r="B113" s="1290" t="s">
        <v>241</v>
      </c>
      <c r="C113" s="1294">
        <v>46767280</v>
      </c>
      <c r="D113" s="1295"/>
      <c r="E113" s="1293">
        <f t="shared" si="1"/>
        <v>96436469.048748791</v>
      </c>
      <c r="G113" s="223"/>
      <c r="H113" s="223"/>
      <c r="I113" s="223"/>
      <c r="J113" s="223"/>
      <c r="K113" s="223"/>
      <c r="L113" s="223"/>
    </row>
    <row r="114" spans="1:12" customFormat="1" ht="18.75">
      <c r="A114" s="1247"/>
      <c r="B114" s="1290" t="s">
        <v>226</v>
      </c>
      <c r="C114" s="1291">
        <v>267334600</v>
      </c>
      <c r="D114" s="1295"/>
      <c r="E114" s="1293">
        <f>C114-E113</f>
        <v>170898130.95125121</v>
      </c>
      <c r="F114" t="s">
        <v>671</v>
      </c>
      <c r="G114" s="223"/>
      <c r="H114" s="223"/>
      <c r="I114" s="223"/>
      <c r="J114" s="223"/>
      <c r="K114" s="223"/>
      <c r="L114" s="223"/>
    </row>
  </sheetData>
  <mergeCells count="26">
    <mergeCell ref="C68:E68"/>
    <mergeCell ref="H4:H5"/>
    <mergeCell ref="I4:I5"/>
    <mergeCell ref="B43:C43"/>
    <mergeCell ref="C63:E63"/>
    <mergeCell ref="A1:L1"/>
    <mergeCell ref="A2:L2"/>
    <mergeCell ref="A4:A5"/>
    <mergeCell ref="B4:B5"/>
    <mergeCell ref="C4:F4"/>
    <mergeCell ref="G4:G5"/>
    <mergeCell ref="C5:D5"/>
    <mergeCell ref="L4:L5"/>
    <mergeCell ref="K4:K5"/>
    <mergeCell ref="C99:E99"/>
    <mergeCell ref="B70:C70"/>
    <mergeCell ref="C72:E72"/>
    <mergeCell ref="C76:E76"/>
    <mergeCell ref="A86:B86"/>
    <mergeCell ref="E87:F87"/>
    <mergeCell ref="C88:E88"/>
    <mergeCell ref="C90:E90"/>
    <mergeCell ref="C91:E91"/>
    <mergeCell ref="C92:E92"/>
    <mergeCell ref="C94:F94"/>
    <mergeCell ref="C95:E95"/>
  </mergeCells>
  <pageMargins left="0.23622047244094491" right="0.15748031496062992" top="0.63" bottom="0.43307086614173229" header="0.31496062992125984" footer="0.31496062992125984"/>
  <pageSetup paperSize="9" scale="50" fitToHeight="2" orientation="portrait" r:id="rId1"/>
  <headerFooter>
    <oddHeader>&amp;L&amp;"Times New Roman,Normál" 15.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  <rowBreaks count="1" manualBreakCount="1">
    <brk id="63" max="11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9"/>
  <sheetViews>
    <sheetView view="pageLayout" zoomScaleNormal="100" workbookViewId="0"/>
  </sheetViews>
  <sheetFormatPr defaultRowHeight="15"/>
  <cols>
    <col min="1" max="1" width="59.28515625" style="73" bestFit="1" customWidth="1"/>
    <col min="2" max="4" width="12.28515625" style="73" customWidth="1"/>
    <col min="5" max="13" width="9.140625" style="939"/>
    <col min="14" max="16384" width="9.140625" style="69"/>
  </cols>
  <sheetData>
    <row r="2" spans="1:13">
      <c r="A2" s="2437" t="s">
        <v>908</v>
      </c>
      <c r="B2" s="2437"/>
      <c r="C2" s="2437"/>
      <c r="D2" s="69"/>
    </row>
    <row r="3" spans="1:13" ht="15.75" thickBot="1">
      <c r="A3" s="70"/>
      <c r="B3" s="70"/>
      <c r="C3" s="70"/>
      <c r="D3" s="70"/>
    </row>
    <row r="4" spans="1:13" ht="29.25" thickBot="1">
      <c r="A4" s="227" t="s">
        <v>2</v>
      </c>
      <c r="B4" s="229" t="s">
        <v>3</v>
      </c>
      <c r="C4" s="501" t="s">
        <v>961</v>
      </c>
      <c r="D4" s="1246" t="s">
        <v>973</v>
      </c>
    </row>
    <row r="5" spans="1:13">
      <c r="A5" s="1607" t="s">
        <v>274</v>
      </c>
      <c r="B5" s="460">
        <f>B7+B11+B19</f>
        <v>103644</v>
      </c>
      <c r="C5" s="499">
        <f>C7+C11+C19</f>
        <v>123308</v>
      </c>
      <c r="D5" s="497">
        <f>D7+D11+D19</f>
        <v>112863</v>
      </c>
    </row>
    <row r="6" spans="1:13" s="71" customFormat="1" ht="14.25">
      <c r="A6" s="1608"/>
      <c r="B6" s="1609"/>
      <c r="C6" s="1610"/>
      <c r="D6" s="1611"/>
      <c r="E6" s="940"/>
      <c r="F6" s="940"/>
      <c r="G6" s="940"/>
      <c r="H6" s="940"/>
      <c r="I6" s="940"/>
      <c r="J6" s="940"/>
      <c r="K6" s="940"/>
      <c r="L6" s="940"/>
      <c r="M6" s="940"/>
    </row>
    <row r="7" spans="1:13" s="71" customFormat="1" ht="14.25">
      <c r="A7" s="1612" t="s">
        <v>891</v>
      </c>
      <c r="B7" s="1613">
        <f>B8</f>
        <v>30000</v>
      </c>
      <c r="C7" s="1614">
        <f>SUM(C8:C9)</f>
        <v>37996</v>
      </c>
      <c r="D7" s="1615">
        <f>SUM(D8:D9)</f>
        <v>27551</v>
      </c>
      <c r="E7" s="940"/>
      <c r="F7" s="940"/>
      <c r="G7" s="940"/>
      <c r="H7" s="940"/>
      <c r="I7" s="940"/>
      <c r="J7" s="940"/>
      <c r="K7" s="940"/>
      <c r="L7" s="940"/>
      <c r="M7" s="940"/>
    </row>
    <row r="8" spans="1:13" s="72" customFormat="1">
      <c r="A8" s="1616" t="s">
        <v>275</v>
      </c>
      <c r="B8" s="1220">
        <v>30000</v>
      </c>
      <c r="C8" s="1221">
        <v>37236</v>
      </c>
      <c r="D8" s="1222">
        <v>26245</v>
      </c>
      <c r="E8" s="941"/>
      <c r="F8" s="941"/>
      <c r="G8" s="941"/>
      <c r="H8" s="941"/>
      <c r="I8" s="941"/>
      <c r="J8" s="941"/>
      <c r="K8" s="941"/>
      <c r="L8" s="941"/>
      <c r="M8" s="941"/>
    </row>
    <row r="9" spans="1:13" s="72" customFormat="1">
      <c r="A9" s="1616" t="s">
        <v>846</v>
      </c>
      <c r="B9" s="1220"/>
      <c r="C9" s="1221">
        <v>760</v>
      </c>
      <c r="D9" s="1222">
        <v>1306</v>
      </c>
      <c r="E9" s="941"/>
      <c r="F9" s="941"/>
      <c r="G9" s="941"/>
      <c r="H9" s="941"/>
      <c r="I9" s="941"/>
      <c r="J9" s="941"/>
      <c r="K9" s="941"/>
      <c r="L9" s="941"/>
      <c r="M9" s="941"/>
    </row>
    <row r="10" spans="1:13">
      <c r="A10" s="1616"/>
      <c r="B10" s="1220"/>
      <c r="C10" s="1221"/>
      <c r="D10" s="1222"/>
    </row>
    <row r="11" spans="1:13">
      <c r="A11" s="1612" t="s">
        <v>276</v>
      </c>
      <c r="B11" s="1613">
        <f>SUM(B12:B13)</f>
        <v>73644</v>
      </c>
      <c r="C11" s="1614">
        <f>SUM(C12:C13)</f>
        <v>85312</v>
      </c>
      <c r="D11" s="1615">
        <f>SUM(D12:D13)</f>
        <v>85312</v>
      </c>
    </row>
    <row r="12" spans="1:13" s="72" customFormat="1">
      <c r="A12" s="1229" t="s">
        <v>276</v>
      </c>
      <c r="B12" s="1230">
        <v>11540</v>
      </c>
      <c r="C12" s="1231">
        <v>23208</v>
      </c>
      <c r="D12" s="1232">
        <v>23208</v>
      </c>
      <c r="E12" s="941"/>
      <c r="F12" s="941"/>
      <c r="G12" s="941"/>
      <c r="H12" s="941"/>
      <c r="I12" s="941"/>
      <c r="J12" s="941"/>
      <c r="K12" s="941"/>
      <c r="L12" s="941"/>
      <c r="M12" s="941"/>
    </row>
    <row r="13" spans="1:13" s="72" customFormat="1">
      <c r="A13" s="1229" t="s">
        <v>717</v>
      </c>
      <c r="B13" s="1230">
        <f>SUM(B14:B17)</f>
        <v>62104</v>
      </c>
      <c r="C13" s="1230">
        <f>SUM(C14:C17)</f>
        <v>62104</v>
      </c>
      <c r="D13" s="1232">
        <f>SUM(D14:D17)</f>
        <v>62104</v>
      </c>
      <c r="E13" s="941"/>
      <c r="F13" s="941"/>
      <c r="G13" s="941"/>
      <c r="H13" s="941"/>
      <c r="I13" s="941"/>
      <c r="J13" s="941"/>
      <c r="K13" s="941"/>
      <c r="L13" s="941"/>
      <c r="M13" s="941"/>
    </row>
    <row r="14" spans="1:13" s="72" customFormat="1" ht="30">
      <c r="A14" s="1227" t="s">
        <v>716</v>
      </c>
      <c r="B14" s="1220">
        <v>18174</v>
      </c>
      <c r="C14" s="1221">
        <v>18174</v>
      </c>
      <c r="D14" s="1222">
        <v>18174</v>
      </c>
      <c r="E14" s="941"/>
      <c r="F14" s="941"/>
      <c r="G14" s="941"/>
      <c r="H14" s="941"/>
      <c r="I14" s="941"/>
      <c r="J14" s="941"/>
      <c r="K14" s="941"/>
      <c r="L14" s="941"/>
      <c r="M14" s="941"/>
    </row>
    <row r="15" spans="1:13" s="72" customFormat="1" ht="30">
      <c r="A15" s="1227" t="s">
        <v>718</v>
      </c>
      <c r="B15" s="1220">
        <v>14811</v>
      </c>
      <c r="C15" s="1221">
        <v>14811</v>
      </c>
      <c r="D15" s="1222">
        <v>14811</v>
      </c>
      <c r="E15" s="941"/>
      <c r="F15" s="941"/>
      <c r="G15" s="941"/>
      <c r="H15" s="941"/>
      <c r="I15" s="941"/>
      <c r="J15" s="941"/>
      <c r="K15" s="941"/>
      <c r="L15" s="941"/>
      <c r="M15" s="941"/>
    </row>
    <row r="16" spans="1:13" s="72" customFormat="1">
      <c r="A16" s="1227" t="s">
        <v>719</v>
      </c>
      <c r="B16" s="1220">
        <v>24589</v>
      </c>
      <c r="C16" s="1221">
        <v>24589</v>
      </c>
      <c r="D16" s="1222">
        <v>24589</v>
      </c>
      <c r="E16" s="941"/>
      <c r="F16" s="941"/>
      <c r="G16" s="941"/>
      <c r="H16" s="941"/>
      <c r="I16" s="941"/>
      <c r="J16" s="941"/>
      <c r="K16" s="941"/>
      <c r="L16" s="941"/>
      <c r="M16" s="941"/>
    </row>
    <row r="17" spans="1:13" s="72" customFormat="1">
      <c r="A17" s="1616" t="s">
        <v>722</v>
      </c>
      <c r="B17" s="1220">
        <v>4530</v>
      </c>
      <c r="C17" s="1221">
        <v>4530</v>
      </c>
      <c r="D17" s="1222">
        <v>4530</v>
      </c>
      <c r="E17" s="941"/>
      <c r="F17" s="941"/>
      <c r="G17" s="941"/>
      <c r="H17" s="941"/>
      <c r="I17" s="941"/>
      <c r="J17" s="941"/>
      <c r="K17" s="941"/>
      <c r="L17" s="941"/>
      <c r="M17" s="941"/>
    </row>
    <row r="18" spans="1:13" s="72" customFormat="1">
      <c r="A18" s="1616"/>
      <c r="B18" s="1220"/>
      <c r="C18" s="1221"/>
      <c r="D18" s="1222"/>
      <c r="E18" s="941"/>
      <c r="F18" s="941"/>
      <c r="G18" s="941"/>
      <c r="H18" s="941"/>
      <c r="I18" s="941"/>
      <c r="J18" s="941"/>
      <c r="K18" s="941"/>
      <c r="L18" s="941"/>
      <c r="M18" s="941"/>
    </row>
    <row r="19" spans="1:13" s="72" customFormat="1" ht="14.25">
      <c r="A19" s="1612" t="s">
        <v>277</v>
      </c>
      <c r="B19" s="1613">
        <f>B20</f>
        <v>0</v>
      </c>
      <c r="C19" s="1614">
        <f>C20</f>
        <v>0</v>
      </c>
      <c r="D19" s="1615">
        <f>D20</f>
        <v>0</v>
      </c>
      <c r="E19" s="941"/>
      <c r="F19" s="941"/>
      <c r="G19" s="941"/>
      <c r="H19" s="941"/>
      <c r="I19" s="941"/>
      <c r="J19" s="941"/>
      <c r="K19" s="941"/>
      <c r="L19" s="941"/>
      <c r="M19" s="941"/>
    </row>
    <row r="20" spans="1:13" s="72" customFormat="1">
      <c r="A20" s="1617"/>
      <c r="B20" s="1618"/>
      <c r="C20" s="1619"/>
      <c r="D20" s="1620"/>
      <c r="E20" s="941"/>
      <c r="F20" s="941"/>
      <c r="G20" s="941"/>
      <c r="H20" s="941"/>
      <c r="I20" s="941"/>
      <c r="J20" s="941"/>
      <c r="K20" s="941"/>
      <c r="L20" s="941"/>
      <c r="M20" s="941"/>
    </row>
    <row r="21" spans="1:13">
      <c r="A21" s="1616"/>
      <c r="B21" s="1220"/>
      <c r="C21" s="1221"/>
      <c r="D21" s="1222"/>
    </row>
    <row r="22" spans="1:13">
      <c r="A22" s="1612" t="s">
        <v>278</v>
      </c>
      <c r="B22" s="1613">
        <f>B32+B24</f>
        <v>10000</v>
      </c>
      <c r="C22" s="1614">
        <f>C32+C24</f>
        <v>10000</v>
      </c>
      <c r="D22" s="1615">
        <f>D32+D24</f>
        <v>96246</v>
      </c>
    </row>
    <row r="23" spans="1:13">
      <c r="A23" s="1612"/>
      <c r="B23" s="1613"/>
      <c r="C23" s="1614"/>
      <c r="D23" s="1615"/>
    </row>
    <row r="24" spans="1:13">
      <c r="A24" s="1612" t="s">
        <v>279</v>
      </c>
      <c r="B24" s="1613">
        <f>B25</f>
        <v>10000</v>
      </c>
      <c r="C24" s="1614">
        <f>C25</f>
        <v>10000</v>
      </c>
      <c r="D24" s="1615">
        <f>SUM(D25:D26)</f>
        <v>68246</v>
      </c>
    </row>
    <row r="25" spans="1:13">
      <c r="A25" s="1229" t="s">
        <v>279</v>
      </c>
      <c r="B25" s="1230">
        <v>10000</v>
      </c>
      <c r="C25" s="1231">
        <v>10000</v>
      </c>
      <c r="D25" s="1232">
        <v>10000</v>
      </c>
    </row>
    <row r="26" spans="1:13">
      <c r="A26" s="1229" t="s">
        <v>1004</v>
      </c>
      <c r="B26" s="1230"/>
      <c r="C26" s="1231"/>
      <c r="D26" s="1232">
        <f>SUM(D27:D29)</f>
        <v>58246</v>
      </c>
    </row>
    <row r="27" spans="1:13" ht="30">
      <c r="A27" s="1621" t="s">
        <v>1006</v>
      </c>
      <c r="B27" s="1220"/>
      <c r="C27" s="1221"/>
      <c r="D27" s="1222">
        <v>37139</v>
      </c>
    </row>
    <row r="28" spans="1:13" ht="30">
      <c r="A28" s="1228" t="s">
        <v>1007</v>
      </c>
      <c r="B28" s="1220"/>
      <c r="C28" s="1221"/>
      <c r="D28" s="1222">
        <v>12107</v>
      </c>
    </row>
    <row r="29" spans="1:13" ht="30">
      <c r="A29" s="1228" t="s">
        <v>1008</v>
      </c>
      <c r="B29" s="1220"/>
      <c r="C29" s="1221"/>
      <c r="D29" s="1222">
        <v>9000</v>
      </c>
    </row>
    <row r="30" spans="1:13">
      <c r="A30" s="1227"/>
      <c r="B30" s="1220"/>
      <c r="C30" s="1221"/>
      <c r="D30" s="1222"/>
    </row>
    <row r="31" spans="1:13">
      <c r="A31" s="1616"/>
      <c r="B31" s="1220"/>
      <c r="C31" s="1221"/>
      <c r="D31" s="1222"/>
    </row>
    <row r="32" spans="1:13">
      <c r="A32" s="1612" t="s">
        <v>505</v>
      </c>
      <c r="B32" s="1613">
        <f>B34</f>
        <v>0</v>
      </c>
      <c r="C32" s="1614">
        <f>C34</f>
        <v>0</v>
      </c>
      <c r="D32" s="1615">
        <f>D33</f>
        <v>28000</v>
      </c>
    </row>
    <row r="33" spans="1:13">
      <c r="A33" s="1225" t="s">
        <v>1005</v>
      </c>
      <c r="B33" s="1223"/>
      <c r="C33" s="1224"/>
      <c r="D33" s="1226">
        <v>28000</v>
      </c>
    </row>
    <row r="34" spans="1:13" ht="15.75" thickBot="1">
      <c r="A34" s="1617"/>
      <c r="B34" s="1622"/>
      <c r="C34" s="1623"/>
      <c r="D34" s="1624"/>
    </row>
    <row r="35" spans="1:13" ht="15.75" thickBot="1">
      <c r="A35" s="228" t="s">
        <v>280</v>
      </c>
      <c r="B35" s="230">
        <f>B5+B22</f>
        <v>113644</v>
      </c>
      <c r="C35" s="500">
        <f>C5+C22</f>
        <v>133308</v>
      </c>
      <c r="D35" s="498">
        <f>D5+D22</f>
        <v>209109</v>
      </c>
    </row>
    <row r="36" spans="1:13" s="72" customFormat="1" ht="14.25">
      <c r="A36" s="170"/>
      <c r="B36" s="109"/>
      <c r="C36" s="109"/>
      <c r="D36" s="109"/>
      <c r="E36" s="941"/>
      <c r="F36" s="941"/>
      <c r="G36" s="941"/>
      <c r="H36" s="941"/>
      <c r="I36" s="941"/>
      <c r="J36" s="941"/>
      <c r="K36" s="941"/>
      <c r="L36" s="941"/>
      <c r="M36" s="941"/>
    </row>
    <row r="38" spans="1:13">
      <c r="A38" s="119"/>
    </row>
    <row r="39" spans="1:13">
      <c r="A39" s="119"/>
    </row>
  </sheetData>
  <mergeCells count="1">
    <mergeCell ref="A2:C2"/>
  </mergeCells>
  <printOptions horizontalCentered="1"/>
  <pageMargins left="0.70866141732283472" right="0.58458333333333334" top="0.74803149606299213" bottom="0.74803149606299213" header="0.31496062992125984" footer="0.31496062992125984"/>
  <pageSetup paperSize="9" scale="92" orientation="portrait" r:id="rId1"/>
  <headerFooter>
    <oddHeader>&amp;L&amp;"Times New Roman,Normál"&amp;8 16.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36"/>
  <sheetViews>
    <sheetView tabSelected="1" view="pageLayout" zoomScale="66" zoomScaleNormal="78" zoomScaleSheetLayoutView="78" zoomScalePageLayoutView="66" workbookViewId="0">
      <selection activeCell="A3" sqref="A3:A4"/>
    </sheetView>
  </sheetViews>
  <sheetFormatPr defaultRowHeight="15"/>
  <cols>
    <col min="1" max="1" width="58.42578125" style="171" customWidth="1"/>
    <col min="2" max="2" width="30.140625" style="1212" customWidth="1"/>
    <col min="3" max="3" width="12" style="41" bestFit="1" customWidth="1"/>
    <col min="4" max="4" width="11.28515625" style="41" bestFit="1" customWidth="1"/>
    <col min="5" max="5" width="10.140625" style="41" bestFit="1" customWidth="1"/>
    <col min="6" max="6" width="8.42578125" style="41" bestFit="1" customWidth="1"/>
    <col min="7" max="7" width="11.7109375" style="41" bestFit="1" customWidth="1"/>
    <col min="8" max="8" width="10.140625" style="41" bestFit="1" customWidth="1"/>
    <col min="9" max="9" width="9.85546875" style="41" customWidth="1"/>
    <col min="10" max="10" width="10.42578125" style="41" bestFit="1" customWidth="1"/>
    <col min="11" max="11" width="11.42578125" style="41" customWidth="1"/>
    <col min="12" max="12" width="10.85546875" style="41" customWidth="1"/>
    <col min="13" max="13" width="10.140625" style="41" customWidth="1"/>
    <col min="14" max="14" width="11" style="41" customWidth="1"/>
    <col min="15" max="17" width="9.140625" style="129"/>
    <col min="18" max="261" width="9.140625" style="41"/>
    <col min="262" max="262" width="78.7109375" style="41" customWidth="1"/>
    <col min="263" max="263" width="55.140625" style="41" customWidth="1"/>
    <col min="264" max="264" width="34" style="41" customWidth="1"/>
    <col min="265" max="265" width="31.42578125" style="41" customWidth="1"/>
    <col min="266" max="266" width="18.7109375" style="41" customWidth="1"/>
    <col min="267" max="267" width="13" style="41" customWidth="1"/>
    <col min="268" max="268" width="16.28515625" style="41" customWidth="1"/>
    <col min="269" max="269" width="21.5703125" style="41" bestFit="1" customWidth="1"/>
    <col min="270" max="517" width="9.140625" style="41"/>
    <col min="518" max="518" width="78.7109375" style="41" customWidth="1"/>
    <col min="519" max="519" width="55.140625" style="41" customWidth="1"/>
    <col min="520" max="520" width="34" style="41" customWidth="1"/>
    <col min="521" max="521" width="31.42578125" style="41" customWidth="1"/>
    <col min="522" max="522" width="18.7109375" style="41" customWidth="1"/>
    <col min="523" max="523" width="13" style="41" customWidth="1"/>
    <col min="524" max="524" width="16.28515625" style="41" customWidth="1"/>
    <col min="525" max="525" width="21.5703125" style="41" bestFit="1" customWidth="1"/>
    <col min="526" max="773" width="9.140625" style="41"/>
    <col min="774" max="774" width="78.7109375" style="41" customWidth="1"/>
    <col min="775" max="775" width="55.140625" style="41" customWidth="1"/>
    <col min="776" max="776" width="34" style="41" customWidth="1"/>
    <col min="777" max="777" width="31.42578125" style="41" customWidth="1"/>
    <col min="778" max="778" width="18.7109375" style="41" customWidth="1"/>
    <col min="779" max="779" width="13" style="41" customWidth="1"/>
    <col min="780" max="780" width="16.28515625" style="41" customWidth="1"/>
    <col min="781" max="781" width="21.5703125" style="41" bestFit="1" customWidth="1"/>
    <col min="782" max="1029" width="9.140625" style="41"/>
    <col min="1030" max="1030" width="78.7109375" style="41" customWidth="1"/>
    <col min="1031" max="1031" width="55.140625" style="41" customWidth="1"/>
    <col min="1032" max="1032" width="34" style="41" customWidth="1"/>
    <col min="1033" max="1033" width="31.42578125" style="41" customWidth="1"/>
    <col min="1034" max="1034" width="18.7109375" style="41" customWidth="1"/>
    <col min="1035" max="1035" width="13" style="41" customWidth="1"/>
    <col min="1036" max="1036" width="16.28515625" style="41" customWidth="1"/>
    <col min="1037" max="1037" width="21.5703125" style="41" bestFit="1" customWidth="1"/>
    <col min="1038" max="1285" width="9.140625" style="41"/>
    <col min="1286" max="1286" width="78.7109375" style="41" customWidth="1"/>
    <col min="1287" max="1287" width="55.140625" style="41" customWidth="1"/>
    <col min="1288" max="1288" width="34" style="41" customWidth="1"/>
    <col min="1289" max="1289" width="31.42578125" style="41" customWidth="1"/>
    <col min="1290" max="1290" width="18.7109375" style="41" customWidth="1"/>
    <col min="1291" max="1291" width="13" style="41" customWidth="1"/>
    <col min="1292" max="1292" width="16.28515625" style="41" customWidth="1"/>
    <col min="1293" max="1293" width="21.5703125" style="41" bestFit="1" customWidth="1"/>
    <col min="1294" max="1541" width="9.140625" style="41"/>
    <col min="1542" max="1542" width="78.7109375" style="41" customWidth="1"/>
    <col min="1543" max="1543" width="55.140625" style="41" customWidth="1"/>
    <col min="1544" max="1544" width="34" style="41" customWidth="1"/>
    <col min="1545" max="1545" width="31.42578125" style="41" customWidth="1"/>
    <col min="1546" max="1546" width="18.7109375" style="41" customWidth="1"/>
    <col min="1547" max="1547" width="13" style="41" customWidth="1"/>
    <col min="1548" max="1548" width="16.28515625" style="41" customWidth="1"/>
    <col min="1549" max="1549" width="21.5703125" style="41" bestFit="1" customWidth="1"/>
    <col min="1550" max="1797" width="9.140625" style="41"/>
    <col min="1798" max="1798" width="78.7109375" style="41" customWidth="1"/>
    <col min="1799" max="1799" width="55.140625" style="41" customWidth="1"/>
    <col min="1800" max="1800" width="34" style="41" customWidth="1"/>
    <col min="1801" max="1801" width="31.42578125" style="41" customWidth="1"/>
    <col min="1802" max="1802" width="18.7109375" style="41" customWidth="1"/>
    <col min="1803" max="1803" width="13" style="41" customWidth="1"/>
    <col min="1804" max="1804" width="16.28515625" style="41" customWidth="1"/>
    <col min="1805" max="1805" width="21.5703125" style="41" bestFit="1" customWidth="1"/>
    <col min="1806" max="2053" width="9.140625" style="41"/>
    <col min="2054" max="2054" width="78.7109375" style="41" customWidth="1"/>
    <col min="2055" max="2055" width="55.140625" style="41" customWidth="1"/>
    <col min="2056" max="2056" width="34" style="41" customWidth="1"/>
    <col min="2057" max="2057" width="31.42578125" style="41" customWidth="1"/>
    <col min="2058" max="2058" width="18.7109375" style="41" customWidth="1"/>
    <col min="2059" max="2059" width="13" style="41" customWidth="1"/>
    <col min="2060" max="2060" width="16.28515625" style="41" customWidth="1"/>
    <col min="2061" max="2061" width="21.5703125" style="41" bestFit="1" customWidth="1"/>
    <col min="2062" max="2309" width="9.140625" style="41"/>
    <col min="2310" max="2310" width="78.7109375" style="41" customWidth="1"/>
    <col min="2311" max="2311" width="55.140625" style="41" customWidth="1"/>
    <col min="2312" max="2312" width="34" style="41" customWidth="1"/>
    <col min="2313" max="2313" width="31.42578125" style="41" customWidth="1"/>
    <col min="2314" max="2314" width="18.7109375" style="41" customWidth="1"/>
    <col min="2315" max="2315" width="13" style="41" customWidth="1"/>
    <col min="2316" max="2316" width="16.28515625" style="41" customWidth="1"/>
    <col min="2317" max="2317" width="21.5703125" style="41" bestFit="1" customWidth="1"/>
    <col min="2318" max="2565" width="9.140625" style="41"/>
    <col min="2566" max="2566" width="78.7109375" style="41" customWidth="1"/>
    <col min="2567" max="2567" width="55.140625" style="41" customWidth="1"/>
    <col min="2568" max="2568" width="34" style="41" customWidth="1"/>
    <col min="2569" max="2569" width="31.42578125" style="41" customWidth="1"/>
    <col min="2570" max="2570" width="18.7109375" style="41" customWidth="1"/>
    <col min="2571" max="2571" width="13" style="41" customWidth="1"/>
    <col min="2572" max="2572" width="16.28515625" style="41" customWidth="1"/>
    <col min="2573" max="2573" width="21.5703125" style="41" bestFit="1" customWidth="1"/>
    <col min="2574" max="2821" width="9.140625" style="41"/>
    <col min="2822" max="2822" width="78.7109375" style="41" customWidth="1"/>
    <col min="2823" max="2823" width="55.140625" style="41" customWidth="1"/>
    <col min="2824" max="2824" width="34" style="41" customWidth="1"/>
    <col min="2825" max="2825" width="31.42578125" style="41" customWidth="1"/>
    <col min="2826" max="2826" width="18.7109375" style="41" customWidth="1"/>
    <col min="2827" max="2827" width="13" style="41" customWidth="1"/>
    <col min="2828" max="2828" width="16.28515625" style="41" customWidth="1"/>
    <col min="2829" max="2829" width="21.5703125" style="41" bestFit="1" customWidth="1"/>
    <col min="2830" max="3077" width="9.140625" style="41"/>
    <col min="3078" max="3078" width="78.7109375" style="41" customWidth="1"/>
    <col min="3079" max="3079" width="55.140625" style="41" customWidth="1"/>
    <col min="3080" max="3080" width="34" style="41" customWidth="1"/>
    <col min="3081" max="3081" width="31.42578125" style="41" customWidth="1"/>
    <col min="3082" max="3082" width="18.7109375" style="41" customWidth="1"/>
    <col min="3083" max="3083" width="13" style="41" customWidth="1"/>
    <col min="3084" max="3084" width="16.28515625" style="41" customWidth="1"/>
    <col min="3085" max="3085" width="21.5703125" style="41" bestFit="1" customWidth="1"/>
    <col min="3086" max="3333" width="9.140625" style="41"/>
    <col min="3334" max="3334" width="78.7109375" style="41" customWidth="1"/>
    <col min="3335" max="3335" width="55.140625" style="41" customWidth="1"/>
    <col min="3336" max="3336" width="34" style="41" customWidth="1"/>
    <col min="3337" max="3337" width="31.42578125" style="41" customWidth="1"/>
    <col min="3338" max="3338" width="18.7109375" style="41" customWidth="1"/>
    <col min="3339" max="3339" width="13" style="41" customWidth="1"/>
    <col min="3340" max="3340" width="16.28515625" style="41" customWidth="1"/>
    <col min="3341" max="3341" width="21.5703125" style="41" bestFit="1" customWidth="1"/>
    <col min="3342" max="3589" width="9.140625" style="41"/>
    <col min="3590" max="3590" width="78.7109375" style="41" customWidth="1"/>
    <col min="3591" max="3591" width="55.140625" style="41" customWidth="1"/>
    <col min="3592" max="3592" width="34" style="41" customWidth="1"/>
    <col min="3593" max="3593" width="31.42578125" style="41" customWidth="1"/>
    <col min="3594" max="3594" width="18.7109375" style="41" customWidth="1"/>
    <col min="3595" max="3595" width="13" style="41" customWidth="1"/>
    <col min="3596" max="3596" width="16.28515625" style="41" customWidth="1"/>
    <col min="3597" max="3597" width="21.5703125" style="41" bestFit="1" customWidth="1"/>
    <col min="3598" max="3845" width="9.140625" style="41"/>
    <col min="3846" max="3846" width="78.7109375" style="41" customWidth="1"/>
    <col min="3847" max="3847" width="55.140625" style="41" customWidth="1"/>
    <col min="3848" max="3848" width="34" style="41" customWidth="1"/>
    <col min="3849" max="3849" width="31.42578125" style="41" customWidth="1"/>
    <col min="3850" max="3850" width="18.7109375" style="41" customWidth="1"/>
    <col min="3851" max="3851" width="13" style="41" customWidth="1"/>
    <col min="3852" max="3852" width="16.28515625" style="41" customWidth="1"/>
    <col min="3853" max="3853" width="21.5703125" style="41" bestFit="1" customWidth="1"/>
    <col min="3854" max="4101" width="9.140625" style="41"/>
    <col min="4102" max="4102" width="78.7109375" style="41" customWidth="1"/>
    <col min="4103" max="4103" width="55.140625" style="41" customWidth="1"/>
    <col min="4104" max="4104" width="34" style="41" customWidth="1"/>
    <col min="4105" max="4105" width="31.42578125" style="41" customWidth="1"/>
    <col min="4106" max="4106" width="18.7109375" style="41" customWidth="1"/>
    <col min="4107" max="4107" width="13" style="41" customWidth="1"/>
    <col min="4108" max="4108" width="16.28515625" style="41" customWidth="1"/>
    <col min="4109" max="4109" width="21.5703125" style="41" bestFit="1" customWidth="1"/>
    <col min="4110" max="4357" width="9.140625" style="41"/>
    <col min="4358" max="4358" width="78.7109375" style="41" customWidth="1"/>
    <col min="4359" max="4359" width="55.140625" style="41" customWidth="1"/>
    <col min="4360" max="4360" width="34" style="41" customWidth="1"/>
    <col min="4361" max="4361" width="31.42578125" style="41" customWidth="1"/>
    <col min="4362" max="4362" width="18.7109375" style="41" customWidth="1"/>
    <col min="4363" max="4363" width="13" style="41" customWidth="1"/>
    <col min="4364" max="4364" width="16.28515625" style="41" customWidth="1"/>
    <col min="4365" max="4365" width="21.5703125" style="41" bestFit="1" customWidth="1"/>
    <col min="4366" max="4613" width="9.140625" style="41"/>
    <col min="4614" max="4614" width="78.7109375" style="41" customWidth="1"/>
    <col min="4615" max="4615" width="55.140625" style="41" customWidth="1"/>
    <col min="4616" max="4616" width="34" style="41" customWidth="1"/>
    <col min="4617" max="4617" width="31.42578125" style="41" customWidth="1"/>
    <col min="4618" max="4618" width="18.7109375" style="41" customWidth="1"/>
    <col min="4619" max="4619" width="13" style="41" customWidth="1"/>
    <col min="4620" max="4620" width="16.28515625" style="41" customWidth="1"/>
    <col min="4621" max="4621" width="21.5703125" style="41" bestFit="1" customWidth="1"/>
    <col min="4622" max="4869" width="9.140625" style="41"/>
    <col min="4870" max="4870" width="78.7109375" style="41" customWidth="1"/>
    <col min="4871" max="4871" width="55.140625" style="41" customWidth="1"/>
    <col min="4872" max="4872" width="34" style="41" customWidth="1"/>
    <col min="4873" max="4873" width="31.42578125" style="41" customWidth="1"/>
    <col min="4874" max="4874" width="18.7109375" style="41" customWidth="1"/>
    <col min="4875" max="4875" width="13" style="41" customWidth="1"/>
    <col min="4876" max="4876" width="16.28515625" style="41" customWidth="1"/>
    <col min="4877" max="4877" width="21.5703125" style="41" bestFit="1" customWidth="1"/>
    <col min="4878" max="5125" width="9.140625" style="41"/>
    <col min="5126" max="5126" width="78.7109375" style="41" customWidth="1"/>
    <col min="5127" max="5127" width="55.140625" style="41" customWidth="1"/>
    <col min="5128" max="5128" width="34" style="41" customWidth="1"/>
    <col min="5129" max="5129" width="31.42578125" style="41" customWidth="1"/>
    <col min="5130" max="5130" width="18.7109375" style="41" customWidth="1"/>
    <col min="5131" max="5131" width="13" style="41" customWidth="1"/>
    <col min="5132" max="5132" width="16.28515625" style="41" customWidth="1"/>
    <col min="5133" max="5133" width="21.5703125" style="41" bestFit="1" customWidth="1"/>
    <col min="5134" max="5381" width="9.140625" style="41"/>
    <col min="5382" max="5382" width="78.7109375" style="41" customWidth="1"/>
    <col min="5383" max="5383" width="55.140625" style="41" customWidth="1"/>
    <col min="5384" max="5384" width="34" style="41" customWidth="1"/>
    <col min="5385" max="5385" width="31.42578125" style="41" customWidth="1"/>
    <col min="5386" max="5386" width="18.7109375" style="41" customWidth="1"/>
    <col min="5387" max="5387" width="13" style="41" customWidth="1"/>
    <col min="5388" max="5388" width="16.28515625" style="41" customWidth="1"/>
    <col min="5389" max="5389" width="21.5703125" style="41" bestFit="1" customWidth="1"/>
    <col min="5390" max="5637" width="9.140625" style="41"/>
    <col min="5638" max="5638" width="78.7109375" style="41" customWidth="1"/>
    <col min="5639" max="5639" width="55.140625" style="41" customWidth="1"/>
    <col min="5640" max="5640" width="34" style="41" customWidth="1"/>
    <col min="5641" max="5641" width="31.42578125" style="41" customWidth="1"/>
    <col min="5642" max="5642" width="18.7109375" style="41" customWidth="1"/>
    <col min="5643" max="5643" width="13" style="41" customWidth="1"/>
    <col min="5644" max="5644" width="16.28515625" style="41" customWidth="1"/>
    <col min="5645" max="5645" width="21.5703125" style="41" bestFit="1" customWidth="1"/>
    <col min="5646" max="5893" width="9.140625" style="41"/>
    <col min="5894" max="5894" width="78.7109375" style="41" customWidth="1"/>
    <col min="5895" max="5895" width="55.140625" style="41" customWidth="1"/>
    <col min="5896" max="5896" width="34" style="41" customWidth="1"/>
    <col min="5897" max="5897" width="31.42578125" style="41" customWidth="1"/>
    <col min="5898" max="5898" width="18.7109375" style="41" customWidth="1"/>
    <col min="5899" max="5899" width="13" style="41" customWidth="1"/>
    <col min="5900" max="5900" width="16.28515625" style="41" customWidth="1"/>
    <col min="5901" max="5901" width="21.5703125" style="41" bestFit="1" customWidth="1"/>
    <col min="5902" max="6149" width="9.140625" style="41"/>
    <col min="6150" max="6150" width="78.7109375" style="41" customWidth="1"/>
    <col min="6151" max="6151" width="55.140625" style="41" customWidth="1"/>
    <col min="6152" max="6152" width="34" style="41" customWidth="1"/>
    <col min="6153" max="6153" width="31.42578125" style="41" customWidth="1"/>
    <col min="6154" max="6154" width="18.7109375" style="41" customWidth="1"/>
    <col min="6155" max="6155" width="13" style="41" customWidth="1"/>
    <col min="6156" max="6156" width="16.28515625" style="41" customWidth="1"/>
    <col min="6157" max="6157" width="21.5703125" style="41" bestFit="1" customWidth="1"/>
    <col min="6158" max="6405" width="9.140625" style="41"/>
    <col min="6406" max="6406" width="78.7109375" style="41" customWidth="1"/>
    <col min="6407" max="6407" width="55.140625" style="41" customWidth="1"/>
    <col min="6408" max="6408" width="34" style="41" customWidth="1"/>
    <col min="6409" max="6409" width="31.42578125" style="41" customWidth="1"/>
    <col min="6410" max="6410" width="18.7109375" style="41" customWidth="1"/>
    <col min="6411" max="6411" width="13" style="41" customWidth="1"/>
    <col min="6412" max="6412" width="16.28515625" style="41" customWidth="1"/>
    <col min="6413" max="6413" width="21.5703125" style="41" bestFit="1" customWidth="1"/>
    <col min="6414" max="6661" width="9.140625" style="41"/>
    <col min="6662" max="6662" width="78.7109375" style="41" customWidth="1"/>
    <col min="6663" max="6663" width="55.140625" style="41" customWidth="1"/>
    <col min="6664" max="6664" width="34" style="41" customWidth="1"/>
    <col min="6665" max="6665" width="31.42578125" style="41" customWidth="1"/>
    <col min="6666" max="6666" width="18.7109375" style="41" customWidth="1"/>
    <col min="6667" max="6667" width="13" style="41" customWidth="1"/>
    <col min="6668" max="6668" width="16.28515625" style="41" customWidth="1"/>
    <col min="6669" max="6669" width="21.5703125" style="41" bestFit="1" customWidth="1"/>
    <col min="6670" max="6917" width="9.140625" style="41"/>
    <col min="6918" max="6918" width="78.7109375" style="41" customWidth="1"/>
    <col min="6919" max="6919" width="55.140625" style="41" customWidth="1"/>
    <col min="6920" max="6920" width="34" style="41" customWidth="1"/>
    <col min="6921" max="6921" width="31.42578125" style="41" customWidth="1"/>
    <col min="6922" max="6922" width="18.7109375" style="41" customWidth="1"/>
    <col min="6923" max="6923" width="13" style="41" customWidth="1"/>
    <col min="6924" max="6924" width="16.28515625" style="41" customWidth="1"/>
    <col min="6925" max="6925" width="21.5703125" style="41" bestFit="1" customWidth="1"/>
    <col min="6926" max="7173" width="9.140625" style="41"/>
    <col min="7174" max="7174" width="78.7109375" style="41" customWidth="1"/>
    <col min="7175" max="7175" width="55.140625" style="41" customWidth="1"/>
    <col min="7176" max="7176" width="34" style="41" customWidth="1"/>
    <col min="7177" max="7177" width="31.42578125" style="41" customWidth="1"/>
    <col min="7178" max="7178" width="18.7109375" style="41" customWidth="1"/>
    <col min="7179" max="7179" width="13" style="41" customWidth="1"/>
    <col min="7180" max="7180" width="16.28515625" style="41" customWidth="1"/>
    <col min="7181" max="7181" width="21.5703125" style="41" bestFit="1" customWidth="1"/>
    <col min="7182" max="7429" width="9.140625" style="41"/>
    <col min="7430" max="7430" width="78.7109375" style="41" customWidth="1"/>
    <col min="7431" max="7431" width="55.140625" style="41" customWidth="1"/>
    <col min="7432" max="7432" width="34" style="41" customWidth="1"/>
    <col min="7433" max="7433" width="31.42578125" style="41" customWidth="1"/>
    <col min="7434" max="7434" width="18.7109375" style="41" customWidth="1"/>
    <col min="7435" max="7435" width="13" style="41" customWidth="1"/>
    <col min="7436" max="7436" width="16.28515625" style="41" customWidth="1"/>
    <col min="7437" max="7437" width="21.5703125" style="41" bestFit="1" customWidth="1"/>
    <col min="7438" max="7685" width="9.140625" style="41"/>
    <col min="7686" max="7686" width="78.7109375" style="41" customWidth="1"/>
    <col min="7687" max="7687" width="55.140625" style="41" customWidth="1"/>
    <col min="7688" max="7688" width="34" style="41" customWidth="1"/>
    <col min="7689" max="7689" width="31.42578125" style="41" customWidth="1"/>
    <col min="7690" max="7690" width="18.7109375" style="41" customWidth="1"/>
    <col min="7691" max="7691" width="13" style="41" customWidth="1"/>
    <col min="7692" max="7692" width="16.28515625" style="41" customWidth="1"/>
    <col min="7693" max="7693" width="21.5703125" style="41" bestFit="1" customWidth="1"/>
    <col min="7694" max="7941" width="9.140625" style="41"/>
    <col min="7942" max="7942" width="78.7109375" style="41" customWidth="1"/>
    <col min="7943" max="7943" width="55.140625" style="41" customWidth="1"/>
    <col min="7944" max="7944" width="34" style="41" customWidth="1"/>
    <col min="7945" max="7945" width="31.42578125" style="41" customWidth="1"/>
    <col min="7946" max="7946" width="18.7109375" style="41" customWidth="1"/>
    <col min="7947" max="7947" width="13" style="41" customWidth="1"/>
    <col min="7948" max="7948" width="16.28515625" style="41" customWidth="1"/>
    <col min="7949" max="7949" width="21.5703125" style="41" bestFit="1" customWidth="1"/>
    <col min="7950" max="8197" width="9.140625" style="41"/>
    <col min="8198" max="8198" width="78.7109375" style="41" customWidth="1"/>
    <col min="8199" max="8199" width="55.140625" style="41" customWidth="1"/>
    <col min="8200" max="8200" width="34" style="41" customWidth="1"/>
    <col min="8201" max="8201" width="31.42578125" style="41" customWidth="1"/>
    <col min="8202" max="8202" width="18.7109375" style="41" customWidth="1"/>
    <col min="8203" max="8203" width="13" style="41" customWidth="1"/>
    <col min="8204" max="8204" width="16.28515625" style="41" customWidth="1"/>
    <col min="8205" max="8205" width="21.5703125" style="41" bestFit="1" customWidth="1"/>
    <col min="8206" max="8453" width="9.140625" style="41"/>
    <col min="8454" max="8454" width="78.7109375" style="41" customWidth="1"/>
    <col min="8455" max="8455" width="55.140625" style="41" customWidth="1"/>
    <col min="8456" max="8456" width="34" style="41" customWidth="1"/>
    <col min="8457" max="8457" width="31.42578125" style="41" customWidth="1"/>
    <col min="8458" max="8458" width="18.7109375" style="41" customWidth="1"/>
    <col min="8459" max="8459" width="13" style="41" customWidth="1"/>
    <col min="8460" max="8460" width="16.28515625" style="41" customWidth="1"/>
    <col min="8461" max="8461" width="21.5703125" style="41" bestFit="1" customWidth="1"/>
    <col min="8462" max="8709" width="9.140625" style="41"/>
    <col min="8710" max="8710" width="78.7109375" style="41" customWidth="1"/>
    <col min="8711" max="8711" width="55.140625" style="41" customWidth="1"/>
    <col min="8712" max="8712" width="34" style="41" customWidth="1"/>
    <col min="8713" max="8713" width="31.42578125" style="41" customWidth="1"/>
    <col min="8714" max="8714" width="18.7109375" style="41" customWidth="1"/>
    <col min="8715" max="8715" width="13" style="41" customWidth="1"/>
    <col min="8716" max="8716" width="16.28515625" style="41" customWidth="1"/>
    <col min="8717" max="8717" width="21.5703125" style="41" bestFit="1" customWidth="1"/>
    <col min="8718" max="8965" width="9.140625" style="41"/>
    <col min="8966" max="8966" width="78.7109375" style="41" customWidth="1"/>
    <col min="8967" max="8967" width="55.140625" style="41" customWidth="1"/>
    <col min="8968" max="8968" width="34" style="41" customWidth="1"/>
    <col min="8969" max="8969" width="31.42578125" style="41" customWidth="1"/>
    <col min="8970" max="8970" width="18.7109375" style="41" customWidth="1"/>
    <col min="8971" max="8971" width="13" style="41" customWidth="1"/>
    <col min="8972" max="8972" width="16.28515625" style="41" customWidth="1"/>
    <col min="8973" max="8973" width="21.5703125" style="41" bestFit="1" customWidth="1"/>
    <col min="8974" max="9221" width="9.140625" style="41"/>
    <col min="9222" max="9222" width="78.7109375" style="41" customWidth="1"/>
    <col min="9223" max="9223" width="55.140625" style="41" customWidth="1"/>
    <col min="9224" max="9224" width="34" style="41" customWidth="1"/>
    <col min="9225" max="9225" width="31.42578125" style="41" customWidth="1"/>
    <col min="9226" max="9226" width="18.7109375" style="41" customWidth="1"/>
    <col min="9227" max="9227" width="13" style="41" customWidth="1"/>
    <col min="9228" max="9228" width="16.28515625" style="41" customWidth="1"/>
    <col min="9229" max="9229" width="21.5703125" style="41" bestFit="1" customWidth="1"/>
    <col min="9230" max="9477" width="9.140625" style="41"/>
    <col min="9478" max="9478" width="78.7109375" style="41" customWidth="1"/>
    <col min="9479" max="9479" width="55.140625" style="41" customWidth="1"/>
    <col min="9480" max="9480" width="34" style="41" customWidth="1"/>
    <col min="9481" max="9481" width="31.42578125" style="41" customWidth="1"/>
    <col min="9482" max="9482" width="18.7109375" style="41" customWidth="1"/>
    <col min="9483" max="9483" width="13" style="41" customWidth="1"/>
    <col min="9484" max="9484" width="16.28515625" style="41" customWidth="1"/>
    <col min="9485" max="9485" width="21.5703125" style="41" bestFit="1" customWidth="1"/>
    <col min="9486" max="9733" width="9.140625" style="41"/>
    <col min="9734" max="9734" width="78.7109375" style="41" customWidth="1"/>
    <col min="9735" max="9735" width="55.140625" style="41" customWidth="1"/>
    <col min="9736" max="9736" width="34" style="41" customWidth="1"/>
    <col min="9737" max="9737" width="31.42578125" style="41" customWidth="1"/>
    <col min="9738" max="9738" width="18.7109375" style="41" customWidth="1"/>
    <col min="9739" max="9739" width="13" style="41" customWidth="1"/>
    <col min="9740" max="9740" width="16.28515625" style="41" customWidth="1"/>
    <col min="9741" max="9741" width="21.5703125" style="41" bestFit="1" customWidth="1"/>
    <col min="9742" max="9989" width="9.140625" style="41"/>
    <col min="9990" max="9990" width="78.7109375" style="41" customWidth="1"/>
    <col min="9991" max="9991" width="55.140625" style="41" customWidth="1"/>
    <col min="9992" max="9992" width="34" style="41" customWidth="1"/>
    <col min="9993" max="9993" width="31.42578125" style="41" customWidth="1"/>
    <col min="9994" max="9994" width="18.7109375" style="41" customWidth="1"/>
    <col min="9995" max="9995" width="13" style="41" customWidth="1"/>
    <col min="9996" max="9996" width="16.28515625" style="41" customWidth="1"/>
    <col min="9997" max="9997" width="21.5703125" style="41" bestFit="1" customWidth="1"/>
    <col min="9998" max="10245" width="9.140625" style="41"/>
    <col min="10246" max="10246" width="78.7109375" style="41" customWidth="1"/>
    <col min="10247" max="10247" width="55.140625" style="41" customWidth="1"/>
    <col min="10248" max="10248" width="34" style="41" customWidth="1"/>
    <col min="10249" max="10249" width="31.42578125" style="41" customWidth="1"/>
    <col min="10250" max="10250" width="18.7109375" style="41" customWidth="1"/>
    <col min="10251" max="10251" width="13" style="41" customWidth="1"/>
    <col min="10252" max="10252" width="16.28515625" style="41" customWidth="1"/>
    <col min="10253" max="10253" width="21.5703125" style="41" bestFit="1" customWidth="1"/>
    <col min="10254" max="10501" width="9.140625" style="41"/>
    <col min="10502" max="10502" width="78.7109375" style="41" customWidth="1"/>
    <col min="10503" max="10503" width="55.140625" style="41" customWidth="1"/>
    <col min="10504" max="10504" width="34" style="41" customWidth="1"/>
    <col min="10505" max="10505" width="31.42578125" style="41" customWidth="1"/>
    <col min="10506" max="10506" width="18.7109375" style="41" customWidth="1"/>
    <col min="10507" max="10507" width="13" style="41" customWidth="1"/>
    <col min="10508" max="10508" width="16.28515625" style="41" customWidth="1"/>
    <col min="10509" max="10509" width="21.5703125" style="41" bestFit="1" customWidth="1"/>
    <col min="10510" max="10757" width="9.140625" style="41"/>
    <col min="10758" max="10758" width="78.7109375" style="41" customWidth="1"/>
    <col min="10759" max="10759" width="55.140625" style="41" customWidth="1"/>
    <col min="10760" max="10760" width="34" style="41" customWidth="1"/>
    <col min="10761" max="10761" width="31.42578125" style="41" customWidth="1"/>
    <col min="10762" max="10762" width="18.7109375" style="41" customWidth="1"/>
    <col min="10763" max="10763" width="13" style="41" customWidth="1"/>
    <col min="10764" max="10764" width="16.28515625" style="41" customWidth="1"/>
    <col min="10765" max="10765" width="21.5703125" style="41" bestFit="1" customWidth="1"/>
    <col min="10766" max="11013" width="9.140625" style="41"/>
    <col min="11014" max="11014" width="78.7109375" style="41" customWidth="1"/>
    <col min="11015" max="11015" width="55.140625" style="41" customWidth="1"/>
    <col min="11016" max="11016" width="34" style="41" customWidth="1"/>
    <col min="11017" max="11017" width="31.42578125" style="41" customWidth="1"/>
    <col min="11018" max="11018" width="18.7109375" style="41" customWidth="1"/>
    <col min="11019" max="11019" width="13" style="41" customWidth="1"/>
    <col min="11020" max="11020" width="16.28515625" style="41" customWidth="1"/>
    <col min="11021" max="11021" width="21.5703125" style="41" bestFit="1" customWidth="1"/>
    <col min="11022" max="11269" width="9.140625" style="41"/>
    <col min="11270" max="11270" width="78.7109375" style="41" customWidth="1"/>
    <col min="11271" max="11271" width="55.140625" style="41" customWidth="1"/>
    <col min="11272" max="11272" width="34" style="41" customWidth="1"/>
    <col min="11273" max="11273" width="31.42578125" style="41" customWidth="1"/>
    <col min="11274" max="11274" width="18.7109375" style="41" customWidth="1"/>
    <col min="11275" max="11275" width="13" style="41" customWidth="1"/>
    <col min="11276" max="11276" width="16.28515625" style="41" customWidth="1"/>
    <col min="11277" max="11277" width="21.5703125" style="41" bestFit="1" customWidth="1"/>
    <col min="11278" max="11525" width="9.140625" style="41"/>
    <col min="11526" max="11526" width="78.7109375" style="41" customWidth="1"/>
    <col min="11527" max="11527" width="55.140625" style="41" customWidth="1"/>
    <col min="11528" max="11528" width="34" style="41" customWidth="1"/>
    <col min="11529" max="11529" width="31.42578125" style="41" customWidth="1"/>
    <col min="11530" max="11530" width="18.7109375" style="41" customWidth="1"/>
    <col min="11531" max="11531" width="13" style="41" customWidth="1"/>
    <col min="11532" max="11532" width="16.28515625" style="41" customWidth="1"/>
    <col min="11533" max="11533" width="21.5703125" style="41" bestFit="1" customWidth="1"/>
    <col min="11534" max="11781" width="9.140625" style="41"/>
    <col min="11782" max="11782" width="78.7109375" style="41" customWidth="1"/>
    <col min="11783" max="11783" width="55.140625" style="41" customWidth="1"/>
    <col min="11784" max="11784" width="34" style="41" customWidth="1"/>
    <col min="11785" max="11785" width="31.42578125" style="41" customWidth="1"/>
    <col min="11786" max="11786" width="18.7109375" style="41" customWidth="1"/>
    <col min="11787" max="11787" width="13" style="41" customWidth="1"/>
    <col min="11788" max="11788" width="16.28515625" style="41" customWidth="1"/>
    <col min="11789" max="11789" width="21.5703125" style="41" bestFit="1" customWidth="1"/>
    <col min="11790" max="12037" width="9.140625" style="41"/>
    <col min="12038" max="12038" width="78.7109375" style="41" customWidth="1"/>
    <col min="12039" max="12039" width="55.140625" style="41" customWidth="1"/>
    <col min="12040" max="12040" width="34" style="41" customWidth="1"/>
    <col min="12041" max="12041" width="31.42578125" style="41" customWidth="1"/>
    <col min="12042" max="12042" width="18.7109375" style="41" customWidth="1"/>
    <col min="12043" max="12043" width="13" style="41" customWidth="1"/>
    <col min="12044" max="12044" width="16.28515625" style="41" customWidth="1"/>
    <col min="12045" max="12045" width="21.5703125" style="41" bestFit="1" customWidth="1"/>
    <col min="12046" max="12293" width="9.140625" style="41"/>
    <col min="12294" max="12294" width="78.7109375" style="41" customWidth="1"/>
    <col min="12295" max="12295" width="55.140625" style="41" customWidth="1"/>
    <col min="12296" max="12296" width="34" style="41" customWidth="1"/>
    <col min="12297" max="12297" width="31.42578125" style="41" customWidth="1"/>
    <col min="12298" max="12298" width="18.7109375" style="41" customWidth="1"/>
    <col min="12299" max="12299" width="13" style="41" customWidth="1"/>
    <col min="12300" max="12300" width="16.28515625" style="41" customWidth="1"/>
    <col min="12301" max="12301" width="21.5703125" style="41" bestFit="1" customWidth="1"/>
    <col min="12302" max="12549" width="9.140625" style="41"/>
    <col min="12550" max="12550" width="78.7109375" style="41" customWidth="1"/>
    <col min="12551" max="12551" width="55.140625" style="41" customWidth="1"/>
    <col min="12552" max="12552" width="34" style="41" customWidth="1"/>
    <col min="12553" max="12553" width="31.42578125" style="41" customWidth="1"/>
    <col min="12554" max="12554" width="18.7109375" style="41" customWidth="1"/>
    <col min="12555" max="12555" width="13" style="41" customWidth="1"/>
    <col min="12556" max="12556" width="16.28515625" style="41" customWidth="1"/>
    <col min="12557" max="12557" width="21.5703125" style="41" bestFit="1" customWidth="1"/>
    <col min="12558" max="12805" width="9.140625" style="41"/>
    <col min="12806" max="12806" width="78.7109375" style="41" customWidth="1"/>
    <col min="12807" max="12807" width="55.140625" style="41" customWidth="1"/>
    <col min="12808" max="12808" width="34" style="41" customWidth="1"/>
    <col min="12809" max="12809" width="31.42578125" style="41" customWidth="1"/>
    <col min="12810" max="12810" width="18.7109375" style="41" customWidth="1"/>
    <col min="12811" max="12811" width="13" style="41" customWidth="1"/>
    <col min="12812" max="12812" width="16.28515625" style="41" customWidth="1"/>
    <col min="12813" max="12813" width="21.5703125" style="41" bestFit="1" customWidth="1"/>
    <col min="12814" max="13061" width="9.140625" style="41"/>
    <col min="13062" max="13062" width="78.7109375" style="41" customWidth="1"/>
    <col min="13063" max="13063" width="55.140625" style="41" customWidth="1"/>
    <col min="13064" max="13064" width="34" style="41" customWidth="1"/>
    <col min="13065" max="13065" width="31.42578125" style="41" customWidth="1"/>
    <col min="13066" max="13066" width="18.7109375" style="41" customWidth="1"/>
    <col min="13067" max="13067" width="13" style="41" customWidth="1"/>
    <col min="13068" max="13068" width="16.28515625" style="41" customWidth="1"/>
    <col min="13069" max="13069" width="21.5703125" style="41" bestFit="1" customWidth="1"/>
    <col min="13070" max="13317" width="9.140625" style="41"/>
    <col min="13318" max="13318" width="78.7109375" style="41" customWidth="1"/>
    <col min="13319" max="13319" width="55.140625" style="41" customWidth="1"/>
    <col min="13320" max="13320" width="34" style="41" customWidth="1"/>
    <col min="13321" max="13321" width="31.42578125" style="41" customWidth="1"/>
    <col min="13322" max="13322" width="18.7109375" style="41" customWidth="1"/>
    <col min="13323" max="13323" width="13" style="41" customWidth="1"/>
    <col min="13324" max="13324" width="16.28515625" style="41" customWidth="1"/>
    <col min="13325" max="13325" width="21.5703125" style="41" bestFit="1" customWidth="1"/>
    <col min="13326" max="13573" width="9.140625" style="41"/>
    <col min="13574" max="13574" width="78.7109375" style="41" customWidth="1"/>
    <col min="13575" max="13575" width="55.140625" style="41" customWidth="1"/>
    <col min="13576" max="13576" width="34" style="41" customWidth="1"/>
    <col min="13577" max="13577" width="31.42578125" style="41" customWidth="1"/>
    <col min="13578" max="13578" width="18.7109375" style="41" customWidth="1"/>
    <col min="13579" max="13579" width="13" style="41" customWidth="1"/>
    <col min="13580" max="13580" width="16.28515625" style="41" customWidth="1"/>
    <col min="13581" max="13581" width="21.5703125" style="41" bestFit="1" customWidth="1"/>
    <col min="13582" max="13829" width="9.140625" style="41"/>
    <col min="13830" max="13830" width="78.7109375" style="41" customWidth="1"/>
    <col min="13831" max="13831" width="55.140625" style="41" customWidth="1"/>
    <col min="13832" max="13832" width="34" style="41" customWidth="1"/>
    <col min="13833" max="13833" width="31.42578125" style="41" customWidth="1"/>
    <col min="13834" max="13834" width="18.7109375" style="41" customWidth="1"/>
    <col min="13835" max="13835" width="13" style="41" customWidth="1"/>
    <col min="13836" max="13836" width="16.28515625" style="41" customWidth="1"/>
    <col min="13837" max="13837" width="21.5703125" style="41" bestFit="1" customWidth="1"/>
    <col min="13838" max="14085" width="9.140625" style="41"/>
    <col min="14086" max="14086" width="78.7109375" style="41" customWidth="1"/>
    <col min="14087" max="14087" width="55.140625" style="41" customWidth="1"/>
    <col min="14088" max="14088" width="34" style="41" customWidth="1"/>
    <col min="14089" max="14089" width="31.42578125" style="41" customWidth="1"/>
    <col min="14090" max="14090" width="18.7109375" style="41" customWidth="1"/>
    <col min="14091" max="14091" width="13" style="41" customWidth="1"/>
    <col min="14092" max="14092" width="16.28515625" style="41" customWidth="1"/>
    <col min="14093" max="14093" width="21.5703125" style="41" bestFit="1" customWidth="1"/>
    <col min="14094" max="14341" width="9.140625" style="41"/>
    <col min="14342" max="14342" width="78.7109375" style="41" customWidth="1"/>
    <col min="14343" max="14343" width="55.140625" style="41" customWidth="1"/>
    <col min="14344" max="14344" width="34" style="41" customWidth="1"/>
    <col min="14345" max="14345" width="31.42578125" style="41" customWidth="1"/>
    <col min="14346" max="14346" width="18.7109375" style="41" customWidth="1"/>
    <col min="14347" max="14347" width="13" style="41" customWidth="1"/>
    <col min="14348" max="14348" width="16.28515625" style="41" customWidth="1"/>
    <col min="14349" max="14349" width="21.5703125" style="41" bestFit="1" customWidth="1"/>
    <col min="14350" max="14597" width="9.140625" style="41"/>
    <col min="14598" max="14598" width="78.7109375" style="41" customWidth="1"/>
    <col min="14599" max="14599" width="55.140625" style="41" customWidth="1"/>
    <col min="14600" max="14600" width="34" style="41" customWidth="1"/>
    <col min="14601" max="14601" width="31.42578125" style="41" customWidth="1"/>
    <col min="14602" max="14602" width="18.7109375" style="41" customWidth="1"/>
    <col min="14603" max="14603" width="13" style="41" customWidth="1"/>
    <col min="14604" max="14604" width="16.28515625" style="41" customWidth="1"/>
    <col min="14605" max="14605" width="21.5703125" style="41" bestFit="1" customWidth="1"/>
    <col min="14606" max="14853" width="9.140625" style="41"/>
    <col min="14854" max="14854" width="78.7109375" style="41" customWidth="1"/>
    <col min="14855" max="14855" width="55.140625" style="41" customWidth="1"/>
    <col min="14856" max="14856" width="34" style="41" customWidth="1"/>
    <col min="14857" max="14857" width="31.42578125" style="41" customWidth="1"/>
    <col min="14858" max="14858" width="18.7109375" style="41" customWidth="1"/>
    <col min="14859" max="14859" width="13" style="41" customWidth="1"/>
    <col min="14860" max="14860" width="16.28515625" style="41" customWidth="1"/>
    <col min="14861" max="14861" width="21.5703125" style="41" bestFit="1" customWidth="1"/>
    <col min="14862" max="15109" width="9.140625" style="41"/>
    <col min="15110" max="15110" width="78.7109375" style="41" customWidth="1"/>
    <col min="15111" max="15111" width="55.140625" style="41" customWidth="1"/>
    <col min="15112" max="15112" width="34" style="41" customWidth="1"/>
    <col min="15113" max="15113" width="31.42578125" style="41" customWidth="1"/>
    <col min="15114" max="15114" width="18.7109375" style="41" customWidth="1"/>
    <col min="15115" max="15115" width="13" style="41" customWidth="1"/>
    <col min="15116" max="15116" width="16.28515625" style="41" customWidth="1"/>
    <col min="15117" max="15117" width="21.5703125" style="41" bestFit="1" customWidth="1"/>
    <col min="15118" max="15365" width="9.140625" style="41"/>
    <col min="15366" max="15366" width="78.7109375" style="41" customWidth="1"/>
    <col min="15367" max="15367" width="55.140625" style="41" customWidth="1"/>
    <col min="15368" max="15368" width="34" style="41" customWidth="1"/>
    <col min="15369" max="15369" width="31.42578125" style="41" customWidth="1"/>
    <col min="15370" max="15370" width="18.7109375" style="41" customWidth="1"/>
    <col min="15371" max="15371" width="13" style="41" customWidth="1"/>
    <col min="15372" max="15372" width="16.28515625" style="41" customWidth="1"/>
    <col min="15373" max="15373" width="21.5703125" style="41" bestFit="1" customWidth="1"/>
    <col min="15374" max="15621" width="9.140625" style="41"/>
    <col min="15622" max="15622" width="78.7109375" style="41" customWidth="1"/>
    <col min="15623" max="15623" width="55.140625" style="41" customWidth="1"/>
    <col min="15624" max="15624" width="34" style="41" customWidth="1"/>
    <col min="15625" max="15625" width="31.42578125" style="41" customWidth="1"/>
    <col min="15626" max="15626" width="18.7109375" style="41" customWidth="1"/>
    <col min="15627" max="15627" width="13" style="41" customWidth="1"/>
    <col min="15628" max="15628" width="16.28515625" style="41" customWidth="1"/>
    <col min="15629" max="15629" width="21.5703125" style="41" bestFit="1" customWidth="1"/>
    <col min="15630" max="15877" width="9.140625" style="41"/>
    <col min="15878" max="15878" width="78.7109375" style="41" customWidth="1"/>
    <col min="15879" max="15879" width="55.140625" style="41" customWidth="1"/>
    <col min="15880" max="15880" width="34" style="41" customWidth="1"/>
    <col min="15881" max="15881" width="31.42578125" style="41" customWidth="1"/>
    <col min="15882" max="15882" width="18.7109375" style="41" customWidth="1"/>
    <col min="15883" max="15883" width="13" style="41" customWidth="1"/>
    <col min="15884" max="15884" width="16.28515625" style="41" customWidth="1"/>
    <col min="15885" max="15885" width="21.5703125" style="41" bestFit="1" customWidth="1"/>
    <col min="15886" max="16133" width="9.140625" style="41"/>
    <col min="16134" max="16134" width="78.7109375" style="41" customWidth="1"/>
    <col min="16135" max="16135" width="55.140625" style="41" customWidth="1"/>
    <col min="16136" max="16136" width="34" style="41" customWidth="1"/>
    <col min="16137" max="16137" width="31.42578125" style="41" customWidth="1"/>
    <col min="16138" max="16138" width="18.7109375" style="41" customWidth="1"/>
    <col min="16139" max="16139" width="13" style="41" customWidth="1"/>
    <col min="16140" max="16140" width="16.28515625" style="41" customWidth="1"/>
    <col min="16141" max="16141" width="21.5703125" style="41" bestFit="1" customWidth="1"/>
    <col min="16142" max="16384" width="9.140625" style="41"/>
  </cols>
  <sheetData>
    <row r="1" spans="1:16141">
      <c r="A1" s="2439" t="s">
        <v>945</v>
      </c>
      <c r="B1" s="2439"/>
      <c r="C1" s="2439"/>
      <c r="D1" s="2439"/>
      <c r="E1" s="2439"/>
      <c r="F1" s="2439"/>
      <c r="G1" s="2439"/>
      <c r="H1" s="2439"/>
      <c r="I1" s="2439"/>
      <c r="J1" s="2439"/>
      <c r="K1" s="2439"/>
      <c r="L1" s="2439"/>
      <c r="M1" s="2439"/>
      <c r="N1" s="129"/>
    </row>
    <row r="2" spans="1:16141" ht="15.75" thickBot="1">
      <c r="A2" s="74"/>
      <c r="B2" s="1210"/>
      <c r="C2" s="75"/>
      <c r="D2" s="75"/>
      <c r="E2" s="75"/>
      <c r="F2" s="76"/>
      <c r="G2" s="76"/>
      <c r="H2" s="76"/>
      <c r="I2" s="76"/>
      <c r="J2" s="76"/>
      <c r="K2" s="76"/>
      <c r="L2" s="76"/>
      <c r="M2" s="76"/>
      <c r="N2" s="76"/>
    </row>
    <row r="3" spans="1:16141" ht="47.25" customHeight="1">
      <c r="A3" s="2440" t="s">
        <v>281</v>
      </c>
      <c r="B3" s="2442" t="s">
        <v>282</v>
      </c>
      <c r="C3" s="2444" t="s">
        <v>510</v>
      </c>
      <c r="D3" s="2444" t="s">
        <v>551</v>
      </c>
      <c r="E3" s="2446" t="s">
        <v>328</v>
      </c>
      <c r="F3" s="2448" t="s">
        <v>329</v>
      </c>
      <c r="G3" s="2449"/>
      <c r="H3" s="2450" t="s">
        <v>330</v>
      </c>
      <c r="I3" s="2452" t="s">
        <v>1016</v>
      </c>
      <c r="J3" s="2453"/>
      <c r="K3" s="2454"/>
      <c r="L3" s="2452" t="s">
        <v>552</v>
      </c>
      <c r="M3" s="2453"/>
      <c r="N3" s="2455"/>
    </row>
    <row r="4" spans="1:16141" ht="81.75" customHeight="1" thickBot="1">
      <c r="A4" s="2441"/>
      <c r="B4" s="2443"/>
      <c r="C4" s="2445"/>
      <c r="D4" s="2445"/>
      <c r="E4" s="2447"/>
      <c r="F4" s="351" t="s">
        <v>331</v>
      </c>
      <c r="G4" s="352" t="s">
        <v>332</v>
      </c>
      <c r="H4" s="2451"/>
      <c r="I4" s="480" t="s">
        <v>3</v>
      </c>
      <c r="J4" s="483" t="s">
        <v>960</v>
      </c>
      <c r="K4" s="1244" t="s">
        <v>972</v>
      </c>
      <c r="L4" s="492" t="s">
        <v>3</v>
      </c>
      <c r="M4" s="482" t="s">
        <v>960</v>
      </c>
      <c r="N4" s="1245" t="s">
        <v>972</v>
      </c>
    </row>
    <row r="5" spans="1:16141" ht="30">
      <c r="A5" s="358" t="s">
        <v>293</v>
      </c>
      <c r="B5" s="1213" t="s">
        <v>294</v>
      </c>
      <c r="C5" s="217">
        <v>43077</v>
      </c>
      <c r="D5" s="218">
        <v>44165</v>
      </c>
      <c r="E5" s="219">
        <f t="shared" ref="E5" si="0">SUM(F5:G5)</f>
        <v>118233</v>
      </c>
      <c r="F5" s="216"/>
      <c r="G5" s="187">
        <v>118233</v>
      </c>
      <c r="H5" s="225">
        <f t="shared" ref="H5" si="1">E5</f>
        <v>118233</v>
      </c>
      <c r="I5" s="216">
        <v>33410</v>
      </c>
      <c r="J5" s="187">
        <v>35782</v>
      </c>
      <c r="K5" s="225">
        <v>36385</v>
      </c>
      <c r="L5" s="216">
        <v>54244</v>
      </c>
      <c r="M5" s="187">
        <v>77219</v>
      </c>
      <c r="N5" s="219">
        <v>57219</v>
      </c>
    </row>
    <row r="6" spans="1:16141">
      <c r="A6" s="327" t="s">
        <v>506</v>
      </c>
      <c r="B6" s="1214" t="s">
        <v>304</v>
      </c>
      <c r="C6" s="353">
        <v>43165</v>
      </c>
      <c r="D6" s="354">
        <v>44255</v>
      </c>
      <c r="E6" s="332">
        <f t="shared" ref="E6:E25" si="2">SUM(F6:G6)</f>
        <v>410821</v>
      </c>
      <c r="F6" s="262"/>
      <c r="G6" s="355">
        <v>410821</v>
      </c>
      <c r="H6" s="356">
        <f t="shared" ref="H6:H29" si="3">E6</f>
        <v>410821</v>
      </c>
      <c r="I6" s="439">
        <v>74274</v>
      </c>
      <c r="J6" s="461">
        <v>240088</v>
      </c>
      <c r="K6" s="373">
        <v>240088</v>
      </c>
      <c r="L6" s="439">
        <v>125751</v>
      </c>
      <c r="M6" s="461">
        <v>226498</v>
      </c>
      <c r="N6" s="366">
        <v>226498</v>
      </c>
    </row>
    <row r="7" spans="1:16141">
      <c r="A7" s="327" t="s">
        <v>309</v>
      </c>
      <c r="B7" s="1214" t="s">
        <v>310</v>
      </c>
      <c r="C7" s="353">
        <v>43138</v>
      </c>
      <c r="D7" s="354">
        <v>43921</v>
      </c>
      <c r="E7" s="332">
        <f t="shared" ref="E7:E9" si="4">SUM(F7:G7)</f>
        <v>14985</v>
      </c>
      <c r="F7" s="262"/>
      <c r="G7" s="355">
        <v>14985</v>
      </c>
      <c r="H7" s="356">
        <f t="shared" si="3"/>
        <v>14985</v>
      </c>
      <c r="I7" s="439">
        <v>984</v>
      </c>
      <c r="J7" s="461">
        <v>0</v>
      </c>
      <c r="K7" s="373">
        <v>0</v>
      </c>
      <c r="L7" s="439">
        <v>994</v>
      </c>
      <c r="M7" s="461">
        <v>3571</v>
      </c>
      <c r="N7" s="366">
        <v>3571</v>
      </c>
    </row>
    <row r="8" spans="1:16141">
      <c r="A8" s="327" t="s">
        <v>305</v>
      </c>
      <c r="B8" s="1214" t="s">
        <v>306</v>
      </c>
      <c r="C8" s="353">
        <v>43136</v>
      </c>
      <c r="D8" s="354">
        <v>44286</v>
      </c>
      <c r="E8" s="332">
        <f t="shared" si="4"/>
        <v>29807</v>
      </c>
      <c r="F8" s="262"/>
      <c r="G8" s="355">
        <v>29807</v>
      </c>
      <c r="H8" s="356">
        <f t="shared" si="3"/>
        <v>29807</v>
      </c>
      <c r="I8" s="439">
        <v>15838</v>
      </c>
      <c r="J8" s="461">
        <v>18922</v>
      </c>
      <c r="K8" s="373">
        <v>18922</v>
      </c>
      <c r="L8" s="439">
        <v>16338</v>
      </c>
      <c r="M8" s="461">
        <v>18160</v>
      </c>
      <c r="N8" s="366">
        <v>18160</v>
      </c>
    </row>
    <row r="9" spans="1:16141" s="129" customFormat="1">
      <c r="A9" s="327" t="s">
        <v>307</v>
      </c>
      <c r="B9" s="1214" t="s">
        <v>308</v>
      </c>
      <c r="C9" s="353">
        <v>43222</v>
      </c>
      <c r="D9" s="354">
        <v>44316</v>
      </c>
      <c r="E9" s="332">
        <f t="shared" si="4"/>
        <v>38428</v>
      </c>
      <c r="F9" s="262"/>
      <c r="G9" s="355">
        <v>38428</v>
      </c>
      <c r="H9" s="356">
        <f t="shared" si="3"/>
        <v>38428</v>
      </c>
      <c r="I9" s="439">
        <v>3601</v>
      </c>
      <c r="J9" s="461">
        <v>17476</v>
      </c>
      <c r="K9" s="373">
        <v>17476</v>
      </c>
      <c r="L9" s="439">
        <v>11601</v>
      </c>
      <c r="M9" s="461">
        <v>21888</v>
      </c>
      <c r="N9" s="366">
        <v>21888</v>
      </c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</row>
    <row r="10" spans="1:16141" s="129" customFormat="1">
      <c r="A10" s="1219" t="s">
        <v>837</v>
      </c>
      <c r="B10" s="1215" t="s">
        <v>838</v>
      </c>
      <c r="C10" s="353"/>
      <c r="D10" s="354"/>
      <c r="E10" s="332"/>
      <c r="F10" s="262"/>
      <c r="G10" s="355"/>
      <c r="H10" s="356"/>
      <c r="I10" s="439"/>
      <c r="J10" s="461">
        <v>1199</v>
      </c>
      <c r="K10" s="373">
        <v>1199</v>
      </c>
      <c r="L10" s="439"/>
      <c r="M10" s="461">
        <v>17</v>
      </c>
      <c r="N10" s="366">
        <v>17</v>
      </c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</row>
    <row r="11" spans="1:16141" s="129" customFormat="1">
      <c r="A11" s="1209" t="s">
        <v>839</v>
      </c>
      <c r="B11" s="1215" t="s">
        <v>840</v>
      </c>
      <c r="C11" s="353"/>
      <c r="D11" s="354"/>
      <c r="E11" s="332"/>
      <c r="F11" s="262"/>
      <c r="G11" s="355"/>
      <c r="H11" s="356"/>
      <c r="I11" s="439"/>
      <c r="J11" s="461"/>
      <c r="K11" s="373"/>
      <c r="L11" s="439"/>
      <c r="M11" s="461">
        <v>436</v>
      </c>
      <c r="N11" s="366">
        <v>436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</row>
    <row r="12" spans="1:16141" s="129" customFormat="1" ht="30">
      <c r="A12" s="341" t="s">
        <v>841</v>
      </c>
      <c r="B12" s="1216" t="s">
        <v>842</v>
      </c>
      <c r="C12" s="353"/>
      <c r="D12" s="354"/>
      <c r="E12" s="332"/>
      <c r="F12" s="262"/>
      <c r="G12" s="355"/>
      <c r="H12" s="356"/>
      <c r="I12" s="439"/>
      <c r="J12" s="461">
        <v>0</v>
      </c>
      <c r="K12" s="373">
        <v>0</v>
      </c>
      <c r="L12" s="439"/>
      <c r="M12" s="461">
        <v>506</v>
      </c>
      <c r="N12" s="366">
        <v>506</v>
      </c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</row>
    <row r="13" spans="1:16141" s="129" customFormat="1" ht="30">
      <c r="A13" s="327" t="s">
        <v>484</v>
      </c>
      <c r="B13" s="1214" t="s">
        <v>291</v>
      </c>
      <c r="C13" s="353">
        <v>43210</v>
      </c>
      <c r="D13" s="357">
        <v>44196</v>
      </c>
      <c r="E13" s="332">
        <f t="shared" si="2"/>
        <v>106593</v>
      </c>
      <c r="F13" s="262">
        <f>5330</f>
        <v>5330</v>
      </c>
      <c r="G13" s="355">
        <v>101263</v>
      </c>
      <c r="H13" s="356">
        <f t="shared" si="3"/>
        <v>106593</v>
      </c>
      <c r="I13" s="439">
        <v>14320</v>
      </c>
      <c r="J13" s="461">
        <v>96602</v>
      </c>
      <c r="K13" s="373">
        <v>96602</v>
      </c>
      <c r="L13" s="439">
        <v>104320</v>
      </c>
      <c r="M13" s="461">
        <v>109941</v>
      </c>
      <c r="N13" s="366">
        <v>109941</v>
      </c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</row>
    <row r="14" spans="1:16141" s="129" customFormat="1" ht="45">
      <c r="A14" s="327" t="s">
        <v>485</v>
      </c>
      <c r="B14" s="1214" t="s">
        <v>292</v>
      </c>
      <c r="C14" s="353">
        <v>43109</v>
      </c>
      <c r="D14" s="357">
        <v>44012</v>
      </c>
      <c r="E14" s="332">
        <f t="shared" si="2"/>
        <v>94097</v>
      </c>
      <c r="F14" s="262">
        <v>4481</v>
      </c>
      <c r="G14" s="355">
        <v>89616</v>
      </c>
      <c r="H14" s="356">
        <f t="shared" si="3"/>
        <v>94097</v>
      </c>
      <c r="I14" s="439">
        <v>0</v>
      </c>
      <c r="J14" s="461">
        <v>11342</v>
      </c>
      <c r="K14" s="373">
        <v>11342</v>
      </c>
      <c r="L14" s="439">
        <v>6469</v>
      </c>
      <c r="M14" s="461">
        <v>26003</v>
      </c>
      <c r="N14" s="366">
        <v>26003</v>
      </c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</row>
    <row r="15" spans="1:16141" s="129" customFormat="1">
      <c r="A15" s="327" t="s">
        <v>302</v>
      </c>
      <c r="B15" s="1214" t="s">
        <v>303</v>
      </c>
      <c r="C15" s="353">
        <v>43363</v>
      </c>
      <c r="D15" s="354">
        <v>44105</v>
      </c>
      <c r="E15" s="332">
        <f t="shared" si="2"/>
        <v>504640</v>
      </c>
      <c r="F15" s="262">
        <v>105181</v>
      </c>
      <c r="G15" s="355">
        <v>399459</v>
      </c>
      <c r="H15" s="356">
        <f t="shared" si="3"/>
        <v>504640</v>
      </c>
      <c r="I15" s="439">
        <v>0</v>
      </c>
      <c r="J15" s="461">
        <v>3000</v>
      </c>
      <c r="K15" s="373">
        <v>3000</v>
      </c>
      <c r="L15" s="439">
        <v>385776</v>
      </c>
      <c r="M15" s="461">
        <v>378841</v>
      </c>
      <c r="N15" s="366">
        <v>378841</v>
      </c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</row>
    <row r="16" spans="1:16141" s="129" customFormat="1" ht="30">
      <c r="A16" s="327" t="s">
        <v>289</v>
      </c>
      <c r="B16" s="1214" t="s">
        <v>290</v>
      </c>
      <c r="C16" s="353">
        <v>43004</v>
      </c>
      <c r="D16" s="354">
        <v>44194</v>
      </c>
      <c r="E16" s="332">
        <f t="shared" si="2"/>
        <v>204401</v>
      </c>
      <c r="F16" s="262">
        <v>24174</v>
      </c>
      <c r="G16" s="355">
        <v>180227</v>
      </c>
      <c r="H16" s="356">
        <f t="shared" si="3"/>
        <v>204401</v>
      </c>
      <c r="I16" s="439">
        <v>0</v>
      </c>
      <c r="J16" s="461">
        <v>0</v>
      </c>
      <c r="K16" s="373">
        <v>0</v>
      </c>
      <c r="L16" s="439">
        <v>199043</v>
      </c>
      <c r="M16" s="461">
        <v>197234</v>
      </c>
      <c r="N16" s="366">
        <v>197234</v>
      </c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</row>
    <row r="17" spans="1:16141" s="129" customFormat="1" ht="30">
      <c r="A17" s="327" t="s">
        <v>287</v>
      </c>
      <c r="B17" s="1214" t="s">
        <v>288</v>
      </c>
      <c r="C17" s="353">
        <v>42886</v>
      </c>
      <c r="D17" s="357">
        <v>44011</v>
      </c>
      <c r="E17" s="332">
        <f t="shared" si="2"/>
        <v>430045</v>
      </c>
      <c r="F17" s="262">
        <v>204925</v>
      </c>
      <c r="G17" s="355">
        <v>225120</v>
      </c>
      <c r="H17" s="356">
        <f t="shared" si="3"/>
        <v>430045</v>
      </c>
      <c r="I17" s="439">
        <v>0</v>
      </c>
      <c r="J17" s="461">
        <v>33542</v>
      </c>
      <c r="K17" s="373">
        <v>0</v>
      </c>
      <c r="L17" s="439">
        <v>201410</v>
      </c>
      <c r="M17" s="461">
        <v>268767</v>
      </c>
      <c r="N17" s="366">
        <v>235225</v>
      </c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</row>
    <row r="18" spans="1:16141" s="129" customFormat="1" ht="45">
      <c r="A18" s="327" t="s">
        <v>283</v>
      </c>
      <c r="B18" s="1214" t="s">
        <v>284</v>
      </c>
      <c r="C18" s="353">
        <v>42895</v>
      </c>
      <c r="D18" s="357">
        <v>44072</v>
      </c>
      <c r="E18" s="332">
        <f t="shared" si="2"/>
        <v>466684</v>
      </c>
      <c r="F18" s="262">
        <v>116684</v>
      </c>
      <c r="G18" s="355">
        <v>350000</v>
      </c>
      <c r="H18" s="356">
        <f t="shared" si="3"/>
        <v>466684</v>
      </c>
      <c r="I18" s="439">
        <v>0</v>
      </c>
      <c r="J18" s="461">
        <v>103250</v>
      </c>
      <c r="K18" s="373">
        <v>0</v>
      </c>
      <c r="L18" s="439">
        <v>150304</v>
      </c>
      <c r="M18" s="461">
        <v>354558</v>
      </c>
      <c r="N18" s="366">
        <v>251858</v>
      </c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</row>
    <row r="19" spans="1:16141" s="129" customFormat="1">
      <c r="A19" s="327" t="s">
        <v>298</v>
      </c>
      <c r="B19" s="1214" t="s">
        <v>299</v>
      </c>
      <c r="C19" s="353">
        <v>43131</v>
      </c>
      <c r="D19" s="357">
        <v>44286</v>
      </c>
      <c r="E19" s="332">
        <f t="shared" si="2"/>
        <v>429734</v>
      </c>
      <c r="F19" s="262">
        <v>89734</v>
      </c>
      <c r="G19" s="355">
        <v>340000</v>
      </c>
      <c r="H19" s="356">
        <f t="shared" si="3"/>
        <v>429734</v>
      </c>
      <c r="I19" s="439">
        <v>0</v>
      </c>
      <c r="J19" s="461">
        <v>0</v>
      </c>
      <c r="K19" s="373">
        <v>0</v>
      </c>
      <c r="L19" s="439">
        <v>413129</v>
      </c>
      <c r="M19" s="461">
        <v>412800</v>
      </c>
      <c r="N19" s="366">
        <v>412800</v>
      </c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</row>
    <row r="20" spans="1:16141" s="129" customFormat="1">
      <c r="A20" s="327" t="s">
        <v>285</v>
      </c>
      <c r="B20" s="1214" t="s">
        <v>286</v>
      </c>
      <c r="C20" s="353">
        <v>42886</v>
      </c>
      <c r="D20" s="357">
        <v>44194</v>
      </c>
      <c r="E20" s="332">
        <f t="shared" si="2"/>
        <v>150000</v>
      </c>
      <c r="F20" s="262"/>
      <c r="G20" s="355">
        <v>150000</v>
      </c>
      <c r="H20" s="356">
        <f t="shared" si="3"/>
        <v>150000</v>
      </c>
      <c r="I20" s="439">
        <v>10399</v>
      </c>
      <c r="J20" s="461">
        <v>0</v>
      </c>
      <c r="K20" s="373">
        <v>0</v>
      </c>
      <c r="L20" s="439">
        <v>147045</v>
      </c>
      <c r="M20" s="461">
        <v>148501</v>
      </c>
      <c r="N20" s="366">
        <v>148501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</row>
    <row r="21" spans="1:16141" s="129" customFormat="1">
      <c r="A21" s="1209" t="s">
        <v>843</v>
      </c>
      <c r="B21" s="1217" t="s">
        <v>844</v>
      </c>
      <c r="C21" s="353"/>
      <c r="D21" s="357"/>
      <c r="E21" s="332"/>
      <c r="F21" s="262"/>
      <c r="G21" s="355"/>
      <c r="H21" s="356"/>
      <c r="I21" s="439"/>
      <c r="J21" s="461">
        <v>104463</v>
      </c>
      <c r="K21" s="373">
        <v>104463</v>
      </c>
      <c r="L21" s="439"/>
      <c r="M21" s="461">
        <v>100799</v>
      </c>
      <c r="N21" s="366">
        <v>100799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</row>
    <row r="22" spans="1:16141" s="129" customFormat="1" ht="30">
      <c r="A22" s="327" t="s">
        <v>507</v>
      </c>
      <c r="B22" s="1214" t="s">
        <v>300</v>
      </c>
      <c r="C22" s="353">
        <v>43147</v>
      </c>
      <c r="D22" s="354">
        <v>44286</v>
      </c>
      <c r="E22" s="332">
        <f t="shared" si="2"/>
        <v>334201</v>
      </c>
      <c r="F22" s="262">
        <v>84201</v>
      </c>
      <c r="G22" s="355">
        <v>250000</v>
      </c>
      <c r="H22" s="356">
        <f t="shared" si="3"/>
        <v>334201</v>
      </c>
      <c r="I22" s="439">
        <v>11345</v>
      </c>
      <c r="J22" s="461">
        <v>0</v>
      </c>
      <c r="K22" s="373">
        <v>0</v>
      </c>
      <c r="L22" s="439">
        <v>235862</v>
      </c>
      <c r="M22" s="461">
        <v>299196</v>
      </c>
      <c r="N22" s="366">
        <v>324476</v>
      </c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</row>
    <row r="23" spans="1:16141" s="129" customFormat="1">
      <c r="A23" s="327" t="s">
        <v>508</v>
      </c>
      <c r="B23" s="1214" t="s">
        <v>297</v>
      </c>
      <c r="C23" s="353">
        <v>43280</v>
      </c>
      <c r="D23" s="354">
        <v>44345</v>
      </c>
      <c r="E23" s="332">
        <f t="shared" si="2"/>
        <v>53660</v>
      </c>
      <c r="F23" s="262">
        <v>12147</v>
      </c>
      <c r="G23" s="355">
        <v>41513</v>
      </c>
      <c r="H23" s="356">
        <f t="shared" si="3"/>
        <v>53660</v>
      </c>
      <c r="I23" s="439">
        <v>0</v>
      </c>
      <c r="J23" s="461">
        <v>0</v>
      </c>
      <c r="K23" s="373">
        <v>0</v>
      </c>
      <c r="L23" s="439">
        <v>51584</v>
      </c>
      <c r="M23" s="461">
        <v>51217</v>
      </c>
      <c r="N23" s="366">
        <v>41538</v>
      </c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</row>
    <row r="24" spans="1:16141" s="129" customFormat="1">
      <c r="A24" s="327" t="s">
        <v>295</v>
      </c>
      <c r="B24" s="1214" t="s">
        <v>296</v>
      </c>
      <c r="C24" s="353">
        <v>43256</v>
      </c>
      <c r="D24" s="354">
        <v>43921</v>
      </c>
      <c r="E24" s="332">
        <f t="shared" si="2"/>
        <v>69351</v>
      </c>
      <c r="F24" s="262">
        <v>28486</v>
      </c>
      <c r="G24" s="355">
        <v>40865</v>
      </c>
      <c r="H24" s="356">
        <f t="shared" si="3"/>
        <v>69351</v>
      </c>
      <c r="I24" s="439">
        <v>0</v>
      </c>
      <c r="J24" s="461">
        <v>0</v>
      </c>
      <c r="K24" s="373">
        <v>0</v>
      </c>
      <c r="L24" s="439">
        <v>50645</v>
      </c>
      <c r="M24" s="461">
        <v>33904</v>
      </c>
      <c r="N24" s="366">
        <v>34004</v>
      </c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</row>
    <row r="25" spans="1:16141" s="129" customFormat="1">
      <c r="A25" s="327" t="s">
        <v>509</v>
      </c>
      <c r="B25" s="1214" t="s">
        <v>301</v>
      </c>
      <c r="C25" s="353">
        <v>43334</v>
      </c>
      <c r="D25" s="354">
        <v>44834</v>
      </c>
      <c r="E25" s="332">
        <f t="shared" si="2"/>
        <v>54999</v>
      </c>
      <c r="F25" s="262"/>
      <c r="G25" s="355">
        <v>54999</v>
      </c>
      <c r="H25" s="356">
        <f t="shared" si="3"/>
        <v>54999</v>
      </c>
      <c r="I25" s="439">
        <v>23371</v>
      </c>
      <c r="J25" s="461">
        <v>29545</v>
      </c>
      <c r="K25" s="373">
        <v>29545</v>
      </c>
      <c r="L25" s="439">
        <v>23371</v>
      </c>
      <c r="M25" s="461">
        <v>48140</v>
      </c>
      <c r="N25" s="366">
        <v>48624</v>
      </c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</row>
    <row r="26" spans="1:16141" s="129" customFormat="1" ht="30">
      <c r="A26" s="942" t="s">
        <v>845</v>
      </c>
      <c r="B26" s="1214" t="s">
        <v>952</v>
      </c>
      <c r="C26" s="353">
        <v>43903</v>
      </c>
      <c r="D26" s="354">
        <v>44561</v>
      </c>
      <c r="E26" s="332">
        <v>110546</v>
      </c>
      <c r="F26" s="262">
        <v>5528</v>
      </c>
      <c r="G26" s="355">
        <v>110546</v>
      </c>
      <c r="H26" s="356">
        <v>110546</v>
      </c>
      <c r="I26" s="439"/>
      <c r="J26" s="461">
        <v>110662</v>
      </c>
      <c r="K26" s="373">
        <v>110662</v>
      </c>
      <c r="L26" s="439"/>
      <c r="M26" s="461">
        <v>116190</v>
      </c>
      <c r="N26" s="366">
        <v>116190</v>
      </c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</row>
    <row r="27" spans="1:16141" s="129" customFormat="1">
      <c r="A27" s="475" t="s">
        <v>831</v>
      </c>
      <c r="B27" s="1218" t="s">
        <v>832</v>
      </c>
      <c r="C27" s="469">
        <v>43797</v>
      </c>
      <c r="D27" s="470">
        <v>44439</v>
      </c>
      <c r="E27" s="471">
        <v>20000</v>
      </c>
      <c r="F27" s="472"/>
      <c r="G27" s="473">
        <v>20000</v>
      </c>
      <c r="H27" s="474">
        <f t="shared" si="3"/>
        <v>20000</v>
      </c>
      <c r="I27" s="485"/>
      <c r="J27" s="484">
        <v>0</v>
      </c>
      <c r="K27" s="490">
        <v>0</v>
      </c>
      <c r="L27" s="485"/>
      <c r="M27" s="484">
        <v>20000</v>
      </c>
      <c r="N27" s="486">
        <v>20000</v>
      </c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</row>
    <row r="28" spans="1:16141" s="129" customFormat="1">
      <c r="A28" s="475" t="s">
        <v>833</v>
      </c>
      <c r="B28" s="1218" t="s">
        <v>834</v>
      </c>
      <c r="C28" s="469">
        <v>43958</v>
      </c>
      <c r="D28" s="470">
        <v>44834</v>
      </c>
      <c r="E28" s="471">
        <v>340998</v>
      </c>
      <c r="F28" s="472"/>
      <c r="G28" s="473">
        <v>340998</v>
      </c>
      <c r="H28" s="474">
        <f t="shared" si="3"/>
        <v>340998</v>
      </c>
      <c r="I28" s="485"/>
      <c r="J28" s="484">
        <v>340998</v>
      </c>
      <c r="K28" s="490">
        <v>340998</v>
      </c>
      <c r="L28" s="485"/>
      <c r="M28" s="484">
        <v>340998</v>
      </c>
      <c r="N28" s="486">
        <v>340998</v>
      </c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</row>
    <row r="29" spans="1:16141" s="129" customFormat="1" ht="15.75" thickBot="1">
      <c r="A29" s="476" t="s">
        <v>835</v>
      </c>
      <c r="B29" s="1218" t="s">
        <v>836</v>
      </c>
      <c r="C29" s="469"/>
      <c r="D29" s="470">
        <v>44469</v>
      </c>
      <c r="E29" s="471">
        <v>270409</v>
      </c>
      <c r="F29" s="472"/>
      <c r="G29" s="473">
        <v>270409</v>
      </c>
      <c r="H29" s="474">
        <f t="shared" si="3"/>
        <v>270409</v>
      </c>
      <c r="I29" s="487"/>
      <c r="J29" s="488">
        <v>270410</v>
      </c>
      <c r="K29" s="491">
        <v>270410</v>
      </c>
      <c r="L29" s="494"/>
      <c r="M29" s="495">
        <v>270410</v>
      </c>
      <c r="N29" s="496">
        <v>270410</v>
      </c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</row>
    <row r="30" spans="1:16141" s="129" customFormat="1" ht="15.75" thickBot="1">
      <c r="A30" s="359" t="s">
        <v>68</v>
      </c>
      <c r="B30" s="1211"/>
      <c r="C30" s="220"/>
      <c r="D30" s="221"/>
      <c r="E30" s="226">
        <f>SUM(E5:E29)</f>
        <v>4252632</v>
      </c>
      <c r="F30" s="226">
        <f>SUM(F5:F27)</f>
        <v>680871</v>
      </c>
      <c r="G30" s="226">
        <f>SUM(G5:G29)</f>
        <v>3577289</v>
      </c>
      <c r="H30" s="226">
        <f>SUM(H5:H29)</f>
        <v>4252632</v>
      </c>
      <c r="I30" s="80">
        <f>SUM(I5:I27)</f>
        <v>187542</v>
      </c>
      <c r="J30" s="489">
        <f>SUM(J5:J29)</f>
        <v>1417281</v>
      </c>
      <c r="K30" s="226">
        <f>SUM(K5:K29)</f>
        <v>1281092</v>
      </c>
      <c r="L30" s="80">
        <f>SUM(L5:L25)</f>
        <v>2177886</v>
      </c>
      <c r="M30" s="489">
        <f>SUM(M5:M29)</f>
        <v>3525794</v>
      </c>
      <c r="N30" s="222">
        <f>SUM(N5:N29)</f>
        <v>3385737</v>
      </c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</row>
    <row r="31" spans="1:16141" s="129" customFormat="1">
      <c r="A31" s="2438" t="s">
        <v>1017</v>
      </c>
      <c r="B31" s="2438"/>
      <c r="C31" s="2438"/>
      <c r="D31" s="2438"/>
      <c r="E31" s="2438"/>
      <c r="F31" s="2438"/>
      <c r="G31" s="2438"/>
      <c r="H31" s="2438"/>
      <c r="I31" s="2438"/>
      <c r="J31" s="2438"/>
      <c r="K31" s="2438"/>
      <c r="L31" s="2438"/>
      <c r="M31" s="2438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</row>
    <row r="32" spans="1:16141" s="129" customFormat="1">
      <c r="A32" s="41"/>
      <c r="B32" s="1212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</row>
    <row r="35" spans="1:16141" s="129" customFormat="1">
      <c r="A35" s="238"/>
      <c r="B35" s="1212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</row>
    <row r="36" spans="1:16141" s="129" customFormat="1">
      <c r="A36" s="238"/>
      <c r="B36" s="1212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</row>
  </sheetData>
  <mergeCells count="11">
    <mergeCell ref="A31:M31"/>
    <mergeCell ref="A1:M1"/>
    <mergeCell ref="A3:A4"/>
    <mergeCell ref="B3:B4"/>
    <mergeCell ref="C3:C4"/>
    <mergeCell ref="D3:D4"/>
    <mergeCell ref="E3:E4"/>
    <mergeCell ref="F3:G3"/>
    <mergeCell ref="H3:H4"/>
    <mergeCell ref="I3:K3"/>
    <mergeCell ref="L3:N3"/>
  </mergeCells>
  <pageMargins left="0.48" right="0.15748031496062992" top="0.74803149606299213" bottom="0.74803149606299213" header="0.31496062992125984" footer="0.31496062992125984"/>
  <pageSetup paperSize="9" scale="65" orientation="landscape" r:id="rId1"/>
  <headerFooter>
    <oddHeader>&amp;L&amp;"Times New Roman,Normál" 17.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"/>
  <sheetViews>
    <sheetView view="pageLayout" zoomScale="118" zoomScaleNormal="80" zoomScaleSheetLayoutView="75" zoomScalePageLayoutView="118" workbookViewId="0">
      <selection activeCell="A2" sqref="A2"/>
    </sheetView>
  </sheetViews>
  <sheetFormatPr defaultRowHeight="15"/>
  <cols>
    <col min="1" max="1" width="77.85546875" style="17" customWidth="1"/>
    <col min="2" max="10" width="12.5703125" style="17" customWidth="1"/>
    <col min="11" max="13" width="13.85546875" style="17" customWidth="1"/>
    <col min="14" max="16384" width="9.140625" style="17"/>
  </cols>
  <sheetData>
    <row r="1" spans="1:13">
      <c r="A1" s="2042" t="s">
        <v>911</v>
      </c>
      <c r="B1" s="2042"/>
      <c r="C1" s="2042"/>
      <c r="D1" s="2042"/>
      <c r="E1" s="2042"/>
      <c r="F1" s="2042"/>
      <c r="G1" s="2042"/>
      <c r="H1" s="2042"/>
      <c r="I1" s="2042"/>
      <c r="J1" s="2042"/>
      <c r="K1" s="2042"/>
      <c r="L1" s="2042"/>
      <c r="M1" s="2042"/>
    </row>
    <row r="2" spans="1:13" ht="15.75" thickBot="1"/>
    <row r="3" spans="1:13" ht="63.75" customHeight="1" thickBot="1">
      <c r="A3" s="2043" t="s">
        <v>65</v>
      </c>
      <c r="B3" s="2045" t="s">
        <v>66</v>
      </c>
      <c r="C3" s="2046"/>
      <c r="D3" s="2047"/>
      <c r="E3" s="2048" t="s">
        <v>67</v>
      </c>
      <c r="F3" s="2049"/>
      <c r="G3" s="2050"/>
      <c r="H3" s="2045" t="s">
        <v>83</v>
      </c>
      <c r="I3" s="2046"/>
      <c r="J3" s="2051"/>
      <c r="K3" s="2052" t="s">
        <v>68</v>
      </c>
      <c r="L3" s="2046"/>
      <c r="M3" s="2051"/>
    </row>
    <row r="4" spans="1:13" ht="29.25" thickBot="1">
      <c r="A4" s="2044"/>
      <c r="B4" s="130" t="s">
        <v>3</v>
      </c>
      <c r="C4" s="670" t="s">
        <v>962</v>
      </c>
      <c r="D4" s="1390" t="s">
        <v>975</v>
      </c>
      <c r="E4" s="724" t="s">
        <v>3</v>
      </c>
      <c r="F4" s="670" t="s">
        <v>962</v>
      </c>
      <c r="G4" s="1391" t="s">
        <v>975</v>
      </c>
      <c r="H4" s="724" t="s">
        <v>3</v>
      </c>
      <c r="I4" s="670" t="s">
        <v>962</v>
      </c>
      <c r="J4" s="1391" t="s">
        <v>975</v>
      </c>
      <c r="K4" s="682" t="s">
        <v>3</v>
      </c>
      <c r="L4" s="932" t="s">
        <v>962</v>
      </c>
      <c r="M4" s="1392" t="s">
        <v>975</v>
      </c>
    </row>
    <row r="5" spans="1:13" s="18" customFormat="1" ht="15" customHeight="1">
      <c r="A5" s="94" t="s">
        <v>5</v>
      </c>
      <c r="B5" s="667">
        <f>SUM(B6:B7)</f>
        <v>1269779.419</v>
      </c>
      <c r="C5" s="668">
        <f>SUM(C6:C7)</f>
        <v>1528933</v>
      </c>
      <c r="D5" s="675">
        <f>SUM(D6:D7)</f>
        <v>1600561</v>
      </c>
      <c r="E5" s="689">
        <f t="shared" ref="E5:H5" si="0">SUM(E6:E7)</f>
        <v>0</v>
      </c>
      <c r="F5" s="690">
        <f t="shared" ref="F5:G5" si="1">SUM(F6:F7)</f>
        <v>0</v>
      </c>
      <c r="G5" s="691">
        <f t="shared" si="1"/>
        <v>0</v>
      </c>
      <c r="H5" s="725">
        <f t="shared" si="0"/>
        <v>0</v>
      </c>
      <c r="I5" s="668">
        <f t="shared" ref="I5:J5" si="2">SUM(I6:I7)</f>
        <v>0</v>
      </c>
      <c r="J5" s="669">
        <f t="shared" si="2"/>
        <v>0</v>
      </c>
      <c r="K5" s="443">
        <f t="shared" ref="K5:K49" si="3">B5+E5+H5</f>
        <v>1269779.419</v>
      </c>
      <c r="L5" s="668">
        <f t="shared" ref="L5:L49" si="4">C5+F5+I5</f>
        <v>1528933</v>
      </c>
      <c r="M5" s="669">
        <f t="shared" ref="M5:M49" si="5">D5+G5+J5</f>
        <v>1600561</v>
      </c>
    </row>
    <row r="6" spans="1:13" ht="15" customHeight="1">
      <c r="A6" s="95" t="s">
        <v>69</v>
      </c>
      <c r="B6" s="415">
        <f>'15. melléklet'!G86</f>
        <v>1269779.419</v>
      </c>
      <c r="C6" s="664">
        <v>1528933</v>
      </c>
      <c r="D6" s="371">
        <v>1572561</v>
      </c>
      <c r="E6" s="692"/>
      <c r="F6" s="693"/>
      <c r="G6" s="694"/>
      <c r="H6" s="437"/>
      <c r="I6" s="664"/>
      <c r="J6" s="364"/>
      <c r="K6" s="444">
        <f t="shared" si="3"/>
        <v>1269779.419</v>
      </c>
      <c r="L6" s="664">
        <f t="shared" si="4"/>
        <v>1528933</v>
      </c>
      <c r="M6" s="364">
        <f t="shared" si="5"/>
        <v>1572561</v>
      </c>
    </row>
    <row r="7" spans="1:13" ht="15" customHeight="1">
      <c r="A7" s="95" t="s">
        <v>70</v>
      </c>
      <c r="B7" s="415">
        <f>'15. melléklet'!G96</f>
        <v>0</v>
      </c>
      <c r="C7" s="526">
        <f>'15. melléklet'!I96</f>
        <v>0</v>
      </c>
      <c r="D7" s="370">
        <v>28000</v>
      </c>
      <c r="E7" s="692"/>
      <c r="F7" s="693"/>
      <c r="G7" s="694"/>
      <c r="H7" s="415"/>
      <c r="I7" s="526"/>
      <c r="J7" s="362"/>
      <c r="K7" s="431">
        <f t="shared" si="3"/>
        <v>0</v>
      </c>
      <c r="L7" s="526">
        <f t="shared" si="4"/>
        <v>0</v>
      </c>
      <c r="M7" s="362">
        <f t="shared" si="5"/>
        <v>28000</v>
      </c>
    </row>
    <row r="8" spans="1:13" s="179" customFormat="1" ht="15" customHeight="1">
      <c r="A8" s="178" t="s">
        <v>71</v>
      </c>
      <c r="B8" s="436">
        <f t="shared" ref="B8:H8" si="6">SUM(B9:B10)</f>
        <v>227393</v>
      </c>
      <c r="C8" s="663">
        <f t="shared" si="6"/>
        <v>534238</v>
      </c>
      <c r="D8" s="676">
        <f t="shared" ref="D8" si="7">SUM(D9:D10)</f>
        <v>534385</v>
      </c>
      <c r="E8" s="695">
        <f t="shared" si="6"/>
        <v>88617</v>
      </c>
      <c r="F8" s="696">
        <f t="shared" ref="F8:G8" si="8">SUM(F9:F10)</f>
        <v>97080</v>
      </c>
      <c r="G8" s="697">
        <f t="shared" si="8"/>
        <v>103313</v>
      </c>
      <c r="H8" s="436">
        <f t="shared" si="6"/>
        <v>88368</v>
      </c>
      <c r="I8" s="663">
        <f t="shared" ref="I8:J8" si="9">SUM(I9:I10)</f>
        <v>114830</v>
      </c>
      <c r="J8" s="363">
        <f t="shared" si="9"/>
        <v>121470</v>
      </c>
      <c r="K8" s="683">
        <f t="shared" si="3"/>
        <v>404378</v>
      </c>
      <c r="L8" s="663">
        <f t="shared" si="4"/>
        <v>746148</v>
      </c>
      <c r="M8" s="363">
        <f t="shared" si="5"/>
        <v>759168</v>
      </c>
    </row>
    <row r="9" spans="1:13" s="181" customFormat="1" ht="15" customHeight="1">
      <c r="A9" s="180" t="s">
        <v>557</v>
      </c>
      <c r="B9" s="437"/>
      <c r="C9" s="664">
        <f>'11. melléklet'!C7</f>
        <v>37663</v>
      </c>
      <c r="D9" s="371">
        <f>'11. melléklet'!D7</f>
        <v>37663</v>
      </c>
      <c r="E9" s="692"/>
      <c r="F9" s="693"/>
      <c r="G9" s="694"/>
      <c r="H9" s="437"/>
      <c r="I9" s="664"/>
      <c r="J9" s="364"/>
      <c r="K9" s="444">
        <f t="shared" si="3"/>
        <v>0</v>
      </c>
      <c r="L9" s="664">
        <f t="shared" si="4"/>
        <v>37663</v>
      </c>
      <c r="M9" s="364">
        <f t="shared" si="5"/>
        <v>37663</v>
      </c>
    </row>
    <row r="10" spans="1:13" s="181" customFormat="1" ht="15" customHeight="1">
      <c r="A10" s="180" t="s">
        <v>8</v>
      </c>
      <c r="B10" s="437">
        <f>'11. melléklet'!B12</f>
        <v>227393</v>
      </c>
      <c r="C10" s="664">
        <f>'11. melléklet'!C12</f>
        <v>496575</v>
      </c>
      <c r="D10" s="371">
        <f>'11. melléklet'!D12</f>
        <v>496722</v>
      </c>
      <c r="E10" s="692">
        <f>'11. melléklet'!B92</f>
        <v>88617</v>
      </c>
      <c r="F10" s="693">
        <f>'11. melléklet'!C92</f>
        <v>97080</v>
      </c>
      <c r="G10" s="694">
        <f>'11. melléklet'!D92</f>
        <v>103313</v>
      </c>
      <c r="H10" s="437">
        <v>88368</v>
      </c>
      <c r="I10" s="664">
        <v>114830</v>
      </c>
      <c r="J10" s="364">
        <v>121470</v>
      </c>
      <c r="K10" s="444">
        <f t="shared" si="3"/>
        <v>404378</v>
      </c>
      <c r="L10" s="664">
        <f t="shared" si="4"/>
        <v>708485</v>
      </c>
      <c r="M10" s="364">
        <f t="shared" si="5"/>
        <v>721505</v>
      </c>
    </row>
    <row r="11" spans="1:13" ht="15" customHeight="1">
      <c r="A11" s="96" t="s">
        <v>10</v>
      </c>
      <c r="B11" s="438">
        <f t="shared" ref="B11:H11" si="10">B12</f>
        <v>113219</v>
      </c>
      <c r="C11" s="662">
        <f t="shared" si="10"/>
        <v>761186</v>
      </c>
      <c r="D11" s="372">
        <f t="shared" si="10"/>
        <v>624394</v>
      </c>
      <c r="E11" s="695">
        <f t="shared" si="10"/>
        <v>0</v>
      </c>
      <c r="F11" s="696"/>
      <c r="G11" s="697"/>
      <c r="H11" s="438">
        <f t="shared" si="10"/>
        <v>0</v>
      </c>
      <c r="I11" s="662"/>
      <c r="J11" s="365"/>
      <c r="K11" s="684">
        <f t="shared" si="3"/>
        <v>113219</v>
      </c>
      <c r="L11" s="662">
        <f t="shared" si="4"/>
        <v>761186</v>
      </c>
      <c r="M11" s="365">
        <f t="shared" si="5"/>
        <v>624394</v>
      </c>
    </row>
    <row r="12" spans="1:13" ht="15" customHeight="1">
      <c r="A12" s="97" t="s">
        <v>8</v>
      </c>
      <c r="B12" s="415">
        <f>'11. melléklet'!B52</f>
        <v>113219</v>
      </c>
      <c r="C12" s="526">
        <f>'11. melléklet'!C52</f>
        <v>761186</v>
      </c>
      <c r="D12" s="370">
        <f>'11. melléklet'!D52</f>
        <v>624394</v>
      </c>
      <c r="E12" s="692"/>
      <c r="F12" s="693"/>
      <c r="G12" s="694"/>
      <c r="H12" s="415"/>
      <c r="I12" s="526"/>
      <c r="J12" s="362"/>
      <c r="K12" s="431">
        <f t="shared" si="3"/>
        <v>113219</v>
      </c>
      <c r="L12" s="526">
        <f t="shared" si="4"/>
        <v>761186</v>
      </c>
      <c r="M12" s="362">
        <f t="shared" si="5"/>
        <v>624394</v>
      </c>
    </row>
    <row r="13" spans="1:13" s="19" customFormat="1" ht="15" customHeight="1">
      <c r="A13" s="98" t="s">
        <v>72</v>
      </c>
      <c r="B13" s="438">
        <f t="shared" ref="B13:H13" si="11">B14+B17+B21+B22+B23</f>
        <v>2350000</v>
      </c>
      <c r="C13" s="662">
        <f t="shared" si="11"/>
        <v>2267610</v>
      </c>
      <c r="D13" s="372">
        <f t="shared" ref="D13" si="12">D14+D17+D21+D22+D23</f>
        <v>2267610</v>
      </c>
      <c r="E13" s="695">
        <f t="shared" si="11"/>
        <v>0</v>
      </c>
      <c r="F13" s="696">
        <f t="shared" ref="F13:G13" si="13">F14+F17+F21+F22+F23</f>
        <v>27</v>
      </c>
      <c r="G13" s="697">
        <f t="shared" si="13"/>
        <v>481</v>
      </c>
      <c r="H13" s="438">
        <f t="shared" si="11"/>
        <v>0</v>
      </c>
      <c r="I13" s="662">
        <f t="shared" ref="I13:J13" si="14">I14+I17+I21+I22+I23</f>
        <v>0</v>
      </c>
      <c r="J13" s="365">
        <f t="shared" si="14"/>
        <v>0</v>
      </c>
      <c r="K13" s="684">
        <f t="shared" si="3"/>
        <v>2350000</v>
      </c>
      <c r="L13" s="662">
        <f t="shared" si="4"/>
        <v>2267637</v>
      </c>
      <c r="M13" s="365">
        <f t="shared" si="5"/>
        <v>2268091</v>
      </c>
    </row>
    <row r="14" spans="1:13" s="19" customFormat="1" ht="15" customHeight="1">
      <c r="A14" s="97" t="s">
        <v>13</v>
      </c>
      <c r="B14" s="439">
        <f t="shared" ref="B14:H14" si="15">SUM(B15:B16)</f>
        <v>530000</v>
      </c>
      <c r="C14" s="461">
        <f t="shared" ref="C14" si="16">SUM(C15:C16)</f>
        <v>530000</v>
      </c>
      <c r="D14" s="373">
        <f t="shared" ref="D14" si="17">SUM(D15:D16)</f>
        <v>530000</v>
      </c>
      <c r="E14" s="698">
        <f t="shared" si="15"/>
        <v>0</v>
      </c>
      <c r="F14" s="462"/>
      <c r="G14" s="699"/>
      <c r="H14" s="439">
        <f t="shared" si="15"/>
        <v>0</v>
      </c>
      <c r="I14" s="461"/>
      <c r="J14" s="366"/>
      <c r="K14" s="434">
        <f t="shared" si="3"/>
        <v>530000</v>
      </c>
      <c r="L14" s="461">
        <f t="shared" si="4"/>
        <v>530000</v>
      </c>
      <c r="M14" s="366">
        <f t="shared" si="5"/>
        <v>530000</v>
      </c>
    </row>
    <row r="15" spans="1:13" s="19" customFormat="1" ht="15" customHeight="1">
      <c r="A15" s="99" t="s">
        <v>73</v>
      </c>
      <c r="B15" s="440">
        <v>360000</v>
      </c>
      <c r="C15" s="665">
        <v>360000</v>
      </c>
      <c r="D15" s="665">
        <v>360000</v>
      </c>
      <c r="E15" s="700"/>
      <c r="F15" s="701"/>
      <c r="G15" s="702"/>
      <c r="H15" s="440"/>
      <c r="I15" s="665"/>
      <c r="J15" s="367"/>
      <c r="K15" s="685">
        <f t="shared" si="3"/>
        <v>360000</v>
      </c>
      <c r="L15" s="665">
        <f t="shared" si="4"/>
        <v>360000</v>
      </c>
      <c r="M15" s="367">
        <f t="shared" si="5"/>
        <v>360000</v>
      </c>
    </row>
    <row r="16" spans="1:13" s="19" customFormat="1" ht="15" customHeight="1">
      <c r="A16" s="100" t="s">
        <v>74</v>
      </c>
      <c r="B16" s="441">
        <v>170000</v>
      </c>
      <c r="C16" s="666">
        <v>170000</v>
      </c>
      <c r="D16" s="666">
        <v>170000</v>
      </c>
      <c r="E16" s="703"/>
      <c r="F16" s="704"/>
      <c r="G16" s="705"/>
      <c r="H16" s="441"/>
      <c r="I16" s="666"/>
      <c r="J16" s="368"/>
      <c r="K16" s="686">
        <f t="shared" si="3"/>
        <v>170000</v>
      </c>
      <c r="L16" s="666">
        <f t="shared" si="4"/>
        <v>170000</v>
      </c>
      <c r="M16" s="368">
        <f t="shared" si="5"/>
        <v>170000</v>
      </c>
    </row>
    <row r="17" spans="1:13" s="19" customFormat="1" ht="15" customHeight="1">
      <c r="A17" s="97" t="s">
        <v>75</v>
      </c>
      <c r="B17" s="439">
        <f t="shared" ref="B17:H17" si="18">SUM(B18:B20)</f>
        <v>1815000</v>
      </c>
      <c r="C17" s="461">
        <f t="shared" si="18"/>
        <v>1732545</v>
      </c>
      <c r="D17" s="373">
        <f t="shared" ref="D17" si="19">SUM(D18:D20)</f>
        <v>1732545</v>
      </c>
      <c r="E17" s="698">
        <f t="shared" si="18"/>
        <v>0</v>
      </c>
      <c r="F17" s="462"/>
      <c r="G17" s="699"/>
      <c r="H17" s="439">
        <f t="shared" si="18"/>
        <v>0</v>
      </c>
      <c r="I17" s="461">
        <f t="shared" ref="I17:J17" si="20">SUM(I18:I20)</f>
        <v>0</v>
      </c>
      <c r="J17" s="366">
        <f t="shared" si="20"/>
        <v>0</v>
      </c>
      <c r="K17" s="434">
        <f t="shared" si="3"/>
        <v>1815000</v>
      </c>
      <c r="L17" s="461">
        <f t="shared" si="4"/>
        <v>1732545</v>
      </c>
      <c r="M17" s="366">
        <f t="shared" si="5"/>
        <v>1732545</v>
      </c>
    </row>
    <row r="18" spans="1:13" s="19" customFormat="1" ht="15" customHeight="1">
      <c r="A18" s="99" t="s">
        <v>76</v>
      </c>
      <c r="B18" s="441">
        <v>1655000</v>
      </c>
      <c r="C18" s="666">
        <v>1719202</v>
      </c>
      <c r="D18" s="666">
        <v>1719202</v>
      </c>
      <c r="E18" s="703"/>
      <c r="F18" s="704"/>
      <c r="G18" s="705"/>
      <c r="H18" s="441"/>
      <c r="I18" s="666"/>
      <c r="J18" s="368"/>
      <c r="K18" s="686">
        <f t="shared" si="3"/>
        <v>1655000</v>
      </c>
      <c r="L18" s="666">
        <f t="shared" si="4"/>
        <v>1719202</v>
      </c>
      <c r="M18" s="368">
        <f t="shared" si="5"/>
        <v>1719202</v>
      </c>
    </row>
    <row r="19" spans="1:13" s="19" customFormat="1" ht="15" customHeight="1">
      <c r="A19" s="99" t="s">
        <v>77</v>
      </c>
      <c r="B19" s="441">
        <v>110000</v>
      </c>
      <c r="C19" s="666">
        <v>0</v>
      </c>
      <c r="D19" s="666">
        <v>0</v>
      </c>
      <c r="E19" s="703"/>
      <c r="F19" s="704"/>
      <c r="G19" s="705"/>
      <c r="H19" s="441"/>
      <c r="I19" s="666"/>
      <c r="J19" s="368"/>
      <c r="K19" s="686">
        <f t="shared" si="3"/>
        <v>110000</v>
      </c>
      <c r="L19" s="666">
        <f t="shared" si="4"/>
        <v>0</v>
      </c>
      <c r="M19" s="368">
        <f t="shared" si="5"/>
        <v>0</v>
      </c>
    </row>
    <row r="20" spans="1:13" s="19" customFormat="1" ht="15" customHeight="1">
      <c r="A20" s="99" t="s">
        <v>78</v>
      </c>
      <c r="B20" s="441">
        <v>50000</v>
      </c>
      <c r="C20" s="666">
        <v>13343</v>
      </c>
      <c r="D20" s="666">
        <v>13343</v>
      </c>
      <c r="E20" s="703"/>
      <c r="F20" s="704"/>
      <c r="G20" s="705"/>
      <c r="H20" s="441"/>
      <c r="I20" s="666"/>
      <c r="J20" s="368"/>
      <c r="K20" s="686">
        <f t="shared" si="3"/>
        <v>50000</v>
      </c>
      <c r="L20" s="666">
        <f t="shared" si="4"/>
        <v>13343</v>
      </c>
      <c r="M20" s="368">
        <f t="shared" si="5"/>
        <v>13343</v>
      </c>
    </row>
    <row r="21" spans="1:13" s="19" customFormat="1" ht="15" customHeight="1">
      <c r="A21" s="101" t="s">
        <v>15</v>
      </c>
      <c r="B21" s="439">
        <v>3000</v>
      </c>
      <c r="C21" s="461">
        <v>3000</v>
      </c>
      <c r="D21" s="373">
        <v>3000</v>
      </c>
      <c r="E21" s="698"/>
      <c r="F21" s="462"/>
      <c r="G21" s="699"/>
      <c r="H21" s="439"/>
      <c r="I21" s="461"/>
      <c r="J21" s="366"/>
      <c r="K21" s="434">
        <f t="shared" si="3"/>
        <v>3000</v>
      </c>
      <c r="L21" s="461">
        <f t="shared" si="4"/>
        <v>3000</v>
      </c>
      <c r="M21" s="366">
        <f t="shared" si="5"/>
        <v>3000</v>
      </c>
    </row>
    <row r="22" spans="1:13" s="19" customFormat="1" ht="15" customHeight="1">
      <c r="A22" s="101" t="s">
        <v>321</v>
      </c>
      <c r="B22" s="439">
        <v>1500</v>
      </c>
      <c r="C22" s="461">
        <v>1565</v>
      </c>
      <c r="D22" s="373">
        <v>1565</v>
      </c>
      <c r="E22" s="698"/>
      <c r="F22" s="462">
        <v>27</v>
      </c>
      <c r="G22" s="699">
        <v>481</v>
      </c>
      <c r="H22" s="439"/>
      <c r="I22" s="461"/>
      <c r="J22" s="366"/>
      <c r="K22" s="434">
        <f t="shared" si="3"/>
        <v>1500</v>
      </c>
      <c r="L22" s="461">
        <f t="shared" si="4"/>
        <v>1592</v>
      </c>
      <c r="M22" s="366">
        <f t="shared" si="5"/>
        <v>2046</v>
      </c>
    </row>
    <row r="23" spans="1:13" s="19" customFormat="1" ht="15" customHeight="1">
      <c r="A23" s="101" t="s">
        <v>84</v>
      </c>
      <c r="B23" s="439">
        <v>500</v>
      </c>
      <c r="C23" s="461">
        <v>500</v>
      </c>
      <c r="D23" s="373">
        <v>500</v>
      </c>
      <c r="E23" s="698"/>
      <c r="F23" s="462"/>
      <c r="G23" s="699"/>
      <c r="H23" s="439"/>
      <c r="I23" s="461"/>
      <c r="J23" s="366"/>
      <c r="K23" s="434">
        <f t="shared" si="3"/>
        <v>500</v>
      </c>
      <c r="L23" s="461">
        <f t="shared" si="4"/>
        <v>500</v>
      </c>
      <c r="M23" s="366">
        <f t="shared" si="5"/>
        <v>500</v>
      </c>
    </row>
    <row r="24" spans="1:13" ht="15" customHeight="1">
      <c r="A24" s="96" t="s">
        <v>20</v>
      </c>
      <c r="B24" s="442">
        <f t="shared" ref="B24:H24" si="21">SUM(B25:B32)</f>
        <v>1902968</v>
      </c>
      <c r="C24" s="463">
        <f t="shared" si="21"/>
        <v>1872625</v>
      </c>
      <c r="D24" s="677">
        <f t="shared" ref="D24" si="22">SUM(D25:D32)</f>
        <v>1825725</v>
      </c>
      <c r="E24" s="706">
        <f t="shared" si="21"/>
        <v>6590</v>
      </c>
      <c r="F24" s="707">
        <f t="shared" ref="F24:G24" si="23">SUM(F25:F32)</f>
        <v>6820</v>
      </c>
      <c r="G24" s="708">
        <f t="shared" si="23"/>
        <v>7454</v>
      </c>
      <c r="H24" s="442">
        <f t="shared" si="21"/>
        <v>462213</v>
      </c>
      <c r="I24" s="463">
        <f t="shared" ref="I24:J24" si="24">SUM(I25:I32)</f>
        <v>662373</v>
      </c>
      <c r="J24" s="369">
        <f t="shared" si="24"/>
        <v>665891</v>
      </c>
      <c r="K24" s="377">
        <f t="shared" si="3"/>
        <v>2371771</v>
      </c>
      <c r="L24" s="463">
        <f t="shared" si="4"/>
        <v>2541818</v>
      </c>
      <c r="M24" s="369">
        <f t="shared" si="5"/>
        <v>2499070</v>
      </c>
    </row>
    <row r="25" spans="1:13" ht="15" customHeight="1">
      <c r="A25" s="97" t="s">
        <v>22</v>
      </c>
      <c r="B25" s="439">
        <f>1274614+123000</f>
        <v>1397614</v>
      </c>
      <c r="C25" s="461">
        <v>1366313</v>
      </c>
      <c r="D25" s="373">
        <v>1319413</v>
      </c>
      <c r="E25" s="698"/>
      <c r="F25" s="462"/>
      <c r="G25" s="699"/>
      <c r="H25" s="439">
        <v>5000</v>
      </c>
      <c r="I25" s="461">
        <v>5000</v>
      </c>
      <c r="J25" s="366">
        <v>5000</v>
      </c>
      <c r="K25" s="434">
        <f t="shared" si="3"/>
        <v>1402614</v>
      </c>
      <c r="L25" s="461">
        <f t="shared" si="4"/>
        <v>1371313</v>
      </c>
      <c r="M25" s="366">
        <f t="shared" si="5"/>
        <v>1324413</v>
      </c>
    </row>
    <row r="26" spans="1:13" ht="15" customHeight="1">
      <c r="A26" s="97" t="s">
        <v>79</v>
      </c>
      <c r="B26" s="439">
        <f>8000</f>
        <v>8000</v>
      </c>
      <c r="C26" s="461">
        <v>8000</v>
      </c>
      <c r="D26" s="461">
        <v>8000</v>
      </c>
      <c r="E26" s="698">
        <f>3700+2400+250+240</f>
        <v>6590</v>
      </c>
      <c r="F26" s="462">
        <v>6590</v>
      </c>
      <c r="G26" s="699">
        <v>6590</v>
      </c>
      <c r="H26" s="439">
        <v>240483</v>
      </c>
      <c r="I26" s="461">
        <v>397848</v>
      </c>
      <c r="J26" s="366">
        <v>397848</v>
      </c>
      <c r="K26" s="434">
        <f t="shared" si="3"/>
        <v>255073</v>
      </c>
      <c r="L26" s="461">
        <f t="shared" si="4"/>
        <v>412438</v>
      </c>
      <c r="M26" s="366">
        <f t="shared" si="5"/>
        <v>412438</v>
      </c>
    </row>
    <row r="27" spans="1:13" ht="15" customHeight="1">
      <c r="A27" s="97" t="s">
        <v>26</v>
      </c>
      <c r="B27" s="439">
        <f>100+26116</f>
        <v>26216</v>
      </c>
      <c r="C27" s="461">
        <v>26216</v>
      </c>
      <c r="D27" s="461">
        <v>26216</v>
      </c>
      <c r="E27" s="698"/>
      <c r="F27" s="462">
        <v>230</v>
      </c>
      <c r="G27" s="699">
        <v>401</v>
      </c>
      <c r="H27" s="439">
        <v>2300</v>
      </c>
      <c r="I27" s="461">
        <v>3047</v>
      </c>
      <c r="J27" s="366">
        <v>3047</v>
      </c>
      <c r="K27" s="434">
        <f t="shared" si="3"/>
        <v>28516</v>
      </c>
      <c r="L27" s="461">
        <f t="shared" si="4"/>
        <v>29493</v>
      </c>
      <c r="M27" s="366">
        <f t="shared" si="5"/>
        <v>29664</v>
      </c>
    </row>
    <row r="28" spans="1:13" ht="15" customHeight="1">
      <c r="A28" s="97" t="s">
        <v>80</v>
      </c>
      <c r="B28" s="439">
        <f>28829+59362</f>
        <v>88191</v>
      </c>
      <c r="C28" s="461">
        <v>88191</v>
      </c>
      <c r="D28" s="461">
        <v>88191</v>
      </c>
      <c r="E28" s="698"/>
      <c r="F28" s="462"/>
      <c r="G28" s="699"/>
      <c r="H28" s="439"/>
      <c r="I28" s="461"/>
      <c r="J28" s="366"/>
      <c r="K28" s="434">
        <f t="shared" si="3"/>
        <v>88191</v>
      </c>
      <c r="L28" s="461">
        <f t="shared" si="4"/>
        <v>88191</v>
      </c>
      <c r="M28" s="366">
        <f t="shared" si="5"/>
        <v>88191</v>
      </c>
    </row>
    <row r="29" spans="1:13" ht="15" customHeight="1">
      <c r="A29" s="97" t="s">
        <v>28</v>
      </c>
      <c r="B29" s="439"/>
      <c r="C29" s="461"/>
      <c r="D29" s="461"/>
      <c r="E29" s="698"/>
      <c r="F29" s="462"/>
      <c r="G29" s="699"/>
      <c r="H29" s="439">
        <v>100617</v>
      </c>
      <c r="I29" s="461">
        <v>99870</v>
      </c>
      <c r="J29" s="366">
        <v>102870</v>
      </c>
      <c r="K29" s="434">
        <f t="shared" si="3"/>
        <v>100617</v>
      </c>
      <c r="L29" s="461">
        <f t="shared" si="4"/>
        <v>99870</v>
      </c>
      <c r="M29" s="366">
        <f t="shared" si="5"/>
        <v>102870</v>
      </c>
    </row>
    <row r="30" spans="1:13" ht="15" customHeight="1">
      <c r="A30" s="102" t="s">
        <v>29</v>
      </c>
      <c r="B30" s="439">
        <v>315380</v>
      </c>
      <c r="C30" s="461">
        <v>315396</v>
      </c>
      <c r="D30" s="461">
        <v>315396</v>
      </c>
      <c r="E30" s="698"/>
      <c r="F30" s="462"/>
      <c r="G30" s="699"/>
      <c r="H30" s="439">
        <v>113813</v>
      </c>
      <c r="I30" s="461">
        <v>156333</v>
      </c>
      <c r="J30" s="366">
        <v>156333</v>
      </c>
      <c r="K30" s="434">
        <f t="shared" si="3"/>
        <v>429193</v>
      </c>
      <c r="L30" s="461">
        <f t="shared" si="4"/>
        <v>471729</v>
      </c>
      <c r="M30" s="366">
        <f t="shared" si="5"/>
        <v>471729</v>
      </c>
    </row>
    <row r="31" spans="1:13" s="18" customFormat="1" ht="15" customHeight="1">
      <c r="A31" s="97" t="s">
        <v>322</v>
      </c>
      <c r="B31" s="439">
        <v>14811</v>
      </c>
      <c r="C31" s="461">
        <v>15514</v>
      </c>
      <c r="D31" s="461">
        <v>15514</v>
      </c>
      <c r="E31" s="698"/>
      <c r="F31" s="462"/>
      <c r="G31" s="699"/>
      <c r="H31" s="439"/>
      <c r="I31" s="461"/>
      <c r="J31" s="366"/>
      <c r="K31" s="434">
        <f t="shared" si="3"/>
        <v>14811</v>
      </c>
      <c r="L31" s="461">
        <f t="shared" si="4"/>
        <v>15514</v>
      </c>
      <c r="M31" s="366">
        <f t="shared" si="5"/>
        <v>15514</v>
      </c>
    </row>
    <row r="32" spans="1:13" s="18" customFormat="1" ht="15" customHeight="1">
      <c r="A32" s="97" t="s">
        <v>795</v>
      </c>
      <c r="B32" s="439">
        <v>52756</v>
      </c>
      <c r="C32" s="461">
        <v>52995</v>
      </c>
      <c r="D32" s="461">
        <v>52995</v>
      </c>
      <c r="E32" s="698"/>
      <c r="F32" s="462"/>
      <c r="G32" s="699">
        <v>463</v>
      </c>
      <c r="H32" s="439"/>
      <c r="I32" s="461">
        <v>275</v>
      </c>
      <c r="J32" s="366">
        <v>793</v>
      </c>
      <c r="K32" s="434">
        <f t="shared" si="3"/>
        <v>52756</v>
      </c>
      <c r="L32" s="461">
        <f t="shared" si="4"/>
        <v>53270</v>
      </c>
      <c r="M32" s="366">
        <f t="shared" si="5"/>
        <v>54251</v>
      </c>
    </row>
    <row r="33" spans="1:13" ht="15" customHeight="1">
      <c r="A33" s="98" t="s">
        <v>32</v>
      </c>
      <c r="B33" s="442">
        <f t="shared" ref="B33:H33" si="25">SUM(B34:B35)</f>
        <v>300</v>
      </c>
      <c r="C33" s="463">
        <f t="shared" ref="C33" si="26">SUM(C34:C35)</f>
        <v>19300</v>
      </c>
      <c r="D33" s="677">
        <f t="shared" ref="D33" si="27">SUM(D34:D35)</f>
        <v>19300</v>
      </c>
      <c r="E33" s="706">
        <f t="shared" si="25"/>
        <v>0</v>
      </c>
      <c r="F33" s="707">
        <f t="shared" ref="F33:G33" si="28">SUM(F34:F35)</f>
        <v>0</v>
      </c>
      <c r="G33" s="708">
        <f t="shared" si="28"/>
        <v>0</v>
      </c>
      <c r="H33" s="442">
        <f t="shared" si="25"/>
        <v>0</v>
      </c>
      <c r="I33" s="463">
        <f t="shared" ref="I33:J33" si="29">SUM(I34:I35)</f>
        <v>0</v>
      </c>
      <c r="J33" s="369">
        <f t="shared" si="29"/>
        <v>0</v>
      </c>
      <c r="K33" s="377">
        <f t="shared" si="3"/>
        <v>300</v>
      </c>
      <c r="L33" s="463">
        <f t="shared" si="4"/>
        <v>19300</v>
      </c>
      <c r="M33" s="369">
        <f t="shared" si="5"/>
        <v>19300</v>
      </c>
    </row>
    <row r="34" spans="1:13" s="18" customFormat="1" ht="15" customHeight="1">
      <c r="A34" s="97" t="s">
        <v>33</v>
      </c>
      <c r="B34" s="439">
        <f>300</f>
        <v>300</v>
      </c>
      <c r="C34" s="461">
        <v>19300</v>
      </c>
      <c r="D34" s="373">
        <v>19300</v>
      </c>
      <c r="E34" s="698"/>
      <c r="F34" s="462"/>
      <c r="G34" s="699"/>
      <c r="H34" s="439"/>
      <c r="I34" s="461"/>
      <c r="J34" s="366"/>
      <c r="K34" s="434">
        <f t="shared" si="3"/>
        <v>300</v>
      </c>
      <c r="L34" s="461">
        <f t="shared" si="4"/>
        <v>19300</v>
      </c>
      <c r="M34" s="366">
        <f t="shared" si="5"/>
        <v>19300</v>
      </c>
    </row>
    <row r="35" spans="1:13" s="18" customFormat="1" ht="15" customHeight="1">
      <c r="A35" s="97" t="s">
        <v>323</v>
      </c>
      <c r="B35" s="439"/>
      <c r="C35" s="461"/>
      <c r="D35" s="373"/>
      <c r="E35" s="698"/>
      <c r="F35" s="462"/>
      <c r="G35" s="699"/>
      <c r="H35" s="439"/>
      <c r="I35" s="461"/>
      <c r="J35" s="366"/>
      <c r="K35" s="434">
        <f t="shared" si="3"/>
        <v>0</v>
      </c>
      <c r="L35" s="461">
        <f t="shared" si="4"/>
        <v>0</v>
      </c>
      <c r="M35" s="366">
        <f t="shared" si="5"/>
        <v>0</v>
      </c>
    </row>
    <row r="36" spans="1:13" s="18" customFormat="1" ht="15" customHeight="1">
      <c r="A36" s="98" t="s">
        <v>35</v>
      </c>
      <c r="B36" s="442">
        <f t="shared" ref="B36:H36" si="30">SUM(B37:B38)</f>
        <v>77549</v>
      </c>
      <c r="C36" s="463">
        <f t="shared" si="30"/>
        <v>110649</v>
      </c>
      <c r="D36" s="677">
        <f t="shared" ref="D36" si="31">SUM(D37:D38)</f>
        <v>110649</v>
      </c>
      <c r="E36" s="706">
        <f t="shared" si="30"/>
        <v>0</v>
      </c>
      <c r="F36" s="707">
        <f t="shared" ref="F36:G36" si="32">SUM(F37:F38)</f>
        <v>0</v>
      </c>
      <c r="G36" s="708">
        <f t="shared" si="32"/>
        <v>0</v>
      </c>
      <c r="H36" s="442">
        <f t="shared" si="30"/>
        <v>0</v>
      </c>
      <c r="I36" s="463">
        <f t="shared" ref="I36:J36" si="33">SUM(I37:I38)</f>
        <v>0</v>
      </c>
      <c r="J36" s="369">
        <f t="shared" si="33"/>
        <v>0</v>
      </c>
      <c r="K36" s="377">
        <f t="shared" si="3"/>
        <v>77549</v>
      </c>
      <c r="L36" s="463">
        <f t="shared" si="4"/>
        <v>110649</v>
      </c>
      <c r="M36" s="369">
        <f t="shared" si="5"/>
        <v>110649</v>
      </c>
    </row>
    <row r="37" spans="1:13" s="18" customFormat="1" ht="15" customHeight="1">
      <c r="A37" s="97" t="s">
        <v>81</v>
      </c>
      <c r="B37" s="439">
        <f>'11. melléklet'!B48</f>
        <v>77549</v>
      </c>
      <c r="C37" s="461">
        <f>'11. melléklet'!C48</f>
        <v>77549</v>
      </c>
      <c r="D37" s="373">
        <f>'11. melléklet'!D48</f>
        <v>77549</v>
      </c>
      <c r="E37" s="698"/>
      <c r="F37" s="462"/>
      <c r="G37" s="699"/>
      <c r="H37" s="439"/>
      <c r="I37" s="461"/>
      <c r="J37" s="366"/>
      <c r="K37" s="434">
        <f t="shared" si="3"/>
        <v>77549</v>
      </c>
      <c r="L37" s="461">
        <f t="shared" si="4"/>
        <v>77549</v>
      </c>
      <c r="M37" s="366">
        <f t="shared" si="5"/>
        <v>77549</v>
      </c>
    </row>
    <row r="38" spans="1:13" s="18" customFormat="1" ht="15" customHeight="1">
      <c r="A38" s="97" t="s">
        <v>8</v>
      </c>
      <c r="B38" s="439"/>
      <c r="C38" s="461">
        <f>'11. melléklet'!C31</f>
        <v>33100</v>
      </c>
      <c r="D38" s="373">
        <f>'11. melléklet'!D31</f>
        <v>33100</v>
      </c>
      <c r="E38" s="698"/>
      <c r="F38" s="462"/>
      <c r="G38" s="699"/>
      <c r="H38" s="439"/>
      <c r="I38" s="461"/>
      <c r="J38" s="366"/>
      <c r="K38" s="434">
        <f t="shared" si="3"/>
        <v>0</v>
      </c>
      <c r="L38" s="461">
        <f t="shared" si="4"/>
        <v>33100</v>
      </c>
      <c r="M38" s="366">
        <f t="shared" si="5"/>
        <v>33100</v>
      </c>
    </row>
    <row r="39" spans="1:13" ht="15" customHeight="1">
      <c r="A39" s="103" t="s">
        <v>40</v>
      </c>
      <c r="B39" s="442">
        <f t="shared" ref="B39:H39" si="34">SUM(B40:B41)</f>
        <v>360</v>
      </c>
      <c r="C39" s="463">
        <f t="shared" si="34"/>
        <v>194056</v>
      </c>
      <c r="D39" s="677">
        <f t="shared" ref="D39" si="35">SUM(D40:D41)</f>
        <v>194056</v>
      </c>
      <c r="E39" s="706">
        <f t="shared" si="34"/>
        <v>250</v>
      </c>
      <c r="F39" s="707">
        <f t="shared" ref="F39:G39" si="36">SUM(F40:F41)</f>
        <v>250</v>
      </c>
      <c r="G39" s="708">
        <f t="shared" si="36"/>
        <v>250</v>
      </c>
      <c r="H39" s="442">
        <f t="shared" si="34"/>
        <v>0</v>
      </c>
      <c r="I39" s="463">
        <f t="shared" ref="I39:J39" si="37">SUM(I40:I41)</f>
        <v>0</v>
      </c>
      <c r="J39" s="369">
        <f t="shared" si="37"/>
        <v>5696</v>
      </c>
      <c r="K39" s="377">
        <f t="shared" si="3"/>
        <v>610</v>
      </c>
      <c r="L39" s="463">
        <f t="shared" si="4"/>
        <v>194306</v>
      </c>
      <c r="M39" s="369">
        <f t="shared" si="5"/>
        <v>200002</v>
      </c>
    </row>
    <row r="40" spans="1:13" ht="15" customHeight="1">
      <c r="A40" s="104" t="s">
        <v>81</v>
      </c>
      <c r="B40" s="439">
        <f>'11. melléklet'!B72</f>
        <v>360</v>
      </c>
      <c r="C40" s="461">
        <f>'11. melléklet'!C72</f>
        <v>360</v>
      </c>
      <c r="D40" s="373">
        <f>'11. melléklet'!D72</f>
        <v>360</v>
      </c>
      <c r="E40" s="698">
        <f>'11. melléklet'!B85</f>
        <v>250</v>
      </c>
      <c r="F40" s="462">
        <v>250</v>
      </c>
      <c r="G40" s="699">
        <v>250</v>
      </c>
      <c r="H40" s="439"/>
      <c r="I40" s="461"/>
      <c r="J40" s="366">
        <v>5696</v>
      </c>
      <c r="K40" s="434">
        <f t="shared" si="3"/>
        <v>610</v>
      </c>
      <c r="L40" s="461">
        <f t="shared" si="4"/>
        <v>610</v>
      </c>
      <c r="M40" s="366">
        <f t="shared" si="5"/>
        <v>6306</v>
      </c>
    </row>
    <row r="41" spans="1:13" s="19" customFormat="1" ht="15" customHeight="1" thickBot="1">
      <c r="A41" s="105" t="s">
        <v>8</v>
      </c>
      <c r="B41" s="671"/>
      <c r="C41" s="587">
        <f>'11. melléklet'!C64</f>
        <v>193696</v>
      </c>
      <c r="D41" s="678">
        <f>'11. melléklet'!D64</f>
        <v>193696</v>
      </c>
      <c r="E41" s="709"/>
      <c r="F41" s="710"/>
      <c r="G41" s="711"/>
      <c r="H41" s="671"/>
      <c r="I41" s="587"/>
      <c r="J41" s="263"/>
      <c r="K41" s="687">
        <f t="shared" si="3"/>
        <v>0</v>
      </c>
      <c r="L41" s="587">
        <f t="shared" si="4"/>
        <v>193696</v>
      </c>
      <c r="M41" s="263">
        <f t="shared" si="5"/>
        <v>193696</v>
      </c>
    </row>
    <row r="42" spans="1:13" s="18" customFormat="1" ht="15" customHeight="1" thickBot="1">
      <c r="A42" s="21" t="s">
        <v>48</v>
      </c>
      <c r="B42" s="80">
        <f>B5+B8+B11+B13+B24+B33+B36+B39</f>
        <v>5941568.4189999998</v>
      </c>
      <c r="C42" s="489">
        <f>C5+C8+C11+C13+C24+C33+C36+C39</f>
        <v>7288597</v>
      </c>
      <c r="D42" s="226">
        <f>D5+D8+D11+D13+D24+D33+D36+D39</f>
        <v>7176680</v>
      </c>
      <c r="E42" s="712">
        <f t="shared" ref="E42:H42" si="38">E5+E8+E11+E13+E24+E33+E36+E39</f>
        <v>95457</v>
      </c>
      <c r="F42" s="713">
        <f t="shared" ref="F42:G42" si="39">F5+F8+F11+F13+F24+F33+F36+F39</f>
        <v>104177</v>
      </c>
      <c r="G42" s="714">
        <f t="shared" si="39"/>
        <v>111498</v>
      </c>
      <c r="H42" s="80">
        <f t="shared" si="38"/>
        <v>550581</v>
      </c>
      <c r="I42" s="489">
        <f t="shared" ref="I42:J42" si="40">I5+I8+I11+I13+I24+I33+I36+I39</f>
        <v>777203</v>
      </c>
      <c r="J42" s="222">
        <f t="shared" si="40"/>
        <v>793057</v>
      </c>
      <c r="K42" s="148">
        <f t="shared" si="3"/>
        <v>6587606.4189999998</v>
      </c>
      <c r="L42" s="489">
        <f t="shared" si="4"/>
        <v>8169977</v>
      </c>
      <c r="M42" s="222">
        <f t="shared" si="5"/>
        <v>8081235</v>
      </c>
    </row>
    <row r="43" spans="1:13" s="18" customFormat="1" ht="15" customHeight="1">
      <c r="A43" s="106" t="s">
        <v>742</v>
      </c>
      <c r="B43" s="672">
        <f>'13. melléklet 3'!B13</f>
        <v>328519</v>
      </c>
      <c r="C43" s="493">
        <f>'13. melléklet 3'!C13</f>
        <v>328519</v>
      </c>
      <c r="D43" s="679">
        <f>'13. melléklet 3'!D13</f>
        <v>531104</v>
      </c>
      <c r="E43" s="715"/>
      <c r="F43" s="716"/>
      <c r="G43" s="717"/>
      <c r="H43" s="672"/>
      <c r="I43" s="493"/>
      <c r="J43" s="378"/>
      <c r="K43" s="261">
        <f t="shared" si="3"/>
        <v>328519</v>
      </c>
      <c r="L43" s="493">
        <f t="shared" si="4"/>
        <v>328519</v>
      </c>
      <c r="M43" s="378">
        <f t="shared" si="5"/>
        <v>531104</v>
      </c>
    </row>
    <row r="44" spans="1:13" s="18" customFormat="1" ht="15" customHeight="1">
      <c r="A44" s="106" t="s">
        <v>789</v>
      </c>
      <c r="B44" s="442">
        <v>2000000</v>
      </c>
      <c r="C44" s="463">
        <v>3000000</v>
      </c>
      <c r="D44" s="677">
        <v>3000000</v>
      </c>
      <c r="E44" s="706"/>
      <c r="F44" s="707"/>
      <c r="G44" s="708"/>
      <c r="H44" s="442"/>
      <c r="I44" s="463"/>
      <c r="J44" s="369"/>
      <c r="K44" s="377">
        <f t="shared" si="3"/>
        <v>2000000</v>
      </c>
      <c r="L44" s="463">
        <f t="shared" si="4"/>
        <v>3000000</v>
      </c>
      <c r="M44" s="369">
        <f t="shared" si="5"/>
        <v>3000000</v>
      </c>
    </row>
    <row r="45" spans="1:13" s="18" customFormat="1" ht="15" customHeight="1">
      <c r="A45" s="374" t="s">
        <v>82</v>
      </c>
      <c r="B45" s="442">
        <v>60000</v>
      </c>
      <c r="C45" s="463">
        <v>60000</v>
      </c>
      <c r="D45" s="677">
        <v>60000</v>
      </c>
      <c r="E45" s="706"/>
      <c r="F45" s="707"/>
      <c r="G45" s="708"/>
      <c r="H45" s="442"/>
      <c r="I45" s="463"/>
      <c r="J45" s="369"/>
      <c r="K45" s="377">
        <f t="shared" si="3"/>
        <v>60000</v>
      </c>
      <c r="L45" s="463">
        <f t="shared" si="4"/>
        <v>60000</v>
      </c>
      <c r="M45" s="369">
        <f t="shared" si="5"/>
        <v>60000</v>
      </c>
    </row>
    <row r="46" spans="1:13" s="18" customFormat="1" ht="15" customHeight="1">
      <c r="A46" s="375" t="s">
        <v>319</v>
      </c>
      <c r="B46" s="442">
        <f>'14. melléklet 1'!B20+'14. melléklet 2'!B26</f>
        <v>1909107</v>
      </c>
      <c r="C46" s="463">
        <v>1733828</v>
      </c>
      <c r="D46" s="677">
        <v>1733828</v>
      </c>
      <c r="E46" s="706">
        <f>'14. melléklet 3'!B14</f>
        <v>20000</v>
      </c>
      <c r="F46" s="707">
        <v>59403</v>
      </c>
      <c r="G46" s="708">
        <v>59403</v>
      </c>
      <c r="H46" s="442"/>
      <c r="I46" s="463">
        <v>148397</v>
      </c>
      <c r="J46" s="369">
        <v>148397</v>
      </c>
      <c r="K46" s="377">
        <f t="shared" si="3"/>
        <v>1929107</v>
      </c>
      <c r="L46" s="463">
        <f t="shared" si="4"/>
        <v>1941628</v>
      </c>
      <c r="M46" s="369">
        <f t="shared" si="5"/>
        <v>1941628</v>
      </c>
    </row>
    <row r="47" spans="1:13" s="18" customFormat="1" ht="15" customHeight="1" thickBot="1">
      <c r="A47" s="376" t="s">
        <v>53</v>
      </c>
      <c r="B47" s="673"/>
      <c r="C47" s="674"/>
      <c r="D47" s="680"/>
      <c r="E47" s="718">
        <v>882632</v>
      </c>
      <c r="F47" s="719">
        <v>878313</v>
      </c>
      <c r="G47" s="720">
        <v>877126</v>
      </c>
      <c r="H47" s="673">
        <v>1494639</v>
      </c>
      <c r="I47" s="674">
        <v>1423049</v>
      </c>
      <c r="J47" s="264">
        <v>1419650</v>
      </c>
      <c r="K47" s="688">
        <f t="shared" si="3"/>
        <v>2377271</v>
      </c>
      <c r="L47" s="674">
        <f t="shared" si="4"/>
        <v>2301362</v>
      </c>
      <c r="M47" s="264">
        <f t="shared" si="5"/>
        <v>2296776</v>
      </c>
    </row>
    <row r="48" spans="1:13" s="18" customFormat="1" ht="15" customHeight="1" thickBot="1">
      <c r="A48" s="23" t="s">
        <v>47</v>
      </c>
      <c r="B48" s="80">
        <f t="shared" ref="B48:H48" si="41">SUM(B43:B47)</f>
        <v>4297626</v>
      </c>
      <c r="C48" s="489">
        <f t="shared" ref="C48:D48" si="42">SUM(C43:C47)</f>
        <v>5122347</v>
      </c>
      <c r="D48" s="226">
        <f t="shared" si="42"/>
        <v>5324932</v>
      </c>
      <c r="E48" s="712">
        <f t="shared" si="41"/>
        <v>902632</v>
      </c>
      <c r="F48" s="713">
        <f t="shared" ref="F48:G48" si="43">SUM(F43:F47)</f>
        <v>937716</v>
      </c>
      <c r="G48" s="714">
        <f t="shared" si="43"/>
        <v>936529</v>
      </c>
      <c r="H48" s="80">
        <f t="shared" si="41"/>
        <v>1494639</v>
      </c>
      <c r="I48" s="489">
        <f t="shared" ref="I48:J48" si="44">SUM(I43:I47)</f>
        <v>1571446</v>
      </c>
      <c r="J48" s="222">
        <f t="shared" si="44"/>
        <v>1568047</v>
      </c>
      <c r="K48" s="148">
        <f t="shared" si="3"/>
        <v>6694897</v>
      </c>
      <c r="L48" s="489">
        <f t="shared" si="4"/>
        <v>7631509</v>
      </c>
      <c r="M48" s="222">
        <f t="shared" si="5"/>
        <v>7829508</v>
      </c>
    </row>
    <row r="49" spans="1:13" s="18" customFormat="1" ht="15" customHeight="1" thickBot="1">
      <c r="A49" s="22" t="s">
        <v>45</v>
      </c>
      <c r="B49" s="265">
        <f t="shared" ref="B49:H49" si="45">B42+B48</f>
        <v>10239194.419</v>
      </c>
      <c r="C49" s="585">
        <f t="shared" ref="C49:D49" si="46">C42+C48</f>
        <v>12410944</v>
      </c>
      <c r="D49" s="681">
        <f t="shared" si="46"/>
        <v>12501612</v>
      </c>
      <c r="E49" s="721">
        <f t="shared" si="45"/>
        <v>998089</v>
      </c>
      <c r="F49" s="722">
        <f t="shared" ref="F49:G49" si="47">F42+F48</f>
        <v>1041893</v>
      </c>
      <c r="G49" s="723">
        <f t="shared" si="47"/>
        <v>1048027</v>
      </c>
      <c r="H49" s="265">
        <f t="shared" si="45"/>
        <v>2045220</v>
      </c>
      <c r="I49" s="585">
        <f t="shared" ref="I49:J49" si="48">I42+I48</f>
        <v>2348649</v>
      </c>
      <c r="J49" s="266">
        <f t="shared" si="48"/>
        <v>2361104</v>
      </c>
      <c r="K49" s="267">
        <f t="shared" si="3"/>
        <v>13282503.419</v>
      </c>
      <c r="L49" s="585">
        <f t="shared" si="4"/>
        <v>15801486</v>
      </c>
      <c r="M49" s="266">
        <f t="shared" si="5"/>
        <v>15910743</v>
      </c>
    </row>
    <row r="50" spans="1:13" s="18" customFormat="1" ht="15" customHeight="1">
      <c r="A50" s="120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</row>
    <row r="51" spans="1:13">
      <c r="A51" s="119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</row>
    <row r="52" spans="1:13">
      <c r="A52" s="119"/>
    </row>
    <row r="53" spans="1:13">
      <c r="E53" s="20"/>
      <c r="F53" s="20"/>
      <c r="G53" s="20"/>
      <c r="K53" s="20"/>
      <c r="L53" s="20"/>
      <c r="M53" s="20"/>
    </row>
    <row r="55" spans="1:13">
      <c r="K55" s="20"/>
      <c r="L55" s="20"/>
      <c r="M55" s="20"/>
    </row>
    <row r="58" spans="1:13">
      <c r="H58" s="20"/>
      <c r="I58" s="20"/>
      <c r="J58" s="20"/>
    </row>
    <row r="66" spans="8:13">
      <c r="H66" s="20"/>
      <c r="I66" s="20"/>
      <c r="J66" s="20"/>
      <c r="K66" s="20"/>
      <c r="L66" s="20"/>
      <c r="M66" s="20"/>
    </row>
  </sheetData>
  <mergeCells count="6">
    <mergeCell ref="A1:M1"/>
    <mergeCell ref="A3:A4"/>
    <mergeCell ref="B3:D3"/>
    <mergeCell ref="E3:G3"/>
    <mergeCell ref="H3:J3"/>
    <mergeCell ref="K3:M3"/>
  </mergeCells>
  <printOptions horizontalCentered="1" verticalCentered="1"/>
  <pageMargins left="0.15748031496062992" right="0.27559055118110237" top="0.62992125984251968" bottom="0.74803149606299213" header="0.31496062992125984" footer="0.31496062992125984"/>
  <pageSetup paperSize="9" scale="61" orientation="landscape" r:id="rId1"/>
  <headerFooter>
    <oddHeader>&amp;L&amp;"Times New Roman,Normál"3.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view="pageLayout" topLeftCell="C1" zoomScale="142" zoomScaleNormal="80" zoomScalePageLayoutView="142" workbookViewId="0">
      <selection activeCell="C2" sqref="C2:O2"/>
    </sheetView>
  </sheetViews>
  <sheetFormatPr defaultRowHeight="25.5" customHeight="1"/>
  <cols>
    <col min="1" max="2" width="0" style="2" hidden="1" customWidth="1"/>
    <col min="3" max="3" width="58.7109375" style="2" customWidth="1"/>
    <col min="4" max="12" width="12.5703125" style="2" customWidth="1"/>
    <col min="13" max="15" width="13.7109375" style="2" customWidth="1"/>
    <col min="16" max="16384" width="9.140625" style="2"/>
  </cols>
  <sheetData>
    <row r="1" spans="1:15" ht="15">
      <c r="C1" s="2036" t="s">
        <v>570</v>
      </c>
      <c r="D1" s="2036"/>
      <c r="E1" s="2036"/>
      <c r="F1" s="2036"/>
      <c r="G1" s="2036"/>
      <c r="H1" s="2036"/>
      <c r="I1" s="2036"/>
      <c r="J1" s="2036"/>
      <c r="K1" s="2036"/>
      <c r="L1" s="2036"/>
      <c r="M1" s="2036"/>
      <c r="N1" s="2036"/>
      <c r="O1" s="2036"/>
    </row>
    <row r="2" spans="1:15" ht="15">
      <c r="C2" s="2036" t="s">
        <v>912</v>
      </c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6"/>
    </row>
    <row r="3" spans="1:15" ht="15.75" thickBot="1">
      <c r="C3" s="26"/>
      <c r="D3" s="26"/>
      <c r="E3" s="249"/>
      <c r="F3" s="479"/>
      <c r="G3" s="26"/>
      <c r="H3" s="249"/>
      <c r="I3" s="479"/>
      <c r="J3" s="26"/>
      <c r="K3" s="249"/>
      <c r="L3" s="479"/>
    </row>
    <row r="4" spans="1:15" ht="60.75" customHeight="1" thickBot="1">
      <c r="A4" s="27"/>
      <c r="C4" s="2053" t="s">
        <v>85</v>
      </c>
      <c r="D4" s="2055" t="s">
        <v>66</v>
      </c>
      <c r="E4" s="2056"/>
      <c r="F4" s="2057"/>
      <c r="G4" s="2058" t="s">
        <v>316</v>
      </c>
      <c r="H4" s="2059"/>
      <c r="I4" s="2060"/>
      <c r="J4" s="2058" t="s">
        <v>83</v>
      </c>
      <c r="K4" s="2059"/>
      <c r="L4" s="2060"/>
      <c r="M4" s="2061" t="s">
        <v>68</v>
      </c>
      <c r="N4" s="2056"/>
      <c r="O4" s="2062"/>
    </row>
    <row r="5" spans="1:15" ht="29.25" thickBot="1">
      <c r="A5" s="4"/>
      <c r="B5" s="28"/>
      <c r="C5" s="2054"/>
      <c r="D5" s="639" t="s">
        <v>3</v>
      </c>
      <c r="E5" s="640" t="s">
        <v>962</v>
      </c>
      <c r="F5" s="1393" t="s">
        <v>975</v>
      </c>
      <c r="G5" s="1394" t="s">
        <v>3</v>
      </c>
      <c r="H5" s="640" t="s">
        <v>962</v>
      </c>
      <c r="I5" s="1395" t="s">
        <v>975</v>
      </c>
      <c r="J5" s="1394" t="s">
        <v>3</v>
      </c>
      <c r="K5" s="640" t="s">
        <v>962</v>
      </c>
      <c r="L5" s="1395" t="s">
        <v>975</v>
      </c>
      <c r="M5" s="1396" t="s">
        <v>3</v>
      </c>
      <c r="N5" s="640" t="s">
        <v>962</v>
      </c>
      <c r="O5" s="1395" t="s">
        <v>975</v>
      </c>
    </row>
    <row r="6" spans="1:15" s="24" customFormat="1" ht="15" customHeight="1">
      <c r="A6" s="29"/>
      <c r="C6" s="84" t="s">
        <v>6</v>
      </c>
      <c r="D6" s="636">
        <v>234169</v>
      </c>
      <c r="E6" s="637">
        <v>241327</v>
      </c>
      <c r="F6" s="647">
        <v>241375</v>
      </c>
      <c r="G6" s="636">
        <v>689343</v>
      </c>
      <c r="H6" s="637">
        <v>698575</v>
      </c>
      <c r="I6" s="658">
        <v>703652</v>
      </c>
      <c r="J6" s="636">
        <v>929274</v>
      </c>
      <c r="K6" s="637">
        <v>960880</v>
      </c>
      <c r="L6" s="658">
        <v>964171</v>
      </c>
      <c r="M6" s="379">
        <f t="shared" ref="M6:M33" si="0">D6+G6+J6</f>
        <v>1852786</v>
      </c>
      <c r="N6" s="311">
        <f t="shared" ref="N6:N33" si="1">E6+H6+K6</f>
        <v>1900782</v>
      </c>
      <c r="O6" s="638">
        <f t="shared" ref="O6:O33" si="2">F6+I6+L6</f>
        <v>1909198</v>
      </c>
    </row>
    <row r="7" spans="1:15" s="24" customFormat="1" ht="15" customHeight="1">
      <c r="A7" s="29"/>
      <c r="C7" s="85" t="s">
        <v>86</v>
      </c>
      <c r="D7" s="448">
        <v>45897</v>
      </c>
      <c r="E7" s="627">
        <v>48806</v>
      </c>
      <c r="F7" s="648">
        <v>49233</v>
      </c>
      <c r="G7" s="448">
        <v>129767</v>
      </c>
      <c r="H7" s="627">
        <v>128838</v>
      </c>
      <c r="I7" s="382">
        <v>129664</v>
      </c>
      <c r="J7" s="448">
        <v>167273</v>
      </c>
      <c r="K7" s="627">
        <v>165025</v>
      </c>
      <c r="L7" s="382">
        <v>165651</v>
      </c>
      <c r="M7" s="380">
        <f t="shared" si="0"/>
        <v>342937</v>
      </c>
      <c r="N7" s="628">
        <f t="shared" si="1"/>
        <v>342669</v>
      </c>
      <c r="O7" s="634">
        <f t="shared" si="2"/>
        <v>344548</v>
      </c>
    </row>
    <row r="8" spans="1:15" s="24" customFormat="1" ht="15" customHeight="1">
      <c r="A8" s="29"/>
      <c r="C8" s="86" t="s">
        <v>12</v>
      </c>
      <c r="D8" s="449">
        <v>1407856</v>
      </c>
      <c r="E8" s="629">
        <v>1649290</v>
      </c>
      <c r="F8" s="649">
        <v>1673646</v>
      </c>
      <c r="G8" s="449">
        <v>161193</v>
      </c>
      <c r="H8" s="629">
        <v>166919</v>
      </c>
      <c r="I8" s="383">
        <v>166976</v>
      </c>
      <c r="J8" s="449">
        <v>841559</v>
      </c>
      <c r="K8" s="629">
        <v>1146140</v>
      </c>
      <c r="L8" s="383">
        <v>1136811</v>
      </c>
      <c r="M8" s="380">
        <f t="shared" si="0"/>
        <v>2410608</v>
      </c>
      <c r="N8" s="628">
        <f t="shared" si="1"/>
        <v>2962349</v>
      </c>
      <c r="O8" s="634">
        <f t="shared" si="2"/>
        <v>2977433</v>
      </c>
    </row>
    <row r="9" spans="1:15" s="24" customFormat="1" ht="15" customHeight="1">
      <c r="A9" s="29"/>
      <c r="C9" s="87" t="s">
        <v>14</v>
      </c>
      <c r="D9" s="449">
        <f>'9. melléklet'!B19</f>
        <v>64850</v>
      </c>
      <c r="E9" s="629">
        <f>'9. melléklet'!C19</f>
        <v>64350</v>
      </c>
      <c r="F9" s="649">
        <f>'9. melléklet'!D19</f>
        <v>64350</v>
      </c>
      <c r="G9" s="449"/>
      <c r="H9" s="629"/>
      <c r="I9" s="383"/>
      <c r="J9" s="449"/>
      <c r="K9" s="629"/>
      <c r="L9" s="383"/>
      <c r="M9" s="380">
        <f t="shared" si="0"/>
        <v>64850</v>
      </c>
      <c r="N9" s="628">
        <f t="shared" si="1"/>
        <v>64350</v>
      </c>
      <c r="O9" s="634">
        <f t="shared" si="2"/>
        <v>64350</v>
      </c>
    </row>
    <row r="10" spans="1:15" s="24" customFormat="1" ht="15" customHeight="1">
      <c r="A10" s="29"/>
      <c r="C10" s="86" t="s">
        <v>16</v>
      </c>
      <c r="D10" s="449">
        <f t="shared" ref="D10:J10" si="3">SUM(D11:D15)</f>
        <v>1323721</v>
      </c>
      <c r="E10" s="629">
        <f t="shared" ref="E10:F10" si="4">SUM(E11:E15)</f>
        <v>1463904</v>
      </c>
      <c r="F10" s="649">
        <f t="shared" si="4"/>
        <v>1586240</v>
      </c>
      <c r="G10" s="449">
        <f t="shared" si="3"/>
        <v>0</v>
      </c>
      <c r="H10" s="629">
        <f t="shared" ref="H10:I10" si="5">SUM(H11:H15)</f>
        <v>29596</v>
      </c>
      <c r="I10" s="383">
        <f t="shared" si="5"/>
        <v>29596</v>
      </c>
      <c r="J10" s="449">
        <f t="shared" si="3"/>
        <v>0</v>
      </c>
      <c r="K10" s="629">
        <f t="shared" ref="K10:L10" si="6">SUM(K11:K15)</f>
        <v>0</v>
      </c>
      <c r="L10" s="383">
        <f t="shared" si="6"/>
        <v>0</v>
      </c>
      <c r="M10" s="380">
        <f t="shared" si="0"/>
        <v>1323721</v>
      </c>
      <c r="N10" s="628">
        <f t="shared" si="1"/>
        <v>1493500</v>
      </c>
      <c r="O10" s="634">
        <f t="shared" si="2"/>
        <v>1615836</v>
      </c>
    </row>
    <row r="11" spans="1:15" ht="15" customHeight="1">
      <c r="A11" s="27"/>
      <c r="C11" s="88" t="s">
        <v>17</v>
      </c>
      <c r="D11" s="450"/>
      <c r="E11" s="630">
        <v>48564</v>
      </c>
      <c r="F11" s="650">
        <v>98102</v>
      </c>
      <c r="G11" s="450"/>
      <c r="H11" s="630">
        <v>29596</v>
      </c>
      <c r="I11" s="384">
        <v>29596</v>
      </c>
      <c r="J11" s="878"/>
      <c r="K11" s="630"/>
      <c r="L11" s="384"/>
      <c r="M11" s="380">
        <f t="shared" si="0"/>
        <v>0</v>
      </c>
      <c r="N11" s="628">
        <f t="shared" si="1"/>
        <v>78160</v>
      </c>
      <c r="O11" s="634">
        <f t="shared" si="2"/>
        <v>127698</v>
      </c>
    </row>
    <row r="12" spans="1:15" ht="15" customHeight="1">
      <c r="A12" s="27"/>
      <c r="C12" s="88" t="s">
        <v>18</v>
      </c>
      <c r="D12" s="450">
        <v>18000</v>
      </c>
      <c r="E12" s="630">
        <v>18000</v>
      </c>
      <c r="F12" s="650">
        <v>18000</v>
      </c>
      <c r="G12" s="450"/>
      <c r="H12" s="630"/>
      <c r="I12" s="384"/>
      <c r="J12" s="450"/>
      <c r="K12" s="630"/>
      <c r="L12" s="384"/>
      <c r="M12" s="380">
        <f t="shared" si="0"/>
        <v>18000</v>
      </c>
      <c r="N12" s="628">
        <f t="shared" si="1"/>
        <v>18000</v>
      </c>
      <c r="O12" s="634">
        <f t="shared" si="2"/>
        <v>18000</v>
      </c>
    </row>
    <row r="13" spans="1:15" ht="15" customHeight="1">
      <c r="A13" s="27"/>
      <c r="C13" s="89" t="s">
        <v>19</v>
      </c>
      <c r="D13" s="451">
        <f>'10. melléklet'!B53</f>
        <v>20000</v>
      </c>
      <c r="E13" s="631">
        <f>'10. melléklet'!C53</f>
        <v>20000</v>
      </c>
      <c r="F13" s="651">
        <f>'10. melléklet'!D53</f>
        <v>20000</v>
      </c>
      <c r="G13" s="451"/>
      <c r="H13" s="631"/>
      <c r="I13" s="385"/>
      <c r="J13" s="451"/>
      <c r="K13" s="631"/>
      <c r="L13" s="385"/>
      <c r="M13" s="380">
        <f t="shared" si="0"/>
        <v>20000</v>
      </c>
      <c r="N13" s="628">
        <f t="shared" si="1"/>
        <v>20000</v>
      </c>
      <c r="O13" s="634">
        <f t="shared" si="2"/>
        <v>20000</v>
      </c>
    </row>
    <row r="14" spans="1:15" ht="15" customHeight="1">
      <c r="A14" s="27"/>
      <c r="C14" s="89" t="s">
        <v>21</v>
      </c>
      <c r="D14" s="451">
        <f>'10. melléklet'!B48</f>
        <v>1182077</v>
      </c>
      <c r="E14" s="631">
        <f>'10. melléklet'!C48</f>
        <v>1254032</v>
      </c>
      <c r="F14" s="651">
        <f>'10. melléklet'!D48</f>
        <v>1337275</v>
      </c>
      <c r="G14" s="451"/>
      <c r="H14" s="631"/>
      <c r="I14" s="385"/>
      <c r="J14" s="451"/>
      <c r="K14" s="631"/>
      <c r="L14" s="385"/>
      <c r="M14" s="380">
        <f t="shared" si="0"/>
        <v>1182077</v>
      </c>
      <c r="N14" s="628">
        <f t="shared" si="1"/>
        <v>1254032</v>
      </c>
      <c r="O14" s="634">
        <f t="shared" si="2"/>
        <v>1337275</v>
      </c>
    </row>
    <row r="15" spans="1:15" ht="15" customHeight="1">
      <c r="A15" s="27"/>
      <c r="C15" s="88" t="s">
        <v>23</v>
      </c>
      <c r="D15" s="451">
        <f t="shared" ref="D15:J15" si="7">SUM(D16:D18)</f>
        <v>103644</v>
      </c>
      <c r="E15" s="631">
        <f t="shared" ref="E15:F15" si="8">SUM(E16:E18)</f>
        <v>123308</v>
      </c>
      <c r="F15" s="651">
        <f t="shared" si="8"/>
        <v>112863</v>
      </c>
      <c r="G15" s="451">
        <f t="shared" si="7"/>
        <v>0</v>
      </c>
      <c r="H15" s="631">
        <f t="shared" ref="H15:I15" si="9">SUM(H16:H18)</f>
        <v>0</v>
      </c>
      <c r="I15" s="385">
        <f t="shared" si="9"/>
        <v>0</v>
      </c>
      <c r="J15" s="451">
        <f t="shared" si="7"/>
        <v>0</v>
      </c>
      <c r="K15" s="631">
        <f t="shared" ref="K15:L15" si="10">SUM(K16:K18)</f>
        <v>0</v>
      </c>
      <c r="L15" s="385">
        <f t="shared" si="10"/>
        <v>0</v>
      </c>
      <c r="M15" s="380">
        <f t="shared" si="0"/>
        <v>103644</v>
      </c>
      <c r="N15" s="628">
        <f t="shared" si="1"/>
        <v>123308</v>
      </c>
      <c r="O15" s="634">
        <f t="shared" si="2"/>
        <v>112863</v>
      </c>
    </row>
    <row r="16" spans="1:15" s="31" customFormat="1" ht="15" customHeight="1">
      <c r="A16" s="30"/>
      <c r="C16" s="90" t="s">
        <v>25</v>
      </c>
      <c r="D16" s="452">
        <f>'16. melléklet'!B8</f>
        <v>30000</v>
      </c>
      <c r="E16" s="632">
        <f>'16. melléklet'!C8</f>
        <v>37236</v>
      </c>
      <c r="F16" s="652">
        <f>'16. melléklet'!D8</f>
        <v>26245</v>
      </c>
      <c r="G16" s="452"/>
      <c r="H16" s="632"/>
      <c r="I16" s="386"/>
      <c r="J16" s="452"/>
      <c r="K16" s="632"/>
      <c r="L16" s="386"/>
      <c r="M16" s="381">
        <f t="shared" si="0"/>
        <v>30000</v>
      </c>
      <c r="N16" s="633">
        <f t="shared" si="1"/>
        <v>37236</v>
      </c>
      <c r="O16" s="635">
        <f t="shared" si="2"/>
        <v>26245</v>
      </c>
    </row>
    <row r="17" spans="1:15" s="31" customFormat="1" ht="15" customHeight="1">
      <c r="A17" s="30"/>
      <c r="C17" s="90" t="s">
        <v>892</v>
      </c>
      <c r="D17" s="452">
        <f>'16. melléklet'!B9</f>
        <v>0</v>
      </c>
      <c r="E17" s="632">
        <f>'16. melléklet'!C9</f>
        <v>760</v>
      </c>
      <c r="F17" s="652">
        <f>'16. melléklet'!D9</f>
        <v>1306</v>
      </c>
      <c r="G17" s="452"/>
      <c r="H17" s="632"/>
      <c r="I17" s="386"/>
      <c r="J17" s="452"/>
      <c r="K17" s="632"/>
      <c r="L17" s="386"/>
      <c r="M17" s="381">
        <f t="shared" si="0"/>
        <v>0</v>
      </c>
      <c r="N17" s="633">
        <f t="shared" si="1"/>
        <v>760</v>
      </c>
      <c r="O17" s="635">
        <f t="shared" si="2"/>
        <v>1306</v>
      </c>
    </row>
    <row r="18" spans="1:15" s="31" customFormat="1" ht="15" customHeight="1">
      <c r="C18" s="90" t="s">
        <v>87</v>
      </c>
      <c r="D18" s="452">
        <f>'16. melléklet'!B11</f>
        <v>73644</v>
      </c>
      <c r="E18" s="632">
        <f>'16. melléklet'!C11</f>
        <v>85312</v>
      </c>
      <c r="F18" s="652">
        <f>'16. melléklet'!D11</f>
        <v>85312</v>
      </c>
      <c r="G18" s="452"/>
      <c r="H18" s="632"/>
      <c r="I18" s="386"/>
      <c r="J18" s="452"/>
      <c r="K18" s="632"/>
      <c r="L18" s="386"/>
      <c r="M18" s="381">
        <f t="shared" si="0"/>
        <v>73644</v>
      </c>
      <c r="N18" s="633">
        <f t="shared" si="1"/>
        <v>85312</v>
      </c>
      <c r="O18" s="635">
        <f t="shared" si="2"/>
        <v>85312</v>
      </c>
    </row>
    <row r="19" spans="1:15" s="24" customFormat="1" ht="15" customHeight="1">
      <c r="C19" s="87" t="s">
        <v>317</v>
      </c>
      <c r="D19" s="448">
        <f>'7. melléklet'!B4</f>
        <v>2130929</v>
      </c>
      <c r="E19" s="627">
        <f>'7. melléklet'!C4</f>
        <v>3024805</v>
      </c>
      <c r="F19" s="648">
        <f>'7. melléklet'!D4</f>
        <v>2861819</v>
      </c>
      <c r="G19" s="448">
        <f>'7. melléklet'!B74</f>
        <v>14659</v>
      </c>
      <c r="H19" s="627">
        <f>'7. melléklet'!C74</f>
        <v>14838</v>
      </c>
      <c r="I19" s="382">
        <f>'7. melléklet'!D74</f>
        <v>15012</v>
      </c>
      <c r="J19" s="448">
        <v>50753</v>
      </c>
      <c r="K19" s="627">
        <v>51866</v>
      </c>
      <c r="L19" s="382">
        <v>72733</v>
      </c>
      <c r="M19" s="380">
        <f t="shared" si="0"/>
        <v>2196341</v>
      </c>
      <c r="N19" s="628">
        <f t="shared" si="1"/>
        <v>3091509</v>
      </c>
      <c r="O19" s="634">
        <f t="shared" si="2"/>
        <v>2949564</v>
      </c>
    </row>
    <row r="20" spans="1:15" s="24" customFormat="1" ht="15" customHeight="1">
      <c r="C20" s="87" t="s">
        <v>318</v>
      </c>
      <c r="D20" s="448">
        <f>'8. melléklet'!B4</f>
        <v>544052</v>
      </c>
      <c r="E20" s="627">
        <f>'8. melléklet'!C4</f>
        <v>424131</v>
      </c>
      <c r="F20" s="648">
        <f>'8. melléklet'!D4</f>
        <v>409448</v>
      </c>
      <c r="G20" s="448">
        <f>'8. melléklet'!B43</f>
        <v>1927</v>
      </c>
      <c r="H20" s="627">
        <f>'8. melléklet'!C43</f>
        <v>1927</v>
      </c>
      <c r="I20" s="382">
        <f>'8. melléklet'!D43</f>
        <v>1927</v>
      </c>
      <c r="J20" s="448">
        <v>56361</v>
      </c>
      <c r="K20" s="627">
        <v>24738</v>
      </c>
      <c r="L20" s="382">
        <v>21738</v>
      </c>
      <c r="M20" s="380">
        <f t="shared" si="0"/>
        <v>602340</v>
      </c>
      <c r="N20" s="628">
        <f t="shared" si="1"/>
        <v>450796</v>
      </c>
      <c r="O20" s="634">
        <f t="shared" si="2"/>
        <v>433113</v>
      </c>
    </row>
    <row r="21" spans="1:15" s="24" customFormat="1" ht="15" customHeight="1">
      <c r="C21" s="87" t="s">
        <v>34</v>
      </c>
      <c r="D21" s="448">
        <f t="shared" ref="D21:J21" si="11">SUM(D22:D24)</f>
        <v>23900</v>
      </c>
      <c r="E21" s="627">
        <f t="shared" ref="E21:F21" si="12">SUM(E22:E24)</f>
        <v>26400</v>
      </c>
      <c r="F21" s="648">
        <f t="shared" si="12"/>
        <v>116396</v>
      </c>
      <c r="G21" s="448">
        <f t="shared" si="11"/>
        <v>1200</v>
      </c>
      <c r="H21" s="627">
        <f t="shared" ref="H21:I21" si="13">SUM(H22:H24)</f>
        <v>1200</v>
      </c>
      <c r="I21" s="382">
        <f t="shared" si="13"/>
        <v>1200</v>
      </c>
      <c r="J21" s="448">
        <f t="shared" si="11"/>
        <v>0</v>
      </c>
      <c r="K21" s="627">
        <f t="shared" ref="K21:L21" si="14">SUM(K22:K24)</f>
        <v>0</v>
      </c>
      <c r="L21" s="382">
        <f t="shared" si="14"/>
        <v>0</v>
      </c>
      <c r="M21" s="380">
        <f t="shared" si="0"/>
        <v>25100</v>
      </c>
      <c r="N21" s="628">
        <f t="shared" si="1"/>
        <v>27600</v>
      </c>
      <c r="O21" s="634">
        <f t="shared" si="2"/>
        <v>117596</v>
      </c>
    </row>
    <row r="22" spans="1:15" ht="15" customHeight="1">
      <c r="C22" s="88" t="s">
        <v>19</v>
      </c>
      <c r="D22" s="451">
        <f>'10. melléklet'!B73</f>
        <v>0</v>
      </c>
      <c r="E22" s="631">
        <f>'10. melléklet'!C73</f>
        <v>0</v>
      </c>
      <c r="F22" s="651">
        <f>'10. melléklet'!D73</f>
        <v>1500</v>
      </c>
      <c r="G22" s="451">
        <f>'10. melléklet'!B81</f>
        <v>1200</v>
      </c>
      <c r="H22" s="631">
        <f>'10. melléklet'!C81</f>
        <v>1200</v>
      </c>
      <c r="I22" s="385">
        <f>'10. melléklet'!D81</f>
        <v>1200</v>
      </c>
      <c r="J22" s="451"/>
      <c r="K22" s="631"/>
      <c r="L22" s="385"/>
      <c r="M22" s="380">
        <f t="shared" si="0"/>
        <v>1200</v>
      </c>
      <c r="N22" s="628">
        <f t="shared" si="1"/>
        <v>1200</v>
      </c>
      <c r="O22" s="634">
        <f t="shared" si="2"/>
        <v>2700</v>
      </c>
    </row>
    <row r="23" spans="1:15" ht="15" customHeight="1">
      <c r="C23" s="89" t="s">
        <v>36</v>
      </c>
      <c r="D23" s="451">
        <f>'10. melléklet'!B68</f>
        <v>13900</v>
      </c>
      <c r="E23" s="631">
        <f>'10. melléklet'!C68</f>
        <v>16400</v>
      </c>
      <c r="F23" s="651">
        <f>'10. melléklet'!D68</f>
        <v>18650</v>
      </c>
      <c r="G23" s="451"/>
      <c r="H23" s="631"/>
      <c r="I23" s="385"/>
      <c r="J23" s="451"/>
      <c r="K23" s="631"/>
      <c r="L23" s="385"/>
      <c r="M23" s="380">
        <f t="shared" si="0"/>
        <v>13900</v>
      </c>
      <c r="N23" s="628">
        <f t="shared" si="1"/>
        <v>16400</v>
      </c>
      <c r="O23" s="634">
        <f t="shared" si="2"/>
        <v>18650</v>
      </c>
    </row>
    <row r="24" spans="1:15" ht="15" customHeight="1">
      <c r="C24" s="89" t="s">
        <v>88</v>
      </c>
      <c r="D24" s="451">
        <f t="shared" ref="D24:J24" si="15">SUM(D25:D26)</f>
        <v>10000</v>
      </c>
      <c r="E24" s="631">
        <f t="shared" ref="E24:F24" si="16">SUM(E25:E26)</f>
        <v>10000</v>
      </c>
      <c r="F24" s="651">
        <f t="shared" si="16"/>
        <v>96246</v>
      </c>
      <c r="G24" s="451">
        <f t="shared" si="15"/>
        <v>0</v>
      </c>
      <c r="H24" s="631">
        <f t="shared" ref="H24:I24" si="17">SUM(H25:H26)</f>
        <v>0</v>
      </c>
      <c r="I24" s="385">
        <f t="shared" si="17"/>
        <v>0</v>
      </c>
      <c r="J24" s="451">
        <f t="shared" si="15"/>
        <v>0</v>
      </c>
      <c r="K24" s="631">
        <f t="shared" ref="K24:L24" si="18">SUM(K25:K26)</f>
        <v>0</v>
      </c>
      <c r="L24" s="385">
        <f t="shared" si="18"/>
        <v>0</v>
      </c>
      <c r="M24" s="380">
        <f t="shared" si="0"/>
        <v>10000</v>
      </c>
      <c r="N24" s="628">
        <f t="shared" si="1"/>
        <v>10000</v>
      </c>
      <c r="O24" s="634">
        <f t="shared" si="2"/>
        <v>96246</v>
      </c>
    </row>
    <row r="25" spans="1:15" s="32" customFormat="1" ht="15" customHeight="1">
      <c r="C25" s="93" t="s">
        <v>39</v>
      </c>
      <c r="D25" s="452">
        <f>'16. melléklet'!B24</f>
        <v>10000</v>
      </c>
      <c r="E25" s="632">
        <f>'16. melléklet'!C24</f>
        <v>10000</v>
      </c>
      <c r="F25" s="652">
        <f>'16. melléklet'!D24</f>
        <v>68246</v>
      </c>
      <c r="G25" s="452"/>
      <c r="H25" s="632"/>
      <c r="I25" s="386"/>
      <c r="J25" s="452"/>
      <c r="K25" s="632"/>
      <c r="L25" s="386"/>
      <c r="M25" s="381">
        <f t="shared" si="0"/>
        <v>10000</v>
      </c>
      <c r="N25" s="633">
        <f t="shared" si="1"/>
        <v>10000</v>
      </c>
      <c r="O25" s="635">
        <f t="shared" si="2"/>
        <v>68246</v>
      </c>
    </row>
    <row r="26" spans="1:15" s="32" customFormat="1" ht="15" customHeight="1" thickBot="1">
      <c r="C26" s="91" t="s">
        <v>529</v>
      </c>
      <c r="D26" s="641">
        <f>'16. melléklet'!B32</f>
        <v>0</v>
      </c>
      <c r="E26" s="642">
        <f>'16. melléklet'!C32</f>
        <v>0</v>
      </c>
      <c r="F26" s="653">
        <f>'16. melléklet'!D32</f>
        <v>28000</v>
      </c>
      <c r="G26" s="641"/>
      <c r="H26" s="642"/>
      <c r="I26" s="659"/>
      <c r="J26" s="641"/>
      <c r="K26" s="642"/>
      <c r="L26" s="659"/>
      <c r="M26" s="660">
        <f t="shared" si="0"/>
        <v>0</v>
      </c>
      <c r="N26" s="643">
        <f t="shared" si="1"/>
        <v>0</v>
      </c>
      <c r="O26" s="251">
        <f t="shared" si="2"/>
        <v>28000</v>
      </c>
    </row>
    <row r="27" spans="1:15" s="24" customFormat="1" ht="15" customHeight="1" thickBot="1">
      <c r="C27" s="25" t="s">
        <v>49</v>
      </c>
      <c r="D27" s="252">
        <f t="shared" ref="D27:J27" si="19">D6+D7+D8+D9+D10+D19+D20+D21</f>
        <v>5775374</v>
      </c>
      <c r="E27" s="644">
        <f t="shared" ref="E27:F27" si="20">E6+E7+E8+E9+E10+E19+E20+E21</f>
        <v>6943013</v>
      </c>
      <c r="F27" s="654">
        <f t="shared" si="20"/>
        <v>7002507</v>
      </c>
      <c r="G27" s="252">
        <f t="shared" si="19"/>
        <v>998089</v>
      </c>
      <c r="H27" s="644">
        <f t="shared" ref="H27:I27" si="21">H6+H7+H8+H9+H10+H19+H20+H21</f>
        <v>1041893</v>
      </c>
      <c r="I27" s="253">
        <f t="shared" si="21"/>
        <v>1048027</v>
      </c>
      <c r="J27" s="252">
        <f t="shared" si="19"/>
        <v>2045220</v>
      </c>
      <c r="K27" s="644">
        <f t="shared" ref="K27:L27" si="22">K6+K7+K8+K9+K10+K19+K20+K21</f>
        <v>2348649</v>
      </c>
      <c r="L27" s="253">
        <f t="shared" si="22"/>
        <v>2361104</v>
      </c>
      <c r="M27" s="445">
        <f t="shared" si="0"/>
        <v>8818683</v>
      </c>
      <c r="N27" s="644">
        <f t="shared" si="1"/>
        <v>10333555</v>
      </c>
      <c r="O27" s="253">
        <f t="shared" si="2"/>
        <v>10411638</v>
      </c>
    </row>
    <row r="28" spans="1:15" s="24" customFormat="1" ht="15" customHeight="1">
      <c r="C28" s="84" t="s">
        <v>41</v>
      </c>
      <c r="D28" s="636">
        <v>106549</v>
      </c>
      <c r="E28" s="637">
        <v>106569</v>
      </c>
      <c r="F28" s="647">
        <v>142329</v>
      </c>
      <c r="G28" s="636"/>
      <c r="H28" s="637"/>
      <c r="I28" s="658"/>
      <c r="J28" s="636"/>
      <c r="K28" s="637"/>
      <c r="L28" s="658"/>
      <c r="M28" s="379">
        <f t="shared" si="0"/>
        <v>106549</v>
      </c>
      <c r="N28" s="311">
        <f t="shared" si="1"/>
        <v>106569</v>
      </c>
      <c r="O28" s="638">
        <f t="shared" si="2"/>
        <v>142329</v>
      </c>
    </row>
    <row r="29" spans="1:15" s="24" customFormat="1" ht="15" customHeight="1">
      <c r="C29" s="87" t="s">
        <v>736</v>
      </c>
      <c r="D29" s="448">
        <v>2000000</v>
      </c>
      <c r="E29" s="627">
        <v>3000000</v>
      </c>
      <c r="F29" s="648">
        <v>3000000</v>
      </c>
      <c r="G29" s="448"/>
      <c r="H29" s="627"/>
      <c r="I29" s="382"/>
      <c r="J29" s="448"/>
      <c r="K29" s="627"/>
      <c r="L29" s="382"/>
      <c r="M29" s="380">
        <f t="shared" si="0"/>
        <v>2000000</v>
      </c>
      <c r="N29" s="628">
        <f t="shared" si="1"/>
        <v>3000000</v>
      </c>
      <c r="O29" s="634">
        <f t="shared" si="2"/>
        <v>3000000</v>
      </c>
    </row>
    <row r="30" spans="1:15" s="24" customFormat="1" ht="15" customHeight="1">
      <c r="C30" s="87" t="s">
        <v>93</v>
      </c>
      <c r="D30" s="448">
        <v>60000</v>
      </c>
      <c r="E30" s="627">
        <v>60000</v>
      </c>
      <c r="F30" s="648">
        <v>60000</v>
      </c>
      <c r="G30" s="448"/>
      <c r="H30" s="627"/>
      <c r="I30" s="382"/>
      <c r="J30" s="448"/>
      <c r="K30" s="627"/>
      <c r="L30" s="382"/>
      <c r="M30" s="380">
        <f t="shared" si="0"/>
        <v>60000</v>
      </c>
      <c r="N30" s="628">
        <f t="shared" si="1"/>
        <v>60000</v>
      </c>
      <c r="O30" s="634">
        <f t="shared" si="2"/>
        <v>60000</v>
      </c>
    </row>
    <row r="31" spans="1:15" s="24" customFormat="1" ht="15" customHeight="1" thickBot="1">
      <c r="C31" s="92" t="s">
        <v>94</v>
      </c>
      <c r="D31" s="254">
        <v>2377271</v>
      </c>
      <c r="E31" s="316">
        <v>2301362</v>
      </c>
      <c r="F31" s="655">
        <v>2296776</v>
      </c>
      <c r="G31" s="256"/>
      <c r="H31" s="645"/>
      <c r="I31" s="257"/>
      <c r="J31" s="256"/>
      <c r="K31" s="645"/>
      <c r="L31" s="257"/>
      <c r="M31" s="661">
        <f t="shared" si="0"/>
        <v>2377271</v>
      </c>
      <c r="N31" s="316">
        <f t="shared" si="1"/>
        <v>2301362</v>
      </c>
      <c r="O31" s="255">
        <f t="shared" si="2"/>
        <v>2296776</v>
      </c>
    </row>
    <row r="32" spans="1:15" s="24" customFormat="1" ht="15" customHeight="1" thickBot="1">
      <c r="C32" s="25" t="s">
        <v>50</v>
      </c>
      <c r="D32" s="260">
        <f t="shared" ref="D32:J32" si="23">SUM(D28:D31)</f>
        <v>4543820</v>
      </c>
      <c r="E32" s="314">
        <f t="shared" ref="E32:F32" si="24">SUM(E28:E31)</f>
        <v>5467931</v>
      </c>
      <c r="F32" s="656">
        <f t="shared" si="24"/>
        <v>5499105</v>
      </c>
      <c r="G32" s="260">
        <f t="shared" si="23"/>
        <v>0</v>
      </c>
      <c r="H32" s="314">
        <f t="shared" ref="H32:I32" si="25">SUM(H28:H31)</f>
        <v>0</v>
      </c>
      <c r="I32" s="195">
        <f t="shared" si="25"/>
        <v>0</v>
      </c>
      <c r="J32" s="260">
        <f t="shared" si="23"/>
        <v>0</v>
      </c>
      <c r="K32" s="314">
        <f t="shared" ref="K32:L32" si="26">SUM(K28:K31)</f>
        <v>0</v>
      </c>
      <c r="L32" s="195">
        <f t="shared" si="26"/>
        <v>0</v>
      </c>
      <c r="M32" s="446">
        <f t="shared" si="0"/>
        <v>4543820</v>
      </c>
      <c r="N32" s="314">
        <f t="shared" si="1"/>
        <v>5467931</v>
      </c>
      <c r="O32" s="195">
        <f t="shared" si="2"/>
        <v>5499105</v>
      </c>
    </row>
    <row r="33" spans="3:15" s="24" customFormat="1" ht="15" customHeight="1" thickBot="1">
      <c r="C33" s="33" t="s">
        <v>46</v>
      </c>
      <c r="D33" s="258">
        <f t="shared" ref="D33:J33" si="27">D27+D32</f>
        <v>10319194</v>
      </c>
      <c r="E33" s="646">
        <f t="shared" ref="E33:F33" si="28">E27+E32</f>
        <v>12410944</v>
      </c>
      <c r="F33" s="657">
        <f t="shared" si="28"/>
        <v>12501612</v>
      </c>
      <c r="G33" s="258">
        <f t="shared" si="27"/>
        <v>998089</v>
      </c>
      <c r="H33" s="646">
        <f t="shared" ref="H33:I33" si="29">H27+H32</f>
        <v>1041893</v>
      </c>
      <c r="I33" s="259">
        <f t="shared" si="29"/>
        <v>1048027</v>
      </c>
      <c r="J33" s="258">
        <f t="shared" si="27"/>
        <v>2045220</v>
      </c>
      <c r="K33" s="646">
        <f t="shared" ref="K33:L33" si="30">K27+K32</f>
        <v>2348649</v>
      </c>
      <c r="L33" s="259">
        <f t="shared" si="30"/>
        <v>2361104</v>
      </c>
      <c r="M33" s="447">
        <f t="shared" si="0"/>
        <v>13362503</v>
      </c>
      <c r="N33" s="646">
        <f t="shared" si="1"/>
        <v>15801486</v>
      </c>
      <c r="O33" s="259">
        <f t="shared" si="2"/>
        <v>15910743</v>
      </c>
    </row>
    <row r="34" spans="3:15" ht="15">
      <c r="M34" s="208"/>
      <c r="N34" s="208"/>
      <c r="O34" s="208"/>
    </row>
    <row r="35" spans="3:15" ht="15">
      <c r="C35" s="119"/>
      <c r="D35" s="3"/>
      <c r="E35" s="3"/>
      <c r="F35" s="3"/>
    </row>
    <row r="36" spans="3:15" ht="15">
      <c r="C36" s="119"/>
    </row>
  </sheetData>
  <mergeCells count="7">
    <mergeCell ref="C1:O1"/>
    <mergeCell ref="C2:O2"/>
    <mergeCell ref="C4:C5"/>
    <mergeCell ref="D4:F4"/>
    <mergeCell ref="G4:I4"/>
    <mergeCell ref="J4:L4"/>
    <mergeCell ref="M4:O4"/>
  </mergeCells>
  <printOptions horizontalCentered="1"/>
  <pageMargins left="0.15748031496062992" right="0.15748031496062992" top="0.59055118110236227" bottom="0.74803149606299213" header="0.31496062992125984" footer="0.31496062992125984"/>
  <pageSetup paperSize="9" scale="68" orientation="landscape" r:id="rId1"/>
  <headerFooter>
    <oddHeader>&amp;L&amp;"Times New Roman,Normál"&amp;8 4.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6"/>
  <sheetViews>
    <sheetView view="pageLayout" zoomScale="118" zoomScaleNormal="78" zoomScaleSheetLayoutView="62" zoomScalePageLayoutView="118" workbookViewId="0">
      <selection activeCell="A3" sqref="A3:D4"/>
    </sheetView>
  </sheetViews>
  <sheetFormatPr defaultRowHeight="15"/>
  <cols>
    <col min="1" max="1" width="15.42578125" style="34" bestFit="1" customWidth="1"/>
    <col min="2" max="2" width="11.85546875" style="34" bestFit="1" customWidth="1"/>
    <col min="3" max="3" width="34.5703125" style="34" customWidth="1"/>
    <col min="4" max="4" width="20.140625" style="34" customWidth="1"/>
    <col min="5" max="5" width="16.28515625" style="34" customWidth="1"/>
    <col min="6" max="6" width="16.28515625" style="176" customWidth="1"/>
    <col min="7" max="7" width="16.28515625" style="34" customWidth="1"/>
    <col min="8" max="8" width="16.140625" style="34" customWidth="1"/>
    <col min="9" max="9" width="16.5703125" style="34" customWidth="1"/>
    <col min="10" max="10" width="16.42578125" style="34" customWidth="1"/>
    <col min="11" max="11" width="15.5703125" style="34" customWidth="1"/>
    <col min="12" max="12" width="17.42578125" style="34" customWidth="1"/>
    <col min="13" max="14" width="13.85546875" style="34" customWidth="1"/>
    <col min="15" max="15" width="15.5703125" style="34" customWidth="1"/>
    <col min="16" max="16" width="14.85546875" style="34" customWidth="1"/>
    <col min="17" max="17" width="16.5703125" style="34" customWidth="1"/>
    <col min="18" max="18" width="16" style="34" customWidth="1"/>
    <col min="19" max="16384" width="9.140625" style="34"/>
  </cols>
  <sheetData>
    <row r="1" spans="1:18" ht="18.75">
      <c r="A1" s="2115" t="s">
        <v>913</v>
      </c>
      <c r="B1" s="2115"/>
      <c r="C1" s="2115"/>
      <c r="D1" s="2115"/>
      <c r="E1" s="2115"/>
      <c r="F1" s="2115"/>
      <c r="G1" s="2115"/>
      <c r="H1" s="2115"/>
      <c r="I1" s="2115"/>
      <c r="J1" s="2115"/>
      <c r="K1" s="2115"/>
      <c r="L1" s="2115"/>
      <c r="M1" s="2115"/>
      <c r="N1" s="2115"/>
      <c r="O1" s="2115"/>
      <c r="P1" s="2115"/>
      <c r="Q1" s="2115"/>
      <c r="R1" s="2115"/>
    </row>
    <row r="2" spans="1:18" ht="19.5" thickBot="1">
      <c r="A2" s="2116"/>
      <c r="B2" s="2116"/>
      <c r="C2" s="2116"/>
      <c r="D2" s="2116"/>
      <c r="E2" s="2116"/>
      <c r="F2" s="2116"/>
      <c r="G2" s="2116"/>
      <c r="H2" s="2116"/>
      <c r="I2" s="2116"/>
      <c r="J2" s="2116"/>
      <c r="K2" s="2116"/>
      <c r="L2" s="2116"/>
      <c r="M2" s="2116"/>
      <c r="N2" s="2116"/>
      <c r="O2" s="2116"/>
      <c r="P2" s="2116"/>
      <c r="Q2" s="2116"/>
      <c r="R2" s="2116"/>
    </row>
    <row r="3" spans="1:18" ht="42" customHeight="1">
      <c r="A3" s="2117" t="s">
        <v>2</v>
      </c>
      <c r="B3" s="2118"/>
      <c r="C3" s="2118"/>
      <c r="D3" s="2119"/>
      <c r="E3" s="2123" t="s">
        <v>95</v>
      </c>
      <c r="F3" s="2125" t="s">
        <v>96</v>
      </c>
      <c r="G3" s="2117" t="s">
        <v>97</v>
      </c>
      <c r="H3" s="2118"/>
      <c r="I3" s="2118"/>
      <c r="J3" s="2118"/>
      <c r="K3" s="2118"/>
      <c r="L3" s="2119"/>
      <c r="M3" s="2117" t="s">
        <v>98</v>
      </c>
      <c r="N3" s="2118"/>
      <c r="O3" s="2118"/>
      <c r="P3" s="2119"/>
      <c r="Q3" s="2127" t="s">
        <v>999</v>
      </c>
      <c r="R3" s="2119"/>
    </row>
    <row r="4" spans="1:18" ht="88.5" customHeight="1" thickBot="1">
      <c r="A4" s="2120"/>
      <c r="B4" s="2121"/>
      <c r="C4" s="2121"/>
      <c r="D4" s="2122"/>
      <c r="E4" s="2124"/>
      <c r="F4" s="2126"/>
      <c r="G4" s="962" t="s">
        <v>315</v>
      </c>
      <c r="H4" s="963" t="s">
        <v>108</v>
      </c>
      <c r="I4" s="963" t="s">
        <v>109</v>
      </c>
      <c r="J4" s="963" t="s">
        <v>111</v>
      </c>
      <c r="K4" s="963" t="s">
        <v>16</v>
      </c>
      <c r="L4" s="964" t="s">
        <v>23</v>
      </c>
      <c r="M4" s="965" t="s">
        <v>56</v>
      </c>
      <c r="N4" s="966" t="s">
        <v>57</v>
      </c>
      <c r="O4" s="963" t="s">
        <v>112</v>
      </c>
      <c r="P4" s="967" t="s">
        <v>113</v>
      </c>
      <c r="Q4" s="968" t="s">
        <v>114</v>
      </c>
      <c r="R4" s="969" t="s">
        <v>1000</v>
      </c>
    </row>
    <row r="5" spans="1:18" ht="18.75" customHeight="1">
      <c r="A5" s="2109" t="s">
        <v>100</v>
      </c>
      <c r="B5" s="2112" t="s">
        <v>413</v>
      </c>
      <c r="C5" s="2113" t="s">
        <v>346</v>
      </c>
      <c r="D5" s="970" t="s">
        <v>3</v>
      </c>
      <c r="E5" s="971">
        <v>1909207</v>
      </c>
      <c r="F5" s="972">
        <f t="shared" ref="F5:F201" si="0">SUM(G5:R5)</f>
        <v>553137</v>
      </c>
      <c r="G5" s="973">
        <v>86548</v>
      </c>
      <c r="H5" s="974">
        <v>18100</v>
      </c>
      <c r="I5" s="974">
        <v>342388</v>
      </c>
      <c r="J5" s="974">
        <v>0</v>
      </c>
      <c r="K5" s="974">
        <v>0</v>
      </c>
      <c r="L5" s="975">
        <v>73644</v>
      </c>
      <c r="M5" s="973">
        <v>15757</v>
      </c>
      <c r="N5" s="974">
        <v>6700</v>
      </c>
      <c r="O5" s="974">
        <v>0</v>
      </c>
      <c r="P5" s="975">
        <v>10000</v>
      </c>
      <c r="Q5" s="973">
        <v>0</v>
      </c>
      <c r="R5" s="976">
        <v>0</v>
      </c>
    </row>
    <row r="6" spans="1:18" ht="18.75" customHeight="1">
      <c r="A6" s="2110"/>
      <c r="B6" s="2101"/>
      <c r="C6" s="2104"/>
      <c r="D6" s="977" t="s">
        <v>964</v>
      </c>
      <c r="E6" s="978">
        <v>1734673</v>
      </c>
      <c r="F6" s="979">
        <f t="shared" si="0"/>
        <v>548305</v>
      </c>
      <c r="G6" s="980">
        <v>87115</v>
      </c>
      <c r="H6" s="981">
        <v>18188</v>
      </c>
      <c r="I6" s="981">
        <v>341288</v>
      </c>
      <c r="J6" s="981">
        <v>0</v>
      </c>
      <c r="K6" s="981">
        <v>0</v>
      </c>
      <c r="L6" s="982">
        <v>85312</v>
      </c>
      <c r="M6" s="980">
        <v>6252</v>
      </c>
      <c r="N6" s="981">
        <v>150</v>
      </c>
      <c r="O6" s="981">
        <v>0</v>
      </c>
      <c r="P6" s="982">
        <v>10000</v>
      </c>
      <c r="Q6" s="980">
        <v>0</v>
      </c>
      <c r="R6" s="983">
        <v>0</v>
      </c>
    </row>
    <row r="7" spans="1:18" ht="18.75" customHeight="1">
      <c r="A7" s="2111"/>
      <c r="B7" s="2102"/>
      <c r="C7" s="2105"/>
      <c r="D7" s="977" t="s">
        <v>977</v>
      </c>
      <c r="E7" s="984">
        <v>1734820</v>
      </c>
      <c r="F7" s="979">
        <f t="shared" si="0"/>
        <v>634842</v>
      </c>
      <c r="G7" s="980">
        <v>87242</v>
      </c>
      <c r="H7" s="981">
        <v>18208</v>
      </c>
      <c r="I7" s="981">
        <v>341432</v>
      </c>
      <c r="J7" s="981">
        <v>0</v>
      </c>
      <c r="K7" s="981">
        <v>0</v>
      </c>
      <c r="L7" s="982">
        <v>85312</v>
      </c>
      <c r="M7" s="980">
        <v>6252</v>
      </c>
      <c r="N7" s="981">
        <v>150</v>
      </c>
      <c r="O7" s="981">
        <v>0</v>
      </c>
      <c r="P7" s="982">
        <v>96246</v>
      </c>
      <c r="Q7" s="980">
        <v>0</v>
      </c>
      <c r="R7" s="983">
        <v>0</v>
      </c>
    </row>
    <row r="8" spans="1:18" ht="18.75" customHeight="1">
      <c r="A8" s="2114" t="s">
        <v>100</v>
      </c>
      <c r="B8" s="2100" t="s">
        <v>412</v>
      </c>
      <c r="C8" s="2103" t="s">
        <v>558</v>
      </c>
      <c r="D8" s="985" t="s">
        <v>3</v>
      </c>
      <c r="E8" s="986">
        <v>1409779</v>
      </c>
      <c r="F8" s="987">
        <f t="shared" si="0"/>
        <v>2455271</v>
      </c>
      <c r="G8" s="988">
        <v>0</v>
      </c>
      <c r="H8" s="989">
        <v>0</v>
      </c>
      <c r="I8" s="989">
        <v>0</v>
      </c>
      <c r="J8" s="989">
        <v>0</v>
      </c>
      <c r="K8" s="990">
        <v>18000</v>
      </c>
      <c r="L8" s="991">
        <v>0</v>
      </c>
      <c r="M8" s="988">
        <v>0</v>
      </c>
      <c r="N8" s="989">
        <v>0</v>
      </c>
      <c r="O8" s="989">
        <v>0</v>
      </c>
      <c r="P8" s="991">
        <v>0</v>
      </c>
      <c r="Q8" s="988">
        <v>60000</v>
      </c>
      <c r="R8" s="992">
        <v>2377271</v>
      </c>
    </row>
    <row r="9" spans="1:18" ht="18.75" customHeight="1">
      <c r="A9" s="2110"/>
      <c r="B9" s="2101"/>
      <c r="C9" s="2104"/>
      <c r="D9" s="977" t="s">
        <v>964</v>
      </c>
      <c r="E9" s="993">
        <v>1618529</v>
      </c>
      <c r="F9" s="987">
        <f t="shared" si="0"/>
        <v>2427499</v>
      </c>
      <c r="G9" s="988">
        <v>0</v>
      </c>
      <c r="H9" s="989">
        <v>0</v>
      </c>
      <c r="I9" s="989">
        <v>0</v>
      </c>
      <c r="J9" s="989">
        <v>0</v>
      </c>
      <c r="K9" s="990">
        <v>66137</v>
      </c>
      <c r="L9" s="991">
        <v>0</v>
      </c>
      <c r="M9" s="988">
        <v>0</v>
      </c>
      <c r="N9" s="989">
        <v>0</v>
      </c>
      <c r="O9" s="989">
        <v>0</v>
      </c>
      <c r="P9" s="991">
        <v>0</v>
      </c>
      <c r="Q9" s="988">
        <v>60000</v>
      </c>
      <c r="R9" s="992">
        <v>2301362</v>
      </c>
    </row>
    <row r="10" spans="1:18" ht="18.75" customHeight="1">
      <c r="A10" s="2111"/>
      <c r="B10" s="2102"/>
      <c r="C10" s="2105"/>
      <c r="D10" s="977" t="s">
        <v>977</v>
      </c>
      <c r="E10" s="986">
        <v>1690157</v>
      </c>
      <c r="F10" s="987">
        <f t="shared" si="0"/>
        <v>2430913</v>
      </c>
      <c r="G10" s="988">
        <v>0</v>
      </c>
      <c r="H10" s="989">
        <v>0</v>
      </c>
      <c r="I10" s="989">
        <v>0</v>
      </c>
      <c r="J10" s="989">
        <v>0</v>
      </c>
      <c r="K10" s="990">
        <v>74137</v>
      </c>
      <c r="L10" s="991">
        <v>0</v>
      </c>
      <c r="M10" s="988">
        <v>0</v>
      </c>
      <c r="N10" s="989">
        <v>0</v>
      </c>
      <c r="O10" s="989">
        <v>0</v>
      </c>
      <c r="P10" s="991">
        <v>0</v>
      </c>
      <c r="Q10" s="988">
        <v>60000</v>
      </c>
      <c r="R10" s="992">
        <v>2296776</v>
      </c>
    </row>
    <row r="11" spans="1:18" ht="18.75" customHeight="1">
      <c r="A11" s="2114" t="s">
        <v>100</v>
      </c>
      <c r="B11" s="2100" t="s">
        <v>354</v>
      </c>
      <c r="C11" s="2103" t="s">
        <v>352</v>
      </c>
      <c r="D11" s="985" t="s">
        <v>3</v>
      </c>
      <c r="E11" s="986">
        <v>2328519</v>
      </c>
      <c r="F11" s="987">
        <f t="shared" si="0"/>
        <v>2131503</v>
      </c>
      <c r="G11" s="988">
        <v>0</v>
      </c>
      <c r="H11" s="989">
        <v>0</v>
      </c>
      <c r="I11" s="989">
        <v>24954</v>
      </c>
      <c r="J11" s="989">
        <v>0</v>
      </c>
      <c r="K11" s="989">
        <v>0</v>
      </c>
      <c r="L11" s="991">
        <v>0</v>
      </c>
      <c r="M11" s="988">
        <v>0</v>
      </c>
      <c r="N11" s="989">
        <v>0</v>
      </c>
      <c r="O11" s="989">
        <v>0</v>
      </c>
      <c r="P11" s="991">
        <v>0</v>
      </c>
      <c r="Q11" s="988">
        <v>2106549</v>
      </c>
      <c r="R11" s="994">
        <v>0</v>
      </c>
    </row>
    <row r="12" spans="1:18" ht="18.75" customHeight="1">
      <c r="A12" s="2110"/>
      <c r="B12" s="2101"/>
      <c r="C12" s="2104"/>
      <c r="D12" s="977" t="s">
        <v>964</v>
      </c>
      <c r="E12" s="993">
        <v>3328519</v>
      </c>
      <c r="F12" s="987">
        <f t="shared" si="0"/>
        <v>3131523</v>
      </c>
      <c r="G12" s="988">
        <v>0</v>
      </c>
      <c r="H12" s="989">
        <v>0</v>
      </c>
      <c r="I12" s="989">
        <v>24954</v>
      </c>
      <c r="J12" s="989">
        <v>0</v>
      </c>
      <c r="K12" s="989">
        <v>0</v>
      </c>
      <c r="L12" s="991">
        <v>0</v>
      </c>
      <c r="M12" s="988">
        <v>0</v>
      </c>
      <c r="N12" s="989">
        <v>0</v>
      </c>
      <c r="O12" s="989">
        <v>0</v>
      </c>
      <c r="P12" s="991">
        <v>0</v>
      </c>
      <c r="Q12" s="988">
        <v>3106569</v>
      </c>
      <c r="R12" s="994">
        <v>0</v>
      </c>
    </row>
    <row r="13" spans="1:18" ht="18.75" customHeight="1">
      <c r="A13" s="2111"/>
      <c r="B13" s="2102"/>
      <c r="C13" s="2105"/>
      <c r="D13" s="977" t="s">
        <v>977</v>
      </c>
      <c r="E13" s="993">
        <v>3531104</v>
      </c>
      <c r="F13" s="987">
        <f t="shared" si="0"/>
        <v>3167283</v>
      </c>
      <c r="G13" s="988">
        <v>0</v>
      </c>
      <c r="H13" s="989">
        <v>0</v>
      </c>
      <c r="I13" s="989">
        <v>24954</v>
      </c>
      <c r="J13" s="989">
        <v>0</v>
      </c>
      <c r="K13" s="989">
        <v>0</v>
      </c>
      <c r="L13" s="991">
        <v>0</v>
      </c>
      <c r="M13" s="988">
        <v>0</v>
      </c>
      <c r="N13" s="989">
        <v>0</v>
      </c>
      <c r="O13" s="989">
        <v>0</v>
      </c>
      <c r="P13" s="991">
        <v>0</v>
      </c>
      <c r="Q13" s="988">
        <v>3142329</v>
      </c>
      <c r="R13" s="994">
        <v>0</v>
      </c>
    </row>
    <row r="14" spans="1:18" ht="18.75" customHeight="1">
      <c r="A14" s="2078" t="s">
        <v>101</v>
      </c>
      <c r="B14" s="2100" t="s">
        <v>355</v>
      </c>
      <c r="C14" s="2103" t="s">
        <v>353</v>
      </c>
      <c r="D14" s="985" t="s">
        <v>3</v>
      </c>
      <c r="E14" s="993">
        <v>2350000</v>
      </c>
      <c r="F14" s="987">
        <f t="shared" si="0"/>
        <v>0</v>
      </c>
      <c r="G14" s="995">
        <v>0</v>
      </c>
      <c r="H14" s="990">
        <v>0</v>
      </c>
      <c r="I14" s="990">
        <v>0</v>
      </c>
      <c r="J14" s="990">
        <v>0</v>
      </c>
      <c r="K14" s="990">
        <v>0</v>
      </c>
      <c r="L14" s="992">
        <v>0</v>
      </c>
      <c r="M14" s="995">
        <v>0</v>
      </c>
      <c r="N14" s="990">
        <v>0</v>
      </c>
      <c r="O14" s="990">
        <v>0</v>
      </c>
      <c r="P14" s="992">
        <v>0</v>
      </c>
      <c r="Q14" s="995">
        <v>0</v>
      </c>
      <c r="R14" s="994">
        <v>0</v>
      </c>
    </row>
    <row r="15" spans="1:18" ht="18.75" customHeight="1">
      <c r="A15" s="2073"/>
      <c r="B15" s="2101"/>
      <c r="C15" s="2104"/>
      <c r="D15" s="977" t="s">
        <v>964</v>
      </c>
      <c r="E15" s="993">
        <v>2267520</v>
      </c>
      <c r="F15" s="987">
        <f t="shared" si="0"/>
        <v>0</v>
      </c>
      <c r="G15" s="995">
        <v>0</v>
      </c>
      <c r="H15" s="990">
        <v>0</v>
      </c>
      <c r="I15" s="990">
        <v>0</v>
      </c>
      <c r="J15" s="990">
        <v>0</v>
      </c>
      <c r="K15" s="990">
        <v>0</v>
      </c>
      <c r="L15" s="992">
        <v>0</v>
      </c>
      <c r="M15" s="995">
        <v>0</v>
      </c>
      <c r="N15" s="990">
        <v>0</v>
      </c>
      <c r="O15" s="990">
        <v>0</v>
      </c>
      <c r="P15" s="992">
        <v>0</v>
      </c>
      <c r="Q15" s="995">
        <v>0</v>
      </c>
      <c r="R15" s="994">
        <v>0</v>
      </c>
    </row>
    <row r="16" spans="1:18" ht="18.75" customHeight="1">
      <c r="A16" s="2085"/>
      <c r="B16" s="2102"/>
      <c r="C16" s="2105"/>
      <c r="D16" s="977" t="s">
        <v>977</v>
      </c>
      <c r="E16" s="993">
        <v>2267520</v>
      </c>
      <c r="F16" s="987">
        <f t="shared" si="0"/>
        <v>0</v>
      </c>
      <c r="G16" s="995">
        <v>0</v>
      </c>
      <c r="H16" s="990">
        <v>0</v>
      </c>
      <c r="I16" s="990">
        <v>0</v>
      </c>
      <c r="J16" s="990">
        <v>0</v>
      </c>
      <c r="K16" s="990">
        <v>0</v>
      </c>
      <c r="L16" s="992">
        <v>0</v>
      </c>
      <c r="M16" s="995">
        <v>0</v>
      </c>
      <c r="N16" s="990">
        <v>0</v>
      </c>
      <c r="O16" s="990">
        <v>0</v>
      </c>
      <c r="P16" s="992">
        <v>0</v>
      </c>
      <c r="Q16" s="995">
        <v>0</v>
      </c>
      <c r="R16" s="994">
        <v>0</v>
      </c>
    </row>
    <row r="17" spans="1:18" ht="18.75" customHeight="1">
      <c r="A17" s="2078" t="s">
        <v>101</v>
      </c>
      <c r="B17" s="2100" t="s">
        <v>356</v>
      </c>
      <c r="C17" s="2103" t="s">
        <v>102</v>
      </c>
      <c r="D17" s="985" t="s">
        <v>3</v>
      </c>
      <c r="E17" s="978">
        <v>10160</v>
      </c>
      <c r="F17" s="987">
        <f t="shared" si="0"/>
        <v>34500</v>
      </c>
      <c r="G17" s="996">
        <v>0</v>
      </c>
      <c r="H17" s="997">
        <v>0</v>
      </c>
      <c r="I17" s="997">
        <v>30000</v>
      </c>
      <c r="J17" s="997">
        <v>0</v>
      </c>
      <c r="K17" s="998">
        <v>0</v>
      </c>
      <c r="L17" s="999">
        <v>0</v>
      </c>
      <c r="M17" s="996">
        <v>2500</v>
      </c>
      <c r="N17" s="997">
        <v>2000</v>
      </c>
      <c r="O17" s="997">
        <v>0</v>
      </c>
      <c r="P17" s="999">
        <v>0</v>
      </c>
      <c r="Q17" s="996">
        <v>0</v>
      </c>
      <c r="R17" s="1000">
        <v>0</v>
      </c>
    </row>
    <row r="18" spans="1:18" ht="18.75" customHeight="1">
      <c r="A18" s="2073"/>
      <c r="B18" s="2101"/>
      <c r="C18" s="2104"/>
      <c r="D18" s="977" t="s">
        <v>964</v>
      </c>
      <c r="E18" s="978">
        <v>10160</v>
      </c>
      <c r="F18" s="987">
        <f t="shared" si="0"/>
        <v>34500</v>
      </c>
      <c r="G18" s="996">
        <v>0</v>
      </c>
      <c r="H18" s="997">
        <v>0</v>
      </c>
      <c r="I18" s="997">
        <v>30000</v>
      </c>
      <c r="J18" s="997">
        <v>0</v>
      </c>
      <c r="K18" s="998">
        <v>0</v>
      </c>
      <c r="L18" s="999">
        <v>0</v>
      </c>
      <c r="M18" s="996">
        <v>2500</v>
      </c>
      <c r="N18" s="997">
        <v>2000</v>
      </c>
      <c r="O18" s="997">
        <v>0</v>
      </c>
      <c r="P18" s="999">
        <v>0</v>
      </c>
      <c r="Q18" s="996">
        <v>0</v>
      </c>
      <c r="R18" s="1000">
        <v>0</v>
      </c>
    </row>
    <row r="19" spans="1:18" ht="18.75" customHeight="1">
      <c r="A19" s="2085"/>
      <c r="B19" s="2102"/>
      <c r="C19" s="2105"/>
      <c r="D19" s="977" t="s">
        <v>977</v>
      </c>
      <c r="E19" s="978">
        <v>10160</v>
      </c>
      <c r="F19" s="987">
        <f t="shared" si="0"/>
        <v>34500</v>
      </c>
      <c r="G19" s="996">
        <v>0</v>
      </c>
      <c r="H19" s="997">
        <v>0</v>
      </c>
      <c r="I19" s="997">
        <v>30000</v>
      </c>
      <c r="J19" s="997">
        <v>0</v>
      </c>
      <c r="K19" s="998">
        <v>0</v>
      </c>
      <c r="L19" s="999">
        <v>0</v>
      </c>
      <c r="M19" s="996">
        <v>2500</v>
      </c>
      <c r="N19" s="997">
        <v>2000</v>
      </c>
      <c r="O19" s="997">
        <v>0</v>
      </c>
      <c r="P19" s="999">
        <v>0</v>
      </c>
      <c r="Q19" s="996">
        <v>0</v>
      </c>
      <c r="R19" s="1000">
        <v>0</v>
      </c>
    </row>
    <row r="20" spans="1:18" ht="18.75" customHeight="1">
      <c r="A20" s="2078" t="s">
        <v>101</v>
      </c>
      <c r="B20" s="2100" t="s">
        <v>414</v>
      </c>
      <c r="C20" s="2103" t="s">
        <v>415</v>
      </c>
      <c r="D20" s="1001" t="s">
        <v>3</v>
      </c>
      <c r="E20" s="978">
        <v>1818197</v>
      </c>
      <c r="F20" s="987">
        <f t="shared" si="0"/>
        <v>263998</v>
      </c>
      <c r="G20" s="996">
        <v>0</v>
      </c>
      <c r="H20" s="997">
        <v>0</v>
      </c>
      <c r="I20" s="997">
        <v>138500</v>
      </c>
      <c r="J20" s="997">
        <v>0</v>
      </c>
      <c r="K20" s="997">
        <v>0</v>
      </c>
      <c r="L20" s="999">
        <v>0</v>
      </c>
      <c r="M20" s="996">
        <v>93453</v>
      </c>
      <c r="N20" s="997">
        <v>32045</v>
      </c>
      <c r="O20" s="997">
        <v>0</v>
      </c>
      <c r="P20" s="999">
        <v>0</v>
      </c>
      <c r="Q20" s="996">
        <v>0</v>
      </c>
      <c r="R20" s="1000">
        <v>0</v>
      </c>
    </row>
    <row r="21" spans="1:18" ht="18.75" customHeight="1">
      <c r="A21" s="2073"/>
      <c r="B21" s="2101"/>
      <c r="C21" s="2104"/>
      <c r="D21" s="977" t="s">
        <v>964</v>
      </c>
      <c r="E21" s="978">
        <v>1810377</v>
      </c>
      <c r="F21" s="987">
        <f t="shared" si="0"/>
        <v>242571</v>
      </c>
      <c r="G21" s="996">
        <v>0</v>
      </c>
      <c r="H21" s="997">
        <v>0</v>
      </c>
      <c r="I21" s="997">
        <v>116320</v>
      </c>
      <c r="J21" s="997">
        <v>0</v>
      </c>
      <c r="K21" s="997">
        <v>0</v>
      </c>
      <c r="L21" s="999">
        <v>0</v>
      </c>
      <c r="M21" s="996">
        <v>81206</v>
      </c>
      <c r="N21" s="997">
        <v>45045</v>
      </c>
      <c r="O21" s="997">
        <v>0</v>
      </c>
      <c r="P21" s="999">
        <v>0</v>
      </c>
      <c r="Q21" s="996">
        <v>0</v>
      </c>
      <c r="R21" s="1000">
        <v>0</v>
      </c>
    </row>
    <row r="22" spans="1:18" ht="18.75" customHeight="1">
      <c r="A22" s="2085"/>
      <c r="B22" s="2102"/>
      <c r="C22" s="2105"/>
      <c r="D22" s="977" t="s">
        <v>977</v>
      </c>
      <c r="E22" s="978">
        <v>1763477</v>
      </c>
      <c r="F22" s="987">
        <f t="shared" si="0"/>
        <v>271947</v>
      </c>
      <c r="G22" s="996">
        <v>0</v>
      </c>
      <c r="H22" s="997">
        <v>0</v>
      </c>
      <c r="I22" s="997">
        <v>149146</v>
      </c>
      <c r="J22" s="997">
        <v>0</v>
      </c>
      <c r="K22" s="997">
        <v>0</v>
      </c>
      <c r="L22" s="999">
        <v>0</v>
      </c>
      <c r="M22" s="996">
        <v>79715</v>
      </c>
      <c r="N22" s="997">
        <v>43086</v>
      </c>
      <c r="O22" s="997">
        <v>0</v>
      </c>
      <c r="P22" s="999">
        <v>0</v>
      </c>
      <c r="Q22" s="996">
        <v>0</v>
      </c>
      <c r="R22" s="1000">
        <v>0</v>
      </c>
    </row>
    <row r="23" spans="1:18" ht="18.75" customHeight="1">
      <c r="A23" s="2078" t="s">
        <v>101</v>
      </c>
      <c r="B23" s="2100" t="s">
        <v>357</v>
      </c>
      <c r="C23" s="2103" t="s">
        <v>358</v>
      </c>
      <c r="D23" s="985" t="s">
        <v>3</v>
      </c>
      <c r="E23" s="978">
        <v>46500</v>
      </c>
      <c r="F23" s="987">
        <f t="shared" si="0"/>
        <v>57700</v>
      </c>
      <c r="G23" s="996">
        <v>42000</v>
      </c>
      <c r="H23" s="997">
        <v>3700</v>
      </c>
      <c r="I23" s="997">
        <v>12000</v>
      </c>
      <c r="J23" s="997">
        <v>0</v>
      </c>
      <c r="K23" s="998">
        <v>0</v>
      </c>
      <c r="L23" s="999">
        <v>0</v>
      </c>
      <c r="M23" s="996">
        <v>0</v>
      </c>
      <c r="N23" s="997">
        <v>0</v>
      </c>
      <c r="O23" s="997">
        <v>0</v>
      </c>
      <c r="P23" s="999">
        <v>0</v>
      </c>
      <c r="Q23" s="996">
        <v>0</v>
      </c>
      <c r="R23" s="1000">
        <v>0</v>
      </c>
    </row>
    <row r="24" spans="1:18" ht="18.75" customHeight="1">
      <c r="A24" s="2073"/>
      <c r="B24" s="2101"/>
      <c r="C24" s="2104"/>
      <c r="D24" s="977" t="s">
        <v>964</v>
      </c>
      <c r="E24" s="978">
        <v>46500</v>
      </c>
      <c r="F24" s="987">
        <f t="shared" si="0"/>
        <v>57700</v>
      </c>
      <c r="G24" s="996">
        <v>42000</v>
      </c>
      <c r="H24" s="997">
        <v>3700</v>
      </c>
      <c r="I24" s="997">
        <v>12000</v>
      </c>
      <c r="J24" s="997">
        <v>0</v>
      </c>
      <c r="K24" s="998">
        <v>0</v>
      </c>
      <c r="L24" s="999">
        <v>0</v>
      </c>
      <c r="M24" s="996">
        <v>0</v>
      </c>
      <c r="N24" s="997">
        <v>0</v>
      </c>
      <c r="O24" s="997">
        <v>0</v>
      </c>
      <c r="P24" s="999">
        <v>0</v>
      </c>
      <c r="Q24" s="996">
        <v>0</v>
      </c>
      <c r="R24" s="1000">
        <v>0</v>
      </c>
    </row>
    <row r="25" spans="1:18" ht="18.75" customHeight="1">
      <c r="A25" s="2085"/>
      <c r="B25" s="2102"/>
      <c r="C25" s="2105"/>
      <c r="D25" s="977" t="s">
        <v>977</v>
      </c>
      <c r="E25" s="978">
        <v>46500</v>
      </c>
      <c r="F25" s="987">
        <f t="shared" si="0"/>
        <v>57700</v>
      </c>
      <c r="G25" s="996">
        <v>42000</v>
      </c>
      <c r="H25" s="997">
        <v>3700</v>
      </c>
      <c r="I25" s="997">
        <v>12000</v>
      </c>
      <c r="J25" s="997">
        <v>0</v>
      </c>
      <c r="K25" s="998">
        <v>0</v>
      </c>
      <c r="L25" s="999">
        <v>0</v>
      </c>
      <c r="M25" s="996">
        <v>0</v>
      </c>
      <c r="N25" s="997">
        <v>0</v>
      </c>
      <c r="O25" s="997">
        <v>0</v>
      </c>
      <c r="P25" s="999">
        <v>0</v>
      </c>
      <c r="Q25" s="996">
        <v>0</v>
      </c>
      <c r="R25" s="1000">
        <v>0</v>
      </c>
    </row>
    <row r="26" spans="1:18" ht="18.75" customHeight="1">
      <c r="A26" s="2078" t="s">
        <v>101</v>
      </c>
      <c r="B26" s="2100" t="s">
        <v>359</v>
      </c>
      <c r="C26" s="2103" t="s">
        <v>104</v>
      </c>
      <c r="D26" s="985" t="s">
        <v>3</v>
      </c>
      <c r="E26" s="978">
        <v>0</v>
      </c>
      <c r="F26" s="987">
        <f t="shared" si="0"/>
        <v>19000</v>
      </c>
      <c r="G26" s="996">
        <v>0</v>
      </c>
      <c r="H26" s="997">
        <v>0</v>
      </c>
      <c r="I26" s="997">
        <v>19000</v>
      </c>
      <c r="J26" s="997">
        <v>0</v>
      </c>
      <c r="K26" s="997">
        <v>0</v>
      </c>
      <c r="L26" s="999">
        <v>0</v>
      </c>
      <c r="M26" s="996">
        <v>0</v>
      </c>
      <c r="N26" s="997">
        <v>0</v>
      </c>
      <c r="O26" s="997">
        <v>0</v>
      </c>
      <c r="P26" s="999">
        <v>0</v>
      </c>
      <c r="Q26" s="996">
        <v>0</v>
      </c>
      <c r="R26" s="1000">
        <v>0</v>
      </c>
    </row>
    <row r="27" spans="1:18" ht="18.75" customHeight="1">
      <c r="A27" s="2073"/>
      <c r="B27" s="2101"/>
      <c r="C27" s="2104"/>
      <c r="D27" s="977" t="s">
        <v>964</v>
      </c>
      <c r="E27" s="978">
        <v>0</v>
      </c>
      <c r="F27" s="987">
        <f t="shared" si="0"/>
        <v>19000</v>
      </c>
      <c r="G27" s="996">
        <v>0</v>
      </c>
      <c r="H27" s="997">
        <v>0</v>
      </c>
      <c r="I27" s="997">
        <v>19000</v>
      </c>
      <c r="J27" s="997">
        <v>0</v>
      </c>
      <c r="K27" s="997">
        <v>0</v>
      </c>
      <c r="L27" s="999">
        <v>0</v>
      </c>
      <c r="M27" s="996">
        <v>0</v>
      </c>
      <c r="N27" s="997">
        <v>0</v>
      </c>
      <c r="O27" s="997">
        <v>0</v>
      </c>
      <c r="P27" s="999">
        <v>0</v>
      </c>
      <c r="Q27" s="996">
        <v>0</v>
      </c>
      <c r="R27" s="1000">
        <v>0</v>
      </c>
    </row>
    <row r="28" spans="1:18" ht="18.75" customHeight="1">
      <c r="A28" s="2085"/>
      <c r="B28" s="2102"/>
      <c r="C28" s="2105"/>
      <c r="D28" s="977" t="s">
        <v>977</v>
      </c>
      <c r="E28" s="978">
        <v>0</v>
      </c>
      <c r="F28" s="987">
        <f t="shared" si="0"/>
        <v>19000</v>
      </c>
      <c r="G28" s="996">
        <v>0</v>
      </c>
      <c r="H28" s="997">
        <v>0</v>
      </c>
      <c r="I28" s="997">
        <v>19000</v>
      </c>
      <c r="J28" s="997">
        <v>0</v>
      </c>
      <c r="K28" s="997">
        <v>0</v>
      </c>
      <c r="L28" s="999">
        <v>0</v>
      </c>
      <c r="M28" s="996">
        <v>0</v>
      </c>
      <c r="N28" s="997">
        <v>0</v>
      </c>
      <c r="O28" s="997">
        <v>0</v>
      </c>
      <c r="P28" s="999">
        <v>0</v>
      </c>
      <c r="Q28" s="996">
        <v>0</v>
      </c>
      <c r="R28" s="1000">
        <v>0</v>
      </c>
    </row>
    <row r="29" spans="1:18" ht="18.75" customHeight="1">
      <c r="A29" s="2078" t="s">
        <v>101</v>
      </c>
      <c r="B29" s="2100" t="s">
        <v>361</v>
      </c>
      <c r="C29" s="2106" t="s">
        <v>360</v>
      </c>
      <c r="D29" s="985" t="s">
        <v>3</v>
      </c>
      <c r="E29" s="978">
        <v>0</v>
      </c>
      <c r="F29" s="987">
        <f t="shared" si="0"/>
        <v>318131</v>
      </c>
      <c r="G29" s="1002">
        <v>0</v>
      </c>
      <c r="H29" s="998">
        <v>0</v>
      </c>
      <c r="I29" s="998">
        <v>135440</v>
      </c>
      <c r="J29" s="998">
        <v>0</v>
      </c>
      <c r="K29" s="998">
        <v>0</v>
      </c>
      <c r="L29" s="1003">
        <v>0</v>
      </c>
      <c r="M29" s="1002">
        <v>42691</v>
      </c>
      <c r="N29" s="998">
        <v>140000</v>
      </c>
      <c r="O29" s="998">
        <v>0</v>
      </c>
      <c r="P29" s="1003">
        <v>0</v>
      </c>
      <c r="Q29" s="1002">
        <v>0</v>
      </c>
      <c r="R29" s="1000">
        <v>0</v>
      </c>
    </row>
    <row r="30" spans="1:18" ht="18.75" customHeight="1">
      <c r="A30" s="2073"/>
      <c r="B30" s="2101"/>
      <c r="C30" s="2107"/>
      <c r="D30" s="977" t="s">
        <v>964</v>
      </c>
      <c r="E30" s="978">
        <v>0</v>
      </c>
      <c r="F30" s="987">
        <f t="shared" si="0"/>
        <v>227296</v>
      </c>
      <c r="G30" s="1002">
        <v>0</v>
      </c>
      <c r="H30" s="998">
        <v>0</v>
      </c>
      <c r="I30" s="998">
        <v>135440</v>
      </c>
      <c r="J30" s="998">
        <v>0</v>
      </c>
      <c r="K30" s="998">
        <v>0</v>
      </c>
      <c r="L30" s="1003">
        <v>0</v>
      </c>
      <c r="M30" s="1002">
        <v>31856</v>
      </c>
      <c r="N30" s="998">
        <v>60000</v>
      </c>
      <c r="O30" s="998">
        <v>0</v>
      </c>
      <c r="P30" s="1003">
        <v>0</v>
      </c>
      <c r="Q30" s="1002">
        <v>0</v>
      </c>
      <c r="R30" s="1000">
        <v>0</v>
      </c>
    </row>
    <row r="31" spans="1:18" ht="18.75" customHeight="1">
      <c r="A31" s="2085"/>
      <c r="B31" s="2102"/>
      <c r="C31" s="2108"/>
      <c r="D31" s="977" t="s">
        <v>977</v>
      </c>
      <c r="E31" s="978">
        <v>0</v>
      </c>
      <c r="F31" s="987">
        <f t="shared" si="0"/>
        <v>204466</v>
      </c>
      <c r="G31" s="1004">
        <v>0</v>
      </c>
      <c r="H31" s="1005">
        <v>0</v>
      </c>
      <c r="I31" s="1005">
        <v>131385</v>
      </c>
      <c r="J31" s="1005">
        <v>0</v>
      </c>
      <c r="K31" s="1005">
        <v>0</v>
      </c>
      <c r="L31" s="1006">
        <v>0</v>
      </c>
      <c r="M31" s="1004">
        <v>27619</v>
      </c>
      <c r="N31" s="1005">
        <v>45462</v>
      </c>
      <c r="O31" s="1005">
        <v>0</v>
      </c>
      <c r="P31" s="1006">
        <v>0</v>
      </c>
      <c r="Q31" s="1004">
        <v>0</v>
      </c>
      <c r="R31" s="1007">
        <v>0</v>
      </c>
    </row>
    <row r="32" spans="1:18" ht="18.75" customHeight="1">
      <c r="A32" s="2078" t="s">
        <v>101</v>
      </c>
      <c r="B32" s="2100" t="s">
        <v>362</v>
      </c>
      <c r="C32" s="2103" t="s">
        <v>363</v>
      </c>
      <c r="D32" s="985" t="s">
        <v>3</v>
      </c>
      <c r="E32" s="978">
        <v>0</v>
      </c>
      <c r="F32" s="987">
        <f t="shared" si="0"/>
        <v>75000</v>
      </c>
      <c r="G32" s="996">
        <v>0</v>
      </c>
      <c r="H32" s="997">
        <v>0</v>
      </c>
      <c r="I32" s="997">
        <v>75000</v>
      </c>
      <c r="J32" s="997">
        <v>0</v>
      </c>
      <c r="K32" s="997">
        <v>0</v>
      </c>
      <c r="L32" s="999">
        <v>0</v>
      </c>
      <c r="M32" s="996">
        <v>0</v>
      </c>
      <c r="N32" s="997">
        <v>0</v>
      </c>
      <c r="O32" s="997">
        <v>0</v>
      </c>
      <c r="P32" s="999">
        <v>0</v>
      </c>
      <c r="Q32" s="996">
        <v>0</v>
      </c>
      <c r="R32" s="1000">
        <v>0</v>
      </c>
    </row>
    <row r="33" spans="1:18" ht="18.75" customHeight="1">
      <c r="A33" s="2073"/>
      <c r="B33" s="2101"/>
      <c r="C33" s="2104"/>
      <c r="D33" s="977" t="s">
        <v>964</v>
      </c>
      <c r="E33" s="978">
        <v>0</v>
      </c>
      <c r="F33" s="987">
        <f t="shared" si="0"/>
        <v>75000</v>
      </c>
      <c r="G33" s="996">
        <v>0</v>
      </c>
      <c r="H33" s="997">
        <v>0</v>
      </c>
      <c r="I33" s="997">
        <v>75000</v>
      </c>
      <c r="J33" s="997">
        <v>0</v>
      </c>
      <c r="K33" s="997">
        <v>0</v>
      </c>
      <c r="L33" s="999">
        <v>0</v>
      </c>
      <c r="M33" s="996">
        <v>0</v>
      </c>
      <c r="N33" s="997">
        <v>0</v>
      </c>
      <c r="O33" s="997">
        <v>0</v>
      </c>
      <c r="P33" s="999">
        <v>0</v>
      </c>
      <c r="Q33" s="996">
        <v>0</v>
      </c>
      <c r="R33" s="1000">
        <v>0</v>
      </c>
    </row>
    <row r="34" spans="1:18" ht="18.75" customHeight="1">
      <c r="A34" s="2085"/>
      <c r="B34" s="2102"/>
      <c r="C34" s="2105"/>
      <c r="D34" s="977" t="s">
        <v>977</v>
      </c>
      <c r="E34" s="978">
        <v>0</v>
      </c>
      <c r="F34" s="987">
        <f t="shared" si="0"/>
        <v>75000</v>
      </c>
      <c r="G34" s="996">
        <v>0</v>
      </c>
      <c r="H34" s="997">
        <v>0</v>
      </c>
      <c r="I34" s="997">
        <v>75000</v>
      </c>
      <c r="J34" s="997">
        <v>0</v>
      </c>
      <c r="K34" s="997">
        <v>0</v>
      </c>
      <c r="L34" s="999">
        <v>0</v>
      </c>
      <c r="M34" s="996">
        <v>0</v>
      </c>
      <c r="N34" s="997">
        <v>0</v>
      </c>
      <c r="O34" s="997">
        <v>0</v>
      </c>
      <c r="P34" s="999">
        <v>0</v>
      </c>
      <c r="Q34" s="996">
        <v>0</v>
      </c>
      <c r="R34" s="1000">
        <v>0</v>
      </c>
    </row>
    <row r="35" spans="1:18" ht="18.75" customHeight="1">
      <c r="A35" s="2078" t="s">
        <v>101</v>
      </c>
      <c r="B35" s="2100" t="s">
        <v>364</v>
      </c>
      <c r="C35" s="2103" t="s">
        <v>365</v>
      </c>
      <c r="D35" s="1001" t="s">
        <v>3</v>
      </c>
      <c r="E35" s="978">
        <v>0</v>
      </c>
      <c r="F35" s="987">
        <f t="shared" si="0"/>
        <v>239440</v>
      </c>
      <c r="G35" s="1002">
        <v>0</v>
      </c>
      <c r="H35" s="998">
        <v>0</v>
      </c>
      <c r="I35" s="998">
        <v>68050</v>
      </c>
      <c r="J35" s="998">
        <v>0</v>
      </c>
      <c r="K35" s="998">
        <v>0</v>
      </c>
      <c r="L35" s="1003">
        <v>0</v>
      </c>
      <c r="M35" s="1002">
        <v>33350</v>
      </c>
      <c r="N35" s="998">
        <v>138040</v>
      </c>
      <c r="O35" s="998">
        <v>0</v>
      </c>
      <c r="P35" s="1003">
        <v>0</v>
      </c>
      <c r="Q35" s="1002">
        <v>0</v>
      </c>
      <c r="R35" s="1000">
        <v>0</v>
      </c>
    </row>
    <row r="36" spans="1:18" ht="18.75" customHeight="1">
      <c r="A36" s="2073"/>
      <c r="B36" s="2101"/>
      <c r="C36" s="2104"/>
      <c r="D36" s="977" t="s">
        <v>964</v>
      </c>
      <c r="E36" s="978">
        <v>0</v>
      </c>
      <c r="F36" s="987">
        <f t="shared" si="0"/>
        <v>47700</v>
      </c>
      <c r="G36" s="1002">
        <v>0</v>
      </c>
      <c r="H36" s="998">
        <v>0</v>
      </c>
      <c r="I36" s="998">
        <v>20588</v>
      </c>
      <c r="J36" s="998">
        <v>0</v>
      </c>
      <c r="K36" s="998">
        <v>0</v>
      </c>
      <c r="L36" s="1003">
        <v>0</v>
      </c>
      <c r="M36" s="1002">
        <v>7112</v>
      </c>
      <c r="N36" s="998">
        <v>20000</v>
      </c>
      <c r="O36" s="998">
        <v>0</v>
      </c>
      <c r="P36" s="1003">
        <v>0</v>
      </c>
      <c r="Q36" s="1002">
        <v>0</v>
      </c>
      <c r="R36" s="1000">
        <v>0</v>
      </c>
    </row>
    <row r="37" spans="1:18" ht="18.75" customHeight="1">
      <c r="A37" s="2085"/>
      <c r="B37" s="2102"/>
      <c r="C37" s="2105"/>
      <c r="D37" s="977" t="s">
        <v>977</v>
      </c>
      <c r="E37" s="978">
        <v>0</v>
      </c>
      <c r="F37" s="987">
        <f t="shared" si="0"/>
        <v>47700</v>
      </c>
      <c r="G37" s="1002">
        <v>0</v>
      </c>
      <c r="H37" s="998">
        <v>0</v>
      </c>
      <c r="I37" s="998">
        <v>19093</v>
      </c>
      <c r="J37" s="998">
        <v>0</v>
      </c>
      <c r="K37" s="998">
        <v>0</v>
      </c>
      <c r="L37" s="1003">
        <v>0</v>
      </c>
      <c r="M37" s="1002">
        <v>7112</v>
      </c>
      <c r="N37" s="998">
        <v>21495</v>
      </c>
      <c r="O37" s="998">
        <v>0</v>
      </c>
      <c r="P37" s="1003">
        <v>0</v>
      </c>
      <c r="Q37" s="1002">
        <v>0</v>
      </c>
      <c r="R37" s="1000">
        <v>0</v>
      </c>
    </row>
    <row r="38" spans="1:18" ht="18.75" customHeight="1">
      <c r="A38" s="2078" t="s">
        <v>101</v>
      </c>
      <c r="B38" s="2100" t="s">
        <v>366</v>
      </c>
      <c r="C38" s="2103" t="s">
        <v>105</v>
      </c>
      <c r="D38" s="985" t="s">
        <v>3</v>
      </c>
      <c r="E38" s="978">
        <v>0</v>
      </c>
      <c r="F38" s="987">
        <f t="shared" si="0"/>
        <v>39438</v>
      </c>
      <c r="G38" s="996">
        <v>0</v>
      </c>
      <c r="H38" s="997">
        <v>0</v>
      </c>
      <c r="I38" s="997">
        <v>22928</v>
      </c>
      <c r="J38" s="997">
        <v>0</v>
      </c>
      <c r="K38" s="997">
        <v>0</v>
      </c>
      <c r="L38" s="999">
        <v>0</v>
      </c>
      <c r="M38" s="996">
        <v>16510</v>
      </c>
      <c r="N38" s="997">
        <v>0</v>
      </c>
      <c r="O38" s="997">
        <v>0</v>
      </c>
      <c r="P38" s="999">
        <v>0</v>
      </c>
      <c r="Q38" s="996">
        <v>0</v>
      </c>
      <c r="R38" s="1000">
        <v>0</v>
      </c>
    </row>
    <row r="39" spans="1:18" ht="18.75" customHeight="1">
      <c r="A39" s="2073"/>
      <c r="B39" s="2101"/>
      <c r="C39" s="2104"/>
      <c r="D39" s="977" t="s">
        <v>964</v>
      </c>
      <c r="E39" s="978">
        <v>0</v>
      </c>
      <c r="F39" s="987">
        <f t="shared" si="0"/>
        <v>23197</v>
      </c>
      <c r="G39" s="996">
        <v>0</v>
      </c>
      <c r="H39" s="997">
        <v>0</v>
      </c>
      <c r="I39" s="997">
        <v>19556</v>
      </c>
      <c r="J39" s="997">
        <v>0</v>
      </c>
      <c r="K39" s="997">
        <v>0</v>
      </c>
      <c r="L39" s="999">
        <v>0</v>
      </c>
      <c r="M39" s="996">
        <v>3641</v>
      </c>
      <c r="N39" s="997">
        <v>0</v>
      </c>
      <c r="O39" s="997">
        <v>0</v>
      </c>
      <c r="P39" s="999">
        <v>0</v>
      </c>
      <c r="Q39" s="996">
        <v>0</v>
      </c>
      <c r="R39" s="1000">
        <v>0</v>
      </c>
    </row>
    <row r="40" spans="1:18" ht="18.75" customHeight="1">
      <c r="A40" s="2085"/>
      <c r="B40" s="2102"/>
      <c r="C40" s="2105"/>
      <c r="D40" s="977" t="s">
        <v>977</v>
      </c>
      <c r="E40" s="978">
        <v>0</v>
      </c>
      <c r="F40" s="987">
        <f t="shared" si="0"/>
        <v>23197</v>
      </c>
      <c r="G40" s="996">
        <v>0</v>
      </c>
      <c r="H40" s="997">
        <v>0</v>
      </c>
      <c r="I40" s="997">
        <v>19556</v>
      </c>
      <c r="J40" s="997">
        <v>0</v>
      </c>
      <c r="K40" s="997">
        <v>0</v>
      </c>
      <c r="L40" s="999">
        <v>0</v>
      </c>
      <c r="M40" s="996">
        <v>3641</v>
      </c>
      <c r="N40" s="997">
        <v>0</v>
      </c>
      <c r="O40" s="997">
        <v>0</v>
      </c>
      <c r="P40" s="999">
        <v>0</v>
      </c>
      <c r="Q40" s="996">
        <v>0</v>
      </c>
      <c r="R40" s="1000">
        <v>0</v>
      </c>
    </row>
    <row r="41" spans="1:18" ht="18.75" customHeight="1">
      <c r="A41" s="2078" t="s">
        <v>101</v>
      </c>
      <c r="B41" s="2100" t="s">
        <v>367</v>
      </c>
      <c r="C41" s="2103" t="s">
        <v>368</v>
      </c>
      <c r="D41" s="985" t="s">
        <v>3</v>
      </c>
      <c r="E41" s="978">
        <v>0</v>
      </c>
      <c r="F41" s="987">
        <f t="shared" si="0"/>
        <v>35500</v>
      </c>
      <c r="G41" s="996">
        <v>0</v>
      </c>
      <c r="H41" s="997">
        <v>0</v>
      </c>
      <c r="I41" s="997">
        <v>6100</v>
      </c>
      <c r="J41" s="997">
        <v>0</v>
      </c>
      <c r="K41" s="997">
        <v>0</v>
      </c>
      <c r="L41" s="999">
        <v>0</v>
      </c>
      <c r="M41" s="996">
        <v>29400</v>
      </c>
      <c r="N41" s="997">
        <v>0</v>
      </c>
      <c r="O41" s="997">
        <v>0</v>
      </c>
      <c r="P41" s="999">
        <v>0</v>
      </c>
      <c r="Q41" s="996">
        <v>0</v>
      </c>
      <c r="R41" s="1000">
        <v>0</v>
      </c>
    </row>
    <row r="42" spans="1:18" ht="18.75" customHeight="1">
      <c r="A42" s="2073"/>
      <c r="B42" s="2101"/>
      <c r="C42" s="2104"/>
      <c r="D42" s="977" t="s">
        <v>964</v>
      </c>
      <c r="E42" s="978">
        <v>0</v>
      </c>
      <c r="F42" s="987">
        <f t="shared" si="0"/>
        <v>156629</v>
      </c>
      <c r="G42" s="996">
        <v>0</v>
      </c>
      <c r="H42" s="997">
        <v>7</v>
      </c>
      <c r="I42" s="997">
        <v>25134</v>
      </c>
      <c r="J42" s="997">
        <v>0</v>
      </c>
      <c r="K42" s="997">
        <v>0</v>
      </c>
      <c r="L42" s="999">
        <v>0</v>
      </c>
      <c r="M42" s="996">
        <v>76455</v>
      </c>
      <c r="N42" s="997">
        <v>55033</v>
      </c>
      <c r="O42" s="997">
        <v>0</v>
      </c>
      <c r="P42" s="999">
        <v>0</v>
      </c>
      <c r="Q42" s="996">
        <v>0</v>
      </c>
      <c r="R42" s="1000">
        <v>0</v>
      </c>
    </row>
    <row r="43" spans="1:18" ht="18.75" customHeight="1">
      <c r="A43" s="2085"/>
      <c r="B43" s="2102"/>
      <c r="C43" s="2105"/>
      <c r="D43" s="977" t="s">
        <v>977</v>
      </c>
      <c r="E43" s="978">
        <v>0</v>
      </c>
      <c r="F43" s="987">
        <f t="shared" si="0"/>
        <v>156629</v>
      </c>
      <c r="G43" s="996">
        <v>0</v>
      </c>
      <c r="H43" s="997">
        <v>7</v>
      </c>
      <c r="I43" s="997">
        <v>25134</v>
      </c>
      <c r="J43" s="997">
        <v>0</v>
      </c>
      <c r="K43" s="997">
        <v>0</v>
      </c>
      <c r="L43" s="999">
        <v>0</v>
      </c>
      <c r="M43" s="996">
        <v>76455</v>
      </c>
      <c r="N43" s="997">
        <v>55033</v>
      </c>
      <c r="O43" s="997">
        <v>0</v>
      </c>
      <c r="P43" s="999">
        <v>0</v>
      </c>
      <c r="Q43" s="996">
        <v>0</v>
      </c>
      <c r="R43" s="1000">
        <v>0</v>
      </c>
    </row>
    <row r="44" spans="1:18" ht="18.75" customHeight="1">
      <c r="A44" s="2078" t="s">
        <v>101</v>
      </c>
      <c r="B44" s="2100" t="s">
        <v>369</v>
      </c>
      <c r="C44" s="2103" t="s">
        <v>106</v>
      </c>
      <c r="D44" s="985" t="s">
        <v>3</v>
      </c>
      <c r="E44" s="978">
        <v>0</v>
      </c>
      <c r="F44" s="987">
        <f t="shared" si="0"/>
        <v>105241</v>
      </c>
      <c r="G44" s="1002">
        <v>0</v>
      </c>
      <c r="H44" s="998">
        <v>0</v>
      </c>
      <c r="I44" s="998">
        <v>56252</v>
      </c>
      <c r="J44" s="998">
        <v>0</v>
      </c>
      <c r="K44" s="998">
        <v>0</v>
      </c>
      <c r="L44" s="1003">
        <v>0</v>
      </c>
      <c r="M44" s="1002">
        <v>13718</v>
      </c>
      <c r="N44" s="998">
        <v>35271</v>
      </c>
      <c r="O44" s="998">
        <v>0</v>
      </c>
      <c r="P44" s="1003">
        <v>0</v>
      </c>
      <c r="Q44" s="1002">
        <v>0</v>
      </c>
      <c r="R44" s="1003">
        <v>0</v>
      </c>
    </row>
    <row r="45" spans="1:18" ht="18.75" customHeight="1">
      <c r="A45" s="2073"/>
      <c r="B45" s="2101"/>
      <c r="C45" s="2104"/>
      <c r="D45" s="977" t="s">
        <v>964</v>
      </c>
      <c r="E45" s="978">
        <v>0</v>
      </c>
      <c r="F45" s="987">
        <f t="shared" si="0"/>
        <v>115891</v>
      </c>
      <c r="G45" s="1002">
        <v>0</v>
      </c>
      <c r="H45" s="998">
        <v>0</v>
      </c>
      <c r="I45" s="998">
        <v>56252</v>
      </c>
      <c r="J45" s="998">
        <v>0</v>
      </c>
      <c r="K45" s="998">
        <v>0</v>
      </c>
      <c r="L45" s="1003">
        <v>0</v>
      </c>
      <c r="M45" s="1002">
        <v>24368</v>
      </c>
      <c r="N45" s="998">
        <v>35271</v>
      </c>
      <c r="O45" s="998">
        <v>0</v>
      </c>
      <c r="P45" s="1003">
        <v>0</v>
      </c>
      <c r="Q45" s="1002">
        <v>0</v>
      </c>
      <c r="R45" s="1003">
        <v>0</v>
      </c>
    </row>
    <row r="46" spans="1:18" ht="18.75" customHeight="1">
      <c r="A46" s="2085"/>
      <c r="B46" s="2102"/>
      <c r="C46" s="2105"/>
      <c r="D46" s="977" t="s">
        <v>977</v>
      </c>
      <c r="E46" s="978">
        <v>0</v>
      </c>
      <c r="F46" s="987">
        <f t="shared" si="0"/>
        <v>115891</v>
      </c>
      <c r="G46" s="1004">
        <v>0</v>
      </c>
      <c r="H46" s="1005">
        <v>0</v>
      </c>
      <c r="I46" s="1005">
        <v>56252</v>
      </c>
      <c r="J46" s="1005">
        <v>0</v>
      </c>
      <c r="K46" s="1005">
        <v>0</v>
      </c>
      <c r="L46" s="1006">
        <v>0</v>
      </c>
      <c r="M46" s="1004">
        <v>24368</v>
      </c>
      <c r="N46" s="1005">
        <v>35271</v>
      </c>
      <c r="O46" s="1005">
        <v>0</v>
      </c>
      <c r="P46" s="1006">
        <v>0</v>
      </c>
      <c r="Q46" s="1004">
        <v>0</v>
      </c>
      <c r="R46" s="1006">
        <v>0</v>
      </c>
    </row>
    <row r="47" spans="1:18" ht="18.75" customHeight="1">
      <c r="A47" s="2078" t="s">
        <v>101</v>
      </c>
      <c r="B47" s="2100" t="s">
        <v>370</v>
      </c>
      <c r="C47" s="2103" t="s">
        <v>371</v>
      </c>
      <c r="D47" s="985" t="s">
        <v>3</v>
      </c>
      <c r="E47" s="978">
        <v>0</v>
      </c>
      <c r="F47" s="987">
        <f t="shared" si="0"/>
        <v>34300</v>
      </c>
      <c r="G47" s="996">
        <v>0</v>
      </c>
      <c r="H47" s="997">
        <v>0</v>
      </c>
      <c r="I47" s="997">
        <v>7300</v>
      </c>
      <c r="J47" s="997">
        <v>0</v>
      </c>
      <c r="K47" s="997">
        <v>0</v>
      </c>
      <c r="L47" s="999">
        <v>0</v>
      </c>
      <c r="M47" s="996">
        <v>3000</v>
      </c>
      <c r="N47" s="997">
        <v>24000</v>
      </c>
      <c r="O47" s="997">
        <v>0</v>
      </c>
      <c r="P47" s="999">
        <v>0</v>
      </c>
      <c r="Q47" s="996">
        <v>0</v>
      </c>
      <c r="R47" s="1000">
        <v>0</v>
      </c>
    </row>
    <row r="48" spans="1:18" ht="18.75" customHeight="1">
      <c r="A48" s="2073"/>
      <c r="B48" s="2101"/>
      <c r="C48" s="2104"/>
      <c r="D48" s="977" t="s">
        <v>964</v>
      </c>
      <c r="E48" s="978">
        <v>0</v>
      </c>
      <c r="F48" s="987">
        <f t="shared" si="0"/>
        <v>33300</v>
      </c>
      <c r="G48" s="996">
        <v>0</v>
      </c>
      <c r="H48" s="997">
        <v>0</v>
      </c>
      <c r="I48" s="997">
        <v>7300</v>
      </c>
      <c r="J48" s="997">
        <v>0</v>
      </c>
      <c r="K48" s="997">
        <v>0</v>
      </c>
      <c r="L48" s="999">
        <v>0</v>
      </c>
      <c r="M48" s="996">
        <v>2000</v>
      </c>
      <c r="N48" s="997">
        <v>24000</v>
      </c>
      <c r="O48" s="997">
        <v>0</v>
      </c>
      <c r="P48" s="999">
        <v>0</v>
      </c>
      <c r="Q48" s="996">
        <v>0</v>
      </c>
      <c r="R48" s="1000">
        <v>0</v>
      </c>
    </row>
    <row r="49" spans="1:18" ht="18.75" customHeight="1">
      <c r="A49" s="2085"/>
      <c r="B49" s="2102"/>
      <c r="C49" s="2105"/>
      <c r="D49" s="977" t="s">
        <v>977</v>
      </c>
      <c r="E49" s="978">
        <v>0</v>
      </c>
      <c r="F49" s="987">
        <f t="shared" si="0"/>
        <v>33300</v>
      </c>
      <c r="G49" s="996">
        <v>0</v>
      </c>
      <c r="H49" s="997">
        <v>0</v>
      </c>
      <c r="I49" s="997">
        <v>7300</v>
      </c>
      <c r="J49" s="997">
        <v>0</v>
      </c>
      <c r="K49" s="997">
        <v>0</v>
      </c>
      <c r="L49" s="999">
        <v>0</v>
      </c>
      <c r="M49" s="996">
        <v>2000</v>
      </c>
      <c r="N49" s="997">
        <v>24000</v>
      </c>
      <c r="O49" s="997">
        <v>0</v>
      </c>
      <c r="P49" s="999">
        <v>0</v>
      </c>
      <c r="Q49" s="996">
        <v>0</v>
      </c>
      <c r="R49" s="1000">
        <v>0</v>
      </c>
    </row>
    <row r="50" spans="1:18" ht="18.75" customHeight="1">
      <c r="A50" s="2078" t="s">
        <v>101</v>
      </c>
      <c r="B50" s="2100" t="s">
        <v>372</v>
      </c>
      <c r="C50" s="2103" t="s">
        <v>373</v>
      </c>
      <c r="D50" s="985" t="s">
        <v>3</v>
      </c>
      <c r="E50" s="978">
        <v>0</v>
      </c>
      <c r="F50" s="987">
        <f t="shared" si="0"/>
        <v>115710</v>
      </c>
      <c r="G50" s="996">
        <v>0</v>
      </c>
      <c r="H50" s="997">
        <v>0</v>
      </c>
      <c r="I50" s="997">
        <v>102210</v>
      </c>
      <c r="J50" s="997">
        <v>0</v>
      </c>
      <c r="K50" s="998">
        <v>0</v>
      </c>
      <c r="L50" s="999">
        <v>0</v>
      </c>
      <c r="M50" s="996">
        <v>0</v>
      </c>
      <c r="N50" s="997">
        <v>13500</v>
      </c>
      <c r="O50" s="997">
        <v>0</v>
      </c>
      <c r="P50" s="999">
        <v>0</v>
      </c>
      <c r="Q50" s="996">
        <v>0</v>
      </c>
      <c r="R50" s="1000">
        <v>0</v>
      </c>
    </row>
    <row r="51" spans="1:18" ht="18.75" customHeight="1">
      <c r="A51" s="2073"/>
      <c r="B51" s="2101"/>
      <c r="C51" s="2104"/>
      <c r="D51" s="977" t="s">
        <v>964</v>
      </c>
      <c r="E51" s="978">
        <v>0</v>
      </c>
      <c r="F51" s="987">
        <f t="shared" si="0"/>
        <v>112710</v>
      </c>
      <c r="G51" s="996">
        <v>0</v>
      </c>
      <c r="H51" s="997">
        <v>0</v>
      </c>
      <c r="I51" s="997">
        <v>99210</v>
      </c>
      <c r="J51" s="997">
        <v>0</v>
      </c>
      <c r="K51" s="998">
        <v>0</v>
      </c>
      <c r="L51" s="999">
        <v>0</v>
      </c>
      <c r="M51" s="996">
        <v>0</v>
      </c>
      <c r="N51" s="997">
        <v>13500</v>
      </c>
      <c r="O51" s="997">
        <v>0</v>
      </c>
      <c r="P51" s="999">
        <v>0</v>
      </c>
      <c r="Q51" s="996">
        <v>0</v>
      </c>
      <c r="R51" s="1000">
        <v>0</v>
      </c>
    </row>
    <row r="52" spans="1:18" ht="18.75" customHeight="1">
      <c r="A52" s="2085"/>
      <c r="B52" s="2102"/>
      <c r="C52" s="2105"/>
      <c r="D52" s="977" t="s">
        <v>977</v>
      </c>
      <c r="E52" s="978">
        <v>0</v>
      </c>
      <c r="F52" s="987">
        <f t="shared" si="0"/>
        <v>112710</v>
      </c>
      <c r="G52" s="996">
        <v>0</v>
      </c>
      <c r="H52" s="997">
        <v>0</v>
      </c>
      <c r="I52" s="997">
        <v>99210</v>
      </c>
      <c r="J52" s="997">
        <v>0</v>
      </c>
      <c r="K52" s="998">
        <v>0</v>
      </c>
      <c r="L52" s="999">
        <v>0</v>
      </c>
      <c r="M52" s="996">
        <v>0</v>
      </c>
      <c r="N52" s="997">
        <v>13500</v>
      </c>
      <c r="O52" s="997">
        <v>0</v>
      </c>
      <c r="P52" s="999">
        <v>0</v>
      </c>
      <c r="Q52" s="996">
        <v>0</v>
      </c>
      <c r="R52" s="1000">
        <v>0</v>
      </c>
    </row>
    <row r="53" spans="1:18" ht="18.75" customHeight="1">
      <c r="A53" s="2078" t="s">
        <v>101</v>
      </c>
      <c r="B53" s="2100" t="s">
        <v>377</v>
      </c>
      <c r="C53" s="2103" t="s">
        <v>376</v>
      </c>
      <c r="D53" s="985" t="s">
        <v>3</v>
      </c>
      <c r="E53" s="978">
        <v>160</v>
      </c>
      <c r="F53" s="987">
        <f t="shared" si="0"/>
        <v>34000</v>
      </c>
      <c r="G53" s="996">
        <v>1181</v>
      </c>
      <c r="H53" s="997">
        <v>319</v>
      </c>
      <c r="I53" s="997">
        <v>500</v>
      </c>
      <c r="J53" s="997">
        <v>0</v>
      </c>
      <c r="K53" s="998">
        <v>0</v>
      </c>
      <c r="L53" s="999">
        <v>0</v>
      </c>
      <c r="M53" s="996">
        <v>25000</v>
      </c>
      <c r="N53" s="997">
        <v>0</v>
      </c>
      <c r="O53" s="997">
        <v>7000</v>
      </c>
      <c r="P53" s="999">
        <v>0</v>
      </c>
      <c r="Q53" s="996">
        <v>0</v>
      </c>
      <c r="R53" s="1000">
        <v>0</v>
      </c>
    </row>
    <row r="54" spans="1:18" ht="18.75" customHeight="1">
      <c r="A54" s="2073"/>
      <c r="B54" s="2101"/>
      <c r="C54" s="2104"/>
      <c r="D54" s="977" t="s">
        <v>964</v>
      </c>
      <c r="E54" s="978">
        <v>160</v>
      </c>
      <c r="F54" s="987">
        <f t="shared" si="0"/>
        <v>30000</v>
      </c>
      <c r="G54" s="996">
        <v>1181</v>
      </c>
      <c r="H54" s="997">
        <v>319</v>
      </c>
      <c r="I54" s="997">
        <v>500</v>
      </c>
      <c r="J54" s="997">
        <v>0</v>
      </c>
      <c r="K54" s="998">
        <v>0</v>
      </c>
      <c r="L54" s="999">
        <v>0</v>
      </c>
      <c r="M54" s="996">
        <v>21000</v>
      </c>
      <c r="N54" s="997">
        <v>0</v>
      </c>
      <c r="O54" s="997">
        <v>7000</v>
      </c>
      <c r="P54" s="999">
        <v>0</v>
      </c>
      <c r="Q54" s="996">
        <v>0</v>
      </c>
      <c r="R54" s="1000">
        <v>0</v>
      </c>
    </row>
    <row r="55" spans="1:18" ht="18.75" customHeight="1">
      <c r="A55" s="2085"/>
      <c r="B55" s="2102"/>
      <c r="C55" s="2105"/>
      <c r="D55" s="977" t="s">
        <v>977</v>
      </c>
      <c r="E55" s="978">
        <v>160</v>
      </c>
      <c r="F55" s="987">
        <f t="shared" si="0"/>
        <v>30000</v>
      </c>
      <c r="G55" s="996">
        <v>1181</v>
      </c>
      <c r="H55" s="997">
        <v>319</v>
      </c>
      <c r="I55" s="997">
        <v>500</v>
      </c>
      <c r="J55" s="997">
        <v>0</v>
      </c>
      <c r="K55" s="998">
        <v>0</v>
      </c>
      <c r="L55" s="999">
        <v>0</v>
      </c>
      <c r="M55" s="996">
        <v>21000</v>
      </c>
      <c r="N55" s="997">
        <v>0</v>
      </c>
      <c r="O55" s="997">
        <v>7000</v>
      </c>
      <c r="P55" s="999">
        <v>0</v>
      </c>
      <c r="Q55" s="996">
        <v>0</v>
      </c>
      <c r="R55" s="1000">
        <v>0</v>
      </c>
    </row>
    <row r="56" spans="1:18" ht="18.75" customHeight="1">
      <c r="A56" s="2078" t="s">
        <v>101</v>
      </c>
      <c r="B56" s="2100" t="s">
        <v>374</v>
      </c>
      <c r="C56" s="2103" t="s">
        <v>375</v>
      </c>
      <c r="D56" s="985" t="s">
        <v>3</v>
      </c>
      <c r="E56" s="978">
        <v>0</v>
      </c>
      <c r="F56" s="987">
        <f t="shared" si="0"/>
        <v>8020</v>
      </c>
      <c r="G56" s="996">
        <v>0</v>
      </c>
      <c r="H56" s="997">
        <v>0</v>
      </c>
      <c r="I56" s="997">
        <v>8020</v>
      </c>
      <c r="J56" s="997">
        <v>0</v>
      </c>
      <c r="K56" s="997">
        <v>0</v>
      </c>
      <c r="L56" s="999">
        <v>0</v>
      </c>
      <c r="M56" s="996">
        <v>0</v>
      </c>
      <c r="N56" s="997">
        <v>0</v>
      </c>
      <c r="O56" s="997">
        <v>0</v>
      </c>
      <c r="P56" s="999">
        <v>0</v>
      </c>
      <c r="Q56" s="996">
        <v>0</v>
      </c>
      <c r="R56" s="1000">
        <v>0</v>
      </c>
    </row>
    <row r="57" spans="1:18" ht="18.75" customHeight="1">
      <c r="A57" s="2073"/>
      <c r="B57" s="2101"/>
      <c r="C57" s="2104"/>
      <c r="D57" s="977" t="s">
        <v>964</v>
      </c>
      <c r="E57" s="978">
        <v>0</v>
      </c>
      <c r="F57" s="987">
        <f t="shared" si="0"/>
        <v>8020</v>
      </c>
      <c r="G57" s="996">
        <v>0</v>
      </c>
      <c r="H57" s="997">
        <v>0</v>
      </c>
      <c r="I57" s="997">
        <v>8020</v>
      </c>
      <c r="J57" s="997">
        <v>0</v>
      </c>
      <c r="K57" s="997">
        <v>0</v>
      </c>
      <c r="L57" s="999">
        <v>0</v>
      </c>
      <c r="M57" s="996">
        <v>0</v>
      </c>
      <c r="N57" s="997">
        <v>0</v>
      </c>
      <c r="O57" s="997">
        <v>0</v>
      </c>
      <c r="P57" s="999">
        <v>0</v>
      </c>
      <c r="Q57" s="996">
        <v>0</v>
      </c>
      <c r="R57" s="1000">
        <v>0</v>
      </c>
    </row>
    <row r="58" spans="1:18" ht="18.75" customHeight="1">
      <c r="A58" s="2085"/>
      <c r="B58" s="2102"/>
      <c r="C58" s="2105"/>
      <c r="D58" s="977" t="s">
        <v>977</v>
      </c>
      <c r="E58" s="978">
        <v>0</v>
      </c>
      <c r="F58" s="987">
        <f t="shared" si="0"/>
        <v>8020</v>
      </c>
      <c r="G58" s="996">
        <v>0</v>
      </c>
      <c r="H58" s="997">
        <v>0</v>
      </c>
      <c r="I58" s="997">
        <v>8020</v>
      </c>
      <c r="J58" s="997">
        <v>0</v>
      </c>
      <c r="K58" s="997">
        <v>0</v>
      </c>
      <c r="L58" s="999">
        <v>0</v>
      </c>
      <c r="M58" s="996">
        <v>0</v>
      </c>
      <c r="N58" s="997">
        <v>0</v>
      </c>
      <c r="O58" s="997">
        <v>0</v>
      </c>
      <c r="P58" s="999">
        <v>0</v>
      </c>
      <c r="Q58" s="996">
        <v>0</v>
      </c>
      <c r="R58" s="1000">
        <v>0</v>
      </c>
    </row>
    <row r="59" spans="1:18" ht="18.75" customHeight="1">
      <c r="A59" s="2078" t="s">
        <v>101</v>
      </c>
      <c r="B59" s="2100" t="s">
        <v>378</v>
      </c>
      <c r="C59" s="2103" t="s">
        <v>379</v>
      </c>
      <c r="D59" s="985" t="s">
        <v>3</v>
      </c>
      <c r="E59" s="978">
        <v>0</v>
      </c>
      <c r="F59" s="987">
        <f t="shared" si="0"/>
        <v>37850</v>
      </c>
      <c r="G59" s="1002">
        <v>0</v>
      </c>
      <c r="H59" s="998">
        <v>0</v>
      </c>
      <c r="I59" s="998">
        <v>29500</v>
      </c>
      <c r="J59" s="998">
        <v>0</v>
      </c>
      <c r="K59" s="998">
        <v>0</v>
      </c>
      <c r="L59" s="1003">
        <v>0</v>
      </c>
      <c r="M59" s="1002">
        <v>0</v>
      </c>
      <c r="N59" s="998">
        <v>8350</v>
      </c>
      <c r="O59" s="998">
        <v>0</v>
      </c>
      <c r="P59" s="1003">
        <v>0</v>
      </c>
      <c r="Q59" s="1002">
        <v>0</v>
      </c>
      <c r="R59" s="1000">
        <v>0</v>
      </c>
    </row>
    <row r="60" spans="1:18" ht="18.75" customHeight="1">
      <c r="A60" s="2073"/>
      <c r="B60" s="2101"/>
      <c r="C60" s="2104"/>
      <c r="D60" s="977" t="s">
        <v>964</v>
      </c>
      <c r="E60" s="978">
        <v>0</v>
      </c>
      <c r="F60" s="987">
        <f t="shared" si="0"/>
        <v>49878</v>
      </c>
      <c r="G60" s="1002">
        <v>0</v>
      </c>
      <c r="H60" s="998">
        <v>28</v>
      </c>
      <c r="I60" s="998">
        <v>29500</v>
      </c>
      <c r="J60" s="998">
        <v>0</v>
      </c>
      <c r="K60" s="998">
        <v>0</v>
      </c>
      <c r="L60" s="1003">
        <v>0</v>
      </c>
      <c r="M60" s="1002">
        <v>12000</v>
      </c>
      <c r="N60" s="998">
        <v>8350</v>
      </c>
      <c r="O60" s="998">
        <v>0</v>
      </c>
      <c r="P60" s="1003">
        <v>0</v>
      </c>
      <c r="Q60" s="1002">
        <v>0</v>
      </c>
      <c r="R60" s="1000">
        <v>0</v>
      </c>
    </row>
    <row r="61" spans="1:18" ht="18.75" customHeight="1">
      <c r="A61" s="2085"/>
      <c r="B61" s="2102"/>
      <c r="C61" s="2105"/>
      <c r="D61" s="977" t="s">
        <v>977</v>
      </c>
      <c r="E61" s="978">
        <v>0</v>
      </c>
      <c r="F61" s="987">
        <f t="shared" si="0"/>
        <v>49878</v>
      </c>
      <c r="G61" s="1002">
        <v>0</v>
      </c>
      <c r="H61" s="998">
        <v>28</v>
      </c>
      <c r="I61" s="998">
        <v>29500</v>
      </c>
      <c r="J61" s="998">
        <v>0</v>
      </c>
      <c r="K61" s="998">
        <v>0</v>
      </c>
      <c r="L61" s="1003">
        <v>0</v>
      </c>
      <c r="M61" s="1002">
        <v>12000</v>
      </c>
      <c r="N61" s="998">
        <v>8350</v>
      </c>
      <c r="O61" s="998">
        <v>0</v>
      </c>
      <c r="P61" s="1003">
        <v>0</v>
      </c>
      <c r="Q61" s="1002">
        <v>0</v>
      </c>
      <c r="R61" s="1000">
        <v>0</v>
      </c>
    </row>
    <row r="62" spans="1:18" ht="18.75" customHeight="1">
      <c r="A62" s="2078" t="s">
        <v>344</v>
      </c>
      <c r="B62" s="2100" t="s">
        <v>380</v>
      </c>
      <c r="C62" s="2103" t="s">
        <v>381</v>
      </c>
      <c r="D62" s="1001" t="s">
        <v>3</v>
      </c>
      <c r="E62" s="978">
        <v>0</v>
      </c>
      <c r="F62" s="987">
        <f t="shared" si="0"/>
        <v>25100</v>
      </c>
      <c r="G62" s="996">
        <v>0</v>
      </c>
      <c r="H62" s="997">
        <v>0</v>
      </c>
      <c r="I62" s="997">
        <v>25100</v>
      </c>
      <c r="J62" s="997">
        <v>0</v>
      </c>
      <c r="K62" s="997">
        <v>0</v>
      </c>
      <c r="L62" s="999">
        <v>0</v>
      </c>
      <c r="M62" s="996">
        <v>0</v>
      </c>
      <c r="N62" s="997">
        <v>0</v>
      </c>
      <c r="O62" s="997">
        <v>0</v>
      </c>
      <c r="P62" s="999">
        <v>0</v>
      </c>
      <c r="Q62" s="996">
        <v>0</v>
      </c>
      <c r="R62" s="1000">
        <v>0</v>
      </c>
    </row>
    <row r="63" spans="1:18" ht="18.75" customHeight="1">
      <c r="A63" s="2073"/>
      <c r="B63" s="2101"/>
      <c r="C63" s="2104"/>
      <c r="D63" s="977" t="s">
        <v>964</v>
      </c>
      <c r="E63" s="978">
        <v>105</v>
      </c>
      <c r="F63" s="987">
        <f t="shared" si="0"/>
        <v>32457</v>
      </c>
      <c r="G63" s="996">
        <v>0</v>
      </c>
      <c r="H63" s="997">
        <v>0</v>
      </c>
      <c r="I63" s="997">
        <v>24468</v>
      </c>
      <c r="J63" s="997">
        <v>0</v>
      </c>
      <c r="K63" s="997">
        <v>0</v>
      </c>
      <c r="L63" s="999">
        <v>0</v>
      </c>
      <c r="M63" s="996">
        <v>7989</v>
      </c>
      <c r="N63" s="997">
        <v>0</v>
      </c>
      <c r="O63" s="997">
        <v>0</v>
      </c>
      <c r="P63" s="999">
        <v>0</v>
      </c>
      <c r="Q63" s="996">
        <v>0</v>
      </c>
      <c r="R63" s="1000">
        <v>0</v>
      </c>
    </row>
    <row r="64" spans="1:18" ht="18.75" customHeight="1">
      <c r="A64" s="2085"/>
      <c r="B64" s="2102"/>
      <c r="C64" s="2105"/>
      <c r="D64" s="977" t="s">
        <v>977</v>
      </c>
      <c r="E64" s="978">
        <v>105</v>
      </c>
      <c r="F64" s="987">
        <f t="shared" si="0"/>
        <v>29215</v>
      </c>
      <c r="G64" s="996">
        <v>0</v>
      </c>
      <c r="H64" s="997">
        <v>0</v>
      </c>
      <c r="I64" s="997">
        <v>21226</v>
      </c>
      <c r="J64" s="997">
        <v>0</v>
      </c>
      <c r="K64" s="997">
        <v>0</v>
      </c>
      <c r="L64" s="999">
        <v>0</v>
      </c>
      <c r="M64" s="996">
        <v>7989</v>
      </c>
      <c r="N64" s="997">
        <v>0</v>
      </c>
      <c r="O64" s="997">
        <v>0</v>
      </c>
      <c r="P64" s="999">
        <v>0</v>
      </c>
      <c r="Q64" s="996">
        <v>0</v>
      </c>
      <c r="R64" s="1000">
        <v>0</v>
      </c>
    </row>
    <row r="65" spans="1:18" ht="18.75" customHeight="1">
      <c r="A65" s="2078" t="s">
        <v>101</v>
      </c>
      <c r="B65" s="2100" t="s">
        <v>397</v>
      </c>
      <c r="C65" s="2103" t="s">
        <v>398</v>
      </c>
      <c r="D65" s="985" t="s">
        <v>3</v>
      </c>
      <c r="E65" s="978">
        <v>0</v>
      </c>
      <c r="F65" s="987">
        <f t="shared" si="0"/>
        <v>72730</v>
      </c>
      <c r="G65" s="1002">
        <v>600</v>
      </c>
      <c r="H65" s="998">
        <v>230</v>
      </c>
      <c r="I65" s="998">
        <v>7200</v>
      </c>
      <c r="J65" s="998">
        <v>64700</v>
      </c>
      <c r="K65" s="998">
        <v>0</v>
      </c>
      <c r="L65" s="1003">
        <v>0</v>
      </c>
      <c r="M65" s="1002">
        <v>0</v>
      </c>
      <c r="N65" s="998">
        <v>0</v>
      </c>
      <c r="O65" s="998">
        <v>0</v>
      </c>
      <c r="P65" s="1003">
        <v>0</v>
      </c>
      <c r="Q65" s="1002">
        <v>0</v>
      </c>
      <c r="R65" s="1000">
        <v>0</v>
      </c>
    </row>
    <row r="66" spans="1:18" ht="18.75" customHeight="1">
      <c r="A66" s="2073"/>
      <c r="B66" s="2101"/>
      <c r="C66" s="2104"/>
      <c r="D66" s="977" t="s">
        <v>964</v>
      </c>
      <c r="E66" s="978">
        <v>469</v>
      </c>
      <c r="F66" s="987">
        <f t="shared" si="0"/>
        <v>68730</v>
      </c>
      <c r="G66" s="1002">
        <v>600</v>
      </c>
      <c r="H66" s="998">
        <v>230</v>
      </c>
      <c r="I66" s="998">
        <v>3200</v>
      </c>
      <c r="J66" s="998">
        <v>63200</v>
      </c>
      <c r="K66" s="998">
        <v>1500</v>
      </c>
      <c r="L66" s="1003">
        <v>0</v>
      </c>
      <c r="M66" s="1002">
        <v>0</v>
      </c>
      <c r="N66" s="998">
        <v>0</v>
      </c>
      <c r="O66" s="998">
        <v>0</v>
      </c>
      <c r="P66" s="1003">
        <v>0</v>
      </c>
      <c r="Q66" s="1002">
        <v>0</v>
      </c>
      <c r="R66" s="1000">
        <v>0</v>
      </c>
    </row>
    <row r="67" spans="1:18" ht="18.75" customHeight="1">
      <c r="A67" s="2085"/>
      <c r="B67" s="2102"/>
      <c r="C67" s="2105"/>
      <c r="D67" s="977" t="s">
        <v>977</v>
      </c>
      <c r="E67" s="978">
        <v>469</v>
      </c>
      <c r="F67" s="987">
        <f t="shared" si="0"/>
        <v>68730</v>
      </c>
      <c r="G67" s="1002">
        <v>600</v>
      </c>
      <c r="H67" s="998">
        <v>230</v>
      </c>
      <c r="I67" s="998">
        <v>3200</v>
      </c>
      <c r="J67" s="998">
        <v>63200</v>
      </c>
      <c r="K67" s="998">
        <v>1500</v>
      </c>
      <c r="L67" s="1003">
        <v>0</v>
      </c>
      <c r="M67" s="1002">
        <v>0</v>
      </c>
      <c r="N67" s="998">
        <v>0</v>
      </c>
      <c r="O67" s="998">
        <v>0</v>
      </c>
      <c r="P67" s="1003">
        <v>0</v>
      </c>
      <c r="Q67" s="1002">
        <v>0</v>
      </c>
      <c r="R67" s="1000">
        <v>0</v>
      </c>
    </row>
    <row r="68" spans="1:18" ht="18.75" customHeight="1">
      <c r="A68" s="2078" t="s">
        <v>101</v>
      </c>
      <c r="B68" s="2100" t="s">
        <v>400</v>
      </c>
      <c r="C68" s="2103" t="s">
        <v>399</v>
      </c>
      <c r="D68" s="985" t="s">
        <v>3</v>
      </c>
      <c r="E68" s="978">
        <v>60000</v>
      </c>
      <c r="F68" s="987">
        <f t="shared" si="0"/>
        <v>68000</v>
      </c>
      <c r="G68" s="996">
        <v>0</v>
      </c>
      <c r="H68" s="997">
        <v>0</v>
      </c>
      <c r="I68" s="997">
        <v>60500</v>
      </c>
      <c r="J68" s="997">
        <v>0</v>
      </c>
      <c r="K68" s="997">
        <v>0</v>
      </c>
      <c r="L68" s="999">
        <v>0</v>
      </c>
      <c r="M68" s="996">
        <v>0</v>
      </c>
      <c r="N68" s="997">
        <v>7500</v>
      </c>
      <c r="O68" s="997">
        <v>0</v>
      </c>
      <c r="P68" s="999">
        <v>0</v>
      </c>
      <c r="Q68" s="996">
        <v>0</v>
      </c>
      <c r="R68" s="1000">
        <v>0</v>
      </c>
    </row>
    <row r="69" spans="1:18" ht="18.75" customHeight="1">
      <c r="A69" s="2073"/>
      <c r="B69" s="2101"/>
      <c r="C69" s="2104"/>
      <c r="D69" s="977" t="s">
        <v>964</v>
      </c>
      <c r="E69" s="978">
        <v>60000</v>
      </c>
      <c r="F69" s="987">
        <f t="shared" si="0"/>
        <v>83180</v>
      </c>
      <c r="G69" s="996">
        <v>0</v>
      </c>
      <c r="H69" s="997">
        <v>0</v>
      </c>
      <c r="I69" s="997">
        <v>60500</v>
      </c>
      <c r="J69" s="997">
        <v>0</v>
      </c>
      <c r="K69" s="997">
        <v>0</v>
      </c>
      <c r="L69" s="999">
        <v>0</v>
      </c>
      <c r="M69" s="996">
        <v>0</v>
      </c>
      <c r="N69" s="997">
        <v>22680</v>
      </c>
      <c r="O69" s="997">
        <v>0</v>
      </c>
      <c r="P69" s="999">
        <v>0</v>
      </c>
      <c r="Q69" s="996">
        <v>0</v>
      </c>
      <c r="R69" s="1000">
        <v>0</v>
      </c>
    </row>
    <row r="70" spans="1:18" ht="18.75" customHeight="1">
      <c r="A70" s="2085"/>
      <c r="B70" s="2102"/>
      <c r="C70" s="2105"/>
      <c r="D70" s="977" t="s">
        <v>977</v>
      </c>
      <c r="E70" s="978">
        <v>60000</v>
      </c>
      <c r="F70" s="987">
        <f t="shared" si="0"/>
        <v>83180</v>
      </c>
      <c r="G70" s="996">
        <v>0</v>
      </c>
      <c r="H70" s="997">
        <v>0</v>
      </c>
      <c r="I70" s="997">
        <v>60500</v>
      </c>
      <c r="J70" s="997">
        <v>0</v>
      </c>
      <c r="K70" s="997">
        <v>0</v>
      </c>
      <c r="L70" s="999">
        <v>0</v>
      </c>
      <c r="M70" s="996">
        <v>0</v>
      </c>
      <c r="N70" s="997">
        <v>22680</v>
      </c>
      <c r="O70" s="997">
        <v>0</v>
      </c>
      <c r="P70" s="999">
        <v>0</v>
      </c>
      <c r="Q70" s="996">
        <v>0</v>
      </c>
      <c r="R70" s="1000">
        <v>0</v>
      </c>
    </row>
    <row r="71" spans="1:18" ht="18.75" customHeight="1">
      <c r="A71" s="2078" t="s">
        <v>101</v>
      </c>
      <c r="B71" s="2100" t="s">
        <v>416</v>
      </c>
      <c r="C71" s="2103" t="s">
        <v>417</v>
      </c>
      <c r="D71" s="1001" t="s">
        <v>3</v>
      </c>
      <c r="E71" s="978">
        <v>34211</v>
      </c>
      <c r="F71" s="987">
        <f t="shared" si="0"/>
        <v>1059172</v>
      </c>
      <c r="G71" s="996">
        <v>0</v>
      </c>
      <c r="H71" s="997">
        <v>0</v>
      </c>
      <c r="I71" s="997">
        <v>19315</v>
      </c>
      <c r="J71" s="997">
        <v>0</v>
      </c>
      <c r="K71" s="998">
        <v>1033257</v>
      </c>
      <c r="L71" s="999">
        <v>0</v>
      </c>
      <c r="M71" s="996">
        <v>0</v>
      </c>
      <c r="N71" s="997">
        <v>0</v>
      </c>
      <c r="O71" s="997">
        <v>6600</v>
      </c>
      <c r="P71" s="999">
        <v>0</v>
      </c>
      <c r="Q71" s="996">
        <v>0</v>
      </c>
      <c r="R71" s="1000">
        <v>0</v>
      </c>
    </row>
    <row r="72" spans="1:18" ht="18.75" customHeight="1">
      <c r="A72" s="2073"/>
      <c r="B72" s="2101"/>
      <c r="C72" s="2104"/>
      <c r="D72" s="977" t="s">
        <v>964</v>
      </c>
      <c r="E72" s="978">
        <v>42278</v>
      </c>
      <c r="F72" s="987">
        <f t="shared" si="0"/>
        <v>1151486</v>
      </c>
      <c r="G72" s="996">
        <v>0</v>
      </c>
      <c r="H72" s="997">
        <v>0</v>
      </c>
      <c r="I72" s="997">
        <v>19315</v>
      </c>
      <c r="J72" s="997">
        <v>0</v>
      </c>
      <c r="K72" s="998">
        <v>1125571</v>
      </c>
      <c r="L72" s="999">
        <v>0</v>
      </c>
      <c r="M72" s="996">
        <v>0</v>
      </c>
      <c r="N72" s="997">
        <v>0</v>
      </c>
      <c r="O72" s="997">
        <v>6600</v>
      </c>
      <c r="P72" s="999">
        <v>0</v>
      </c>
      <c r="Q72" s="996">
        <v>0</v>
      </c>
      <c r="R72" s="1000">
        <v>0</v>
      </c>
    </row>
    <row r="73" spans="1:18" ht="18.75" customHeight="1">
      <c r="A73" s="2085"/>
      <c r="B73" s="2102"/>
      <c r="C73" s="2105"/>
      <c r="D73" s="977" t="s">
        <v>977</v>
      </c>
      <c r="E73" s="978">
        <v>42278</v>
      </c>
      <c r="F73" s="987">
        <f t="shared" si="0"/>
        <v>1219369</v>
      </c>
      <c r="G73" s="996">
        <v>0</v>
      </c>
      <c r="H73" s="997">
        <v>0</v>
      </c>
      <c r="I73" s="997">
        <v>19315</v>
      </c>
      <c r="J73" s="997">
        <v>0</v>
      </c>
      <c r="K73" s="998">
        <v>1193454</v>
      </c>
      <c r="L73" s="999">
        <v>0</v>
      </c>
      <c r="M73" s="996">
        <v>0</v>
      </c>
      <c r="N73" s="997">
        <v>0</v>
      </c>
      <c r="O73" s="997">
        <v>6600</v>
      </c>
      <c r="P73" s="999">
        <v>0</v>
      </c>
      <c r="Q73" s="996">
        <v>0</v>
      </c>
      <c r="R73" s="1000">
        <v>0</v>
      </c>
    </row>
    <row r="74" spans="1:18" ht="18.75" customHeight="1">
      <c r="A74" s="2078" t="s">
        <v>344</v>
      </c>
      <c r="B74" s="2100" t="s">
        <v>410</v>
      </c>
      <c r="C74" s="2103" t="s">
        <v>411</v>
      </c>
      <c r="D74" s="985" t="s">
        <v>3</v>
      </c>
      <c r="E74" s="978">
        <v>92560</v>
      </c>
      <c r="F74" s="987">
        <f t="shared" si="0"/>
        <v>20000</v>
      </c>
      <c r="G74" s="996">
        <v>0</v>
      </c>
      <c r="H74" s="997">
        <v>0</v>
      </c>
      <c r="I74" s="997">
        <v>0</v>
      </c>
      <c r="J74" s="997">
        <v>0</v>
      </c>
      <c r="K74" s="997">
        <v>20000</v>
      </c>
      <c r="L74" s="999">
        <v>0</v>
      </c>
      <c r="M74" s="996">
        <v>0</v>
      </c>
      <c r="N74" s="997">
        <v>0</v>
      </c>
      <c r="O74" s="997">
        <v>0</v>
      </c>
      <c r="P74" s="999">
        <v>0</v>
      </c>
      <c r="Q74" s="996">
        <v>0</v>
      </c>
      <c r="R74" s="1000">
        <v>0</v>
      </c>
    </row>
    <row r="75" spans="1:18" ht="18.75" customHeight="1">
      <c r="A75" s="2073"/>
      <c r="B75" s="2101"/>
      <c r="C75" s="2104"/>
      <c r="D75" s="977" t="s">
        <v>964</v>
      </c>
      <c r="E75" s="978">
        <v>92560</v>
      </c>
      <c r="F75" s="987">
        <f t="shared" si="0"/>
        <v>20000</v>
      </c>
      <c r="G75" s="996">
        <v>0</v>
      </c>
      <c r="H75" s="997">
        <v>0</v>
      </c>
      <c r="I75" s="997">
        <v>0</v>
      </c>
      <c r="J75" s="997">
        <v>0</v>
      </c>
      <c r="K75" s="997">
        <v>20000</v>
      </c>
      <c r="L75" s="999">
        <v>0</v>
      </c>
      <c r="M75" s="996">
        <v>0</v>
      </c>
      <c r="N75" s="997">
        <v>0</v>
      </c>
      <c r="O75" s="997">
        <v>0</v>
      </c>
      <c r="P75" s="999">
        <v>0</v>
      </c>
      <c r="Q75" s="996">
        <v>0</v>
      </c>
      <c r="R75" s="1000">
        <v>0</v>
      </c>
    </row>
    <row r="76" spans="1:18" ht="18.75" customHeight="1">
      <c r="A76" s="2085"/>
      <c r="B76" s="2102"/>
      <c r="C76" s="2105"/>
      <c r="D76" s="977" t="s">
        <v>977</v>
      </c>
      <c r="E76" s="978">
        <v>92560</v>
      </c>
      <c r="F76" s="987">
        <f t="shared" si="0"/>
        <v>20000</v>
      </c>
      <c r="G76" s="996">
        <v>0</v>
      </c>
      <c r="H76" s="997">
        <v>0</v>
      </c>
      <c r="I76" s="997">
        <v>0</v>
      </c>
      <c r="J76" s="997">
        <v>0</v>
      </c>
      <c r="K76" s="997">
        <v>20000</v>
      </c>
      <c r="L76" s="999">
        <v>0</v>
      </c>
      <c r="M76" s="996">
        <v>0</v>
      </c>
      <c r="N76" s="997">
        <v>0</v>
      </c>
      <c r="O76" s="997">
        <v>0</v>
      </c>
      <c r="P76" s="999">
        <v>0</v>
      </c>
      <c r="Q76" s="996">
        <v>0</v>
      </c>
      <c r="R76" s="1000">
        <v>0</v>
      </c>
    </row>
    <row r="77" spans="1:18" ht="18.75" customHeight="1">
      <c r="A77" s="2078" t="s">
        <v>344</v>
      </c>
      <c r="B77" s="2100" t="s">
        <v>382</v>
      </c>
      <c r="C77" s="2103" t="s">
        <v>383</v>
      </c>
      <c r="D77" s="985" t="s">
        <v>3</v>
      </c>
      <c r="E77" s="978">
        <v>0</v>
      </c>
      <c r="F77" s="987">
        <f t="shared" si="0"/>
        <v>136620</v>
      </c>
      <c r="G77" s="996">
        <v>0</v>
      </c>
      <c r="H77" s="997">
        <v>0</v>
      </c>
      <c r="I77" s="997">
        <v>0</v>
      </c>
      <c r="J77" s="997">
        <v>0</v>
      </c>
      <c r="K77" s="998">
        <v>136320</v>
      </c>
      <c r="L77" s="999">
        <v>0</v>
      </c>
      <c r="M77" s="996">
        <v>0</v>
      </c>
      <c r="N77" s="997">
        <v>0</v>
      </c>
      <c r="O77" s="1008">
        <v>300</v>
      </c>
      <c r="P77" s="999">
        <v>0</v>
      </c>
      <c r="Q77" s="996">
        <v>0</v>
      </c>
      <c r="R77" s="1000">
        <v>0</v>
      </c>
    </row>
    <row r="78" spans="1:18" ht="18.75" customHeight="1">
      <c r="A78" s="2073"/>
      <c r="B78" s="2101"/>
      <c r="C78" s="2104"/>
      <c r="D78" s="977" t="s">
        <v>964</v>
      </c>
      <c r="E78" s="978">
        <v>0</v>
      </c>
      <c r="F78" s="987">
        <f t="shared" si="0"/>
        <v>116620</v>
      </c>
      <c r="G78" s="996">
        <v>0</v>
      </c>
      <c r="H78" s="997">
        <v>0</v>
      </c>
      <c r="I78" s="997">
        <v>0</v>
      </c>
      <c r="J78" s="997">
        <v>0</v>
      </c>
      <c r="K78" s="998">
        <v>113820</v>
      </c>
      <c r="L78" s="999">
        <v>0</v>
      </c>
      <c r="M78" s="996">
        <v>0</v>
      </c>
      <c r="N78" s="997">
        <v>0</v>
      </c>
      <c r="O78" s="1008">
        <v>2800</v>
      </c>
      <c r="P78" s="999">
        <v>0</v>
      </c>
      <c r="Q78" s="996">
        <v>0</v>
      </c>
      <c r="R78" s="1000">
        <v>0</v>
      </c>
    </row>
    <row r="79" spans="1:18" ht="18.75" customHeight="1">
      <c r="A79" s="2085"/>
      <c r="B79" s="2102"/>
      <c r="C79" s="2105"/>
      <c r="D79" s="977" t="s">
        <v>977</v>
      </c>
      <c r="E79" s="978">
        <v>0</v>
      </c>
      <c r="F79" s="987">
        <f t="shared" si="0"/>
        <v>116620</v>
      </c>
      <c r="G79" s="996">
        <v>0</v>
      </c>
      <c r="H79" s="997">
        <v>0</v>
      </c>
      <c r="I79" s="997">
        <v>0</v>
      </c>
      <c r="J79" s="997">
        <v>0</v>
      </c>
      <c r="K79" s="998">
        <v>113820</v>
      </c>
      <c r="L79" s="999">
        <v>0</v>
      </c>
      <c r="M79" s="996">
        <v>0</v>
      </c>
      <c r="N79" s="997">
        <v>0</v>
      </c>
      <c r="O79" s="1008">
        <v>2800</v>
      </c>
      <c r="P79" s="999">
        <v>0</v>
      </c>
      <c r="Q79" s="996">
        <v>0</v>
      </c>
      <c r="R79" s="1000">
        <v>0</v>
      </c>
    </row>
    <row r="80" spans="1:18" ht="18.75" customHeight="1">
      <c r="A80" s="2078" t="s">
        <v>344</v>
      </c>
      <c r="B80" s="2100" t="s">
        <v>384</v>
      </c>
      <c r="C80" s="2103" t="s">
        <v>166</v>
      </c>
      <c r="D80" s="985" t="s">
        <v>3</v>
      </c>
      <c r="E80" s="978">
        <v>0</v>
      </c>
      <c r="F80" s="987">
        <f t="shared" si="0"/>
        <v>4000</v>
      </c>
      <c r="G80" s="996">
        <v>0</v>
      </c>
      <c r="H80" s="997">
        <v>0</v>
      </c>
      <c r="I80" s="997">
        <v>0</v>
      </c>
      <c r="J80" s="997">
        <v>0</v>
      </c>
      <c r="K80" s="998">
        <v>4000</v>
      </c>
      <c r="L80" s="999">
        <v>0</v>
      </c>
      <c r="M80" s="996">
        <v>0</v>
      </c>
      <c r="N80" s="997">
        <v>0</v>
      </c>
      <c r="O80" s="1008">
        <v>0</v>
      </c>
      <c r="P80" s="999">
        <v>0</v>
      </c>
      <c r="Q80" s="996">
        <v>0</v>
      </c>
      <c r="R80" s="1000">
        <v>0</v>
      </c>
    </row>
    <row r="81" spans="1:18" ht="18.75" customHeight="1">
      <c r="A81" s="2073"/>
      <c r="B81" s="2101"/>
      <c r="C81" s="2104"/>
      <c r="D81" s="977" t="s">
        <v>964</v>
      </c>
      <c r="E81" s="978">
        <v>0</v>
      </c>
      <c r="F81" s="987">
        <f t="shared" si="0"/>
        <v>4000</v>
      </c>
      <c r="G81" s="996">
        <v>0</v>
      </c>
      <c r="H81" s="997">
        <v>0</v>
      </c>
      <c r="I81" s="997">
        <v>0</v>
      </c>
      <c r="J81" s="997">
        <v>0</v>
      </c>
      <c r="K81" s="998">
        <v>4000</v>
      </c>
      <c r="L81" s="999">
        <v>0</v>
      </c>
      <c r="M81" s="996">
        <v>0</v>
      </c>
      <c r="N81" s="997">
        <v>0</v>
      </c>
      <c r="O81" s="1008">
        <v>0</v>
      </c>
      <c r="P81" s="999">
        <v>0</v>
      </c>
      <c r="Q81" s="996">
        <v>0</v>
      </c>
      <c r="R81" s="1000">
        <v>0</v>
      </c>
    </row>
    <row r="82" spans="1:18" ht="18.75" customHeight="1">
      <c r="A82" s="2085"/>
      <c r="B82" s="2102"/>
      <c r="C82" s="2105"/>
      <c r="D82" s="977" t="s">
        <v>977</v>
      </c>
      <c r="E82" s="978">
        <v>0</v>
      </c>
      <c r="F82" s="987">
        <f t="shared" si="0"/>
        <v>4000</v>
      </c>
      <c r="G82" s="996">
        <v>0</v>
      </c>
      <c r="H82" s="997">
        <v>0</v>
      </c>
      <c r="I82" s="997">
        <v>0</v>
      </c>
      <c r="J82" s="997">
        <v>0</v>
      </c>
      <c r="K82" s="998">
        <v>4000</v>
      </c>
      <c r="L82" s="999">
        <v>0</v>
      </c>
      <c r="M82" s="996">
        <v>0</v>
      </c>
      <c r="N82" s="997">
        <v>0</v>
      </c>
      <c r="O82" s="1008">
        <v>0</v>
      </c>
      <c r="P82" s="999">
        <v>0</v>
      </c>
      <c r="Q82" s="996">
        <v>0</v>
      </c>
      <c r="R82" s="1000">
        <v>0</v>
      </c>
    </row>
    <row r="83" spans="1:18" ht="18.75" customHeight="1">
      <c r="A83" s="2078" t="s">
        <v>344</v>
      </c>
      <c r="B83" s="2100" t="s">
        <v>407</v>
      </c>
      <c r="C83" s="2103" t="s">
        <v>409</v>
      </c>
      <c r="D83" s="1001" t="s">
        <v>3</v>
      </c>
      <c r="E83" s="978">
        <v>0</v>
      </c>
      <c r="F83" s="987">
        <f t="shared" si="0"/>
        <v>5500</v>
      </c>
      <c r="G83" s="996">
        <v>0</v>
      </c>
      <c r="H83" s="997">
        <v>0</v>
      </c>
      <c r="I83" s="997">
        <v>0</v>
      </c>
      <c r="J83" s="997">
        <v>0</v>
      </c>
      <c r="K83" s="998">
        <v>5500</v>
      </c>
      <c r="L83" s="999">
        <v>0</v>
      </c>
      <c r="M83" s="996">
        <v>0</v>
      </c>
      <c r="N83" s="997">
        <v>0</v>
      </c>
      <c r="O83" s="1008">
        <v>0</v>
      </c>
      <c r="P83" s="999">
        <v>0</v>
      </c>
      <c r="Q83" s="996">
        <v>0</v>
      </c>
      <c r="R83" s="1000">
        <v>0</v>
      </c>
    </row>
    <row r="84" spans="1:18" ht="18.75" customHeight="1">
      <c r="A84" s="2073"/>
      <c r="B84" s="2101"/>
      <c r="C84" s="2104"/>
      <c r="D84" s="977" t="s">
        <v>964</v>
      </c>
      <c r="E84" s="978">
        <v>0</v>
      </c>
      <c r="F84" s="987">
        <f t="shared" si="0"/>
        <v>0</v>
      </c>
      <c r="G84" s="996">
        <v>0</v>
      </c>
      <c r="H84" s="997">
        <v>0</v>
      </c>
      <c r="I84" s="997">
        <v>0</v>
      </c>
      <c r="J84" s="997">
        <v>0</v>
      </c>
      <c r="K84" s="998">
        <v>0</v>
      </c>
      <c r="L84" s="999">
        <v>0</v>
      </c>
      <c r="M84" s="996">
        <v>0</v>
      </c>
      <c r="N84" s="997">
        <v>0</v>
      </c>
      <c r="O84" s="1008">
        <v>0</v>
      </c>
      <c r="P84" s="999">
        <v>0</v>
      </c>
      <c r="Q84" s="996">
        <v>0</v>
      </c>
      <c r="R84" s="1000">
        <v>0</v>
      </c>
    </row>
    <row r="85" spans="1:18" ht="18.75" customHeight="1">
      <c r="A85" s="2085"/>
      <c r="B85" s="2102"/>
      <c r="C85" s="2105"/>
      <c r="D85" s="977" t="s">
        <v>977</v>
      </c>
      <c r="E85" s="978">
        <v>0</v>
      </c>
      <c r="F85" s="987">
        <f t="shared" si="0"/>
        <v>0</v>
      </c>
      <c r="G85" s="996">
        <v>0</v>
      </c>
      <c r="H85" s="997">
        <v>0</v>
      </c>
      <c r="I85" s="997">
        <v>0</v>
      </c>
      <c r="J85" s="997">
        <v>0</v>
      </c>
      <c r="K85" s="998">
        <v>0</v>
      </c>
      <c r="L85" s="999">
        <v>0</v>
      </c>
      <c r="M85" s="996">
        <v>0</v>
      </c>
      <c r="N85" s="997">
        <v>0</v>
      </c>
      <c r="O85" s="1008">
        <v>0</v>
      </c>
      <c r="P85" s="999">
        <v>0</v>
      </c>
      <c r="Q85" s="996">
        <v>0</v>
      </c>
      <c r="R85" s="1000">
        <v>0</v>
      </c>
    </row>
    <row r="86" spans="1:18" ht="18.75" customHeight="1">
      <c r="A86" s="2078" t="s">
        <v>344</v>
      </c>
      <c r="B86" s="2100" t="s">
        <v>408</v>
      </c>
      <c r="C86" s="2103" t="s">
        <v>324</v>
      </c>
      <c r="D86" s="985" t="s">
        <v>3</v>
      </c>
      <c r="E86" s="978">
        <v>0</v>
      </c>
      <c r="F86" s="987">
        <f t="shared" si="0"/>
        <v>3000</v>
      </c>
      <c r="G86" s="996">
        <v>0</v>
      </c>
      <c r="H86" s="997">
        <v>0</v>
      </c>
      <c r="I86" s="997">
        <v>0</v>
      </c>
      <c r="J86" s="997">
        <v>0</v>
      </c>
      <c r="K86" s="997">
        <v>3000</v>
      </c>
      <c r="L86" s="999">
        <v>0</v>
      </c>
      <c r="M86" s="996">
        <v>0</v>
      </c>
      <c r="N86" s="997">
        <v>0</v>
      </c>
      <c r="O86" s="997">
        <v>0</v>
      </c>
      <c r="P86" s="999">
        <v>0</v>
      </c>
      <c r="Q86" s="996">
        <v>0</v>
      </c>
      <c r="R86" s="1000">
        <v>0</v>
      </c>
    </row>
    <row r="87" spans="1:18" ht="18.75" customHeight="1">
      <c r="A87" s="2073"/>
      <c r="B87" s="2101"/>
      <c r="C87" s="2104"/>
      <c r="D87" s="977" t="s">
        <v>964</v>
      </c>
      <c r="E87" s="978">
        <v>0</v>
      </c>
      <c r="F87" s="987">
        <f t="shared" si="0"/>
        <v>0</v>
      </c>
      <c r="G87" s="996">
        <v>0</v>
      </c>
      <c r="H87" s="997">
        <v>0</v>
      </c>
      <c r="I87" s="997">
        <v>0</v>
      </c>
      <c r="J87" s="997">
        <v>0</v>
      </c>
      <c r="K87" s="997">
        <v>0</v>
      </c>
      <c r="L87" s="999">
        <v>0</v>
      </c>
      <c r="M87" s="996">
        <v>0</v>
      </c>
      <c r="N87" s="997">
        <v>0</v>
      </c>
      <c r="O87" s="997">
        <v>0</v>
      </c>
      <c r="P87" s="999">
        <v>0</v>
      </c>
      <c r="Q87" s="996">
        <v>0</v>
      </c>
      <c r="R87" s="1000">
        <v>0</v>
      </c>
    </row>
    <row r="88" spans="1:18" ht="18.75" customHeight="1">
      <c r="A88" s="2085"/>
      <c r="B88" s="2102"/>
      <c r="C88" s="2105"/>
      <c r="D88" s="977" t="s">
        <v>977</v>
      </c>
      <c r="E88" s="978">
        <v>0</v>
      </c>
      <c r="F88" s="987">
        <f t="shared" si="0"/>
        <v>0</v>
      </c>
      <c r="G88" s="996">
        <v>0</v>
      </c>
      <c r="H88" s="997">
        <v>0</v>
      </c>
      <c r="I88" s="997">
        <v>0</v>
      </c>
      <c r="J88" s="997">
        <v>0</v>
      </c>
      <c r="K88" s="997">
        <v>0</v>
      </c>
      <c r="L88" s="999">
        <v>0</v>
      </c>
      <c r="M88" s="996">
        <v>0</v>
      </c>
      <c r="N88" s="997">
        <v>0</v>
      </c>
      <c r="O88" s="997">
        <v>0</v>
      </c>
      <c r="P88" s="999">
        <v>0</v>
      </c>
      <c r="Q88" s="996">
        <v>0</v>
      </c>
      <c r="R88" s="1000">
        <v>0</v>
      </c>
    </row>
    <row r="89" spans="1:18" ht="18.75" customHeight="1">
      <c r="A89" s="2078" t="s">
        <v>344</v>
      </c>
      <c r="B89" s="2100" t="s">
        <v>386</v>
      </c>
      <c r="C89" s="2103" t="s">
        <v>385</v>
      </c>
      <c r="D89" s="1009" t="s">
        <v>3</v>
      </c>
      <c r="E89" s="978">
        <v>0</v>
      </c>
      <c r="F89" s="987">
        <f t="shared" si="0"/>
        <v>2836</v>
      </c>
      <c r="G89" s="996">
        <v>2050</v>
      </c>
      <c r="H89" s="997">
        <v>786</v>
      </c>
      <c r="I89" s="997">
        <v>0</v>
      </c>
      <c r="J89" s="997">
        <v>0</v>
      </c>
      <c r="K89" s="997">
        <v>0</v>
      </c>
      <c r="L89" s="999">
        <v>0</v>
      </c>
      <c r="M89" s="996">
        <v>0</v>
      </c>
      <c r="N89" s="997">
        <v>0</v>
      </c>
      <c r="O89" s="997">
        <v>0</v>
      </c>
      <c r="P89" s="999">
        <v>0</v>
      </c>
      <c r="Q89" s="996">
        <v>0</v>
      </c>
      <c r="R89" s="1000">
        <v>0</v>
      </c>
    </row>
    <row r="90" spans="1:18" ht="18.75" customHeight="1">
      <c r="A90" s="2073"/>
      <c r="B90" s="2101"/>
      <c r="C90" s="2104"/>
      <c r="D90" s="977" t="s">
        <v>964</v>
      </c>
      <c r="E90" s="978">
        <v>0</v>
      </c>
      <c r="F90" s="987">
        <f t="shared" si="0"/>
        <v>2836</v>
      </c>
      <c r="G90" s="1010">
        <v>2030</v>
      </c>
      <c r="H90" s="997">
        <v>786</v>
      </c>
      <c r="I90" s="997">
        <v>20</v>
      </c>
      <c r="J90" s="997">
        <v>0</v>
      </c>
      <c r="K90" s="997">
        <v>0</v>
      </c>
      <c r="L90" s="999">
        <v>0</v>
      </c>
      <c r="M90" s="996">
        <v>0</v>
      </c>
      <c r="N90" s="997">
        <v>0</v>
      </c>
      <c r="O90" s="997">
        <v>0</v>
      </c>
      <c r="P90" s="999">
        <v>0</v>
      </c>
      <c r="Q90" s="996">
        <v>0</v>
      </c>
      <c r="R90" s="1000">
        <v>0</v>
      </c>
    </row>
    <row r="91" spans="1:18" ht="18.75" customHeight="1">
      <c r="A91" s="2085"/>
      <c r="B91" s="2102"/>
      <c r="C91" s="2105"/>
      <c r="D91" s="977" t="s">
        <v>977</v>
      </c>
      <c r="E91" s="978">
        <v>0</v>
      </c>
      <c r="F91" s="987">
        <f t="shared" si="0"/>
        <v>2836</v>
      </c>
      <c r="G91" s="996">
        <v>1970</v>
      </c>
      <c r="H91" s="997">
        <v>786</v>
      </c>
      <c r="I91" s="997">
        <v>80</v>
      </c>
      <c r="J91" s="997">
        <v>0</v>
      </c>
      <c r="K91" s="997">
        <v>0</v>
      </c>
      <c r="L91" s="999">
        <v>0</v>
      </c>
      <c r="M91" s="996">
        <v>0</v>
      </c>
      <c r="N91" s="997">
        <v>0</v>
      </c>
      <c r="O91" s="997">
        <v>0</v>
      </c>
      <c r="P91" s="999">
        <v>0</v>
      </c>
      <c r="Q91" s="996">
        <v>0</v>
      </c>
      <c r="R91" s="1000">
        <v>0</v>
      </c>
    </row>
    <row r="92" spans="1:18" ht="18.75" customHeight="1">
      <c r="A92" s="2078" t="s">
        <v>344</v>
      </c>
      <c r="B92" s="2100" t="s">
        <v>387</v>
      </c>
      <c r="C92" s="2103" t="s">
        <v>388</v>
      </c>
      <c r="D92" s="985" t="s">
        <v>3</v>
      </c>
      <c r="E92" s="978">
        <v>0</v>
      </c>
      <c r="F92" s="987">
        <f t="shared" si="0"/>
        <v>11663</v>
      </c>
      <c r="G92" s="996">
        <v>8430</v>
      </c>
      <c r="H92" s="997">
        <v>3233</v>
      </c>
      <c r="I92" s="997">
        <v>0</v>
      </c>
      <c r="J92" s="997">
        <v>0</v>
      </c>
      <c r="K92" s="997">
        <v>0</v>
      </c>
      <c r="L92" s="999">
        <v>0</v>
      </c>
      <c r="M92" s="996">
        <v>0</v>
      </c>
      <c r="N92" s="997">
        <v>0</v>
      </c>
      <c r="O92" s="997">
        <v>0</v>
      </c>
      <c r="P92" s="999">
        <v>0</v>
      </c>
      <c r="Q92" s="996">
        <v>0</v>
      </c>
      <c r="R92" s="1000">
        <v>0</v>
      </c>
    </row>
    <row r="93" spans="1:18" ht="18.75" customHeight="1">
      <c r="A93" s="2073"/>
      <c r="B93" s="2101"/>
      <c r="C93" s="2104"/>
      <c r="D93" s="1001" t="s">
        <v>964</v>
      </c>
      <c r="E93" s="978">
        <v>0</v>
      </c>
      <c r="F93" s="987">
        <f t="shared" si="0"/>
        <v>9113</v>
      </c>
      <c r="G93" s="996">
        <v>5980</v>
      </c>
      <c r="H93" s="997">
        <v>2458</v>
      </c>
      <c r="I93" s="997">
        <v>675</v>
      </c>
      <c r="J93" s="997">
        <v>0</v>
      </c>
      <c r="K93" s="997">
        <v>0</v>
      </c>
      <c r="L93" s="999">
        <v>0</v>
      </c>
      <c r="M93" s="996">
        <v>0</v>
      </c>
      <c r="N93" s="997">
        <v>0</v>
      </c>
      <c r="O93" s="997">
        <v>0</v>
      </c>
      <c r="P93" s="999">
        <v>0</v>
      </c>
      <c r="Q93" s="996">
        <v>0</v>
      </c>
      <c r="R93" s="1000">
        <v>0</v>
      </c>
    </row>
    <row r="94" spans="1:18" ht="18.75" customHeight="1">
      <c r="A94" s="2085"/>
      <c r="B94" s="2102"/>
      <c r="C94" s="2105"/>
      <c r="D94" s="977" t="s">
        <v>977</v>
      </c>
      <c r="E94" s="978">
        <v>0</v>
      </c>
      <c r="F94" s="987">
        <f t="shared" si="0"/>
        <v>9113</v>
      </c>
      <c r="G94" s="996">
        <v>5980</v>
      </c>
      <c r="H94" s="997">
        <v>2458</v>
      </c>
      <c r="I94" s="997">
        <v>675</v>
      </c>
      <c r="J94" s="997">
        <v>0</v>
      </c>
      <c r="K94" s="997">
        <v>0</v>
      </c>
      <c r="L94" s="999">
        <v>0</v>
      </c>
      <c r="M94" s="996">
        <v>0</v>
      </c>
      <c r="N94" s="997">
        <v>0</v>
      </c>
      <c r="O94" s="997">
        <v>0</v>
      </c>
      <c r="P94" s="999">
        <v>0</v>
      </c>
      <c r="Q94" s="996">
        <v>0</v>
      </c>
      <c r="R94" s="1000">
        <v>0</v>
      </c>
    </row>
    <row r="95" spans="1:18" ht="18.75" customHeight="1">
      <c r="A95" s="2078" t="s">
        <v>344</v>
      </c>
      <c r="B95" s="2100" t="s">
        <v>389</v>
      </c>
      <c r="C95" s="2103" t="s">
        <v>390</v>
      </c>
      <c r="D95" s="985" t="s">
        <v>3</v>
      </c>
      <c r="E95" s="978">
        <v>0</v>
      </c>
      <c r="F95" s="987">
        <f t="shared" si="0"/>
        <v>4842</v>
      </c>
      <c r="G95" s="1002">
        <v>3500</v>
      </c>
      <c r="H95" s="998">
        <v>1342</v>
      </c>
      <c r="I95" s="998">
        <v>0</v>
      </c>
      <c r="J95" s="998">
        <v>0</v>
      </c>
      <c r="K95" s="998">
        <v>0</v>
      </c>
      <c r="L95" s="1003">
        <v>0</v>
      </c>
      <c r="M95" s="1002">
        <v>0</v>
      </c>
      <c r="N95" s="998">
        <v>0</v>
      </c>
      <c r="O95" s="998">
        <v>0</v>
      </c>
      <c r="P95" s="1003">
        <v>0</v>
      </c>
      <c r="Q95" s="1002">
        <v>0</v>
      </c>
      <c r="R95" s="1000">
        <v>0</v>
      </c>
    </row>
    <row r="96" spans="1:18" ht="18.75" customHeight="1">
      <c r="A96" s="2073"/>
      <c r="B96" s="2101"/>
      <c r="C96" s="2104"/>
      <c r="D96" s="977" t="s">
        <v>964</v>
      </c>
      <c r="E96" s="978">
        <v>0</v>
      </c>
      <c r="F96" s="987">
        <f t="shared" si="0"/>
        <v>4842</v>
      </c>
      <c r="G96" s="1002">
        <v>3500</v>
      </c>
      <c r="H96" s="998">
        <v>1342</v>
      </c>
      <c r="I96" s="998">
        <v>0</v>
      </c>
      <c r="J96" s="998">
        <v>0</v>
      </c>
      <c r="K96" s="998">
        <v>0</v>
      </c>
      <c r="L96" s="1003">
        <v>0</v>
      </c>
      <c r="M96" s="1002">
        <v>0</v>
      </c>
      <c r="N96" s="998">
        <v>0</v>
      </c>
      <c r="O96" s="998">
        <v>0</v>
      </c>
      <c r="P96" s="1003">
        <v>0</v>
      </c>
      <c r="Q96" s="1002">
        <v>0</v>
      </c>
      <c r="R96" s="1000">
        <v>0</v>
      </c>
    </row>
    <row r="97" spans="1:18" ht="18.75" customHeight="1">
      <c r="A97" s="2085"/>
      <c r="B97" s="2102"/>
      <c r="C97" s="2105"/>
      <c r="D97" s="977" t="s">
        <v>977</v>
      </c>
      <c r="E97" s="978">
        <v>0</v>
      </c>
      <c r="F97" s="987">
        <f t="shared" si="0"/>
        <v>4842</v>
      </c>
      <c r="G97" s="1002">
        <v>3491</v>
      </c>
      <c r="H97" s="998">
        <v>1342</v>
      </c>
      <c r="I97" s="998">
        <v>9</v>
      </c>
      <c r="J97" s="998">
        <v>0</v>
      </c>
      <c r="K97" s="998">
        <v>0</v>
      </c>
      <c r="L97" s="1003">
        <v>0</v>
      </c>
      <c r="M97" s="1002">
        <v>0</v>
      </c>
      <c r="N97" s="998">
        <v>0</v>
      </c>
      <c r="O97" s="998">
        <v>0</v>
      </c>
      <c r="P97" s="1003">
        <v>0</v>
      </c>
      <c r="Q97" s="1002">
        <v>0</v>
      </c>
      <c r="R97" s="1000">
        <v>0</v>
      </c>
    </row>
    <row r="98" spans="1:18" ht="18.75" customHeight="1">
      <c r="A98" s="2078" t="s">
        <v>344</v>
      </c>
      <c r="B98" s="2100" t="s">
        <v>391</v>
      </c>
      <c r="C98" s="2103" t="s">
        <v>392</v>
      </c>
      <c r="D98" s="985" t="s">
        <v>3</v>
      </c>
      <c r="E98" s="978">
        <v>0</v>
      </c>
      <c r="F98" s="987">
        <f t="shared" si="0"/>
        <v>692</v>
      </c>
      <c r="G98" s="1002">
        <v>500</v>
      </c>
      <c r="H98" s="998">
        <v>192</v>
      </c>
      <c r="I98" s="998">
        <v>0</v>
      </c>
      <c r="J98" s="998">
        <v>0</v>
      </c>
      <c r="K98" s="998">
        <v>0</v>
      </c>
      <c r="L98" s="1003">
        <v>0</v>
      </c>
      <c r="M98" s="1002">
        <v>0</v>
      </c>
      <c r="N98" s="998">
        <v>0</v>
      </c>
      <c r="O98" s="998">
        <v>0</v>
      </c>
      <c r="P98" s="1003">
        <v>0</v>
      </c>
      <c r="Q98" s="1002">
        <v>0</v>
      </c>
      <c r="R98" s="1000">
        <v>0</v>
      </c>
    </row>
    <row r="99" spans="1:18" ht="18.75" customHeight="1">
      <c r="A99" s="2073"/>
      <c r="B99" s="2101"/>
      <c r="C99" s="2104"/>
      <c r="D99" s="977" t="s">
        <v>964</v>
      </c>
      <c r="E99" s="978">
        <v>0</v>
      </c>
      <c r="F99" s="987">
        <f t="shared" si="0"/>
        <v>692</v>
      </c>
      <c r="G99" s="1002">
        <v>466</v>
      </c>
      <c r="H99" s="998">
        <v>192</v>
      </c>
      <c r="I99" s="998">
        <v>34</v>
      </c>
      <c r="J99" s="998">
        <v>0</v>
      </c>
      <c r="K99" s="998">
        <v>0</v>
      </c>
      <c r="L99" s="1003">
        <v>0</v>
      </c>
      <c r="M99" s="1002">
        <v>0</v>
      </c>
      <c r="N99" s="998">
        <v>0</v>
      </c>
      <c r="O99" s="998">
        <v>0</v>
      </c>
      <c r="P99" s="1003">
        <v>0</v>
      </c>
      <c r="Q99" s="1002">
        <v>0</v>
      </c>
      <c r="R99" s="1000">
        <v>0</v>
      </c>
    </row>
    <row r="100" spans="1:18" ht="18.75" customHeight="1">
      <c r="A100" s="2085"/>
      <c r="B100" s="2102"/>
      <c r="C100" s="2105"/>
      <c r="D100" s="977" t="s">
        <v>977</v>
      </c>
      <c r="E100" s="978">
        <v>0</v>
      </c>
      <c r="F100" s="987">
        <f t="shared" si="0"/>
        <v>692</v>
      </c>
      <c r="G100" s="1002">
        <v>466</v>
      </c>
      <c r="H100" s="998">
        <v>192</v>
      </c>
      <c r="I100" s="998">
        <v>34</v>
      </c>
      <c r="J100" s="998">
        <v>0</v>
      </c>
      <c r="K100" s="998">
        <v>0</v>
      </c>
      <c r="L100" s="1003">
        <v>0</v>
      </c>
      <c r="M100" s="1002">
        <v>0</v>
      </c>
      <c r="N100" s="998">
        <v>0</v>
      </c>
      <c r="O100" s="998">
        <v>0</v>
      </c>
      <c r="P100" s="1003">
        <v>0</v>
      </c>
      <c r="Q100" s="1002">
        <v>0</v>
      </c>
      <c r="R100" s="1000">
        <v>0</v>
      </c>
    </row>
    <row r="101" spans="1:18" ht="18.75" customHeight="1">
      <c r="A101" s="2078" t="s">
        <v>344</v>
      </c>
      <c r="B101" s="2100" t="s">
        <v>401</v>
      </c>
      <c r="C101" s="2103" t="s">
        <v>402</v>
      </c>
      <c r="D101" s="985" t="s">
        <v>3</v>
      </c>
      <c r="E101" s="978">
        <v>0</v>
      </c>
      <c r="F101" s="987">
        <f t="shared" si="0"/>
        <v>21978</v>
      </c>
      <c r="G101" s="1002">
        <v>11500</v>
      </c>
      <c r="H101" s="998">
        <v>4098</v>
      </c>
      <c r="I101" s="998">
        <v>6380</v>
      </c>
      <c r="J101" s="998">
        <v>0</v>
      </c>
      <c r="K101" s="998">
        <v>0</v>
      </c>
      <c r="L101" s="1003">
        <v>0</v>
      </c>
      <c r="M101" s="1002">
        <v>0</v>
      </c>
      <c r="N101" s="998">
        <v>0</v>
      </c>
      <c r="O101" s="998">
        <v>0</v>
      </c>
      <c r="P101" s="1003">
        <v>0</v>
      </c>
      <c r="Q101" s="1002">
        <v>0</v>
      </c>
      <c r="R101" s="1000">
        <v>0</v>
      </c>
    </row>
    <row r="102" spans="1:18" ht="18.75" customHeight="1">
      <c r="A102" s="2073"/>
      <c r="B102" s="2101"/>
      <c r="C102" s="2104"/>
      <c r="D102" s="977" t="s">
        <v>964</v>
      </c>
      <c r="E102" s="978">
        <v>1250</v>
      </c>
      <c r="F102" s="987">
        <f t="shared" si="0"/>
        <v>20070</v>
      </c>
      <c r="G102" s="1002">
        <v>5700</v>
      </c>
      <c r="H102" s="998">
        <v>3898</v>
      </c>
      <c r="I102" s="998">
        <v>10472</v>
      </c>
      <c r="J102" s="998">
        <v>0</v>
      </c>
      <c r="K102" s="998">
        <v>0</v>
      </c>
      <c r="L102" s="1003">
        <v>0</v>
      </c>
      <c r="M102" s="1002">
        <v>0</v>
      </c>
      <c r="N102" s="998">
        <v>0</v>
      </c>
      <c r="O102" s="998">
        <v>0</v>
      </c>
      <c r="P102" s="1003">
        <v>0</v>
      </c>
      <c r="Q102" s="1002">
        <v>0</v>
      </c>
      <c r="R102" s="1000">
        <v>0</v>
      </c>
    </row>
    <row r="103" spans="1:18" ht="18.75" customHeight="1">
      <c r="A103" s="2085"/>
      <c r="B103" s="2102"/>
      <c r="C103" s="2105"/>
      <c r="D103" s="977" t="s">
        <v>977</v>
      </c>
      <c r="E103" s="978">
        <v>1250</v>
      </c>
      <c r="F103" s="987">
        <f t="shared" si="0"/>
        <v>19960</v>
      </c>
      <c r="G103" s="1002">
        <v>5486</v>
      </c>
      <c r="H103" s="998">
        <v>4002</v>
      </c>
      <c r="I103" s="998">
        <v>10472</v>
      </c>
      <c r="J103" s="998">
        <v>0</v>
      </c>
      <c r="K103" s="998">
        <v>0</v>
      </c>
      <c r="L103" s="1003">
        <v>0</v>
      </c>
      <c r="M103" s="1002">
        <v>0</v>
      </c>
      <c r="N103" s="998">
        <v>0</v>
      </c>
      <c r="O103" s="998">
        <v>0</v>
      </c>
      <c r="P103" s="1003">
        <v>0</v>
      </c>
      <c r="Q103" s="1002">
        <v>0</v>
      </c>
      <c r="R103" s="1000">
        <v>0</v>
      </c>
    </row>
    <row r="104" spans="1:18" ht="18.75" customHeight="1">
      <c r="A104" s="2078" t="s">
        <v>344</v>
      </c>
      <c r="B104" s="2100" t="s">
        <v>403</v>
      </c>
      <c r="C104" s="2103" t="s">
        <v>404</v>
      </c>
      <c r="D104" s="985" t="s">
        <v>3</v>
      </c>
      <c r="E104" s="978">
        <v>0</v>
      </c>
      <c r="F104" s="987">
        <f t="shared" si="0"/>
        <v>28707</v>
      </c>
      <c r="G104" s="996">
        <v>3800</v>
      </c>
      <c r="H104" s="997">
        <v>767</v>
      </c>
      <c r="I104" s="997">
        <v>18200</v>
      </c>
      <c r="J104" s="997">
        <v>0</v>
      </c>
      <c r="K104" s="997">
        <v>0</v>
      </c>
      <c r="L104" s="999">
        <v>0</v>
      </c>
      <c r="M104" s="996">
        <v>5940</v>
      </c>
      <c r="N104" s="997">
        <v>0</v>
      </c>
      <c r="O104" s="997">
        <v>0</v>
      </c>
      <c r="P104" s="999">
        <v>0</v>
      </c>
      <c r="Q104" s="996">
        <v>0</v>
      </c>
      <c r="R104" s="1000">
        <v>0</v>
      </c>
    </row>
    <row r="105" spans="1:18" ht="18.75" customHeight="1">
      <c r="A105" s="2073"/>
      <c r="B105" s="2101"/>
      <c r="C105" s="2104"/>
      <c r="D105" s="977" t="s">
        <v>964</v>
      </c>
      <c r="E105" s="978">
        <v>0</v>
      </c>
      <c r="F105" s="987">
        <f t="shared" si="0"/>
        <v>28707</v>
      </c>
      <c r="G105" s="996">
        <v>3800</v>
      </c>
      <c r="H105" s="997">
        <v>1204</v>
      </c>
      <c r="I105" s="997">
        <v>17763</v>
      </c>
      <c r="J105" s="997">
        <v>0</v>
      </c>
      <c r="K105" s="997">
        <v>0</v>
      </c>
      <c r="L105" s="999">
        <v>0</v>
      </c>
      <c r="M105" s="996">
        <v>5940</v>
      </c>
      <c r="N105" s="997">
        <v>0</v>
      </c>
      <c r="O105" s="997">
        <v>0</v>
      </c>
      <c r="P105" s="999">
        <v>0</v>
      </c>
      <c r="Q105" s="996">
        <v>0</v>
      </c>
      <c r="R105" s="1000">
        <v>0</v>
      </c>
    </row>
    <row r="106" spans="1:18" ht="18.75" customHeight="1">
      <c r="A106" s="2085"/>
      <c r="B106" s="2102"/>
      <c r="C106" s="2105"/>
      <c r="D106" s="977" t="s">
        <v>977</v>
      </c>
      <c r="E106" s="978">
        <v>0</v>
      </c>
      <c r="F106" s="987">
        <f t="shared" si="0"/>
        <v>28707</v>
      </c>
      <c r="G106" s="996">
        <v>3800</v>
      </c>
      <c r="H106" s="997">
        <v>1315</v>
      </c>
      <c r="I106" s="997">
        <v>17652</v>
      </c>
      <c r="J106" s="997">
        <v>0</v>
      </c>
      <c r="K106" s="997">
        <v>0</v>
      </c>
      <c r="L106" s="999">
        <v>0</v>
      </c>
      <c r="M106" s="996">
        <v>5940</v>
      </c>
      <c r="N106" s="997">
        <v>0</v>
      </c>
      <c r="O106" s="997">
        <v>0</v>
      </c>
      <c r="P106" s="999">
        <v>0</v>
      </c>
      <c r="Q106" s="996">
        <v>0</v>
      </c>
      <c r="R106" s="1000">
        <v>0</v>
      </c>
    </row>
    <row r="107" spans="1:18" ht="18.75" customHeight="1">
      <c r="A107" s="2078" t="s">
        <v>344</v>
      </c>
      <c r="B107" s="2100" t="s">
        <v>393</v>
      </c>
      <c r="C107" s="2103" t="s">
        <v>107</v>
      </c>
      <c r="D107" s="985" t="s">
        <v>3</v>
      </c>
      <c r="E107" s="978">
        <v>0</v>
      </c>
      <c r="F107" s="987">
        <f t="shared" si="0"/>
        <v>22921</v>
      </c>
      <c r="G107" s="996">
        <v>0</v>
      </c>
      <c r="H107" s="997">
        <v>0</v>
      </c>
      <c r="I107" s="997">
        <v>1571</v>
      </c>
      <c r="J107" s="997">
        <v>0</v>
      </c>
      <c r="K107" s="997">
        <v>0</v>
      </c>
      <c r="L107" s="999">
        <v>0</v>
      </c>
      <c r="M107" s="996">
        <v>21350</v>
      </c>
      <c r="N107" s="997">
        <v>0</v>
      </c>
      <c r="O107" s="997">
        <v>0</v>
      </c>
      <c r="P107" s="999">
        <v>0</v>
      </c>
      <c r="Q107" s="996">
        <v>0</v>
      </c>
      <c r="R107" s="1000">
        <v>0</v>
      </c>
    </row>
    <row r="108" spans="1:18" ht="18.75" customHeight="1">
      <c r="A108" s="2073"/>
      <c r="B108" s="2101"/>
      <c r="C108" s="2104"/>
      <c r="D108" s="977" t="s">
        <v>964</v>
      </c>
      <c r="E108" s="978">
        <v>0</v>
      </c>
      <c r="F108" s="987">
        <f t="shared" si="0"/>
        <v>1571</v>
      </c>
      <c r="G108" s="996">
        <v>0</v>
      </c>
      <c r="H108" s="997">
        <v>0</v>
      </c>
      <c r="I108" s="997">
        <v>1571</v>
      </c>
      <c r="J108" s="997">
        <v>0</v>
      </c>
      <c r="K108" s="997">
        <v>0</v>
      </c>
      <c r="L108" s="999">
        <v>0</v>
      </c>
      <c r="M108" s="996">
        <v>0</v>
      </c>
      <c r="N108" s="997">
        <v>0</v>
      </c>
      <c r="O108" s="997">
        <v>0</v>
      </c>
      <c r="P108" s="999">
        <v>0</v>
      </c>
      <c r="Q108" s="996">
        <v>0</v>
      </c>
      <c r="R108" s="1000">
        <v>0</v>
      </c>
    </row>
    <row r="109" spans="1:18" ht="18.75" customHeight="1">
      <c r="A109" s="2085"/>
      <c r="B109" s="2102"/>
      <c r="C109" s="2105"/>
      <c r="D109" s="977" t="s">
        <v>977</v>
      </c>
      <c r="E109" s="978">
        <v>0</v>
      </c>
      <c r="F109" s="987">
        <f t="shared" si="0"/>
        <v>1571</v>
      </c>
      <c r="G109" s="996">
        <v>0</v>
      </c>
      <c r="H109" s="997">
        <v>0</v>
      </c>
      <c r="I109" s="997">
        <v>1571</v>
      </c>
      <c r="J109" s="997">
        <v>0</v>
      </c>
      <c r="K109" s="997">
        <v>0</v>
      </c>
      <c r="L109" s="999">
        <v>0</v>
      </c>
      <c r="M109" s="996">
        <v>0</v>
      </c>
      <c r="N109" s="997">
        <v>0</v>
      </c>
      <c r="O109" s="997">
        <v>0</v>
      </c>
      <c r="P109" s="999">
        <v>0</v>
      </c>
      <c r="Q109" s="996">
        <v>0</v>
      </c>
      <c r="R109" s="1000">
        <v>0</v>
      </c>
    </row>
    <row r="110" spans="1:18" ht="18.75" customHeight="1">
      <c r="A110" s="2078" t="s">
        <v>344</v>
      </c>
      <c r="B110" s="2100" t="s">
        <v>395</v>
      </c>
      <c r="C110" s="2103" t="s">
        <v>394</v>
      </c>
      <c r="D110" s="985" t="s">
        <v>3</v>
      </c>
      <c r="E110" s="978">
        <v>0</v>
      </c>
      <c r="F110" s="987">
        <f t="shared" si="0"/>
        <v>9053</v>
      </c>
      <c r="G110" s="996">
        <v>0</v>
      </c>
      <c r="H110" s="997">
        <v>0</v>
      </c>
      <c r="I110" s="997">
        <v>9053</v>
      </c>
      <c r="J110" s="997">
        <v>0</v>
      </c>
      <c r="K110" s="997">
        <v>0</v>
      </c>
      <c r="L110" s="999">
        <v>0</v>
      </c>
      <c r="M110" s="996">
        <v>0</v>
      </c>
      <c r="N110" s="997">
        <v>0</v>
      </c>
      <c r="O110" s="997">
        <v>0</v>
      </c>
      <c r="P110" s="999">
        <v>0</v>
      </c>
      <c r="Q110" s="996">
        <v>0</v>
      </c>
      <c r="R110" s="1000">
        <v>0</v>
      </c>
    </row>
    <row r="111" spans="1:18" ht="18.75" customHeight="1">
      <c r="A111" s="2073"/>
      <c r="B111" s="2101"/>
      <c r="C111" s="2104"/>
      <c r="D111" s="977" t="s">
        <v>964</v>
      </c>
      <c r="E111" s="978">
        <v>0</v>
      </c>
      <c r="F111" s="1011">
        <f t="shared" si="0"/>
        <v>9053</v>
      </c>
      <c r="G111" s="996">
        <v>0</v>
      </c>
      <c r="H111" s="997">
        <v>0</v>
      </c>
      <c r="I111" s="997">
        <v>9053</v>
      </c>
      <c r="J111" s="997">
        <v>0</v>
      </c>
      <c r="K111" s="997">
        <v>0</v>
      </c>
      <c r="L111" s="999">
        <v>0</v>
      </c>
      <c r="M111" s="996">
        <v>0</v>
      </c>
      <c r="N111" s="997">
        <v>0</v>
      </c>
      <c r="O111" s="997">
        <v>0</v>
      </c>
      <c r="P111" s="999">
        <v>0</v>
      </c>
      <c r="Q111" s="996">
        <v>0</v>
      </c>
      <c r="R111" s="1000">
        <v>0</v>
      </c>
    </row>
    <row r="112" spans="1:18" ht="18.75" customHeight="1">
      <c r="A112" s="2085"/>
      <c r="B112" s="2102"/>
      <c r="C112" s="2105"/>
      <c r="D112" s="977" t="s">
        <v>977</v>
      </c>
      <c r="E112" s="978">
        <v>0</v>
      </c>
      <c r="F112" s="987">
        <f t="shared" si="0"/>
        <v>9053</v>
      </c>
      <c r="G112" s="996">
        <v>0</v>
      </c>
      <c r="H112" s="997">
        <v>0</v>
      </c>
      <c r="I112" s="997">
        <v>9053</v>
      </c>
      <c r="J112" s="997">
        <v>0</v>
      </c>
      <c r="K112" s="997">
        <v>0</v>
      </c>
      <c r="L112" s="999">
        <v>0</v>
      </c>
      <c r="M112" s="996">
        <v>0</v>
      </c>
      <c r="N112" s="997">
        <v>0</v>
      </c>
      <c r="O112" s="997">
        <v>0</v>
      </c>
      <c r="P112" s="999">
        <v>0</v>
      </c>
      <c r="Q112" s="996">
        <v>0</v>
      </c>
      <c r="R112" s="1000">
        <v>0</v>
      </c>
    </row>
    <row r="113" spans="1:18" ht="18.75" customHeight="1">
      <c r="A113" s="2078" t="s">
        <v>344</v>
      </c>
      <c r="B113" s="2100" t="s">
        <v>405</v>
      </c>
      <c r="C113" s="2103" t="s">
        <v>406</v>
      </c>
      <c r="D113" s="985" t="s">
        <v>3</v>
      </c>
      <c r="E113" s="978">
        <v>0</v>
      </c>
      <c r="F113" s="987">
        <f t="shared" si="0"/>
        <v>5230</v>
      </c>
      <c r="G113" s="996">
        <v>0</v>
      </c>
      <c r="H113" s="997">
        <v>0</v>
      </c>
      <c r="I113" s="997">
        <v>5230</v>
      </c>
      <c r="J113" s="997">
        <v>0</v>
      </c>
      <c r="K113" s="997">
        <v>0</v>
      </c>
      <c r="L113" s="999">
        <v>0</v>
      </c>
      <c r="M113" s="996">
        <v>0</v>
      </c>
      <c r="N113" s="997">
        <v>0</v>
      </c>
      <c r="O113" s="997">
        <v>0</v>
      </c>
      <c r="P113" s="999">
        <v>0</v>
      </c>
      <c r="Q113" s="996">
        <v>0</v>
      </c>
      <c r="R113" s="1000">
        <v>0</v>
      </c>
    </row>
    <row r="114" spans="1:18" ht="18.75" customHeight="1">
      <c r="A114" s="2073"/>
      <c r="B114" s="2101"/>
      <c r="C114" s="2104"/>
      <c r="D114" s="977" t="s">
        <v>964</v>
      </c>
      <c r="E114" s="978">
        <v>2000</v>
      </c>
      <c r="F114" s="987">
        <f t="shared" si="0"/>
        <v>3230</v>
      </c>
      <c r="G114" s="996">
        <v>43</v>
      </c>
      <c r="H114" s="997">
        <v>60</v>
      </c>
      <c r="I114" s="997">
        <v>1889</v>
      </c>
      <c r="J114" s="997">
        <v>0</v>
      </c>
      <c r="K114" s="997">
        <v>0</v>
      </c>
      <c r="L114" s="999">
        <v>0</v>
      </c>
      <c r="M114" s="996">
        <v>1238</v>
      </c>
      <c r="N114" s="997">
        <v>0</v>
      </c>
      <c r="O114" s="997">
        <v>0</v>
      </c>
      <c r="P114" s="999">
        <v>0</v>
      </c>
      <c r="Q114" s="996">
        <v>0</v>
      </c>
      <c r="R114" s="1000">
        <v>0</v>
      </c>
    </row>
    <row r="115" spans="1:18" ht="18.75" customHeight="1">
      <c r="A115" s="2085"/>
      <c r="B115" s="2102"/>
      <c r="C115" s="2105"/>
      <c r="D115" s="977" t="s">
        <v>977</v>
      </c>
      <c r="E115" s="978">
        <v>2000</v>
      </c>
      <c r="F115" s="987">
        <f t="shared" si="0"/>
        <v>2849</v>
      </c>
      <c r="G115" s="996">
        <v>163</v>
      </c>
      <c r="H115" s="997">
        <v>73</v>
      </c>
      <c r="I115" s="997">
        <v>1375</v>
      </c>
      <c r="J115" s="997">
        <v>0</v>
      </c>
      <c r="K115" s="997">
        <v>0</v>
      </c>
      <c r="L115" s="999">
        <v>0</v>
      </c>
      <c r="M115" s="996">
        <v>1238</v>
      </c>
      <c r="N115" s="997">
        <v>0</v>
      </c>
      <c r="O115" s="997">
        <v>0</v>
      </c>
      <c r="P115" s="999">
        <v>0</v>
      </c>
      <c r="Q115" s="996">
        <v>0</v>
      </c>
      <c r="R115" s="1000">
        <v>0</v>
      </c>
    </row>
    <row r="116" spans="1:18" ht="18.75" customHeight="1">
      <c r="A116" s="2078" t="s">
        <v>344</v>
      </c>
      <c r="B116" s="2100" t="s">
        <v>396</v>
      </c>
      <c r="C116" s="2103" t="s">
        <v>275</v>
      </c>
      <c r="D116" s="1001" t="s">
        <v>3</v>
      </c>
      <c r="E116" s="978">
        <v>0</v>
      </c>
      <c r="F116" s="987">
        <f t="shared" si="0"/>
        <v>30000</v>
      </c>
      <c r="G116" s="996">
        <v>0</v>
      </c>
      <c r="H116" s="997">
        <v>0</v>
      </c>
      <c r="I116" s="997">
        <v>0</v>
      </c>
      <c r="J116" s="997">
        <v>0</v>
      </c>
      <c r="K116" s="997">
        <v>0</v>
      </c>
      <c r="L116" s="999">
        <v>30000</v>
      </c>
      <c r="M116" s="996">
        <v>0</v>
      </c>
      <c r="N116" s="997">
        <v>0</v>
      </c>
      <c r="O116" s="997">
        <v>0</v>
      </c>
      <c r="P116" s="999">
        <v>0</v>
      </c>
      <c r="Q116" s="996">
        <v>0</v>
      </c>
      <c r="R116" s="1000">
        <v>0</v>
      </c>
    </row>
    <row r="117" spans="1:18" ht="18.75" customHeight="1">
      <c r="A117" s="2073"/>
      <c r="B117" s="2101"/>
      <c r="C117" s="2104"/>
      <c r="D117" s="977" t="s">
        <v>964</v>
      </c>
      <c r="E117" s="978">
        <v>0</v>
      </c>
      <c r="F117" s="987">
        <f t="shared" si="0"/>
        <v>46893</v>
      </c>
      <c r="G117" s="996">
        <v>1837</v>
      </c>
      <c r="H117" s="997">
        <v>2513</v>
      </c>
      <c r="I117" s="997">
        <v>815</v>
      </c>
      <c r="J117" s="997">
        <v>0</v>
      </c>
      <c r="K117" s="997">
        <v>3630</v>
      </c>
      <c r="L117" s="999">
        <v>37236</v>
      </c>
      <c r="M117" s="996">
        <v>862</v>
      </c>
      <c r="N117" s="997">
        <v>0</v>
      </c>
      <c r="O117" s="997">
        <v>0</v>
      </c>
      <c r="P117" s="999">
        <v>0</v>
      </c>
      <c r="Q117" s="996">
        <v>0</v>
      </c>
      <c r="R117" s="1000">
        <v>0</v>
      </c>
    </row>
    <row r="118" spans="1:18" ht="18.75" customHeight="1">
      <c r="A118" s="2085"/>
      <c r="B118" s="2102"/>
      <c r="C118" s="2105"/>
      <c r="D118" s="977" t="s">
        <v>977</v>
      </c>
      <c r="E118" s="978">
        <v>0</v>
      </c>
      <c r="F118" s="987">
        <f t="shared" si="0"/>
        <v>60384</v>
      </c>
      <c r="G118" s="996">
        <v>2761</v>
      </c>
      <c r="H118" s="997">
        <v>2866</v>
      </c>
      <c r="I118" s="997">
        <v>1618</v>
      </c>
      <c r="J118" s="997">
        <v>0</v>
      </c>
      <c r="K118" s="997">
        <v>18990</v>
      </c>
      <c r="L118" s="999">
        <v>26245</v>
      </c>
      <c r="M118" s="996">
        <v>3835</v>
      </c>
      <c r="N118" s="997">
        <v>319</v>
      </c>
      <c r="O118" s="997">
        <v>3750</v>
      </c>
      <c r="P118" s="999">
        <v>0</v>
      </c>
      <c r="Q118" s="996">
        <v>0</v>
      </c>
      <c r="R118" s="1000">
        <v>0</v>
      </c>
    </row>
    <row r="119" spans="1:18" ht="18.75" customHeight="1">
      <c r="A119" s="2078" t="s">
        <v>101</v>
      </c>
      <c r="B119" s="2100" t="s">
        <v>915</v>
      </c>
      <c r="C119" s="2103" t="s">
        <v>846</v>
      </c>
      <c r="D119" s="1001" t="s">
        <v>3</v>
      </c>
      <c r="E119" s="978">
        <v>0</v>
      </c>
      <c r="F119" s="987">
        <f t="shared" si="0"/>
        <v>0</v>
      </c>
      <c r="G119" s="996">
        <v>0</v>
      </c>
      <c r="H119" s="997">
        <v>0</v>
      </c>
      <c r="I119" s="997">
        <v>0</v>
      </c>
      <c r="J119" s="997">
        <v>0</v>
      </c>
      <c r="K119" s="997">
        <v>0</v>
      </c>
      <c r="L119" s="999">
        <v>0</v>
      </c>
      <c r="M119" s="996">
        <v>0</v>
      </c>
      <c r="N119" s="997">
        <v>0</v>
      </c>
      <c r="O119" s="997">
        <v>0</v>
      </c>
      <c r="P119" s="999">
        <v>0</v>
      </c>
      <c r="Q119" s="996">
        <v>0</v>
      </c>
      <c r="R119" s="1000">
        <v>0</v>
      </c>
    </row>
    <row r="120" spans="1:18" ht="18.75" customHeight="1">
      <c r="A120" s="2073"/>
      <c r="B120" s="2101"/>
      <c r="C120" s="2104"/>
      <c r="D120" s="977" t="s">
        <v>964</v>
      </c>
      <c r="E120" s="978">
        <v>14345</v>
      </c>
      <c r="F120" s="987">
        <f t="shared" si="0"/>
        <v>18170</v>
      </c>
      <c r="G120" s="996">
        <v>346</v>
      </c>
      <c r="H120" s="997">
        <v>131</v>
      </c>
      <c r="I120" s="997">
        <v>8709</v>
      </c>
      <c r="J120" s="997">
        <v>1000</v>
      </c>
      <c r="K120" s="997">
        <v>5511</v>
      </c>
      <c r="L120" s="999">
        <v>760</v>
      </c>
      <c r="M120" s="996">
        <v>1713</v>
      </c>
      <c r="N120" s="997">
        <v>0</v>
      </c>
      <c r="O120" s="997">
        <v>0</v>
      </c>
      <c r="P120" s="999">
        <v>0</v>
      </c>
      <c r="Q120" s="996">
        <v>0</v>
      </c>
      <c r="R120" s="1000">
        <v>0</v>
      </c>
    </row>
    <row r="121" spans="1:18" ht="18.75" customHeight="1">
      <c r="A121" s="2085"/>
      <c r="B121" s="2102"/>
      <c r="C121" s="2105"/>
      <c r="D121" s="977" t="s">
        <v>977</v>
      </c>
      <c r="E121" s="978">
        <v>14345</v>
      </c>
      <c r="F121" s="987">
        <f t="shared" si="0"/>
        <v>18997</v>
      </c>
      <c r="G121" s="996">
        <v>346</v>
      </c>
      <c r="H121" s="997">
        <v>133</v>
      </c>
      <c r="I121" s="997">
        <v>8710</v>
      </c>
      <c r="J121" s="997">
        <v>1000</v>
      </c>
      <c r="K121" s="997">
        <v>5511</v>
      </c>
      <c r="L121" s="999">
        <v>1306</v>
      </c>
      <c r="M121" s="996">
        <v>1991</v>
      </c>
      <c r="N121" s="997">
        <v>0</v>
      </c>
      <c r="O121" s="997">
        <v>0</v>
      </c>
      <c r="P121" s="999">
        <v>0</v>
      </c>
      <c r="Q121" s="996">
        <v>0</v>
      </c>
      <c r="R121" s="1000">
        <v>0</v>
      </c>
    </row>
    <row r="122" spans="1:18" ht="18.75" customHeight="1">
      <c r="A122" s="2078" t="s">
        <v>344</v>
      </c>
      <c r="B122" s="2079" t="s">
        <v>333</v>
      </c>
      <c r="C122" s="2082" t="s">
        <v>418</v>
      </c>
      <c r="D122" s="985" t="s">
        <v>3</v>
      </c>
      <c r="E122" s="978">
        <v>74274</v>
      </c>
      <c r="F122" s="987">
        <f t="shared" si="0"/>
        <v>125751</v>
      </c>
      <c r="G122" s="996">
        <v>39862</v>
      </c>
      <c r="H122" s="997">
        <v>6849</v>
      </c>
      <c r="I122" s="997">
        <v>78890</v>
      </c>
      <c r="J122" s="997">
        <v>150</v>
      </c>
      <c r="K122" s="997">
        <v>0</v>
      </c>
      <c r="L122" s="999">
        <v>0</v>
      </c>
      <c r="M122" s="996">
        <v>0</v>
      </c>
      <c r="N122" s="997">
        <v>0</v>
      </c>
      <c r="O122" s="997">
        <v>0</v>
      </c>
      <c r="P122" s="999">
        <v>0</v>
      </c>
      <c r="Q122" s="996">
        <v>0</v>
      </c>
      <c r="R122" s="1000">
        <v>0</v>
      </c>
    </row>
    <row r="123" spans="1:18" ht="18.75" customHeight="1">
      <c r="A123" s="2073"/>
      <c r="B123" s="2080"/>
      <c r="C123" s="2083"/>
      <c r="D123" s="977" t="s">
        <v>964</v>
      </c>
      <c r="E123" s="978">
        <v>240088</v>
      </c>
      <c r="F123" s="987">
        <f t="shared" si="0"/>
        <v>226498</v>
      </c>
      <c r="G123" s="996">
        <v>39862</v>
      </c>
      <c r="H123" s="997">
        <v>6849</v>
      </c>
      <c r="I123" s="997">
        <v>179637</v>
      </c>
      <c r="J123" s="997">
        <v>150</v>
      </c>
      <c r="K123" s="997">
        <v>0</v>
      </c>
      <c r="L123" s="999">
        <v>0</v>
      </c>
      <c r="M123" s="996">
        <v>0</v>
      </c>
      <c r="N123" s="997">
        <v>0</v>
      </c>
      <c r="O123" s="997">
        <v>0</v>
      </c>
      <c r="P123" s="999">
        <v>0</v>
      </c>
      <c r="Q123" s="996">
        <v>0</v>
      </c>
      <c r="R123" s="1000">
        <v>0</v>
      </c>
    </row>
    <row r="124" spans="1:18" ht="18.75" customHeight="1">
      <c r="A124" s="2085"/>
      <c r="B124" s="2086"/>
      <c r="C124" s="2087"/>
      <c r="D124" s="977" t="s">
        <v>977</v>
      </c>
      <c r="E124" s="978">
        <v>240088</v>
      </c>
      <c r="F124" s="987">
        <f t="shared" si="0"/>
        <v>226498</v>
      </c>
      <c r="G124" s="996">
        <v>39862</v>
      </c>
      <c r="H124" s="997">
        <v>6849</v>
      </c>
      <c r="I124" s="997">
        <v>179637</v>
      </c>
      <c r="J124" s="997">
        <v>150</v>
      </c>
      <c r="K124" s="997">
        <v>0</v>
      </c>
      <c r="L124" s="999">
        <v>0</v>
      </c>
      <c r="M124" s="996">
        <v>0</v>
      </c>
      <c r="N124" s="997">
        <v>0</v>
      </c>
      <c r="O124" s="997">
        <v>0</v>
      </c>
      <c r="P124" s="999">
        <v>0</v>
      </c>
      <c r="Q124" s="996">
        <v>0</v>
      </c>
      <c r="R124" s="1000">
        <v>0</v>
      </c>
    </row>
    <row r="125" spans="1:18" ht="18.75" customHeight="1">
      <c r="A125" s="2078" t="s">
        <v>344</v>
      </c>
      <c r="B125" s="2079" t="s">
        <v>334</v>
      </c>
      <c r="C125" s="2082" t="s">
        <v>419</v>
      </c>
      <c r="D125" s="985" t="s">
        <v>3</v>
      </c>
      <c r="E125" s="978">
        <v>984</v>
      </c>
      <c r="F125" s="987">
        <f t="shared" si="0"/>
        <v>994</v>
      </c>
      <c r="G125" s="996">
        <v>846</v>
      </c>
      <c r="H125" s="997">
        <v>148</v>
      </c>
      <c r="I125" s="997">
        <v>0</v>
      </c>
      <c r="J125" s="997">
        <v>0</v>
      </c>
      <c r="K125" s="997">
        <v>0</v>
      </c>
      <c r="L125" s="999">
        <v>0</v>
      </c>
      <c r="M125" s="996">
        <v>0</v>
      </c>
      <c r="N125" s="997">
        <v>0</v>
      </c>
      <c r="O125" s="997">
        <v>0</v>
      </c>
      <c r="P125" s="999">
        <v>0</v>
      </c>
      <c r="Q125" s="996">
        <v>0</v>
      </c>
      <c r="R125" s="1000">
        <v>0</v>
      </c>
    </row>
    <row r="126" spans="1:18" ht="18.75" customHeight="1">
      <c r="A126" s="2073"/>
      <c r="B126" s="2080"/>
      <c r="C126" s="2083"/>
      <c r="D126" s="977" t="s">
        <v>964</v>
      </c>
      <c r="E126" s="978">
        <v>0</v>
      </c>
      <c r="F126" s="987">
        <f t="shared" si="0"/>
        <v>3571</v>
      </c>
      <c r="G126" s="996">
        <v>2500</v>
      </c>
      <c r="H126" s="997">
        <v>431</v>
      </c>
      <c r="I126" s="997">
        <v>640</v>
      </c>
      <c r="J126" s="997">
        <v>0</v>
      </c>
      <c r="K126" s="997">
        <v>0</v>
      </c>
      <c r="L126" s="999">
        <v>0</v>
      </c>
      <c r="M126" s="996">
        <v>0</v>
      </c>
      <c r="N126" s="997">
        <v>0</v>
      </c>
      <c r="O126" s="997">
        <v>0</v>
      </c>
      <c r="P126" s="999">
        <v>0</v>
      </c>
      <c r="Q126" s="996">
        <v>0</v>
      </c>
      <c r="R126" s="1000">
        <v>0</v>
      </c>
    </row>
    <row r="127" spans="1:18" ht="18.75" customHeight="1">
      <c r="A127" s="2085"/>
      <c r="B127" s="2086"/>
      <c r="C127" s="2087"/>
      <c r="D127" s="977" t="s">
        <v>977</v>
      </c>
      <c r="E127" s="978">
        <v>0</v>
      </c>
      <c r="F127" s="987">
        <f t="shared" si="0"/>
        <v>3571</v>
      </c>
      <c r="G127" s="996">
        <v>2500</v>
      </c>
      <c r="H127" s="997">
        <v>431</v>
      </c>
      <c r="I127" s="997">
        <v>640</v>
      </c>
      <c r="J127" s="997">
        <v>0</v>
      </c>
      <c r="K127" s="997">
        <v>0</v>
      </c>
      <c r="L127" s="999">
        <v>0</v>
      </c>
      <c r="M127" s="996">
        <v>0</v>
      </c>
      <c r="N127" s="997">
        <v>0</v>
      </c>
      <c r="O127" s="997">
        <v>0</v>
      </c>
      <c r="P127" s="999">
        <v>0</v>
      </c>
      <c r="Q127" s="996">
        <v>0</v>
      </c>
      <c r="R127" s="1000">
        <v>0</v>
      </c>
    </row>
    <row r="128" spans="1:18" ht="18.75" customHeight="1">
      <c r="A128" s="2078" t="s">
        <v>344</v>
      </c>
      <c r="B128" s="2079" t="s">
        <v>335</v>
      </c>
      <c r="C128" s="2082" t="s">
        <v>420</v>
      </c>
      <c r="D128" s="985" t="s">
        <v>3</v>
      </c>
      <c r="E128" s="978">
        <v>15838</v>
      </c>
      <c r="F128" s="987">
        <f t="shared" si="0"/>
        <v>16338</v>
      </c>
      <c r="G128" s="996">
        <v>8936</v>
      </c>
      <c r="H128" s="997">
        <v>514</v>
      </c>
      <c r="I128" s="997">
        <v>6888</v>
      </c>
      <c r="J128" s="997">
        <v>0</v>
      </c>
      <c r="K128" s="997">
        <v>0</v>
      </c>
      <c r="L128" s="999">
        <v>0</v>
      </c>
      <c r="M128" s="996">
        <v>0</v>
      </c>
      <c r="N128" s="997">
        <v>0</v>
      </c>
      <c r="O128" s="997">
        <v>0</v>
      </c>
      <c r="P128" s="999">
        <v>0</v>
      </c>
      <c r="Q128" s="996">
        <v>0</v>
      </c>
      <c r="R128" s="1000">
        <v>0</v>
      </c>
    </row>
    <row r="129" spans="1:18" ht="18.75" customHeight="1">
      <c r="A129" s="2073"/>
      <c r="B129" s="2080"/>
      <c r="C129" s="2083"/>
      <c r="D129" s="977" t="s">
        <v>964</v>
      </c>
      <c r="E129" s="978">
        <v>18922</v>
      </c>
      <c r="F129" s="987">
        <f t="shared" si="0"/>
        <v>18160</v>
      </c>
      <c r="G129" s="996">
        <v>11258</v>
      </c>
      <c r="H129" s="997">
        <v>514</v>
      </c>
      <c r="I129" s="997">
        <v>6388</v>
      </c>
      <c r="J129" s="997">
        <v>0</v>
      </c>
      <c r="K129" s="997">
        <v>0</v>
      </c>
      <c r="L129" s="999">
        <v>0</v>
      </c>
      <c r="M129" s="996">
        <v>0</v>
      </c>
      <c r="N129" s="997">
        <v>0</v>
      </c>
      <c r="O129" s="997">
        <v>0</v>
      </c>
      <c r="P129" s="999">
        <v>0</v>
      </c>
      <c r="Q129" s="996">
        <v>0</v>
      </c>
      <c r="R129" s="1000">
        <v>0</v>
      </c>
    </row>
    <row r="130" spans="1:18" ht="18.75" customHeight="1">
      <c r="A130" s="2085"/>
      <c r="B130" s="2086"/>
      <c r="C130" s="2087"/>
      <c r="D130" s="977" t="s">
        <v>977</v>
      </c>
      <c r="E130" s="984">
        <v>18922</v>
      </c>
      <c r="F130" s="987">
        <f t="shared" si="0"/>
        <v>18160</v>
      </c>
      <c r="G130" s="996">
        <v>11258</v>
      </c>
      <c r="H130" s="997">
        <v>514</v>
      </c>
      <c r="I130" s="997">
        <v>6388</v>
      </c>
      <c r="J130" s="997">
        <v>0</v>
      </c>
      <c r="K130" s="997">
        <v>0</v>
      </c>
      <c r="L130" s="999">
        <v>0</v>
      </c>
      <c r="M130" s="996">
        <v>0</v>
      </c>
      <c r="N130" s="997">
        <v>0</v>
      </c>
      <c r="O130" s="997">
        <v>0</v>
      </c>
      <c r="P130" s="999">
        <v>0</v>
      </c>
      <c r="Q130" s="996">
        <v>0</v>
      </c>
      <c r="R130" s="1000">
        <v>0</v>
      </c>
    </row>
    <row r="131" spans="1:18" ht="18.75" customHeight="1">
      <c r="A131" s="2078" t="s">
        <v>344</v>
      </c>
      <c r="B131" s="2079" t="s">
        <v>336</v>
      </c>
      <c r="C131" s="2082" t="s">
        <v>421</v>
      </c>
      <c r="D131" s="985" t="s">
        <v>3</v>
      </c>
      <c r="E131" s="984">
        <v>3601</v>
      </c>
      <c r="F131" s="987">
        <f t="shared" si="0"/>
        <v>11601</v>
      </c>
      <c r="G131" s="996">
        <v>4720</v>
      </c>
      <c r="H131" s="997">
        <v>1000</v>
      </c>
      <c r="I131" s="997">
        <v>4061</v>
      </c>
      <c r="J131" s="997">
        <v>0</v>
      </c>
      <c r="K131" s="997">
        <v>0</v>
      </c>
      <c r="L131" s="999">
        <v>0</v>
      </c>
      <c r="M131" s="996">
        <v>1820</v>
      </c>
      <c r="N131" s="997">
        <v>0</v>
      </c>
      <c r="O131" s="997">
        <v>0</v>
      </c>
      <c r="P131" s="999">
        <v>0</v>
      </c>
      <c r="Q131" s="996">
        <v>0</v>
      </c>
      <c r="R131" s="1000">
        <v>0</v>
      </c>
    </row>
    <row r="132" spans="1:18" ht="18.75" customHeight="1">
      <c r="A132" s="2073"/>
      <c r="B132" s="2080"/>
      <c r="C132" s="2083"/>
      <c r="D132" s="977" t="s">
        <v>964</v>
      </c>
      <c r="E132" s="978">
        <v>17476</v>
      </c>
      <c r="F132" s="987">
        <f t="shared" si="0"/>
        <v>21888</v>
      </c>
      <c r="G132" s="996">
        <v>9770</v>
      </c>
      <c r="H132" s="997">
        <v>642</v>
      </c>
      <c r="I132" s="997">
        <v>9656</v>
      </c>
      <c r="J132" s="997">
        <v>0</v>
      </c>
      <c r="K132" s="997">
        <v>0</v>
      </c>
      <c r="L132" s="999">
        <v>0</v>
      </c>
      <c r="M132" s="996">
        <v>1820</v>
      </c>
      <c r="N132" s="997">
        <v>0</v>
      </c>
      <c r="O132" s="997">
        <v>0</v>
      </c>
      <c r="P132" s="999">
        <v>0</v>
      </c>
      <c r="Q132" s="996">
        <v>0</v>
      </c>
      <c r="R132" s="1000">
        <v>0</v>
      </c>
    </row>
    <row r="133" spans="1:18" ht="18.75" customHeight="1">
      <c r="A133" s="2085"/>
      <c r="B133" s="2086"/>
      <c r="C133" s="2087"/>
      <c r="D133" s="977" t="s">
        <v>977</v>
      </c>
      <c r="E133" s="978">
        <v>17476</v>
      </c>
      <c r="F133" s="987">
        <f t="shared" si="0"/>
        <v>21888</v>
      </c>
      <c r="G133" s="996">
        <v>9770</v>
      </c>
      <c r="H133" s="997">
        <v>642</v>
      </c>
      <c r="I133" s="997">
        <v>9656</v>
      </c>
      <c r="J133" s="997">
        <v>0</v>
      </c>
      <c r="K133" s="997">
        <v>0</v>
      </c>
      <c r="L133" s="999">
        <v>0</v>
      </c>
      <c r="M133" s="996">
        <v>1820</v>
      </c>
      <c r="N133" s="997">
        <v>0</v>
      </c>
      <c r="O133" s="997">
        <v>0</v>
      </c>
      <c r="P133" s="999">
        <v>0</v>
      </c>
      <c r="Q133" s="996">
        <v>0</v>
      </c>
      <c r="R133" s="1000">
        <v>0</v>
      </c>
    </row>
    <row r="134" spans="1:18" ht="18.75" customHeight="1">
      <c r="A134" s="2078" t="s">
        <v>344</v>
      </c>
      <c r="B134" s="2079" t="s">
        <v>916</v>
      </c>
      <c r="C134" s="2082" t="s">
        <v>917</v>
      </c>
      <c r="D134" s="977" t="s">
        <v>3</v>
      </c>
      <c r="E134" s="978">
        <v>0</v>
      </c>
      <c r="F134" s="987">
        <f t="shared" si="0"/>
        <v>0</v>
      </c>
      <c r="G134" s="996">
        <v>0</v>
      </c>
      <c r="H134" s="997">
        <v>0</v>
      </c>
      <c r="I134" s="997">
        <v>0</v>
      </c>
      <c r="J134" s="997">
        <v>0</v>
      </c>
      <c r="K134" s="997">
        <v>0</v>
      </c>
      <c r="L134" s="999">
        <v>0</v>
      </c>
      <c r="M134" s="996">
        <v>0</v>
      </c>
      <c r="N134" s="997">
        <v>0</v>
      </c>
      <c r="O134" s="997">
        <v>0</v>
      </c>
      <c r="P134" s="999">
        <v>0</v>
      </c>
      <c r="Q134" s="996">
        <v>0</v>
      </c>
      <c r="R134" s="1000">
        <v>0</v>
      </c>
    </row>
    <row r="135" spans="1:18" ht="18.75" customHeight="1">
      <c r="A135" s="2073"/>
      <c r="B135" s="2080"/>
      <c r="C135" s="2083"/>
      <c r="D135" s="977" t="s">
        <v>964</v>
      </c>
      <c r="E135" s="978">
        <v>1199</v>
      </c>
      <c r="F135" s="987">
        <f t="shared" si="0"/>
        <v>17</v>
      </c>
      <c r="G135" s="996">
        <v>0</v>
      </c>
      <c r="H135" s="997">
        <v>0</v>
      </c>
      <c r="I135" s="997">
        <v>17</v>
      </c>
      <c r="J135" s="997">
        <v>0</v>
      </c>
      <c r="K135" s="997">
        <v>0</v>
      </c>
      <c r="L135" s="999">
        <v>0</v>
      </c>
      <c r="M135" s="996">
        <v>0</v>
      </c>
      <c r="N135" s="997">
        <v>0</v>
      </c>
      <c r="O135" s="997">
        <v>0</v>
      </c>
      <c r="P135" s="999">
        <v>0</v>
      </c>
      <c r="Q135" s="996">
        <v>0</v>
      </c>
      <c r="R135" s="1000">
        <v>0</v>
      </c>
    </row>
    <row r="136" spans="1:18" ht="26.25" customHeight="1">
      <c r="A136" s="2085"/>
      <c r="B136" s="2086"/>
      <c r="C136" s="2087"/>
      <c r="D136" s="977" t="s">
        <v>977</v>
      </c>
      <c r="E136" s="978">
        <v>1199</v>
      </c>
      <c r="F136" s="987">
        <f t="shared" si="0"/>
        <v>17</v>
      </c>
      <c r="G136" s="996">
        <v>0</v>
      </c>
      <c r="H136" s="997">
        <v>0</v>
      </c>
      <c r="I136" s="997">
        <v>17</v>
      </c>
      <c r="J136" s="997">
        <v>0</v>
      </c>
      <c r="K136" s="997">
        <v>0</v>
      </c>
      <c r="L136" s="999">
        <v>0</v>
      </c>
      <c r="M136" s="996">
        <v>0</v>
      </c>
      <c r="N136" s="997">
        <v>0</v>
      </c>
      <c r="O136" s="997">
        <v>0</v>
      </c>
      <c r="P136" s="999">
        <v>0</v>
      </c>
      <c r="Q136" s="996">
        <v>0</v>
      </c>
      <c r="R136" s="1000">
        <v>0</v>
      </c>
    </row>
    <row r="137" spans="1:18" ht="18.75" customHeight="1">
      <c r="A137" s="2091" t="s">
        <v>344</v>
      </c>
      <c r="B137" s="2094" t="s">
        <v>918</v>
      </c>
      <c r="C137" s="2097" t="s">
        <v>919</v>
      </c>
      <c r="D137" s="977" t="s">
        <v>3</v>
      </c>
      <c r="E137" s="978">
        <v>0</v>
      </c>
      <c r="F137" s="987">
        <f t="shared" si="0"/>
        <v>0</v>
      </c>
      <c r="G137" s="996">
        <v>0</v>
      </c>
      <c r="H137" s="997">
        <v>0</v>
      </c>
      <c r="I137" s="997">
        <v>0</v>
      </c>
      <c r="J137" s="997">
        <v>0</v>
      </c>
      <c r="K137" s="997">
        <v>0</v>
      </c>
      <c r="L137" s="999">
        <v>0</v>
      </c>
      <c r="M137" s="996">
        <v>0</v>
      </c>
      <c r="N137" s="997">
        <v>0</v>
      </c>
      <c r="O137" s="997">
        <v>0</v>
      </c>
      <c r="P137" s="999">
        <v>0</v>
      </c>
      <c r="Q137" s="996">
        <v>0</v>
      </c>
      <c r="R137" s="1000">
        <v>0</v>
      </c>
    </row>
    <row r="138" spans="1:18" ht="18.75" customHeight="1">
      <c r="A138" s="2092"/>
      <c r="B138" s="2095"/>
      <c r="C138" s="2098"/>
      <c r="D138" s="977" t="s">
        <v>964</v>
      </c>
      <c r="E138" s="978">
        <v>0</v>
      </c>
      <c r="F138" s="987">
        <f t="shared" si="0"/>
        <v>436</v>
      </c>
      <c r="G138" s="996">
        <v>9</v>
      </c>
      <c r="H138" s="997">
        <v>0</v>
      </c>
      <c r="I138" s="997">
        <v>0</v>
      </c>
      <c r="J138" s="997">
        <v>0</v>
      </c>
      <c r="K138" s="997">
        <v>427</v>
      </c>
      <c r="L138" s="999">
        <v>0</v>
      </c>
      <c r="M138" s="996">
        <v>0</v>
      </c>
      <c r="N138" s="997">
        <v>0</v>
      </c>
      <c r="O138" s="997">
        <v>0</v>
      </c>
      <c r="P138" s="999">
        <v>0</v>
      </c>
      <c r="Q138" s="996">
        <v>0</v>
      </c>
      <c r="R138" s="1000">
        <v>0</v>
      </c>
    </row>
    <row r="139" spans="1:18" ht="18.75" customHeight="1">
      <c r="A139" s="2093"/>
      <c r="B139" s="2096"/>
      <c r="C139" s="2099"/>
      <c r="D139" s="977" t="s">
        <v>977</v>
      </c>
      <c r="E139" s="978">
        <v>0</v>
      </c>
      <c r="F139" s="987">
        <f t="shared" si="0"/>
        <v>436</v>
      </c>
      <c r="G139" s="996">
        <v>9</v>
      </c>
      <c r="H139" s="997">
        <v>0</v>
      </c>
      <c r="I139" s="997">
        <v>0</v>
      </c>
      <c r="J139" s="997">
        <v>0</v>
      </c>
      <c r="K139" s="997">
        <v>427</v>
      </c>
      <c r="L139" s="999">
        <v>0</v>
      </c>
      <c r="M139" s="996">
        <v>0</v>
      </c>
      <c r="N139" s="997">
        <v>0</v>
      </c>
      <c r="O139" s="997">
        <v>0</v>
      </c>
      <c r="P139" s="999">
        <v>0</v>
      </c>
      <c r="Q139" s="996">
        <v>0</v>
      </c>
      <c r="R139" s="1000">
        <v>0</v>
      </c>
    </row>
    <row r="140" spans="1:18" ht="18.75" customHeight="1">
      <c r="A140" s="2078" t="s">
        <v>344</v>
      </c>
      <c r="B140" s="2079" t="s">
        <v>920</v>
      </c>
      <c r="C140" s="2082" t="s">
        <v>921</v>
      </c>
      <c r="D140" s="977" t="s">
        <v>3</v>
      </c>
      <c r="E140" s="984">
        <v>0</v>
      </c>
      <c r="F140" s="979">
        <f t="shared" si="0"/>
        <v>0</v>
      </c>
      <c r="G140" s="1012">
        <v>0</v>
      </c>
      <c r="H140" s="1013">
        <v>0</v>
      </c>
      <c r="I140" s="1013">
        <v>0</v>
      </c>
      <c r="J140" s="1013">
        <v>0</v>
      </c>
      <c r="K140" s="1013">
        <v>0</v>
      </c>
      <c r="L140" s="1014">
        <v>0</v>
      </c>
      <c r="M140" s="1012">
        <v>0</v>
      </c>
      <c r="N140" s="1013">
        <v>0</v>
      </c>
      <c r="O140" s="1013">
        <v>0</v>
      </c>
      <c r="P140" s="1014">
        <v>0</v>
      </c>
      <c r="Q140" s="1012">
        <v>0</v>
      </c>
      <c r="R140" s="983">
        <v>0</v>
      </c>
    </row>
    <row r="141" spans="1:18" ht="18.75" customHeight="1">
      <c r="A141" s="2073"/>
      <c r="B141" s="2080"/>
      <c r="C141" s="2083"/>
      <c r="D141" s="977" t="s">
        <v>964</v>
      </c>
      <c r="E141" s="978">
        <v>0</v>
      </c>
      <c r="F141" s="987">
        <f t="shared" si="0"/>
        <v>506</v>
      </c>
      <c r="G141" s="996">
        <v>0</v>
      </c>
      <c r="H141" s="997">
        <v>0</v>
      </c>
      <c r="I141" s="997">
        <v>506</v>
      </c>
      <c r="J141" s="997">
        <v>0</v>
      </c>
      <c r="K141" s="997">
        <v>0</v>
      </c>
      <c r="L141" s="999">
        <v>0</v>
      </c>
      <c r="M141" s="996">
        <v>0</v>
      </c>
      <c r="N141" s="997">
        <v>0</v>
      </c>
      <c r="O141" s="997">
        <v>0</v>
      </c>
      <c r="P141" s="999">
        <v>0</v>
      </c>
      <c r="Q141" s="996">
        <v>0</v>
      </c>
      <c r="R141" s="1000">
        <v>0</v>
      </c>
    </row>
    <row r="142" spans="1:18" ht="23.25" customHeight="1">
      <c r="A142" s="2085"/>
      <c r="B142" s="2086"/>
      <c r="C142" s="2087"/>
      <c r="D142" s="977" t="s">
        <v>977</v>
      </c>
      <c r="E142" s="978">
        <v>0</v>
      </c>
      <c r="F142" s="987">
        <f t="shared" si="0"/>
        <v>506</v>
      </c>
      <c r="G142" s="996">
        <v>0</v>
      </c>
      <c r="H142" s="997">
        <v>0</v>
      </c>
      <c r="I142" s="997">
        <v>506</v>
      </c>
      <c r="J142" s="997">
        <v>0</v>
      </c>
      <c r="K142" s="997">
        <v>0</v>
      </c>
      <c r="L142" s="999">
        <v>0</v>
      </c>
      <c r="M142" s="996">
        <v>0</v>
      </c>
      <c r="N142" s="997">
        <v>0</v>
      </c>
      <c r="O142" s="997">
        <v>0</v>
      </c>
      <c r="P142" s="999">
        <v>0</v>
      </c>
      <c r="Q142" s="996">
        <v>0</v>
      </c>
      <c r="R142" s="1000">
        <v>0</v>
      </c>
    </row>
    <row r="143" spans="1:18" ht="18.75" customHeight="1">
      <c r="A143" s="2078" t="s">
        <v>344</v>
      </c>
      <c r="B143" s="2079" t="s">
        <v>338</v>
      </c>
      <c r="C143" s="2082" t="s">
        <v>484</v>
      </c>
      <c r="D143" s="985" t="s">
        <v>3</v>
      </c>
      <c r="E143" s="978">
        <v>14320</v>
      </c>
      <c r="F143" s="987">
        <f t="shared" si="0"/>
        <v>104320</v>
      </c>
      <c r="G143" s="996">
        <v>0</v>
      </c>
      <c r="H143" s="997">
        <v>0</v>
      </c>
      <c r="I143" s="997">
        <v>6050</v>
      </c>
      <c r="J143" s="997">
        <v>0</v>
      </c>
      <c r="K143" s="997">
        <v>0</v>
      </c>
      <c r="L143" s="999">
        <v>0</v>
      </c>
      <c r="M143" s="996">
        <v>98270</v>
      </c>
      <c r="N143" s="997">
        <v>0</v>
      </c>
      <c r="O143" s="997">
        <v>0</v>
      </c>
      <c r="P143" s="999">
        <v>0</v>
      </c>
      <c r="Q143" s="996">
        <v>0</v>
      </c>
      <c r="R143" s="1000">
        <v>0</v>
      </c>
    </row>
    <row r="144" spans="1:18" ht="18.75" customHeight="1">
      <c r="A144" s="2073"/>
      <c r="B144" s="2080"/>
      <c r="C144" s="2083"/>
      <c r="D144" s="977" t="s">
        <v>964</v>
      </c>
      <c r="E144" s="978">
        <v>96602</v>
      </c>
      <c r="F144" s="987">
        <f t="shared" si="0"/>
        <v>109941</v>
      </c>
      <c r="G144" s="996">
        <v>0</v>
      </c>
      <c r="H144" s="997">
        <v>16</v>
      </c>
      <c r="I144" s="997">
        <v>4200</v>
      </c>
      <c r="J144" s="997">
        <v>0</v>
      </c>
      <c r="K144" s="997">
        <v>0</v>
      </c>
      <c r="L144" s="999">
        <v>0</v>
      </c>
      <c r="M144" s="996">
        <v>105725</v>
      </c>
      <c r="N144" s="997">
        <v>0</v>
      </c>
      <c r="O144" s="997">
        <v>0</v>
      </c>
      <c r="P144" s="999">
        <v>0</v>
      </c>
      <c r="Q144" s="996">
        <v>0</v>
      </c>
      <c r="R144" s="1000">
        <v>0</v>
      </c>
    </row>
    <row r="145" spans="1:18" ht="18.75" customHeight="1">
      <c r="A145" s="2085"/>
      <c r="B145" s="2086"/>
      <c r="C145" s="2087"/>
      <c r="D145" s="977" t="s">
        <v>977</v>
      </c>
      <c r="E145" s="984">
        <v>96602</v>
      </c>
      <c r="F145" s="987">
        <f t="shared" si="0"/>
        <v>109941</v>
      </c>
      <c r="G145" s="996">
        <v>0</v>
      </c>
      <c r="H145" s="997">
        <v>16</v>
      </c>
      <c r="I145" s="997">
        <v>4200</v>
      </c>
      <c r="J145" s="997">
        <v>0</v>
      </c>
      <c r="K145" s="997">
        <v>0</v>
      </c>
      <c r="L145" s="999">
        <v>0</v>
      </c>
      <c r="M145" s="996">
        <v>105725</v>
      </c>
      <c r="N145" s="997">
        <v>0</v>
      </c>
      <c r="O145" s="997">
        <v>0</v>
      </c>
      <c r="P145" s="999">
        <v>0</v>
      </c>
      <c r="Q145" s="996">
        <v>0</v>
      </c>
      <c r="R145" s="1000">
        <v>0</v>
      </c>
    </row>
    <row r="146" spans="1:18" ht="18.75" customHeight="1">
      <c r="A146" s="2078" t="s">
        <v>344</v>
      </c>
      <c r="B146" s="2079" t="s">
        <v>340</v>
      </c>
      <c r="C146" s="2082" t="s">
        <v>485</v>
      </c>
      <c r="D146" s="1001" t="s">
        <v>3</v>
      </c>
      <c r="E146" s="984">
        <v>0</v>
      </c>
      <c r="F146" s="987">
        <f t="shared" si="0"/>
        <v>6469</v>
      </c>
      <c r="G146" s="996">
        <v>0</v>
      </c>
      <c r="H146" s="997">
        <v>0</v>
      </c>
      <c r="I146" s="997">
        <v>2308</v>
      </c>
      <c r="J146" s="997">
        <v>0</v>
      </c>
      <c r="K146" s="997">
        <v>0</v>
      </c>
      <c r="L146" s="999">
        <v>0</v>
      </c>
      <c r="M146" s="996">
        <v>4161</v>
      </c>
      <c r="N146" s="997">
        <v>0</v>
      </c>
      <c r="O146" s="997">
        <v>0</v>
      </c>
      <c r="P146" s="999">
        <v>0</v>
      </c>
      <c r="Q146" s="996">
        <v>0</v>
      </c>
      <c r="R146" s="1000">
        <v>0</v>
      </c>
    </row>
    <row r="147" spans="1:18" ht="18.75" customHeight="1">
      <c r="A147" s="2073"/>
      <c r="B147" s="2080"/>
      <c r="C147" s="2083"/>
      <c r="D147" s="977" t="s">
        <v>964</v>
      </c>
      <c r="E147" s="978">
        <v>11342</v>
      </c>
      <c r="F147" s="987">
        <f t="shared" si="0"/>
        <v>26003</v>
      </c>
      <c r="G147" s="996">
        <v>0</v>
      </c>
      <c r="H147" s="997">
        <v>0</v>
      </c>
      <c r="I147" s="997">
        <v>5574</v>
      </c>
      <c r="J147" s="997">
        <v>0</v>
      </c>
      <c r="K147" s="997">
        <v>0</v>
      </c>
      <c r="L147" s="999">
        <v>0</v>
      </c>
      <c r="M147" s="996">
        <v>20429</v>
      </c>
      <c r="N147" s="997">
        <v>0</v>
      </c>
      <c r="O147" s="997">
        <v>0</v>
      </c>
      <c r="P147" s="999">
        <v>0</v>
      </c>
      <c r="Q147" s="996">
        <v>0</v>
      </c>
      <c r="R147" s="1000">
        <v>0</v>
      </c>
    </row>
    <row r="148" spans="1:18" ht="26.25" customHeight="1">
      <c r="A148" s="2085"/>
      <c r="B148" s="2086"/>
      <c r="C148" s="2087"/>
      <c r="D148" s="977" t="s">
        <v>977</v>
      </c>
      <c r="E148" s="978">
        <v>11342</v>
      </c>
      <c r="F148" s="987">
        <f t="shared" si="0"/>
        <v>26003</v>
      </c>
      <c r="G148" s="996">
        <v>0</v>
      </c>
      <c r="H148" s="997">
        <v>0</v>
      </c>
      <c r="I148" s="997">
        <v>5574</v>
      </c>
      <c r="J148" s="997">
        <v>0</v>
      </c>
      <c r="K148" s="997">
        <v>0</v>
      </c>
      <c r="L148" s="999">
        <v>0</v>
      </c>
      <c r="M148" s="996">
        <v>20429</v>
      </c>
      <c r="N148" s="997">
        <v>0</v>
      </c>
      <c r="O148" s="997">
        <v>0</v>
      </c>
      <c r="P148" s="999">
        <v>0</v>
      </c>
      <c r="Q148" s="996">
        <v>0</v>
      </c>
      <c r="R148" s="1000">
        <v>0</v>
      </c>
    </row>
    <row r="149" spans="1:18" ht="18.75" customHeight="1">
      <c r="A149" s="2078" t="s">
        <v>344</v>
      </c>
      <c r="B149" s="2079" t="s">
        <v>342</v>
      </c>
      <c r="C149" s="2082" t="s">
        <v>422</v>
      </c>
      <c r="D149" s="985" t="s">
        <v>3</v>
      </c>
      <c r="E149" s="978">
        <v>0</v>
      </c>
      <c r="F149" s="987">
        <f t="shared" si="0"/>
        <v>385776</v>
      </c>
      <c r="G149" s="996">
        <v>6219</v>
      </c>
      <c r="H149" s="997">
        <v>1565</v>
      </c>
      <c r="I149" s="997">
        <v>14104</v>
      </c>
      <c r="J149" s="997">
        <v>0</v>
      </c>
      <c r="K149" s="997">
        <v>0</v>
      </c>
      <c r="L149" s="999">
        <v>0</v>
      </c>
      <c r="M149" s="996">
        <v>363888</v>
      </c>
      <c r="N149" s="997">
        <v>0</v>
      </c>
      <c r="O149" s="997">
        <v>0</v>
      </c>
      <c r="P149" s="999">
        <v>0</v>
      </c>
      <c r="Q149" s="996">
        <v>0</v>
      </c>
      <c r="R149" s="1000">
        <v>0</v>
      </c>
    </row>
    <row r="150" spans="1:18" ht="18.75" customHeight="1">
      <c r="A150" s="2073"/>
      <c r="B150" s="2080"/>
      <c r="C150" s="2083"/>
      <c r="D150" s="977" t="s">
        <v>964</v>
      </c>
      <c r="E150" s="978">
        <v>3000</v>
      </c>
      <c r="F150" s="987">
        <f t="shared" si="0"/>
        <v>378841</v>
      </c>
      <c r="G150" s="996">
        <f t="shared" ref="G150:R150" si="1">G149</f>
        <v>6219</v>
      </c>
      <c r="H150" s="997">
        <f t="shared" si="1"/>
        <v>1565</v>
      </c>
      <c r="I150" s="997">
        <f t="shared" si="1"/>
        <v>14104</v>
      </c>
      <c r="J150" s="997">
        <f t="shared" si="1"/>
        <v>0</v>
      </c>
      <c r="K150" s="997">
        <f t="shared" si="1"/>
        <v>0</v>
      </c>
      <c r="L150" s="999">
        <f t="shared" si="1"/>
        <v>0</v>
      </c>
      <c r="M150" s="996">
        <v>356953</v>
      </c>
      <c r="N150" s="997">
        <f t="shared" si="1"/>
        <v>0</v>
      </c>
      <c r="O150" s="997">
        <f t="shared" si="1"/>
        <v>0</v>
      </c>
      <c r="P150" s="999">
        <f t="shared" si="1"/>
        <v>0</v>
      </c>
      <c r="Q150" s="996">
        <f t="shared" si="1"/>
        <v>0</v>
      </c>
      <c r="R150" s="1000">
        <f t="shared" si="1"/>
        <v>0</v>
      </c>
    </row>
    <row r="151" spans="1:18" ht="18.75" customHeight="1">
      <c r="A151" s="2085"/>
      <c r="B151" s="2086"/>
      <c r="C151" s="2087"/>
      <c r="D151" s="977" t="s">
        <v>977</v>
      </c>
      <c r="E151" s="978">
        <v>3000</v>
      </c>
      <c r="F151" s="987">
        <f t="shared" si="0"/>
        <v>378841</v>
      </c>
      <c r="G151" s="996">
        <v>6219</v>
      </c>
      <c r="H151" s="997">
        <v>1565</v>
      </c>
      <c r="I151" s="997">
        <v>14104</v>
      </c>
      <c r="J151" s="997">
        <v>0</v>
      </c>
      <c r="K151" s="997">
        <v>0</v>
      </c>
      <c r="L151" s="999">
        <v>0</v>
      </c>
      <c r="M151" s="996">
        <v>356953</v>
      </c>
      <c r="N151" s="997">
        <v>0</v>
      </c>
      <c r="O151" s="997">
        <v>0</v>
      </c>
      <c r="P151" s="999">
        <v>0</v>
      </c>
      <c r="Q151" s="996">
        <v>0</v>
      </c>
      <c r="R151" s="1000">
        <v>0</v>
      </c>
    </row>
    <row r="152" spans="1:18" ht="18.75" customHeight="1">
      <c r="A152" s="2078" t="s">
        <v>344</v>
      </c>
      <c r="B152" s="2079" t="s">
        <v>345</v>
      </c>
      <c r="C152" s="2082" t="s">
        <v>423</v>
      </c>
      <c r="D152" s="985" t="s">
        <v>3</v>
      </c>
      <c r="E152" s="1015">
        <v>0</v>
      </c>
      <c r="F152" s="987">
        <f t="shared" si="0"/>
        <v>199043</v>
      </c>
      <c r="G152" s="996">
        <v>1169</v>
      </c>
      <c r="H152" s="997">
        <v>205</v>
      </c>
      <c r="I152" s="997">
        <v>4070</v>
      </c>
      <c r="J152" s="997">
        <v>0</v>
      </c>
      <c r="K152" s="997">
        <v>0</v>
      </c>
      <c r="L152" s="999">
        <v>0</v>
      </c>
      <c r="M152" s="996">
        <v>193599</v>
      </c>
      <c r="N152" s="997">
        <v>0</v>
      </c>
      <c r="O152" s="997">
        <v>0</v>
      </c>
      <c r="P152" s="999">
        <v>0</v>
      </c>
      <c r="Q152" s="996">
        <v>0</v>
      </c>
      <c r="R152" s="1000">
        <v>0</v>
      </c>
    </row>
    <row r="153" spans="1:18" ht="18.75" customHeight="1">
      <c r="A153" s="2073"/>
      <c r="B153" s="2080"/>
      <c r="C153" s="2083"/>
      <c r="D153" s="977" t="s">
        <v>964</v>
      </c>
      <c r="E153" s="978">
        <v>0</v>
      </c>
      <c r="F153" s="987">
        <f t="shared" si="0"/>
        <v>197234</v>
      </c>
      <c r="G153" s="996">
        <v>1169</v>
      </c>
      <c r="H153" s="997">
        <v>205</v>
      </c>
      <c r="I153" s="997">
        <v>4070</v>
      </c>
      <c r="J153" s="997">
        <v>0</v>
      </c>
      <c r="K153" s="997">
        <v>0</v>
      </c>
      <c r="L153" s="999">
        <v>0</v>
      </c>
      <c r="M153" s="996">
        <v>191790</v>
      </c>
      <c r="N153" s="997">
        <v>0</v>
      </c>
      <c r="O153" s="997">
        <v>0</v>
      </c>
      <c r="P153" s="999">
        <v>0</v>
      </c>
      <c r="Q153" s="996">
        <v>0</v>
      </c>
      <c r="R153" s="1000">
        <v>0</v>
      </c>
    </row>
    <row r="154" spans="1:18" ht="18.75" customHeight="1">
      <c r="A154" s="2085"/>
      <c r="B154" s="2086"/>
      <c r="C154" s="2087"/>
      <c r="D154" s="977" t="s">
        <v>977</v>
      </c>
      <c r="E154" s="978">
        <v>0</v>
      </c>
      <c r="F154" s="987">
        <f t="shared" si="0"/>
        <v>197234</v>
      </c>
      <c r="G154" s="996">
        <v>1169</v>
      </c>
      <c r="H154" s="997">
        <v>205</v>
      </c>
      <c r="I154" s="997">
        <v>4070</v>
      </c>
      <c r="J154" s="997">
        <v>0</v>
      </c>
      <c r="K154" s="997">
        <v>0</v>
      </c>
      <c r="L154" s="999">
        <v>0</v>
      </c>
      <c r="M154" s="996">
        <v>191790</v>
      </c>
      <c r="N154" s="997">
        <v>0</v>
      </c>
      <c r="O154" s="997">
        <v>0</v>
      </c>
      <c r="P154" s="999">
        <v>0</v>
      </c>
      <c r="Q154" s="996">
        <v>0</v>
      </c>
      <c r="R154" s="1000">
        <v>0</v>
      </c>
    </row>
    <row r="155" spans="1:18" ht="18.75" customHeight="1">
      <c r="A155" s="2078" t="s">
        <v>344</v>
      </c>
      <c r="B155" s="2079" t="s">
        <v>432</v>
      </c>
      <c r="C155" s="2082" t="s">
        <v>424</v>
      </c>
      <c r="D155" s="985" t="s">
        <v>3</v>
      </c>
      <c r="E155" s="978">
        <v>0</v>
      </c>
      <c r="F155" s="987">
        <f t="shared" si="0"/>
        <v>201410</v>
      </c>
      <c r="G155" s="996">
        <v>1353</v>
      </c>
      <c r="H155" s="997">
        <v>213</v>
      </c>
      <c r="I155" s="997">
        <v>5534</v>
      </c>
      <c r="J155" s="997">
        <v>0</v>
      </c>
      <c r="K155" s="997">
        <v>0</v>
      </c>
      <c r="L155" s="999">
        <v>0</v>
      </c>
      <c r="M155" s="996">
        <v>194310</v>
      </c>
      <c r="N155" s="997">
        <v>0</v>
      </c>
      <c r="O155" s="997">
        <v>0</v>
      </c>
      <c r="P155" s="999">
        <v>0</v>
      </c>
      <c r="Q155" s="996">
        <v>0</v>
      </c>
      <c r="R155" s="1000">
        <v>0</v>
      </c>
    </row>
    <row r="156" spans="1:18" ht="18.75" customHeight="1">
      <c r="A156" s="2073"/>
      <c r="B156" s="2080"/>
      <c r="C156" s="2083"/>
      <c r="D156" s="977" t="s">
        <v>964</v>
      </c>
      <c r="E156" s="978">
        <v>33542</v>
      </c>
      <c r="F156" s="987">
        <f t="shared" si="0"/>
        <v>268767</v>
      </c>
      <c r="G156" s="996">
        <v>1353</v>
      </c>
      <c r="H156" s="997">
        <v>213</v>
      </c>
      <c r="I156" s="997">
        <v>16730</v>
      </c>
      <c r="J156" s="997">
        <v>0</v>
      </c>
      <c r="K156" s="997">
        <v>0</v>
      </c>
      <c r="L156" s="999">
        <v>0</v>
      </c>
      <c r="M156" s="996">
        <v>250471</v>
      </c>
      <c r="N156" s="997">
        <v>0</v>
      </c>
      <c r="O156" s="997">
        <v>0</v>
      </c>
      <c r="P156" s="999">
        <v>0</v>
      </c>
      <c r="Q156" s="996">
        <v>0</v>
      </c>
      <c r="R156" s="1000">
        <v>0</v>
      </c>
    </row>
    <row r="157" spans="1:18" ht="18.75" customHeight="1">
      <c r="A157" s="2085"/>
      <c r="B157" s="2086"/>
      <c r="C157" s="2087"/>
      <c r="D157" s="977" t="s">
        <v>977</v>
      </c>
      <c r="E157" s="978">
        <v>0</v>
      </c>
      <c r="F157" s="987">
        <f t="shared" si="0"/>
        <v>235225</v>
      </c>
      <c r="G157" s="996">
        <v>1353</v>
      </c>
      <c r="H157" s="997">
        <v>213</v>
      </c>
      <c r="I157" s="997">
        <v>16730</v>
      </c>
      <c r="J157" s="997">
        <v>0</v>
      </c>
      <c r="K157" s="997">
        <v>0</v>
      </c>
      <c r="L157" s="999">
        <v>0</v>
      </c>
      <c r="M157" s="996">
        <v>216929</v>
      </c>
      <c r="N157" s="997">
        <v>0</v>
      </c>
      <c r="O157" s="997">
        <v>0</v>
      </c>
      <c r="P157" s="999">
        <v>0</v>
      </c>
      <c r="Q157" s="996">
        <v>0</v>
      </c>
      <c r="R157" s="1000">
        <v>0</v>
      </c>
    </row>
    <row r="158" spans="1:18" ht="18.75" customHeight="1">
      <c r="A158" s="2078" t="s">
        <v>344</v>
      </c>
      <c r="B158" s="2079" t="s">
        <v>433</v>
      </c>
      <c r="C158" s="2082" t="s">
        <v>425</v>
      </c>
      <c r="D158" s="985" t="s">
        <v>3</v>
      </c>
      <c r="E158" s="978">
        <v>0</v>
      </c>
      <c r="F158" s="987">
        <f t="shared" si="0"/>
        <v>150304</v>
      </c>
      <c r="G158" s="996">
        <v>340</v>
      </c>
      <c r="H158" s="997">
        <v>0</v>
      </c>
      <c r="I158" s="997">
        <v>5354</v>
      </c>
      <c r="J158" s="997">
        <v>0</v>
      </c>
      <c r="K158" s="997">
        <v>0</v>
      </c>
      <c r="L158" s="999">
        <v>0</v>
      </c>
      <c r="M158" s="996">
        <v>144610</v>
      </c>
      <c r="N158" s="997">
        <v>0</v>
      </c>
      <c r="O158" s="997">
        <v>0</v>
      </c>
      <c r="P158" s="999">
        <v>0</v>
      </c>
      <c r="Q158" s="996">
        <v>0</v>
      </c>
      <c r="R158" s="1000">
        <v>0</v>
      </c>
    </row>
    <row r="159" spans="1:18" ht="18.75" customHeight="1">
      <c r="A159" s="2073"/>
      <c r="B159" s="2080"/>
      <c r="C159" s="2083"/>
      <c r="D159" s="977" t="s">
        <v>964</v>
      </c>
      <c r="E159" s="978">
        <v>103250</v>
      </c>
      <c r="F159" s="987">
        <f t="shared" si="0"/>
        <v>354558</v>
      </c>
      <c r="G159" s="996">
        <v>340</v>
      </c>
      <c r="H159" s="997">
        <v>0</v>
      </c>
      <c r="I159" s="997">
        <v>19934</v>
      </c>
      <c r="J159" s="997">
        <v>0</v>
      </c>
      <c r="K159" s="997">
        <v>0</v>
      </c>
      <c r="L159" s="999">
        <v>0</v>
      </c>
      <c r="M159" s="996">
        <v>334284</v>
      </c>
      <c r="N159" s="997">
        <v>0</v>
      </c>
      <c r="O159" s="997">
        <v>0</v>
      </c>
      <c r="P159" s="999">
        <v>0</v>
      </c>
      <c r="Q159" s="996">
        <v>0</v>
      </c>
      <c r="R159" s="1000">
        <v>0</v>
      </c>
    </row>
    <row r="160" spans="1:18" ht="18.75" customHeight="1">
      <c r="A160" s="2085"/>
      <c r="B160" s="2086"/>
      <c r="C160" s="2087"/>
      <c r="D160" s="977" t="s">
        <v>977</v>
      </c>
      <c r="E160" s="978">
        <v>0</v>
      </c>
      <c r="F160" s="987">
        <f t="shared" si="0"/>
        <v>251858</v>
      </c>
      <c r="G160" s="996">
        <v>340</v>
      </c>
      <c r="H160" s="997">
        <v>0</v>
      </c>
      <c r="I160" s="997">
        <v>20484</v>
      </c>
      <c r="J160" s="997">
        <v>0</v>
      </c>
      <c r="K160" s="997">
        <v>0</v>
      </c>
      <c r="L160" s="999">
        <v>0</v>
      </c>
      <c r="M160" s="996">
        <v>231034</v>
      </c>
      <c r="N160" s="997">
        <v>0</v>
      </c>
      <c r="O160" s="997">
        <v>0</v>
      </c>
      <c r="P160" s="999">
        <v>0</v>
      </c>
      <c r="Q160" s="996">
        <v>0</v>
      </c>
      <c r="R160" s="1000">
        <v>0</v>
      </c>
    </row>
    <row r="161" spans="1:18" ht="18.75" customHeight="1">
      <c r="A161" s="2078" t="s">
        <v>344</v>
      </c>
      <c r="B161" s="2079" t="s">
        <v>434</v>
      </c>
      <c r="C161" s="2082" t="s">
        <v>426</v>
      </c>
      <c r="D161" s="985" t="s">
        <v>3</v>
      </c>
      <c r="E161" s="978">
        <v>0</v>
      </c>
      <c r="F161" s="987">
        <f t="shared" si="0"/>
        <v>413129</v>
      </c>
      <c r="G161" s="996">
        <v>1925</v>
      </c>
      <c r="H161" s="997">
        <v>472</v>
      </c>
      <c r="I161" s="997">
        <v>9698</v>
      </c>
      <c r="J161" s="997">
        <v>0</v>
      </c>
      <c r="K161" s="997">
        <v>0</v>
      </c>
      <c r="L161" s="999">
        <v>0</v>
      </c>
      <c r="M161" s="996">
        <v>401034</v>
      </c>
      <c r="N161" s="997">
        <v>0</v>
      </c>
      <c r="O161" s="997">
        <v>0</v>
      </c>
      <c r="P161" s="999">
        <v>0</v>
      </c>
      <c r="Q161" s="996">
        <v>0</v>
      </c>
      <c r="R161" s="1000">
        <v>0</v>
      </c>
    </row>
    <row r="162" spans="1:18" ht="18.75" customHeight="1">
      <c r="A162" s="2073"/>
      <c r="B162" s="2080"/>
      <c r="C162" s="2083"/>
      <c r="D162" s="977" t="s">
        <v>964</v>
      </c>
      <c r="E162" s="978">
        <v>0</v>
      </c>
      <c r="F162" s="987">
        <f t="shared" si="0"/>
        <v>412800</v>
      </c>
      <c r="G162" s="996">
        <v>1925</v>
      </c>
      <c r="H162" s="997">
        <v>472</v>
      </c>
      <c r="I162" s="997">
        <v>9369</v>
      </c>
      <c r="J162" s="997">
        <v>0</v>
      </c>
      <c r="K162" s="997">
        <v>0</v>
      </c>
      <c r="L162" s="999">
        <v>0</v>
      </c>
      <c r="M162" s="996">
        <v>401034</v>
      </c>
      <c r="N162" s="997">
        <v>0</v>
      </c>
      <c r="O162" s="997">
        <v>0</v>
      </c>
      <c r="P162" s="999">
        <v>0</v>
      </c>
      <c r="Q162" s="996">
        <v>0</v>
      </c>
      <c r="R162" s="1000">
        <v>0</v>
      </c>
    </row>
    <row r="163" spans="1:18" ht="18.75" customHeight="1">
      <c r="A163" s="2085"/>
      <c r="B163" s="2086"/>
      <c r="C163" s="2087"/>
      <c r="D163" s="977" t="s">
        <v>977</v>
      </c>
      <c r="E163" s="978">
        <v>0</v>
      </c>
      <c r="F163" s="987">
        <f t="shared" si="0"/>
        <v>412800</v>
      </c>
      <c r="G163" s="996">
        <v>1925</v>
      </c>
      <c r="H163" s="997">
        <v>472</v>
      </c>
      <c r="I163" s="997">
        <v>9369</v>
      </c>
      <c r="J163" s="997">
        <v>0</v>
      </c>
      <c r="K163" s="997">
        <v>0</v>
      </c>
      <c r="L163" s="999">
        <v>0</v>
      </c>
      <c r="M163" s="996">
        <v>401034</v>
      </c>
      <c r="N163" s="997">
        <v>0</v>
      </c>
      <c r="O163" s="997">
        <v>0</v>
      </c>
      <c r="P163" s="999">
        <v>0</v>
      </c>
      <c r="Q163" s="996">
        <v>0</v>
      </c>
      <c r="R163" s="1000">
        <v>0</v>
      </c>
    </row>
    <row r="164" spans="1:18" ht="18.75" customHeight="1">
      <c r="A164" s="2078" t="s">
        <v>344</v>
      </c>
      <c r="B164" s="2079" t="s">
        <v>959</v>
      </c>
      <c r="C164" s="2082" t="s">
        <v>427</v>
      </c>
      <c r="D164" s="985" t="s">
        <v>3</v>
      </c>
      <c r="E164" s="978">
        <v>10399</v>
      </c>
      <c r="F164" s="987">
        <f t="shared" si="0"/>
        <v>147045</v>
      </c>
      <c r="G164" s="996">
        <v>2738</v>
      </c>
      <c r="H164" s="997">
        <v>1013</v>
      </c>
      <c r="I164" s="997">
        <v>6648</v>
      </c>
      <c r="J164" s="997">
        <v>0</v>
      </c>
      <c r="K164" s="997">
        <v>0</v>
      </c>
      <c r="L164" s="999">
        <v>0</v>
      </c>
      <c r="M164" s="996">
        <v>0</v>
      </c>
      <c r="N164" s="997">
        <v>136646</v>
      </c>
      <c r="O164" s="997">
        <v>0</v>
      </c>
      <c r="P164" s="999">
        <v>0</v>
      </c>
      <c r="Q164" s="996">
        <v>0</v>
      </c>
      <c r="R164" s="1000">
        <v>0</v>
      </c>
    </row>
    <row r="165" spans="1:18" ht="18.75" customHeight="1">
      <c r="A165" s="2073"/>
      <c r="B165" s="2080"/>
      <c r="C165" s="2083"/>
      <c r="D165" s="977" t="s">
        <v>964</v>
      </c>
      <c r="E165" s="978">
        <v>0</v>
      </c>
      <c r="F165" s="987">
        <f t="shared" si="0"/>
        <v>148501</v>
      </c>
      <c r="G165" s="996">
        <v>2738</v>
      </c>
      <c r="H165" s="997">
        <v>1013</v>
      </c>
      <c r="I165" s="997">
        <v>6648</v>
      </c>
      <c r="J165" s="997">
        <v>0</v>
      </c>
      <c r="K165" s="997">
        <v>0</v>
      </c>
      <c r="L165" s="999">
        <v>0</v>
      </c>
      <c r="M165" s="996">
        <v>0</v>
      </c>
      <c r="N165" s="997">
        <v>138102</v>
      </c>
      <c r="O165" s="997">
        <v>0</v>
      </c>
      <c r="P165" s="999">
        <v>0</v>
      </c>
      <c r="Q165" s="996">
        <v>0</v>
      </c>
      <c r="R165" s="1000">
        <v>0</v>
      </c>
    </row>
    <row r="166" spans="1:18" ht="18.75" customHeight="1">
      <c r="A166" s="2085"/>
      <c r="B166" s="2086"/>
      <c r="C166" s="2087"/>
      <c r="D166" s="977" t="s">
        <v>977</v>
      </c>
      <c r="E166" s="978">
        <v>0</v>
      </c>
      <c r="F166" s="987">
        <f t="shared" si="0"/>
        <v>148501</v>
      </c>
      <c r="G166" s="996">
        <v>2738</v>
      </c>
      <c r="H166" s="997">
        <v>1013</v>
      </c>
      <c r="I166" s="997">
        <v>6648</v>
      </c>
      <c r="J166" s="997">
        <v>0</v>
      </c>
      <c r="K166" s="997">
        <v>0</v>
      </c>
      <c r="L166" s="999">
        <v>0</v>
      </c>
      <c r="M166" s="996">
        <v>0</v>
      </c>
      <c r="N166" s="997">
        <v>138102</v>
      </c>
      <c r="O166" s="997">
        <v>0</v>
      </c>
      <c r="P166" s="999">
        <v>0</v>
      </c>
      <c r="Q166" s="996">
        <v>0</v>
      </c>
      <c r="R166" s="1000">
        <v>0</v>
      </c>
    </row>
    <row r="167" spans="1:18" ht="18.75" customHeight="1">
      <c r="A167" s="2078" t="s">
        <v>344</v>
      </c>
      <c r="B167" s="2088" t="s">
        <v>922</v>
      </c>
      <c r="C167" s="2082" t="s">
        <v>818</v>
      </c>
      <c r="D167" s="977" t="s">
        <v>3</v>
      </c>
      <c r="E167" s="978">
        <v>0</v>
      </c>
      <c r="F167" s="987">
        <f t="shared" si="0"/>
        <v>0</v>
      </c>
      <c r="G167" s="996">
        <v>0</v>
      </c>
      <c r="H167" s="997">
        <v>0</v>
      </c>
      <c r="I167" s="997">
        <v>0</v>
      </c>
      <c r="J167" s="997">
        <v>0</v>
      </c>
      <c r="K167" s="997">
        <v>0</v>
      </c>
      <c r="L167" s="999">
        <v>0</v>
      </c>
      <c r="M167" s="996">
        <v>0</v>
      </c>
      <c r="N167" s="997">
        <v>0</v>
      </c>
      <c r="O167" s="997">
        <v>0</v>
      </c>
      <c r="P167" s="999">
        <v>0</v>
      </c>
      <c r="Q167" s="996">
        <v>0</v>
      </c>
      <c r="R167" s="1000">
        <v>0</v>
      </c>
    </row>
    <row r="168" spans="1:18" ht="18.75" customHeight="1">
      <c r="A168" s="2073"/>
      <c r="B168" s="2089"/>
      <c r="C168" s="2083"/>
      <c r="D168" s="977" t="s">
        <v>964</v>
      </c>
      <c r="E168" s="978">
        <v>104463</v>
      </c>
      <c r="F168" s="987">
        <f t="shared" si="0"/>
        <v>100799</v>
      </c>
      <c r="G168" s="996">
        <v>346</v>
      </c>
      <c r="H168" s="997">
        <v>189</v>
      </c>
      <c r="I168" s="997">
        <v>15000</v>
      </c>
      <c r="J168" s="997">
        <v>0</v>
      </c>
      <c r="K168" s="997">
        <v>0</v>
      </c>
      <c r="L168" s="999">
        <v>0</v>
      </c>
      <c r="M168" s="996">
        <v>85264</v>
      </c>
      <c r="N168" s="997">
        <v>0</v>
      </c>
      <c r="O168" s="997">
        <v>0</v>
      </c>
      <c r="P168" s="999">
        <v>0</v>
      </c>
      <c r="Q168" s="996">
        <v>0</v>
      </c>
      <c r="R168" s="1000">
        <v>0</v>
      </c>
    </row>
    <row r="169" spans="1:18" ht="18.75" customHeight="1">
      <c r="A169" s="2085"/>
      <c r="B169" s="2090"/>
      <c r="C169" s="2087"/>
      <c r="D169" s="977" t="s">
        <v>977</v>
      </c>
      <c r="E169" s="978">
        <v>104463</v>
      </c>
      <c r="F169" s="987">
        <f t="shared" si="0"/>
        <v>100799</v>
      </c>
      <c r="G169" s="996">
        <v>346</v>
      </c>
      <c r="H169" s="997">
        <v>210</v>
      </c>
      <c r="I169" s="997">
        <v>14979</v>
      </c>
      <c r="J169" s="997">
        <v>0</v>
      </c>
      <c r="K169" s="997">
        <v>0</v>
      </c>
      <c r="L169" s="999">
        <v>0</v>
      </c>
      <c r="M169" s="996">
        <v>85264</v>
      </c>
      <c r="N169" s="997">
        <v>0</v>
      </c>
      <c r="O169" s="997">
        <v>0</v>
      </c>
      <c r="P169" s="999">
        <v>0</v>
      </c>
      <c r="Q169" s="996">
        <v>0</v>
      </c>
      <c r="R169" s="1000">
        <v>0</v>
      </c>
    </row>
    <row r="170" spans="1:18" ht="27" customHeight="1">
      <c r="A170" s="2078" t="s">
        <v>344</v>
      </c>
      <c r="B170" s="2079" t="s">
        <v>435</v>
      </c>
      <c r="C170" s="2082" t="s">
        <v>428</v>
      </c>
      <c r="D170" s="985" t="s">
        <v>3</v>
      </c>
      <c r="E170" s="978">
        <v>11345</v>
      </c>
      <c r="F170" s="987">
        <f t="shared" si="0"/>
        <v>235862</v>
      </c>
      <c r="G170" s="996">
        <v>2765</v>
      </c>
      <c r="H170" s="997">
        <v>485</v>
      </c>
      <c r="I170" s="997">
        <v>8095</v>
      </c>
      <c r="J170" s="997">
        <v>0</v>
      </c>
      <c r="K170" s="997">
        <v>0</v>
      </c>
      <c r="L170" s="999">
        <v>0</v>
      </c>
      <c r="M170" s="996">
        <v>224517</v>
      </c>
      <c r="N170" s="997">
        <v>0</v>
      </c>
      <c r="O170" s="997">
        <v>0</v>
      </c>
      <c r="P170" s="999">
        <v>0</v>
      </c>
      <c r="Q170" s="996">
        <v>0</v>
      </c>
      <c r="R170" s="1000">
        <v>0</v>
      </c>
    </row>
    <row r="171" spans="1:18" ht="26.25" customHeight="1">
      <c r="A171" s="2073"/>
      <c r="B171" s="2080"/>
      <c r="C171" s="2083"/>
      <c r="D171" s="977" t="s">
        <v>964</v>
      </c>
      <c r="E171" s="978">
        <v>0</v>
      </c>
      <c r="F171" s="987">
        <f t="shared" si="0"/>
        <v>299196</v>
      </c>
      <c r="G171" s="996">
        <v>2765</v>
      </c>
      <c r="H171" s="997">
        <v>485</v>
      </c>
      <c r="I171" s="997">
        <v>3560</v>
      </c>
      <c r="J171" s="997">
        <v>0</v>
      </c>
      <c r="K171" s="997">
        <v>0</v>
      </c>
      <c r="L171" s="999">
        <v>0</v>
      </c>
      <c r="M171" s="996">
        <v>292386</v>
      </c>
      <c r="N171" s="997">
        <v>0</v>
      </c>
      <c r="O171" s="997">
        <v>0</v>
      </c>
      <c r="P171" s="999">
        <v>0</v>
      </c>
      <c r="Q171" s="996">
        <v>0</v>
      </c>
      <c r="R171" s="1000">
        <v>0</v>
      </c>
    </row>
    <row r="172" spans="1:18" ht="27" customHeight="1">
      <c r="A172" s="2085"/>
      <c r="B172" s="2086"/>
      <c r="C172" s="2087"/>
      <c r="D172" s="977" t="s">
        <v>977</v>
      </c>
      <c r="E172" s="978">
        <v>0</v>
      </c>
      <c r="F172" s="987">
        <f t="shared" si="0"/>
        <v>324476</v>
      </c>
      <c r="G172" s="996">
        <v>2765</v>
      </c>
      <c r="H172" s="997">
        <v>485</v>
      </c>
      <c r="I172" s="997">
        <v>3560</v>
      </c>
      <c r="J172" s="997">
        <v>0</v>
      </c>
      <c r="K172" s="997">
        <v>0</v>
      </c>
      <c r="L172" s="999">
        <v>0</v>
      </c>
      <c r="M172" s="996">
        <v>317666</v>
      </c>
      <c r="N172" s="997">
        <v>0</v>
      </c>
      <c r="O172" s="997">
        <v>0</v>
      </c>
      <c r="P172" s="999">
        <v>0</v>
      </c>
      <c r="Q172" s="996">
        <v>0</v>
      </c>
      <c r="R172" s="1000">
        <v>0</v>
      </c>
    </row>
    <row r="173" spans="1:18" ht="18.75" customHeight="1">
      <c r="A173" s="2078" t="s">
        <v>344</v>
      </c>
      <c r="B173" s="2079" t="s">
        <v>436</v>
      </c>
      <c r="C173" s="2082" t="s">
        <v>429</v>
      </c>
      <c r="D173" s="985" t="s">
        <v>3</v>
      </c>
      <c r="E173" s="978">
        <v>0</v>
      </c>
      <c r="F173" s="987">
        <f t="shared" si="0"/>
        <v>51584</v>
      </c>
      <c r="G173" s="996">
        <v>840</v>
      </c>
      <c r="H173" s="997">
        <v>197</v>
      </c>
      <c r="I173" s="997">
        <v>1182</v>
      </c>
      <c r="J173" s="997">
        <v>0</v>
      </c>
      <c r="K173" s="997">
        <v>0</v>
      </c>
      <c r="L173" s="999">
        <v>0</v>
      </c>
      <c r="M173" s="996">
        <v>49365</v>
      </c>
      <c r="N173" s="997">
        <v>0</v>
      </c>
      <c r="O173" s="997">
        <v>0</v>
      </c>
      <c r="P173" s="999">
        <v>0</v>
      </c>
      <c r="Q173" s="996">
        <v>0</v>
      </c>
      <c r="R173" s="1000">
        <v>0</v>
      </c>
    </row>
    <row r="174" spans="1:18" ht="18.75" customHeight="1">
      <c r="A174" s="2073"/>
      <c r="B174" s="2080"/>
      <c r="C174" s="2083"/>
      <c r="D174" s="977" t="s">
        <v>964</v>
      </c>
      <c r="E174" s="978">
        <v>0</v>
      </c>
      <c r="F174" s="987">
        <f t="shared" si="0"/>
        <v>51217</v>
      </c>
      <c r="G174" s="996">
        <v>840</v>
      </c>
      <c r="H174" s="997">
        <v>197</v>
      </c>
      <c r="I174" s="997">
        <v>1183</v>
      </c>
      <c r="J174" s="997">
        <v>0</v>
      </c>
      <c r="K174" s="997">
        <v>0</v>
      </c>
      <c r="L174" s="999">
        <v>0</v>
      </c>
      <c r="M174" s="996">
        <v>48997</v>
      </c>
      <c r="N174" s="997">
        <v>0</v>
      </c>
      <c r="O174" s="997">
        <v>0</v>
      </c>
      <c r="P174" s="999">
        <v>0</v>
      </c>
      <c r="Q174" s="996">
        <v>0</v>
      </c>
      <c r="R174" s="1000">
        <v>0</v>
      </c>
    </row>
    <row r="175" spans="1:18" ht="18.75" customHeight="1">
      <c r="A175" s="2085"/>
      <c r="B175" s="2086"/>
      <c r="C175" s="2087"/>
      <c r="D175" s="977" t="s">
        <v>977</v>
      </c>
      <c r="E175" s="978">
        <v>0</v>
      </c>
      <c r="F175" s="987">
        <f t="shared" si="0"/>
        <v>41538</v>
      </c>
      <c r="G175" s="996">
        <v>0</v>
      </c>
      <c r="H175" s="997">
        <v>0</v>
      </c>
      <c r="I175" s="997">
        <v>0</v>
      </c>
      <c r="J175" s="997">
        <v>0</v>
      </c>
      <c r="K175" s="997">
        <v>41538</v>
      </c>
      <c r="L175" s="999">
        <v>0</v>
      </c>
      <c r="M175" s="996">
        <v>0</v>
      </c>
      <c r="N175" s="997">
        <v>0</v>
      </c>
      <c r="O175" s="997">
        <v>0</v>
      </c>
      <c r="P175" s="999">
        <v>0</v>
      </c>
      <c r="Q175" s="996">
        <v>0</v>
      </c>
      <c r="R175" s="1000">
        <v>0</v>
      </c>
    </row>
    <row r="176" spans="1:18" ht="18.75" customHeight="1">
      <c r="A176" s="2078" t="s">
        <v>344</v>
      </c>
      <c r="B176" s="2079" t="s">
        <v>437</v>
      </c>
      <c r="C176" s="2082" t="s">
        <v>430</v>
      </c>
      <c r="D176" s="985" t="s">
        <v>3</v>
      </c>
      <c r="E176" s="978">
        <v>0</v>
      </c>
      <c r="F176" s="987">
        <f t="shared" si="0"/>
        <v>50645</v>
      </c>
      <c r="G176" s="996">
        <v>307</v>
      </c>
      <c r="H176" s="997">
        <v>112</v>
      </c>
      <c r="I176" s="997">
        <v>669</v>
      </c>
      <c r="J176" s="997">
        <v>0</v>
      </c>
      <c r="K176" s="997">
        <v>0</v>
      </c>
      <c r="L176" s="999">
        <v>0</v>
      </c>
      <c r="M176" s="996">
        <v>49557</v>
      </c>
      <c r="N176" s="997">
        <v>0</v>
      </c>
      <c r="O176" s="997">
        <v>0</v>
      </c>
      <c r="P176" s="999">
        <v>0</v>
      </c>
      <c r="Q176" s="996">
        <v>0</v>
      </c>
      <c r="R176" s="1000">
        <v>0</v>
      </c>
    </row>
    <row r="177" spans="1:18" ht="18.75" customHeight="1">
      <c r="A177" s="2073"/>
      <c r="B177" s="2080"/>
      <c r="C177" s="2083"/>
      <c r="D177" s="977" t="s">
        <v>964</v>
      </c>
      <c r="E177" s="1016">
        <v>0</v>
      </c>
      <c r="F177" s="1017">
        <f t="shared" si="0"/>
        <v>33904</v>
      </c>
      <c r="G177" s="1018">
        <v>520</v>
      </c>
      <c r="H177" s="1019">
        <v>82</v>
      </c>
      <c r="I177" s="1019">
        <v>72</v>
      </c>
      <c r="J177" s="1019">
        <v>0</v>
      </c>
      <c r="K177" s="1019">
        <v>0</v>
      </c>
      <c r="L177" s="1020">
        <v>0</v>
      </c>
      <c r="M177" s="1018">
        <v>33230</v>
      </c>
      <c r="N177" s="1019">
        <v>0</v>
      </c>
      <c r="O177" s="1019">
        <v>0</v>
      </c>
      <c r="P177" s="1020">
        <v>0</v>
      </c>
      <c r="Q177" s="1018">
        <v>0</v>
      </c>
      <c r="R177" s="1021">
        <v>0</v>
      </c>
    </row>
    <row r="178" spans="1:18" ht="18.75" customHeight="1">
      <c r="A178" s="2085"/>
      <c r="B178" s="2086"/>
      <c r="C178" s="2087"/>
      <c r="D178" s="977" t="s">
        <v>977</v>
      </c>
      <c r="E178" s="1016">
        <v>0</v>
      </c>
      <c r="F178" s="1017">
        <f t="shared" si="0"/>
        <v>34004</v>
      </c>
      <c r="G178" s="1018">
        <v>520</v>
      </c>
      <c r="H178" s="1019">
        <v>82</v>
      </c>
      <c r="I178" s="1019">
        <v>172</v>
      </c>
      <c r="J178" s="1019">
        <v>0</v>
      </c>
      <c r="K178" s="1019">
        <v>0</v>
      </c>
      <c r="L178" s="1020">
        <v>0</v>
      </c>
      <c r="M178" s="1018">
        <v>33230</v>
      </c>
      <c r="N178" s="1019">
        <v>0</v>
      </c>
      <c r="O178" s="1019">
        <v>0</v>
      </c>
      <c r="P178" s="1020">
        <v>0</v>
      </c>
      <c r="Q178" s="1018">
        <v>0</v>
      </c>
      <c r="R178" s="1021">
        <v>0</v>
      </c>
    </row>
    <row r="179" spans="1:18" ht="18.75" customHeight="1">
      <c r="A179" s="2078" t="s">
        <v>344</v>
      </c>
      <c r="B179" s="2079" t="s">
        <v>438</v>
      </c>
      <c r="C179" s="2082" t="s">
        <v>431</v>
      </c>
      <c r="D179" s="985" t="s">
        <v>3</v>
      </c>
      <c r="E179" s="1016">
        <v>23371</v>
      </c>
      <c r="F179" s="1017">
        <f t="shared" si="0"/>
        <v>23371</v>
      </c>
      <c r="G179" s="1018">
        <v>2040</v>
      </c>
      <c r="H179" s="1019">
        <v>357</v>
      </c>
      <c r="I179" s="1019">
        <v>20974</v>
      </c>
      <c r="J179" s="1019">
        <v>0</v>
      </c>
      <c r="K179" s="1019">
        <v>0</v>
      </c>
      <c r="L179" s="1020">
        <v>0</v>
      </c>
      <c r="M179" s="1018">
        <v>0</v>
      </c>
      <c r="N179" s="1019">
        <v>0</v>
      </c>
      <c r="O179" s="1019">
        <v>0</v>
      </c>
      <c r="P179" s="1020">
        <v>0</v>
      </c>
      <c r="Q179" s="1018">
        <v>0</v>
      </c>
      <c r="R179" s="1021">
        <v>0</v>
      </c>
    </row>
    <row r="180" spans="1:18" ht="18.75" customHeight="1">
      <c r="A180" s="2073"/>
      <c r="B180" s="2080"/>
      <c r="C180" s="2083"/>
      <c r="D180" s="977" t="s">
        <v>964</v>
      </c>
      <c r="E180" s="1016">
        <v>29545</v>
      </c>
      <c r="F180" s="1017">
        <f t="shared" si="0"/>
        <v>48140</v>
      </c>
      <c r="G180" s="1018">
        <v>5115</v>
      </c>
      <c r="H180" s="1019">
        <v>877</v>
      </c>
      <c r="I180" s="1019">
        <v>42148</v>
      </c>
      <c r="J180" s="1019">
        <v>0</v>
      </c>
      <c r="K180" s="1019">
        <v>0</v>
      </c>
      <c r="L180" s="1020">
        <v>0</v>
      </c>
      <c r="M180" s="1018">
        <v>0</v>
      </c>
      <c r="N180" s="1019">
        <v>0</v>
      </c>
      <c r="O180" s="1019">
        <v>0</v>
      </c>
      <c r="P180" s="1020">
        <v>0</v>
      </c>
      <c r="Q180" s="1018">
        <v>0</v>
      </c>
      <c r="R180" s="1021">
        <v>0</v>
      </c>
    </row>
    <row r="181" spans="1:18" ht="18.75" customHeight="1">
      <c r="A181" s="2085"/>
      <c r="B181" s="2086"/>
      <c r="C181" s="2087"/>
      <c r="D181" s="977" t="s">
        <v>977</v>
      </c>
      <c r="E181" s="1016">
        <v>29545</v>
      </c>
      <c r="F181" s="1017">
        <f t="shared" si="0"/>
        <v>48624</v>
      </c>
      <c r="G181" s="1018">
        <v>5115</v>
      </c>
      <c r="H181" s="1019">
        <v>877</v>
      </c>
      <c r="I181" s="1019">
        <v>42632</v>
      </c>
      <c r="J181" s="1019">
        <v>0</v>
      </c>
      <c r="K181" s="1019">
        <v>0</v>
      </c>
      <c r="L181" s="1020">
        <v>0</v>
      </c>
      <c r="M181" s="1018">
        <v>0</v>
      </c>
      <c r="N181" s="1019">
        <v>0</v>
      </c>
      <c r="O181" s="1019">
        <v>0</v>
      </c>
      <c r="P181" s="1020">
        <v>0</v>
      </c>
      <c r="Q181" s="1018">
        <v>0</v>
      </c>
      <c r="R181" s="1021">
        <v>0</v>
      </c>
    </row>
    <row r="182" spans="1:18" ht="18.75" customHeight="1">
      <c r="A182" s="2078" t="s">
        <v>344</v>
      </c>
      <c r="B182" s="2079" t="s">
        <v>784</v>
      </c>
      <c r="C182" s="2082" t="s">
        <v>785</v>
      </c>
      <c r="D182" s="985" t="s">
        <v>3</v>
      </c>
      <c r="E182" s="978">
        <v>105769</v>
      </c>
      <c r="F182" s="987">
        <f t="shared" si="0"/>
        <v>105769</v>
      </c>
      <c r="G182" s="996">
        <v>0</v>
      </c>
      <c r="H182" s="997">
        <v>0</v>
      </c>
      <c r="I182" s="997">
        <v>2640</v>
      </c>
      <c r="J182" s="997">
        <v>0</v>
      </c>
      <c r="K182" s="997">
        <v>0</v>
      </c>
      <c r="L182" s="999">
        <v>0</v>
      </c>
      <c r="M182" s="996">
        <v>103129</v>
      </c>
      <c r="N182" s="997">
        <v>0</v>
      </c>
      <c r="O182" s="997">
        <v>0</v>
      </c>
      <c r="P182" s="999">
        <v>0</v>
      </c>
      <c r="Q182" s="996">
        <v>0</v>
      </c>
      <c r="R182" s="1000">
        <v>0</v>
      </c>
    </row>
    <row r="183" spans="1:18" ht="22.5" customHeight="1">
      <c r="A183" s="2073"/>
      <c r="B183" s="2080"/>
      <c r="C183" s="2083"/>
      <c r="D183" s="977" t="s">
        <v>964</v>
      </c>
      <c r="E183" s="978">
        <v>110662</v>
      </c>
      <c r="F183" s="987">
        <f t="shared" si="0"/>
        <v>116190</v>
      </c>
      <c r="G183" s="996">
        <v>0</v>
      </c>
      <c r="H183" s="997">
        <v>0</v>
      </c>
      <c r="I183" s="997">
        <v>2772</v>
      </c>
      <c r="J183" s="997">
        <v>0</v>
      </c>
      <c r="K183" s="997">
        <v>0</v>
      </c>
      <c r="L183" s="999">
        <v>0</v>
      </c>
      <c r="M183" s="996">
        <v>113418</v>
      </c>
      <c r="N183" s="997">
        <v>0</v>
      </c>
      <c r="O183" s="997">
        <v>0</v>
      </c>
      <c r="P183" s="999">
        <v>0</v>
      </c>
      <c r="Q183" s="996">
        <v>0</v>
      </c>
      <c r="R183" s="1000">
        <v>0</v>
      </c>
    </row>
    <row r="184" spans="1:18" ht="18.75" customHeight="1">
      <c r="A184" s="2085"/>
      <c r="B184" s="2086"/>
      <c r="C184" s="2087"/>
      <c r="D184" s="977" t="s">
        <v>977</v>
      </c>
      <c r="E184" s="978">
        <v>110662</v>
      </c>
      <c r="F184" s="987">
        <f t="shared" si="0"/>
        <v>116190</v>
      </c>
      <c r="G184" s="1010">
        <v>0</v>
      </c>
      <c r="H184" s="1022">
        <v>0</v>
      </c>
      <c r="I184" s="1022">
        <v>2772</v>
      </c>
      <c r="J184" s="1022">
        <v>0</v>
      </c>
      <c r="K184" s="1022">
        <v>0</v>
      </c>
      <c r="L184" s="1023">
        <v>0</v>
      </c>
      <c r="M184" s="1010">
        <v>113418</v>
      </c>
      <c r="N184" s="1022">
        <v>0</v>
      </c>
      <c r="O184" s="1022">
        <v>0</v>
      </c>
      <c r="P184" s="1023">
        <v>0</v>
      </c>
      <c r="Q184" s="1010">
        <v>0</v>
      </c>
      <c r="R184" s="1007">
        <v>0</v>
      </c>
    </row>
    <row r="185" spans="1:18" ht="18.75" customHeight="1">
      <c r="A185" s="2078" t="s">
        <v>344</v>
      </c>
      <c r="B185" s="2079" t="s">
        <v>923</v>
      </c>
      <c r="C185" s="2082" t="s">
        <v>924</v>
      </c>
      <c r="D185" s="985" t="s">
        <v>3</v>
      </c>
      <c r="E185" s="978">
        <v>0</v>
      </c>
      <c r="F185" s="987">
        <f t="shared" si="0"/>
        <v>0</v>
      </c>
      <c r="G185" s="996">
        <v>0</v>
      </c>
      <c r="H185" s="997">
        <v>0</v>
      </c>
      <c r="I185" s="997">
        <v>0</v>
      </c>
      <c r="J185" s="997">
        <v>0</v>
      </c>
      <c r="K185" s="997">
        <v>0</v>
      </c>
      <c r="L185" s="999">
        <v>0</v>
      </c>
      <c r="M185" s="996">
        <v>0</v>
      </c>
      <c r="N185" s="997">
        <v>0</v>
      </c>
      <c r="O185" s="997">
        <v>0</v>
      </c>
      <c r="P185" s="999">
        <v>0</v>
      </c>
      <c r="Q185" s="996">
        <v>0</v>
      </c>
      <c r="R185" s="1000">
        <v>0</v>
      </c>
    </row>
    <row r="186" spans="1:18" ht="18.75" customHeight="1">
      <c r="A186" s="2073"/>
      <c r="B186" s="2080"/>
      <c r="C186" s="2083"/>
      <c r="D186" s="977" t="s">
        <v>964</v>
      </c>
      <c r="E186" s="978">
        <v>0</v>
      </c>
      <c r="F186" s="987">
        <f t="shared" si="0"/>
        <v>20000</v>
      </c>
      <c r="G186" s="996">
        <v>0</v>
      </c>
      <c r="H186" s="997">
        <v>0</v>
      </c>
      <c r="I186" s="997">
        <v>20000</v>
      </c>
      <c r="J186" s="997">
        <v>0</v>
      </c>
      <c r="K186" s="997">
        <v>0</v>
      </c>
      <c r="L186" s="999">
        <v>0</v>
      </c>
      <c r="M186" s="996">
        <v>0</v>
      </c>
      <c r="N186" s="997">
        <v>0</v>
      </c>
      <c r="O186" s="997">
        <v>0</v>
      </c>
      <c r="P186" s="999">
        <v>0</v>
      </c>
      <c r="Q186" s="996">
        <v>0</v>
      </c>
      <c r="R186" s="1000">
        <v>0</v>
      </c>
    </row>
    <row r="187" spans="1:18" ht="18.75" customHeight="1">
      <c r="A187" s="2085"/>
      <c r="B187" s="2086"/>
      <c r="C187" s="2087"/>
      <c r="D187" s="977" t="s">
        <v>977</v>
      </c>
      <c r="E187" s="978">
        <v>0</v>
      </c>
      <c r="F187" s="987">
        <f t="shared" si="0"/>
        <v>20000</v>
      </c>
      <c r="G187" s="996">
        <v>0</v>
      </c>
      <c r="H187" s="997">
        <v>0</v>
      </c>
      <c r="I187" s="997">
        <v>20000</v>
      </c>
      <c r="J187" s="997">
        <v>0</v>
      </c>
      <c r="K187" s="997">
        <v>0</v>
      </c>
      <c r="L187" s="999">
        <v>0</v>
      </c>
      <c r="M187" s="996">
        <v>0</v>
      </c>
      <c r="N187" s="997">
        <v>0</v>
      </c>
      <c r="O187" s="997">
        <v>0</v>
      </c>
      <c r="P187" s="999">
        <v>0</v>
      </c>
      <c r="Q187" s="996">
        <v>0</v>
      </c>
      <c r="R187" s="1000">
        <v>0</v>
      </c>
    </row>
    <row r="188" spans="1:18" ht="18.75" customHeight="1">
      <c r="A188" s="2078" t="s">
        <v>344</v>
      </c>
      <c r="B188" s="2079" t="s">
        <v>925</v>
      </c>
      <c r="C188" s="2082" t="s">
        <v>926</v>
      </c>
      <c r="D188" s="985" t="s">
        <v>3</v>
      </c>
      <c r="E188" s="978">
        <v>0</v>
      </c>
      <c r="F188" s="987">
        <f t="shared" si="0"/>
        <v>0</v>
      </c>
      <c r="G188" s="996">
        <v>0</v>
      </c>
      <c r="H188" s="997">
        <v>0</v>
      </c>
      <c r="I188" s="997">
        <v>0</v>
      </c>
      <c r="J188" s="997">
        <v>0</v>
      </c>
      <c r="K188" s="997">
        <v>0</v>
      </c>
      <c r="L188" s="999">
        <v>0</v>
      </c>
      <c r="M188" s="996">
        <v>0</v>
      </c>
      <c r="N188" s="997">
        <v>0</v>
      </c>
      <c r="O188" s="997">
        <v>0</v>
      </c>
      <c r="P188" s="999">
        <v>0</v>
      </c>
      <c r="Q188" s="996">
        <v>0</v>
      </c>
      <c r="R188" s="1000">
        <v>0</v>
      </c>
    </row>
    <row r="189" spans="1:18" ht="18.75" customHeight="1">
      <c r="A189" s="2073"/>
      <c r="B189" s="2080"/>
      <c r="C189" s="2083"/>
      <c r="D189" s="977" t="s">
        <v>964</v>
      </c>
      <c r="E189" s="978">
        <v>340998</v>
      </c>
      <c r="F189" s="987">
        <f t="shared" si="0"/>
        <v>340998</v>
      </c>
      <c r="G189" s="996">
        <v>0</v>
      </c>
      <c r="H189" s="997">
        <v>0</v>
      </c>
      <c r="I189" s="997">
        <v>73041</v>
      </c>
      <c r="J189" s="997">
        <v>0</v>
      </c>
      <c r="K189" s="997">
        <v>0</v>
      </c>
      <c r="L189" s="999">
        <v>0</v>
      </c>
      <c r="M189" s="996">
        <v>267957</v>
      </c>
      <c r="N189" s="997">
        <v>0</v>
      </c>
      <c r="O189" s="997">
        <v>0</v>
      </c>
      <c r="P189" s="999">
        <v>0</v>
      </c>
      <c r="Q189" s="996">
        <v>0</v>
      </c>
      <c r="R189" s="1000">
        <v>0</v>
      </c>
    </row>
    <row r="190" spans="1:18" ht="18.75" customHeight="1">
      <c r="A190" s="2085"/>
      <c r="B190" s="2086"/>
      <c r="C190" s="2087"/>
      <c r="D190" s="977" t="s">
        <v>977</v>
      </c>
      <c r="E190" s="978">
        <v>340998</v>
      </c>
      <c r="F190" s="987">
        <f t="shared" si="0"/>
        <v>340998</v>
      </c>
      <c r="G190" s="996">
        <v>0</v>
      </c>
      <c r="H190" s="997">
        <v>0</v>
      </c>
      <c r="I190" s="997">
        <v>73041</v>
      </c>
      <c r="J190" s="997">
        <v>0</v>
      </c>
      <c r="K190" s="997">
        <v>0</v>
      </c>
      <c r="L190" s="999">
        <v>0</v>
      </c>
      <c r="M190" s="996">
        <v>267957</v>
      </c>
      <c r="N190" s="997">
        <v>0</v>
      </c>
      <c r="O190" s="997">
        <v>0</v>
      </c>
      <c r="P190" s="999">
        <v>0</v>
      </c>
      <c r="Q190" s="996">
        <v>0</v>
      </c>
      <c r="R190" s="1000">
        <v>0</v>
      </c>
    </row>
    <row r="191" spans="1:18" ht="18.75" customHeight="1">
      <c r="A191" s="2078" t="s">
        <v>344</v>
      </c>
      <c r="B191" s="2079" t="s">
        <v>927</v>
      </c>
      <c r="C191" s="2082" t="s">
        <v>928</v>
      </c>
      <c r="D191" s="985" t="s">
        <v>3</v>
      </c>
      <c r="E191" s="978">
        <v>0</v>
      </c>
      <c r="F191" s="987">
        <f t="shared" si="0"/>
        <v>0</v>
      </c>
      <c r="G191" s="996">
        <v>0</v>
      </c>
      <c r="H191" s="997">
        <v>0</v>
      </c>
      <c r="I191" s="997">
        <v>0</v>
      </c>
      <c r="J191" s="997">
        <v>0</v>
      </c>
      <c r="K191" s="997">
        <v>0</v>
      </c>
      <c r="L191" s="999">
        <v>0</v>
      </c>
      <c r="M191" s="996">
        <v>0</v>
      </c>
      <c r="N191" s="997">
        <v>0</v>
      </c>
      <c r="O191" s="997">
        <v>0</v>
      </c>
      <c r="P191" s="999">
        <v>0</v>
      </c>
      <c r="Q191" s="996">
        <v>0</v>
      </c>
      <c r="R191" s="1000">
        <v>0</v>
      </c>
    </row>
    <row r="192" spans="1:18" ht="18.75" customHeight="1">
      <c r="A192" s="2073"/>
      <c r="B192" s="2080"/>
      <c r="C192" s="2083"/>
      <c r="D192" s="977" t="s">
        <v>964</v>
      </c>
      <c r="E192" s="978">
        <v>270410</v>
      </c>
      <c r="F192" s="987">
        <f t="shared" si="0"/>
        <v>270410</v>
      </c>
      <c r="G192" s="996">
        <v>0</v>
      </c>
      <c r="H192" s="997">
        <v>0</v>
      </c>
      <c r="I192" s="997">
        <v>35495</v>
      </c>
      <c r="J192" s="997">
        <v>0</v>
      </c>
      <c r="K192" s="997">
        <v>0</v>
      </c>
      <c r="L192" s="999">
        <v>0</v>
      </c>
      <c r="M192" s="996">
        <v>234915</v>
      </c>
      <c r="N192" s="997">
        <v>0</v>
      </c>
      <c r="O192" s="997">
        <v>0</v>
      </c>
      <c r="P192" s="999">
        <v>0</v>
      </c>
      <c r="Q192" s="996">
        <v>0</v>
      </c>
      <c r="R192" s="1000">
        <v>0</v>
      </c>
    </row>
    <row r="193" spans="1:18" ht="18.75" customHeight="1" thickBot="1">
      <c r="A193" s="2074"/>
      <c r="B193" s="2081"/>
      <c r="C193" s="2084"/>
      <c r="D193" s="977" t="s">
        <v>977</v>
      </c>
      <c r="E193" s="1024">
        <v>270410</v>
      </c>
      <c r="F193" s="1025">
        <f t="shared" si="0"/>
        <v>270410</v>
      </c>
      <c r="G193" s="1026">
        <v>0</v>
      </c>
      <c r="H193" s="1027">
        <v>0</v>
      </c>
      <c r="I193" s="1027">
        <v>35495</v>
      </c>
      <c r="J193" s="1027">
        <v>0</v>
      </c>
      <c r="K193" s="1027">
        <v>0</v>
      </c>
      <c r="L193" s="1028">
        <v>0</v>
      </c>
      <c r="M193" s="1026">
        <v>234915</v>
      </c>
      <c r="N193" s="1027">
        <v>0</v>
      </c>
      <c r="O193" s="1027">
        <v>0</v>
      </c>
      <c r="P193" s="1028">
        <v>0</v>
      </c>
      <c r="Q193" s="1029">
        <v>0</v>
      </c>
      <c r="R193" s="1030">
        <v>0</v>
      </c>
    </row>
    <row r="194" spans="1:18" ht="18.75" customHeight="1">
      <c r="A194" s="2072"/>
      <c r="B194" s="2066"/>
      <c r="C194" s="2075" t="s">
        <v>61</v>
      </c>
      <c r="D194" s="1051" t="s">
        <v>3</v>
      </c>
      <c r="E194" s="1031">
        <f>E5+E8+E11+E14+E17+E20+E23+E26+E29+E32+E35+E38+E41+E44+E47+E50+E53+E56+E59+E62+E65+E68+E71+E74+E77+E80+E83+E86+E89+E92+E95+E98+E101+E104+E107+E110+E113+E116+E119+E122+E125+E128+E131+E134+E137+E140+E143+E146+E149++E152+E155+E158+E161+E164+E170+E173+E176+E179+E182+E185+E188+E191</f>
        <v>10319194</v>
      </c>
      <c r="F194" s="1032">
        <f>F5+F8+F11+F14+F17+F20+F23+F26+F29+F32+F35+F38+F41+F44+F47+F50+F53+F56+F59+F62+F65+F68+F71+F74+F77+F80+F83+F86+F89+F92+F95+F98+F101+F104+F107+F110+F113+F116+F122+F125+F128+F131+F143+F146+F149++F152+F155+F158+F161+F164+F170+F173+F176+F179+F182</f>
        <v>10319194</v>
      </c>
      <c r="G194" s="1033">
        <f t="shared" ref="G194:R194" si="2">G5+G8+G11+G14+G17+G20+G23+G26+G29+G32+G35+G38+G41+G44+G47+G50+G53+G56+G59+G62+G65+G68+G71+G74+G77+G80+G83+G86+G89+G92+G95+G98+G101+G104+G107+G110+G113+G116+G119+G122+G125+G128+G131+G134+G137+G140+G143+G146+G149++G152+G155+G158+G161+G164+G170+G173+G176+G179+G182+G185+G188+G191</f>
        <v>234169</v>
      </c>
      <c r="H194" s="1034">
        <f t="shared" si="2"/>
        <v>45897</v>
      </c>
      <c r="I194" s="1034">
        <f t="shared" si="2"/>
        <v>1407856</v>
      </c>
      <c r="J194" s="1034">
        <f t="shared" si="2"/>
        <v>64850</v>
      </c>
      <c r="K194" s="1034">
        <f t="shared" si="2"/>
        <v>1220077</v>
      </c>
      <c r="L194" s="1035">
        <f t="shared" si="2"/>
        <v>103644</v>
      </c>
      <c r="M194" s="1033">
        <f t="shared" si="2"/>
        <v>2130929</v>
      </c>
      <c r="N194" s="1034">
        <f t="shared" si="2"/>
        <v>544052</v>
      </c>
      <c r="O194" s="1034">
        <f t="shared" si="2"/>
        <v>13900</v>
      </c>
      <c r="P194" s="1035">
        <f t="shared" si="2"/>
        <v>10000</v>
      </c>
      <c r="Q194" s="1036">
        <f t="shared" si="2"/>
        <v>2166549</v>
      </c>
      <c r="R194" s="1035">
        <f t="shared" si="2"/>
        <v>2377271</v>
      </c>
    </row>
    <row r="195" spans="1:18" ht="18.75" customHeight="1">
      <c r="A195" s="2073"/>
      <c r="B195" s="2067"/>
      <c r="C195" s="2076"/>
      <c r="D195" s="977" t="s">
        <v>964</v>
      </c>
      <c r="E195" s="1037">
        <f>E6+E9+E12+E15+E18+E21+E24+E27+E30+E33+E36+E39+E42+E45+E48+E51+E54+E57+E60+E63+E66+E69+E72+E75+E78+E81+E84+E87+E90+E93+E96+E99+E102+E105+E108+E111+E114+E117+E120+E123+E126+E129+E132+E135+E138+E141+E144+E147+E150++E153+E156+E159+E162+E165+E168+E171+E174+E177+E180+E183+E186+E189+E192</f>
        <v>12410944</v>
      </c>
      <c r="F195" s="1038">
        <f t="shared" ref="F195:F196" si="3">SUM(G195:R195)</f>
        <v>12410944</v>
      </c>
      <c r="G195" s="1039">
        <f t="shared" ref="G195:R196" si="4">G6+G9+G12+G15+G18+G21+G24+G27+G30+G33+G36+G39+G42+G45+G48+G51+G54+G57+G60+G63+G66+G69+G72+G75+G78+G81+G84+G87+G90+G93+G96+G99+G102+G105+G108+G111+G114+G117+G120+G123+G126+G129+G132+G135+G138+G141+G144+G147+G150++G153+G156+G159+G162+G165+G168+G171+G174+G177+G180+G183+G186+G189+G192</f>
        <v>241327</v>
      </c>
      <c r="H195" s="1040">
        <f t="shared" si="4"/>
        <v>48806</v>
      </c>
      <c r="I195" s="1040">
        <f t="shared" si="4"/>
        <v>1649290</v>
      </c>
      <c r="J195" s="1040">
        <f t="shared" si="4"/>
        <v>64350</v>
      </c>
      <c r="K195" s="1040">
        <f t="shared" si="4"/>
        <v>1340596</v>
      </c>
      <c r="L195" s="1041">
        <f t="shared" si="4"/>
        <v>123308</v>
      </c>
      <c r="M195" s="1039">
        <f t="shared" si="4"/>
        <v>3024805</v>
      </c>
      <c r="N195" s="1042">
        <f t="shared" si="4"/>
        <v>424131</v>
      </c>
      <c r="O195" s="1042">
        <f t="shared" si="4"/>
        <v>16400</v>
      </c>
      <c r="P195" s="1043">
        <f t="shared" si="4"/>
        <v>10000</v>
      </c>
      <c r="Q195" s="1044">
        <f t="shared" si="4"/>
        <v>3166569</v>
      </c>
      <c r="R195" s="1043">
        <f t="shared" si="4"/>
        <v>2301362</v>
      </c>
    </row>
    <row r="196" spans="1:18" ht="18.75" customHeight="1" thickBot="1">
      <c r="A196" s="2074"/>
      <c r="B196" s="2068"/>
      <c r="C196" s="2077"/>
      <c r="D196" s="977" t="s">
        <v>977</v>
      </c>
      <c r="E196" s="1045">
        <f>E7+E10+E13+E16+E19+E22+E25+E28+E31+E34+E37+E40+E43+E46+E49+E52+E55+E58+E61+E64+E67+E70+E73+E76+E79+E82+E85+E88+E91+E94+E97+E100+E103+E106+E109+E112+E115+E118+E121+E124+E127+E130+E133+E136+E139+E142+E145+E148+E151++E154+E157+E160+E163+E166+E169+E172+E175+E178+E181+E184+E187+E190+E193</f>
        <v>12501612</v>
      </c>
      <c r="F196" s="1046">
        <f t="shared" si="3"/>
        <v>12501612</v>
      </c>
      <c r="G196" s="1047">
        <f t="shared" si="4"/>
        <v>241375</v>
      </c>
      <c r="H196" s="1048">
        <f t="shared" si="4"/>
        <v>49233</v>
      </c>
      <c r="I196" s="1048">
        <f t="shared" si="4"/>
        <v>1673646</v>
      </c>
      <c r="J196" s="1048">
        <f t="shared" si="4"/>
        <v>64350</v>
      </c>
      <c r="K196" s="1048">
        <f t="shared" si="4"/>
        <v>1473377</v>
      </c>
      <c r="L196" s="1049">
        <f t="shared" si="4"/>
        <v>112863</v>
      </c>
      <c r="M196" s="1047">
        <f t="shared" si="4"/>
        <v>2861819</v>
      </c>
      <c r="N196" s="1048">
        <f t="shared" si="4"/>
        <v>409448</v>
      </c>
      <c r="O196" s="1048">
        <f t="shared" si="4"/>
        <v>20150</v>
      </c>
      <c r="P196" s="1049">
        <f t="shared" si="4"/>
        <v>96246</v>
      </c>
      <c r="Q196" s="1050">
        <f t="shared" si="4"/>
        <v>3202329</v>
      </c>
      <c r="R196" s="1049">
        <f t="shared" si="4"/>
        <v>2296776</v>
      </c>
    </row>
    <row r="197" spans="1:18" ht="18.75" customHeight="1">
      <c r="A197" s="2072"/>
      <c r="B197" s="2066"/>
      <c r="C197" s="2075" t="s">
        <v>116</v>
      </c>
      <c r="D197" s="1051" t="s">
        <v>3</v>
      </c>
      <c r="E197" s="1032">
        <f>E14+E17+E20+E23+E26+E29+E32+E35+E38+E41+E44+E47+E50+E53+E56+E59+E65+E68+E71+E119</f>
        <v>4319228</v>
      </c>
      <c r="F197" s="1032">
        <f>F14+F17+F20+F23+F26+F29+F32+F35+F38+F41+F44+F47+F50+F53+F56+F59+F65+F68+F71</f>
        <v>2617730</v>
      </c>
      <c r="G197" s="1052">
        <f t="shared" ref="G197:R199" si="5">G14+G17+G20+G23+G26+G29+G32+G35+G38+G41+G44+G47+G50+G53+G56+G59+G65+G68+G71+G119</f>
        <v>43781</v>
      </c>
      <c r="H197" s="1053">
        <f t="shared" si="5"/>
        <v>4249</v>
      </c>
      <c r="I197" s="1053">
        <f t="shared" si="5"/>
        <v>797815</v>
      </c>
      <c r="J197" s="1053">
        <f t="shared" si="5"/>
        <v>64700</v>
      </c>
      <c r="K197" s="1053">
        <f t="shared" si="5"/>
        <v>1033257</v>
      </c>
      <c r="L197" s="1054">
        <f t="shared" si="5"/>
        <v>0</v>
      </c>
      <c r="M197" s="1052">
        <f t="shared" si="5"/>
        <v>259622</v>
      </c>
      <c r="N197" s="1053">
        <f t="shared" si="5"/>
        <v>400706</v>
      </c>
      <c r="O197" s="1053">
        <f t="shared" si="5"/>
        <v>13600</v>
      </c>
      <c r="P197" s="1054">
        <f t="shared" si="5"/>
        <v>0</v>
      </c>
      <c r="Q197" s="1055">
        <f t="shared" si="5"/>
        <v>0</v>
      </c>
      <c r="R197" s="1054">
        <f t="shared" si="5"/>
        <v>0</v>
      </c>
    </row>
    <row r="198" spans="1:18" ht="18.75" customHeight="1">
      <c r="A198" s="2073"/>
      <c r="B198" s="2067"/>
      <c r="C198" s="2076"/>
      <c r="D198" s="1001" t="s">
        <v>964</v>
      </c>
      <c r="E198" s="1038">
        <f>E15+E18+E21+E24+E27+E30+E33+E36+E39+E42+E45+E48+E51+E54+E57+E60+E66+E69+E72+E120</f>
        <v>4251809</v>
      </c>
      <c r="F198" s="1038">
        <f t="shared" ref="F198:F199" si="6">SUM(G198:R198)</f>
        <v>2554958</v>
      </c>
      <c r="G198" s="1039">
        <f t="shared" si="5"/>
        <v>44127</v>
      </c>
      <c r="H198" s="1040">
        <f t="shared" si="5"/>
        <v>4415</v>
      </c>
      <c r="I198" s="1040">
        <f t="shared" si="5"/>
        <v>745544</v>
      </c>
      <c r="J198" s="1040">
        <f t="shared" si="5"/>
        <v>64200</v>
      </c>
      <c r="K198" s="1040">
        <f t="shared" si="5"/>
        <v>1132582</v>
      </c>
      <c r="L198" s="1041">
        <f t="shared" si="5"/>
        <v>760</v>
      </c>
      <c r="M198" s="1039">
        <f t="shared" si="5"/>
        <v>263851</v>
      </c>
      <c r="N198" s="1040">
        <f t="shared" si="5"/>
        <v>285879</v>
      </c>
      <c r="O198" s="1040">
        <f t="shared" si="5"/>
        <v>13600</v>
      </c>
      <c r="P198" s="1041">
        <f t="shared" si="5"/>
        <v>0</v>
      </c>
      <c r="Q198" s="1056">
        <f t="shared" si="5"/>
        <v>0</v>
      </c>
      <c r="R198" s="1041">
        <f t="shared" si="5"/>
        <v>0</v>
      </c>
    </row>
    <row r="199" spans="1:18" ht="18.75" customHeight="1" thickBot="1">
      <c r="A199" s="2074"/>
      <c r="B199" s="2068"/>
      <c r="C199" s="2077"/>
      <c r="D199" s="977" t="s">
        <v>977</v>
      </c>
      <c r="E199" s="1046">
        <f>E16+E19+E22+E25+E28+E31+E34+E37+E40+E43+E46+E49+E52+E55+E58+E61+E67+E70+E73+E121</f>
        <v>4204909</v>
      </c>
      <c r="F199" s="1046">
        <f t="shared" si="6"/>
        <v>2630214</v>
      </c>
      <c r="G199" s="1047">
        <f t="shared" si="5"/>
        <v>44127</v>
      </c>
      <c r="H199" s="1025">
        <f t="shared" si="5"/>
        <v>4417</v>
      </c>
      <c r="I199" s="1048">
        <f t="shared" si="5"/>
        <v>772821</v>
      </c>
      <c r="J199" s="1025">
        <f t="shared" si="5"/>
        <v>64200</v>
      </c>
      <c r="K199" s="1048">
        <f t="shared" si="5"/>
        <v>1200465</v>
      </c>
      <c r="L199" s="1025">
        <f t="shared" si="5"/>
        <v>1306</v>
      </c>
      <c r="M199" s="1057">
        <f t="shared" si="5"/>
        <v>258401</v>
      </c>
      <c r="N199" s="1058">
        <f t="shared" si="5"/>
        <v>270877</v>
      </c>
      <c r="O199" s="1058">
        <f t="shared" si="5"/>
        <v>13600</v>
      </c>
      <c r="P199" s="1059">
        <f t="shared" si="5"/>
        <v>0</v>
      </c>
      <c r="Q199" s="1050">
        <f t="shared" si="5"/>
        <v>0</v>
      </c>
      <c r="R199" s="1049">
        <f t="shared" si="5"/>
        <v>0</v>
      </c>
    </row>
    <row r="200" spans="1:18" ht="18.75" customHeight="1">
      <c r="A200" s="2072"/>
      <c r="B200" s="2066"/>
      <c r="C200" s="2075" t="s">
        <v>448</v>
      </c>
      <c r="D200" s="1051" t="s">
        <v>3</v>
      </c>
      <c r="E200" s="1032">
        <f>E62+E74+E77+E80+E83+E86+E89+E92+E95+E98+E101+E104+E107+E110+E113+E116+E122+E125+E128+E131+E143+E146+E149+E152+E155+E158+E161+E164+E170+E173+E176+E179+E182+E185+E188+E191</f>
        <v>352461</v>
      </c>
      <c r="F200" s="1032">
        <f>F62+F74+F77+F80+F83+F86+F89+F92+F95+F98+F101+F104+F107+F110+F113+F116+F122+F125+F128+F131+F143+F146+F149+F152+F155+F158+F161+F164+F170+F173+F176+F179+F182</f>
        <v>2561553</v>
      </c>
      <c r="G200" s="1052">
        <f t="shared" ref="G200:R200" si="7">G62+G74+G77+G80+G83+G86+G89+G92+G95+G98+G101+G104+G107+G110+G113+G116+G122+G125+G128+G131+G143+G146+G149+G152+G155+G158+G161+G164+G170+G173+G176+G179+G182+G185+G188+G191</f>
        <v>103840</v>
      </c>
      <c r="H200" s="972">
        <f t="shared" si="7"/>
        <v>23548</v>
      </c>
      <c r="I200" s="1053">
        <f t="shared" si="7"/>
        <v>242699</v>
      </c>
      <c r="J200" s="972">
        <f t="shared" si="7"/>
        <v>150</v>
      </c>
      <c r="K200" s="1053">
        <f t="shared" si="7"/>
        <v>168820</v>
      </c>
      <c r="L200" s="972">
        <f t="shared" si="7"/>
        <v>30000</v>
      </c>
      <c r="M200" s="1052">
        <f t="shared" si="7"/>
        <v>1855550</v>
      </c>
      <c r="N200" s="1053">
        <f t="shared" si="7"/>
        <v>136646</v>
      </c>
      <c r="O200" s="1053">
        <f t="shared" si="7"/>
        <v>300</v>
      </c>
      <c r="P200" s="1054">
        <f t="shared" si="7"/>
        <v>0</v>
      </c>
      <c r="Q200" s="1055">
        <f t="shared" si="7"/>
        <v>0</v>
      </c>
      <c r="R200" s="1054">
        <f t="shared" si="7"/>
        <v>0</v>
      </c>
    </row>
    <row r="201" spans="1:18" ht="18.75" customHeight="1">
      <c r="A201" s="2073"/>
      <c r="B201" s="2067"/>
      <c r="C201" s="2076"/>
      <c r="D201" s="1001" t="s">
        <v>996</v>
      </c>
      <c r="E201" s="1038">
        <f>E63+E75+E78+E81+E84+E87+E90+E93+E96+E99+E102+E105+E108+E111+E114+E117+E123+E126+E129+E132+E135+E138+E141+E144+E147+E150+E153+E156+E159+E162+E165+E168+E171+E174+E177+E180+E183+E186+E189+E192</f>
        <v>1477414</v>
      </c>
      <c r="F201" s="1038">
        <f t="shared" si="0"/>
        <v>3748659</v>
      </c>
      <c r="G201" s="1039">
        <f t="shared" ref="G201:R202" si="8">G63+G75+G78+G81+G84+G87+G90+G93+G96+G99+G102+G105+G108+G111+G114+G117+G123+G126+G129+G132+G135+G138+G141+G144+G147+G150+G153+G156+G159+G162+G165+G168+G171+G174+G177+G180+G183+G186+G189+G192</f>
        <v>110085</v>
      </c>
      <c r="H201" s="987">
        <f t="shared" si="8"/>
        <v>26203</v>
      </c>
      <c r="I201" s="1040">
        <f t="shared" si="8"/>
        <v>537504</v>
      </c>
      <c r="J201" s="987">
        <f t="shared" si="8"/>
        <v>150</v>
      </c>
      <c r="K201" s="1040">
        <f t="shared" si="8"/>
        <v>141877</v>
      </c>
      <c r="L201" s="987">
        <f t="shared" si="8"/>
        <v>37236</v>
      </c>
      <c r="M201" s="1039">
        <f t="shared" si="8"/>
        <v>2754702</v>
      </c>
      <c r="N201" s="1040">
        <f t="shared" si="8"/>
        <v>138102</v>
      </c>
      <c r="O201" s="1040">
        <f t="shared" si="8"/>
        <v>2800</v>
      </c>
      <c r="P201" s="1041">
        <f t="shared" si="8"/>
        <v>0</v>
      </c>
      <c r="Q201" s="1056">
        <f t="shared" si="8"/>
        <v>0</v>
      </c>
      <c r="R201" s="1041">
        <f t="shared" si="8"/>
        <v>0</v>
      </c>
    </row>
    <row r="202" spans="1:18" ht="18.75" customHeight="1" thickBot="1">
      <c r="A202" s="2074"/>
      <c r="B202" s="2068"/>
      <c r="C202" s="2077"/>
      <c r="D202" s="977" t="s">
        <v>977</v>
      </c>
      <c r="E202" s="1060">
        <f>E64+E76+E79+E82+E85+E88+E91+E94+E97+E100+E103+E106+E109+E112+E115+E118+E124+E127+E130+E133+E136+E139+E142+E145+E148+E151+E154+E157+E160+E163+E166+E169+E172+E175+E178+E181+E184+E187+E190+E193</f>
        <v>1340622</v>
      </c>
      <c r="F202" s="1060">
        <f t="shared" ref="F202" si="9">SUM(G202:R202)</f>
        <v>3638360</v>
      </c>
      <c r="G202" s="1057">
        <f t="shared" si="8"/>
        <v>110006</v>
      </c>
      <c r="H202" s="1061">
        <f t="shared" si="8"/>
        <v>26608</v>
      </c>
      <c r="I202" s="1058">
        <f t="shared" si="8"/>
        <v>534439</v>
      </c>
      <c r="J202" s="1061">
        <f t="shared" si="8"/>
        <v>150</v>
      </c>
      <c r="K202" s="1058">
        <f t="shared" si="8"/>
        <v>198775</v>
      </c>
      <c r="L202" s="1061">
        <f t="shared" si="8"/>
        <v>26245</v>
      </c>
      <c r="M202" s="1057">
        <f t="shared" si="8"/>
        <v>2597166</v>
      </c>
      <c r="N202" s="1058">
        <f t="shared" si="8"/>
        <v>138421</v>
      </c>
      <c r="O202" s="1058">
        <f t="shared" si="8"/>
        <v>6550</v>
      </c>
      <c r="P202" s="1059">
        <f t="shared" si="8"/>
        <v>0</v>
      </c>
      <c r="Q202" s="1062">
        <f t="shared" si="8"/>
        <v>0</v>
      </c>
      <c r="R202" s="1059">
        <f t="shared" si="8"/>
        <v>0</v>
      </c>
    </row>
    <row r="203" spans="1:18" ht="18.75" customHeight="1">
      <c r="A203" s="2063"/>
      <c r="B203" s="2066"/>
      <c r="C203" s="2069" t="s">
        <v>117</v>
      </c>
      <c r="D203" s="1051" t="s">
        <v>3</v>
      </c>
      <c r="E203" s="1032">
        <f t="shared" ref="E203:R205" si="10">E5+E8+E11</f>
        <v>5647505</v>
      </c>
      <c r="F203" s="1032">
        <f t="shared" si="10"/>
        <v>5139911</v>
      </c>
      <c r="G203" s="1052">
        <f t="shared" si="10"/>
        <v>86548</v>
      </c>
      <c r="H203" s="1053">
        <f t="shared" si="10"/>
        <v>18100</v>
      </c>
      <c r="I203" s="1053">
        <f t="shared" si="10"/>
        <v>367342</v>
      </c>
      <c r="J203" s="1053">
        <f t="shared" si="10"/>
        <v>0</v>
      </c>
      <c r="K203" s="1053">
        <f t="shared" si="10"/>
        <v>18000</v>
      </c>
      <c r="L203" s="1054">
        <f t="shared" si="10"/>
        <v>73644</v>
      </c>
      <c r="M203" s="1052">
        <f t="shared" si="10"/>
        <v>15757</v>
      </c>
      <c r="N203" s="1053">
        <f t="shared" si="10"/>
        <v>6700</v>
      </c>
      <c r="O203" s="1053">
        <f t="shared" si="10"/>
        <v>0</v>
      </c>
      <c r="P203" s="1054">
        <f t="shared" si="10"/>
        <v>10000</v>
      </c>
      <c r="Q203" s="1055">
        <f t="shared" si="10"/>
        <v>2166549</v>
      </c>
      <c r="R203" s="1054">
        <f t="shared" si="10"/>
        <v>2377271</v>
      </c>
    </row>
    <row r="204" spans="1:18" ht="18.75" customHeight="1">
      <c r="A204" s="2064"/>
      <c r="B204" s="2067"/>
      <c r="C204" s="2070"/>
      <c r="D204" s="1001" t="s">
        <v>996</v>
      </c>
      <c r="E204" s="1038">
        <f t="shared" si="10"/>
        <v>6681721</v>
      </c>
      <c r="F204" s="1038">
        <f t="shared" si="10"/>
        <v>6107327</v>
      </c>
      <c r="G204" s="1039">
        <f t="shared" si="10"/>
        <v>87115</v>
      </c>
      <c r="H204" s="1040">
        <f t="shared" si="10"/>
        <v>18188</v>
      </c>
      <c r="I204" s="1040">
        <f t="shared" si="10"/>
        <v>366242</v>
      </c>
      <c r="J204" s="1040">
        <f t="shared" si="10"/>
        <v>0</v>
      </c>
      <c r="K204" s="1040">
        <f t="shared" si="10"/>
        <v>66137</v>
      </c>
      <c r="L204" s="1041">
        <f t="shared" si="10"/>
        <v>85312</v>
      </c>
      <c r="M204" s="1039">
        <f t="shared" si="10"/>
        <v>6252</v>
      </c>
      <c r="N204" s="1040">
        <f t="shared" si="10"/>
        <v>150</v>
      </c>
      <c r="O204" s="1040">
        <f t="shared" si="10"/>
        <v>0</v>
      </c>
      <c r="P204" s="1041">
        <f t="shared" si="10"/>
        <v>10000</v>
      </c>
      <c r="Q204" s="1056">
        <f t="shared" si="10"/>
        <v>3166569</v>
      </c>
      <c r="R204" s="1041">
        <f t="shared" si="10"/>
        <v>2301362</v>
      </c>
    </row>
    <row r="205" spans="1:18" ht="18.75" customHeight="1" thickBot="1">
      <c r="A205" s="2065"/>
      <c r="B205" s="2068"/>
      <c r="C205" s="2071"/>
      <c r="D205" s="1296" t="s">
        <v>977</v>
      </c>
      <c r="E205" s="1060">
        <f t="shared" si="10"/>
        <v>6956081</v>
      </c>
      <c r="F205" s="1060">
        <f t="shared" si="10"/>
        <v>6233038</v>
      </c>
      <c r="G205" s="1057">
        <f t="shared" si="10"/>
        <v>87242</v>
      </c>
      <c r="H205" s="1058">
        <f t="shared" si="10"/>
        <v>18208</v>
      </c>
      <c r="I205" s="1058">
        <f t="shared" si="10"/>
        <v>366386</v>
      </c>
      <c r="J205" s="1058">
        <f t="shared" si="10"/>
        <v>0</v>
      </c>
      <c r="K205" s="1058">
        <f t="shared" si="10"/>
        <v>74137</v>
      </c>
      <c r="L205" s="1059">
        <f t="shared" si="10"/>
        <v>85312</v>
      </c>
      <c r="M205" s="1057">
        <f t="shared" si="10"/>
        <v>6252</v>
      </c>
      <c r="N205" s="1058">
        <f t="shared" si="10"/>
        <v>150</v>
      </c>
      <c r="O205" s="1058">
        <f t="shared" si="10"/>
        <v>0</v>
      </c>
      <c r="P205" s="1059">
        <f t="shared" si="10"/>
        <v>96246</v>
      </c>
      <c r="Q205" s="1062">
        <f t="shared" si="10"/>
        <v>3202329</v>
      </c>
      <c r="R205" s="1059">
        <f t="shared" si="10"/>
        <v>2296776</v>
      </c>
    </row>
    <row r="206" spans="1:18">
      <c r="A206" s="119"/>
      <c r="E206" s="82"/>
      <c r="F206" s="1063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</row>
  </sheetData>
  <mergeCells count="209">
    <mergeCell ref="A1:R1"/>
    <mergeCell ref="A2:R2"/>
    <mergeCell ref="A3:D4"/>
    <mergeCell ref="E3:E4"/>
    <mergeCell ref="F3:F4"/>
    <mergeCell ref="G3:L3"/>
    <mergeCell ref="M3:P3"/>
    <mergeCell ref="Q3:R3"/>
    <mergeCell ref="A11:A13"/>
    <mergeCell ref="B11:B13"/>
    <mergeCell ref="C11:C13"/>
    <mergeCell ref="A14:A16"/>
    <mergeCell ref="B14:B16"/>
    <mergeCell ref="C14:C16"/>
    <mergeCell ref="A5:A7"/>
    <mergeCell ref="B5:B7"/>
    <mergeCell ref="C5:C7"/>
    <mergeCell ref="A8:A10"/>
    <mergeCell ref="B8:B10"/>
    <mergeCell ref="C8:C10"/>
    <mergeCell ref="A23:A25"/>
    <mergeCell ref="B23:B25"/>
    <mergeCell ref="C23:C25"/>
    <mergeCell ref="A26:A28"/>
    <mergeCell ref="B26:B28"/>
    <mergeCell ref="C26:C28"/>
    <mergeCell ref="A17:A19"/>
    <mergeCell ref="B17:B19"/>
    <mergeCell ref="C17:C19"/>
    <mergeCell ref="A20:A22"/>
    <mergeCell ref="B20:B22"/>
    <mergeCell ref="C20:C22"/>
    <mergeCell ref="A35:A37"/>
    <mergeCell ref="B35:B37"/>
    <mergeCell ref="C35:C37"/>
    <mergeCell ref="A38:A40"/>
    <mergeCell ref="B38:B40"/>
    <mergeCell ref="C38:C40"/>
    <mergeCell ref="A29:A31"/>
    <mergeCell ref="B29:B31"/>
    <mergeCell ref="C29:C31"/>
    <mergeCell ref="A32:A34"/>
    <mergeCell ref="B32:B34"/>
    <mergeCell ref="C32:C34"/>
    <mergeCell ref="A47:A49"/>
    <mergeCell ref="B47:B49"/>
    <mergeCell ref="C47:C49"/>
    <mergeCell ref="A50:A52"/>
    <mergeCell ref="B50:B52"/>
    <mergeCell ref="C50:C52"/>
    <mergeCell ref="A41:A43"/>
    <mergeCell ref="B41:B43"/>
    <mergeCell ref="C41:C43"/>
    <mergeCell ref="A44:A46"/>
    <mergeCell ref="B44:B46"/>
    <mergeCell ref="C44:C46"/>
    <mergeCell ref="A59:A61"/>
    <mergeCell ref="B59:B61"/>
    <mergeCell ref="C59:C61"/>
    <mergeCell ref="A62:A64"/>
    <mergeCell ref="B62:B64"/>
    <mergeCell ref="C62:C64"/>
    <mergeCell ref="A53:A55"/>
    <mergeCell ref="B53:B55"/>
    <mergeCell ref="C53:C55"/>
    <mergeCell ref="A56:A58"/>
    <mergeCell ref="B56:B58"/>
    <mergeCell ref="C56:C58"/>
    <mergeCell ref="A71:A73"/>
    <mergeCell ref="B71:B73"/>
    <mergeCell ref="C71:C73"/>
    <mergeCell ref="A74:A76"/>
    <mergeCell ref="B74:B76"/>
    <mergeCell ref="C74:C76"/>
    <mergeCell ref="A65:A67"/>
    <mergeCell ref="B65:B67"/>
    <mergeCell ref="C65:C67"/>
    <mergeCell ref="A68:A70"/>
    <mergeCell ref="B68:B70"/>
    <mergeCell ref="C68:C70"/>
    <mergeCell ref="A83:A85"/>
    <mergeCell ref="B83:B85"/>
    <mergeCell ref="C83:C85"/>
    <mergeCell ref="A86:A88"/>
    <mergeCell ref="B86:B88"/>
    <mergeCell ref="C86:C88"/>
    <mergeCell ref="A77:A79"/>
    <mergeCell ref="B77:B79"/>
    <mergeCell ref="C77:C79"/>
    <mergeCell ref="A80:A82"/>
    <mergeCell ref="B80:B82"/>
    <mergeCell ref="C80:C82"/>
    <mergeCell ref="A95:A97"/>
    <mergeCell ref="B95:B97"/>
    <mergeCell ref="C95:C97"/>
    <mergeCell ref="A98:A100"/>
    <mergeCell ref="B98:B100"/>
    <mergeCell ref="C98:C100"/>
    <mergeCell ref="A89:A91"/>
    <mergeCell ref="B89:B91"/>
    <mergeCell ref="C89:C91"/>
    <mergeCell ref="A92:A94"/>
    <mergeCell ref="B92:B94"/>
    <mergeCell ref="C92:C94"/>
    <mergeCell ref="A107:A109"/>
    <mergeCell ref="B107:B109"/>
    <mergeCell ref="C107:C109"/>
    <mergeCell ref="A110:A112"/>
    <mergeCell ref="B110:B112"/>
    <mergeCell ref="C110:C112"/>
    <mergeCell ref="A101:A103"/>
    <mergeCell ref="B101:B103"/>
    <mergeCell ref="C101:C103"/>
    <mergeCell ref="A104:A106"/>
    <mergeCell ref="B104:B106"/>
    <mergeCell ref="C104:C106"/>
    <mergeCell ref="A119:A121"/>
    <mergeCell ref="B119:B121"/>
    <mergeCell ref="C119:C121"/>
    <mergeCell ref="A122:A124"/>
    <mergeCell ref="B122:B124"/>
    <mergeCell ref="C122:C124"/>
    <mergeCell ref="A113:A115"/>
    <mergeCell ref="B113:B115"/>
    <mergeCell ref="C113:C115"/>
    <mergeCell ref="A116:A118"/>
    <mergeCell ref="B116:B118"/>
    <mergeCell ref="C116:C118"/>
    <mergeCell ref="A131:A133"/>
    <mergeCell ref="B131:B133"/>
    <mergeCell ref="C131:C133"/>
    <mergeCell ref="A134:A136"/>
    <mergeCell ref="B134:B136"/>
    <mergeCell ref="C134:C136"/>
    <mergeCell ref="A125:A127"/>
    <mergeCell ref="B125:B127"/>
    <mergeCell ref="C125:C127"/>
    <mergeCell ref="A128:A130"/>
    <mergeCell ref="B128:B130"/>
    <mergeCell ref="C128:C130"/>
    <mergeCell ref="A143:A145"/>
    <mergeCell ref="B143:B145"/>
    <mergeCell ref="C143:C145"/>
    <mergeCell ref="A146:A148"/>
    <mergeCell ref="B146:B148"/>
    <mergeCell ref="C146:C148"/>
    <mergeCell ref="A137:A139"/>
    <mergeCell ref="B137:B139"/>
    <mergeCell ref="C137:C139"/>
    <mergeCell ref="A140:A142"/>
    <mergeCell ref="B140:B142"/>
    <mergeCell ref="C140:C142"/>
    <mergeCell ref="A155:A157"/>
    <mergeCell ref="B155:B157"/>
    <mergeCell ref="C155:C157"/>
    <mergeCell ref="A158:A160"/>
    <mergeCell ref="B158:B160"/>
    <mergeCell ref="C158:C160"/>
    <mergeCell ref="A149:A151"/>
    <mergeCell ref="B149:B151"/>
    <mergeCell ref="C149:C151"/>
    <mergeCell ref="A152:A154"/>
    <mergeCell ref="B152:B154"/>
    <mergeCell ref="C152:C154"/>
    <mergeCell ref="A167:A169"/>
    <mergeCell ref="B167:B169"/>
    <mergeCell ref="C167:C169"/>
    <mergeCell ref="A170:A172"/>
    <mergeCell ref="B170:B172"/>
    <mergeCell ref="C170:C172"/>
    <mergeCell ref="A161:A163"/>
    <mergeCell ref="B161:B163"/>
    <mergeCell ref="C161:C163"/>
    <mergeCell ref="A164:A166"/>
    <mergeCell ref="B164:B166"/>
    <mergeCell ref="C164:C166"/>
    <mergeCell ref="A179:A181"/>
    <mergeCell ref="B179:B181"/>
    <mergeCell ref="C179:C181"/>
    <mergeCell ref="A182:A184"/>
    <mergeCell ref="B182:B184"/>
    <mergeCell ref="C182:C184"/>
    <mergeCell ref="A173:A175"/>
    <mergeCell ref="B173:B175"/>
    <mergeCell ref="C173:C175"/>
    <mergeCell ref="A176:A178"/>
    <mergeCell ref="B176:B178"/>
    <mergeCell ref="C176:C178"/>
    <mergeCell ref="A191:A193"/>
    <mergeCell ref="B191:B193"/>
    <mergeCell ref="C191:C193"/>
    <mergeCell ref="A194:A196"/>
    <mergeCell ref="B194:B196"/>
    <mergeCell ref="C194:C196"/>
    <mergeCell ref="A185:A187"/>
    <mergeCell ref="B185:B187"/>
    <mergeCell ref="C185:C187"/>
    <mergeCell ref="A188:A190"/>
    <mergeCell ref="B188:B190"/>
    <mergeCell ref="C188:C190"/>
    <mergeCell ref="A203:A205"/>
    <mergeCell ref="B203:B205"/>
    <mergeCell ref="C203:C205"/>
    <mergeCell ref="A197:A199"/>
    <mergeCell ref="B197:B199"/>
    <mergeCell ref="C197:C199"/>
    <mergeCell ref="A200:A202"/>
    <mergeCell ref="B200:B202"/>
    <mergeCell ref="C200:C202"/>
  </mergeCells>
  <printOptions horizontalCentered="1"/>
  <pageMargins left="0.15748031496062992" right="0.15748031496062992" top="0.42" bottom="0.55118110236220474" header="0.23622047244094491" footer="0.15748031496062992"/>
  <pageSetup paperSize="9" scale="47" fitToHeight="4" orientation="landscape" r:id="rId1"/>
  <headerFooter>
    <oddHeader xml:space="preserve">&amp;L&amp;"Times New Roman,Normál"5. melléklet   a 31/2020.(XII.2.) Tata Város Önkormányzat Polgármesterének rendeletéhez
</oddHeader>
    <oddFooter>&amp;L24/2019.(XII.19.)önk.rend. Hatályos:2020.01.01.
17/2020.(VII.9.)önk.rend. Hatályos:2020.07.10.
22/2020.(VIII.6.)önk.rend. Hatályos:2020.08.10.</oddFooter>
  </headerFooter>
  <rowBreaks count="2" manualBreakCount="2">
    <brk id="55" max="17" man="1"/>
    <brk id="109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5"/>
  <sheetViews>
    <sheetView view="pageLayout" zoomScale="130" zoomScaleNormal="112" zoomScaleSheetLayoutView="142" zoomScalePageLayoutView="130" workbookViewId="0">
      <selection activeCell="A2" sqref="A2:D3"/>
    </sheetView>
  </sheetViews>
  <sheetFormatPr defaultRowHeight="15"/>
  <cols>
    <col min="1" max="1" width="10.85546875" bestFit="1" customWidth="1"/>
    <col min="2" max="2" width="10.140625" bestFit="1" customWidth="1"/>
    <col min="3" max="3" width="14.140625" customWidth="1"/>
    <col min="4" max="4" width="10.42578125" style="961" bestFit="1" customWidth="1"/>
    <col min="5" max="17" width="8" customWidth="1"/>
    <col min="18" max="18" width="9.85546875" customWidth="1"/>
  </cols>
  <sheetData>
    <row r="1" spans="1:18" ht="15.75" thickBot="1">
      <c r="A1" s="2157" t="s">
        <v>914</v>
      </c>
      <c r="B1" s="2157"/>
      <c r="C1" s="2157"/>
      <c r="D1" s="2157"/>
      <c r="E1" s="2157"/>
      <c r="F1" s="2157"/>
      <c r="G1" s="2157"/>
      <c r="H1" s="2157"/>
      <c r="I1" s="2157"/>
      <c r="J1" s="2157"/>
      <c r="K1" s="2157"/>
      <c r="L1" s="2157"/>
      <c r="M1" s="2157"/>
      <c r="N1" s="2157"/>
      <c r="O1" s="2157"/>
      <c r="P1" s="2157"/>
      <c r="Q1" s="2157"/>
      <c r="R1" s="2157"/>
    </row>
    <row r="2" spans="1:18">
      <c r="A2" s="2158" t="s">
        <v>2</v>
      </c>
      <c r="B2" s="2165"/>
      <c r="C2" s="2165"/>
      <c r="D2" s="2166"/>
      <c r="E2" s="2170" t="s">
        <v>95</v>
      </c>
      <c r="F2" s="2163" t="s">
        <v>96</v>
      </c>
      <c r="G2" s="2158" t="s">
        <v>97</v>
      </c>
      <c r="H2" s="2165"/>
      <c r="I2" s="2165"/>
      <c r="J2" s="2165"/>
      <c r="K2" s="2165"/>
      <c r="L2" s="2159"/>
      <c r="M2" s="2158" t="s">
        <v>98</v>
      </c>
      <c r="N2" s="2165"/>
      <c r="O2" s="2165"/>
      <c r="P2" s="2159"/>
      <c r="Q2" s="2158" t="s">
        <v>55</v>
      </c>
      <c r="R2" s="2159"/>
    </row>
    <row r="3" spans="1:18" ht="51.75" customHeight="1" thickBot="1">
      <c r="A3" s="2167"/>
      <c r="B3" s="2168"/>
      <c r="C3" s="2168"/>
      <c r="D3" s="2169"/>
      <c r="E3" s="2171"/>
      <c r="F3" s="2164"/>
      <c r="G3" s="1067" t="s">
        <v>315</v>
      </c>
      <c r="H3" s="1068" t="s">
        <v>562</v>
      </c>
      <c r="I3" s="1068" t="s">
        <v>109</v>
      </c>
      <c r="J3" s="1068" t="s">
        <v>110</v>
      </c>
      <c r="K3" s="1068" t="s">
        <v>111</v>
      </c>
      <c r="L3" s="1069" t="s">
        <v>23</v>
      </c>
      <c r="M3" s="1070" t="s">
        <v>56</v>
      </c>
      <c r="N3" s="1071" t="s">
        <v>57</v>
      </c>
      <c r="O3" s="1068" t="s">
        <v>112</v>
      </c>
      <c r="P3" s="1072" t="s">
        <v>113</v>
      </c>
      <c r="Q3" s="1073" t="s">
        <v>114</v>
      </c>
      <c r="R3" s="1069" t="s">
        <v>115</v>
      </c>
    </row>
    <row r="4" spans="1:18" ht="15.75" thickBot="1">
      <c r="A4" s="2160" t="s">
        <v>118</v>
      </c>
      <c r="B4" s="2161"/>
      <c r="C4" s="2161"/>
      <c r="D4" s="2161"/>
      <c r="E4" s="2161"/>
      <c r="F4" s="2161"/>
      <c r="G4" s="2161"/>
      <c r="H4" s="2161"/>
      <c r="I4" s="2161"/>
      <c r="J4" s="2161"/>
      <c r="K4" s="2161"/>
      <c r="L4" s="2161"/>
      <c r="M4" s="2161"/>
      <c r="N4" s="2161"/>
      <c r="O4" s="2161"/>
      <c r="P4" s="2161"/>
      <c r="Q4" s="2161"/>
      <c r="R4" s="2162"/>
    </row>
    <row r="5" spans="1:18">
      <c r="A5" s="2128" t="s">
        <v>100</v>
      </c>
      <c r="B5" s="2142" t="s">
        <v>894</v>
      </c>
      <c r="C5" s="2145" t="s">
        <v>346</v>
      </c>
      <c r="D5" s="1126" t="s">
        <v>3</v>
      </c>
      <c r="E5" s="1131">
        <v>856632</v>
      </c>
      <c r="F5" s="1105">
        <f>SUM(G5:R5)</f>
        <v>574616</v>
      </c>
      <c r="G5" s="1110">
        <v>365713</v>
      </c>
      <c r="H5" s="1111">
        <v>72231</v>
      </c>
      <c r="I5" s="1111">
        <v>121686</v>
      </c>
      <c r="J5" s="1111">
        <v>0</v>
      </c>
      <c r="K5" s="1111">
        <v>0</v>
      </c>
      <c r="L5" s="1120">
        <v>0</v>
      </c>
      <c r="M5" s="1118">
        <v>13059</v>
      </c>
      <c r="N5" s="1111">
        <v>1927</v>
      </c>
      <c r="O5" s="1111">
        <v>0</v>
      </c>
      <c r="P5" s="1111">
        <v>0</v>
      </c>
      <c r="Q5" s="1111">
        <v>0</v>
      </c>
      <c r="R5" s="1112">
        <v>0</v>
      </c>
    </row>
    <row r="6" spans="1:18">
      <c r="A6" s="2129"/>
      <c r="B6" s="2143"/>
      <c r="C6" s="2146"/>
      <c r="D6" s="1127" t="s">
        <v>964</v>
      </c>
      <c r="E6" s="1132">
        <f>856632+230+1175+27-20000+34490+279+147-5397-603</f>
        <v>866980</v>
      </c>
      <c r="F6" s="1106">
        <f>SUM(G6:R6)</f>
        <v>585633</v>
      </c>
      <c r="G6" s="1113">
        <f>365713-2640-20000+10280+127+20000</f>
        <v>373480</v>
      </c>
      <c r="H6" s="1076">
        <f>72231+1796+20-3526</f>
        <v>70521</v>
      </c>
      <c r="I6" s="1076">
        <f>121686+2640+230+1811</f>
        <v>126367</v>
      </c>
      <c r="J6" s="1076">
        <v>0</v>
      </c>
      <c r="K6" s="1076">
        <v>0</v>
      </c>
      <c r="L6" s="1121">
        <v>0</v>
      </c>
      <c r="M6" s="1099">
        <f>13059+279</f>
        <v>13338</v>
      </c>
      <c r="N6" s="1076">
        <v>1927</v>
      </c>
      <c r="O6" s="1076">
        <v>0</v>
      </c>
      <c r="P6" s="1076">
        <v>0</v>
      </c>
      <c r="Q6" s="1076">
        <v>0</v>
      </c>
      <c r="R6" s="1077">
        <v>0</v>
      </c>
    </row>
    <row r="7" spans="1:18">
      <c r="A7" s="2130"/>
      <c r="B7" s="2144"/>
      <c r="C7" s="2147"/>
      <c r="D7" s="1127" t="s">
        <v>977</v>
      </c>
      <c r="E7" s="1132">
        <f>856632+230+1175+27-20000+34490+279+147-5397-603+5137+263+200+454+171-360-827</f>
        <v>872018</v>
      </c>
      <c r="F7" s="1106">
        <f>SUM(G7:R7)</f>
        <v>591344</v>
      </c>
      <c r="G7" s="1113">
        <f>365713-2640-20000+10280+127+20000+4448</f>
        <v>377928</v>
      </c>
      <c r="H7" s="1076">
        <f>72231+1796+20-3526+689</f>
        <v>71210</v>
      </c>
      <c r="I7" s="1076">
        <f>121686+2640+230+1811+263+200+300+171-360</f>
        <v>126941</v>
      </c>
      <c r="J7" s="1076">
        <v>0</v>
      </c>
      <c r="K7" s="1076">
        <v>0</v>
      </c>
      <c r="L7" s="1121">
        <v>0</v>
      </c>
      <c r="M7" s="1099">
        <f>13059+279</f>
        <v>13338</v>
      </c>
      <c r="N7" s="1076">
        <v>1927</v>
      </c>
      <c r="O7" s="1076">
        <v>0</v>
      </c>
      <c r="P7" s="1076">
        <v>0</v>
      </c>
      <c r="Q7" s="1076">
        <v>0</v>
      </c>
      <c r="R7" s="1077">
        <v>0</v>
      </c>
    </row>
    <row r="8" spans="1:18">
      <c r="A8" s="2131" t="s">
        <v>100</v>
      </c>
      <c r="B8" s="2149" t="s">
        <v>895</v>
      </c>
      <c r="C8" s="2148" t="s">
        <v>347</v>
      </c>
      <c r="D8" s="1128" t="s">
        <v>3</v>
      </c>
      <c r="E8" s="1132">
        <v>0</v>
      </c>
      <c r="F8" s="1107">
        <f t="shared" ref="F8:F43" si="0">SUM(G8:R8)</f>
        <v>60947</v>
      </c>
      <c r="G8" s="1114">
        <v>50608</v>
      </c>
      <c r="H8" s="1080">
        <v>9339</v>
      </c>
      <c r="I8" s="1080">
        <v>1000</v>
      </c>
      <c r="J8" s="1080">
        <v>0</v>
      </c>
      <c r="K8" s="1080">
        <v>0</v>
      </c>
      <c r="L8" s="1084">
        <v>0</v>
      </c>
      <c r="M8" s="1100">
        <v>0</v>
      </c>
      <c r="N8" s="1080">
        <v>0</v>
      </c>
      <c r="O8" s="1080">
        <v>0</v>
      </c>
      <c r="P8" s="1080">
        <v>0</v>
      </c>
      <c r="Q8" s="1080">
        <v>0</v>
      </c>
      <c r="R8" s="1081">
        <v>0</v>
      </c>
    </row>
    <row r="9" spans="1:18">
      <c r="A9" s="2129"/>
      <c r="B9" s="2143"/>
      <c r="C9" s="2146"/>
      <c r="D9" s="1127" t="s">
        <v>964</v>
      </c>
      <c r="E9" s="1104">
        <v>0</v>
      </c>
      <c r="F9" s="1107">
        <f t="shared" si="0"/>
        <v>60502</v>
      </c>
      <c r="G9" s="1114">
        <v>50608</v>
      </c>
      <c r="H9" s="1080">
        <f>9339-445</f>
        <v>8894</v>
      </c>
      <c r="I9" s="1080">
        <v>1000</v>
      </c>
      <c r="J9" s="1080">
        <v>0</v>
      </c>
      <c r="K9" s="1080">
        <v>0</v>
      </c>
      <c r="L9" s="1084">
        <v>0</v>
      </c>
      <c r="M9" s="1100">
        <v>0</v>
      </c>
      <c r="N9" s="1080">
        <v>0</v>
      </c>
      <c r="O9" s="1080">
        <v>0</v>
      </c>
      <c r="P9" s="1080">
        <v>0</v>
      </c>
      <c r="Q9" s="1080">
        <v>0</v>
      </c>
      <c r="R9" s="1081">
        <v>0</v>
      </c>
    </row>
    <row r="10" spans="1:18">
      <c r="A10" s="2130"/>
      <c r="B10" s="2144"/>
      <c r="C10" s="2147"/>
      <c r="D10" s="1127" t="s">
        <v>977</v>
      </c>
      <c r="E10" s="1104">
        <v>0</v>
      </c>
      <c r="F10" s="1107">
        <f t="shared" si="0"/>
        <v>60502</v>
      </c>
      <c r="G10" s="1114">
        <v>50608</v>
      </c>
      <c r="H10" s="1080">
        <f>9339-445</f>
        <v>8894</v>
      </c>
      <c r="I10" s="1080">
        <v>1000</v>
      </c>
      <c r="J10" s="1080">
        <v>0</v>
      </c>
      <c r="K10" s="1080">
        <v>0</v>
      </c>
      <c r="L10" s="1084">
        <v>0</v>
      </c>
      <c r="M10" s="1100">
        <v>0</v>
      </c>
      <c r="N10" s="1080">
        <v>0</v>
      </c>
      <c r="O10" s="1080">
        <v>0</v>
      </c>
      <c r="P10" s="1080">
        <v>0</v>
      </c>
      <c r="Q10" s="1080">
        <v>0</v>
      </c>
      <c r="R10" s="1081">
        <v>0</v>
      </c>
    </row>
    <row r="11" spans="1:18">
      <c r="A11" s="2131" t="s">
        <v>100</v>
      </c>
      <c r="B11" s="2149" t="s">
        <v>896</v>
      </c>
      <c r="C11" s="2148" t="s">
        <v>348</v>
      </c>
      <c r="D11" s="1128" t="s">
        <v>3</v>
      </c>
      <c r="E11" s="1104">
        <v>3700</v>
      </c>
      <c r="F11" s="1107">
        <f t="shared" si="0"/>
        <v>13896</v>
      </c>
      <c r="G11" s="1114">
        <v>11369</v>
      </c>
      <c r="H11" s="1080">
        <v>2127</v>
      </c>
      <c r="I11" s="1080">
        <v>400</v>
      </c>
      <c r="J11" s="1080">
        <v>0</v>
      </c>
      <c r="K11" s="1080">
        <v>0</v>
      </c>
      <c r="L11" s="1084">
        <v>0</v>
      </c>
      <c r="M11" s="1100">
        <v>0</v>
      </c>
      <c r="N11" s="1080">
        <v>0</v>
      </c>
      <c r="O11" s="1080">
        <v>0</v>
      </c>
      <c r="P11" s="1080">
        <v>0</v>
      </c>
      <c r="Q11" s="1080">
        <v>0</v>
      </c>
      <c r="R11" s="1081">
        <v>0</v>
      </c>
    </row>
    <row r="12" spans="1:18">
      <c r="A12" s="2129"/>
      <c r="B12" s="2143"/>
      <c r="C12" s="2146"/>
      <c r="D12" s="1127" t="s">
        <v>964</v>
      </c>
      <c r="E12" s="1104">
        <v>3700</v>
      </c>
      <c r="F12" s="1107">
        <f t="shared" si="0"/>
        <v>13795</v>
      </c>
      <c r="G12" s="1114">
        <v>11369</v>
      </c>
      <c r="H12" s="1080">
        <f>2127-101</f>
        <v>2026</v>
      </c>
      <c r="I12" s="1080">
        <v>400</v>
      </c>
      <c r="J12" s="1080">
        <v>0</v>
      </c>
      <c r="K12" s="1080">
        <v>0</v>
      </c>
      <c r="L12" s="1084">
        <v>0</v>
      </c>
      <c r="M12" s="1100">
        <v>0</v>
      </c>
      <c r="N12" s="1080">
        <v>0</v>
      </c>
      <c r="O12" s="1080">
        <v>0</v>
      </c>
      <c r="P12" s="1080">
        <v>0</v>
      </c>
      <c r="Q12" s="1080">
        <v>0</v>
      </c>
      <c r="R12" s="1081">
        <v>0</v>
      </c>
    </row>
    <row r="13" spans="1:18">
      <c r="A13" s="2130"/>
      <c r="B13" s="2144"/>
      <c r="C13" s="2147"/>
      <c r="D13" s="1127" t="s">
        <v>977</v>
      </c>
      <c r="E13" s="1104">
        <v>3700</v>
      </c>
      <c r="F13" s="1107">
        <f t="shared" si="0"/>
        <v>13795</v>
      </c>
      <c r="G13" s="1114">
        <v>11369</v>
      </c>
      <c r="H13" s="1080">
        <f>2127-101</f>
        <v>2026</v>
      </c>
      <c r="I13" s="1080">
        <v>400</v>
      </c>
      <c r="J13" s="1080">
        <v>0</v>
      </c>
      <c r="K13" s="1080">
        <v>0</v>
      </c>
      <c r="L13" s="1084">
        <v>0</v>
      </c>
      <c r="M13" s="1100">
        <v>0</v>
      </c>
      <c r="N13" s="1080">
        <v>0</v>
      </c>
      <c r="O13" s="1080">
        <v>0</v>
      </c>
      <c r="P13" s="1080">
        <v>0</v>
      </c>
      <c r="Q13" s="1080">
        <v>0</v>
      </c>
      <c r="R13" s="1081">
        <v>0</v>
      </c>
    </row>
    <row r="14" spans="1:18">
      <c r="A14" s="2131" t="s">
        <v>344</v>
      </c>
      <c r="B14" s="2149" t="s">
        <v>897</v>
      </c>
      <c r="C14" s="2148" t="s">
        <v>103</v>
      </c>
      <c r="D14" s="1128" t="s">
        <v>3</v>
      </c>
      <c r="E14" s="1104">
        <v>0</v>
      </c>
      <c r="F14" s="1107">
        <f t="shared" si="0"/>
        <v>35743</v>
      </c>
      <c r="G14" s="1114">
        <v>22669</v>
      </c>
      <c r="H14" s="1080">
        <v>4167</v>
      </c>
      <c r="I14" s="1080">
        <v>8707</v>
      </c>
      <c r="J14" s="1080">
        <v>0</v>
      </c>
      <c r="K14" s="1080">
        <v>0</v>
      </c>
      <c r="L14" s="1084">
        <v>0</v>
      </c>
      <c r="M14" s="1100">
        <v>200</v>
      </c>
      <c r="N14" s="1080">
        <v>0</v>
      </c>
      <c r="O14" s="1080">
        <v>0</v>
      </c>
      <c r="P14" s="1080">
        <v>0</v>
      </c>
      <c r="Q14" s="1080">
        <v>0</v>
      </c>
      <c r="R14" s="1081">
        <v>0</v>
      </c>
    </row>
    <row r="15" spans="1:18">
      <c r="A15" s="2129"/>
      <c r="B15" s="2143"/>
      <c r="C15" s="2146"/>
      <c r="D15" s="1127" t="s">
        <v>964</v>
      </c>
      <c r="E15" s="1104">
        <v>0</v>
      </c>
      <c r="F15" s="1107">
        <f t="shared" si="0"/>
        <v>35572</v>
      </c>
      <c r="G15" s="1114">
        <v>22669</v>
      </c>
      <c r="H15" s="1080">
        <f>4167-198</f>
        <v>3969</v>
      </c>
      <c r="I15" s="1080">
        <f>8707+27</f>
        <v>8734</v>
      </c>
      <c r="J15" s="1080">
        <v>0</v>
      </c>
      <c r="K15" s="1080">
        <v>0</v>
      </c>
      <c r="L15" s="1084">
        <v>0</v>
      </c>
      <c r="M15" s="1100">
        <v>200</v>
      </c>
      <c r="N15" s="1080">
        <v>0</v>
      </c>
      <c r="O15" s="1080">
        <v>0</v>
      </c>
      <c r="P15" s="1080">
        <v>0</v>
      </c>
      <c r="Q15" s="1080">
        <v>0</v>
      </c>
      <c r="R15" s="1081">
        <v>0</v>
      </c>
    </row>
    <row r="16" spans="1:18">
      <c r="A16" s="2130"/>
      <c r="B16" s="2144"/>
      <c r="C16" s="2147"/>
      <c r="D16" s="1127" t="s">
        <v>977</v>
      </c>
      <c r="E16" s="1104">
        <v>0</v>
      </c>
      <c r="F16" s="1107">
        <f t="shared" si="0"/>
        <v>34745</v>
      </c>
      <c r="G16" s="1114">
        <v>22669</v>
      </c>
      <c r="H16" s="1080">
        <f>4167-198</f>
        <v>3969</v>
      </c>
      <c r="I16" s="1080">
        <f>8707+27-827</f>
        <v>7907</v>
      </c>
      <c r="J16" s="1080">
        <v>0</v>
      </c>
      <c r="K16" s="1080">
        <v>0</v>
      </c>
      <c r="L16" s="1084">
        <v>0</v>
      </c>
      <c r="M16" s="1100">
        <v>200</v>
      </c>
      <c r="N16" s="1080">
        <v>0</v>
      </c>
      <c r="O16" s="1080">
        <v>0</v>
      </c>
      <c r="P16" s="1080">
        <v>0</v>
      </c>
      <c r="Q16" s="1080">
        <v>0</v>
      </c>
      <c r="R16" s="1081">
        <v>0</v>
      </c>
    </row>
    <row r="17" spans="1:18">
      <c r="A17" s="2131" t="s">
        <v>100</v>
      </c>
      <c r="B17" s="2149" t="s">
        <v>898</v>
      </c>
      <c r="C17" s="2148" t="s">
        <v>351</v>
      </c>
      <c r="D17" s="1128" t="s">
        <v>3</v>
      </c>
      <c r="E17" s="1104">
        <v>0</v>
      </c>
      <c r="F17" s="1107">
        <f t="shared" si="0"/>
        <v>46549</v>
      </c>
      <c r="G17" s="1114">
        <v>38893</v>
      </c>
      <c r="H17" s="1080">
        <v>7300</v>
      </c>
      <c r="I17" s="1080">
        <v>356</v>
      </c>
      <c r="J17" s="1080">
        <v>0</v>
      </c>
      <c r="K17" s="1080">
        <v>0</v>
      </c>
      <c r="L17" s="1084">
        <v>0</v>
      </c>
      <c r="M17" s="1100">
        <v>0</v>
      </c>
      <c r="N17" s="1080">
        <v>0</v>
      </c>
      <c r="O17" s="1080">
        <v>0</v>
      </c>
      <c r="P17" s="1080">
        <v>0</v>
      </c>
      <c r="Q17" s="1080">
        <v>0</v>
      </c>
      <c r="R17" s="1081">
        <v>0</v>
      </c>
    </row>
    <row r="18" spans="1:18">
      <c r="A18" s="2129"/>
      <c r="B18" s="2143"/>
      <c r="C18" s="2146"/>
      <c r="D18" s="1127" t="s">
        <v>964</v>
      </c>
      <c r="E18" s="1104">
        <v>0</v>
      </c>
      <c r="F18" s="1107">
        <f t="shared" si="0"/>
        <v>46201</v>
      </c>
      <c r="G18" s="1114">
        <v>38893</v>
      </c>
      <c r="H18" s="1080">
        <f>7300-348</f>
        <v>6952</v>
      </c>
      <c r="I18" s="1080">
        <v>356</v>
      </c>
      <c r="J18" s="1080">
        <v>0</v>
      </c>
      <c r="K18" s="1080">
        <v>0</v>
      </c>
      <c r="L18" s="1084">
        <v>0</v>
      </c>
      <c r="M18" s="1100">
        <v>0</v>
      </c>
      <c r="N18" s="1080">
        <v>0</v>
      </c>
      <c r="O18" s="1080">
        <v>0</v>
      </c>
      <c r="P18" s="1080">
        <v>0</v>
      </c>
      <c r="Q18" s="1080">
        <v>0</v>
      </c>
      <c r="R18" s="1081">
        <v>0</v>
      </c>
    </row>
    <row r="19" spans="1:18">
      <c r="A19" s="2130"/>
      <c r="B19" s="2144"/>
      <c r="C19" s="2147"/>
      <c r="D19" s="1127" t="s">
        <v>977</v>
      </c>
      <c r="E19" s="1104">
        <v>0</v>
      </c>
      <c r="F19" s="1107">
        <f t="shared" si="0"/>
        <v>46201</v>
      </c>
      <c r="G19" s="1114">
        <v>38893</v>
      </c>
      <c r="H19" s="1080">
        <f>7300-348</f>
        <v>6952</v>
      </c>
      <c r="I19" s="1080">
        <v>356</v>
      </c>
      <c r="J19" s="1080">
        <v>0</v>
      </c>
      <c r="K19" s="1080">
        <v>0</v>
      </c>
      <c r="L19" s="1084">
        <v>0</v>
      </c>
      <c r="M19" s="1100">
        <v>0</v>
      </c>
      <c r="N19" s="1080">
        <v>0</v>
      </c>
      <c r="O19" s="1080">
        <v>0</v>
      </c>
      <c r="P19" s="1080">
        <v>0</v>
      </c>
      <c r="Q19" s="1080">
        <v>0</v>
      </c>
      <c r="R19" s="1081">
        <v>0</v>
      </c>
    </row>
    <row r="20" spans="1:18">
      <c r="A20" s="2131" t="s">
        <v>344</v>
      </c>
      <c r="B20" s="2149" t="s">
        <v>899</v>
      </c>
      <c r="C20" s="2148" t="s">
        <v>349</v>
      </c>
      <c r="D20" s="1128" t="s">
        <v>3</v>
      </c>
      <c r="E20" s="1104">
        <v>250</v>
      </c>
      <c r="F20" s="1107">
        <f t="shared" si="0"/>
        <v>1200</v>
      </c>
      <c r="G20" s="1115">
        <v>0</v>
      </c>
      <c r="H20" s="1083">
        <v>0</v>
      </c>
      <c r="I20" s="1083">
        <v>0</v>
      </c>
      <c r="J20" s="1083">
        <v>0</v>
      </c>
      <c r="K20" s="1083">
        <v>0</v>
      </c>
      <c r="L20" s="1122">
        <v>0</v>
      </c>
      <c r="M20" s="1101">
        <v>0</v>
      </c>
      <c r="N20" s="1083">
        <v>0</v>
      </c>
      <c r="O20" s="1083">
        <v>1200</v>
      </c>
      <c r="P20" s="1083">
        <v>0</v>
      </c>
      <c r="Q20" s="1083">
        <v>0</v>
      </c>
      <c r="R20" s="1081">
        <v>0</v>
      </c>
    </row>
    <row r="21" spans="1:18">
      <c r="A21" s="2129"/>
      <c r="B21" s="2143"/>
      <c r="C21" s="2146"/>
      <c r="D21" s="1127" t="s">
        <v>964</v>
      </c>
      <c r="E21" s="1104">
        <v>250</v>
      </c>
      <c r="F21" s="1107">
        <f t="shared" si="0"/>
        <v>1200</v>
      </c>
      <c r="G21" s="1115">
        <v>0</v>
      </c>
      <c r="H21" s="1083">
        <v>0</v>
      </c>
      <c r="I21" s="1083">
        <v>0</v>
      </c>
      <c r="J21" s="1083">
        <v>0</v>
      </c>
      <c r="K21" s="1083">
        <v>0</v>
      </c>
      <c r="L21" s="1122">
        <v>0</v>
      </c>
      <c r="M21" s="1101">
        <v>0</v>
      </c>
      <c r="N21" s="1083">
        <v>0</v>
      </c>
      <c r="O21" s="1083">
        <v>1200</v>
      </c>
      <c r="P21" s="1083">
        <v>0</v>
      </c>
      <c r="Q21" s="1083">
        <v>0</v>
      </c>
      <c r="R21" s="1081">
        <v>0</v>
      </c>
    </row>
    <row r="22" spans="1:18">
      <c r="A22" s="2130"/>
      <c r="B22" s="2144"/>
      <c r="C22" s="2147"/>
      <c r="D22" s="1127" t="s">
        <v>977</v>
      </c>
      <c r="E22" s="1104">
        <v>250</v>
      </c>
      <c r="F22" s="1107">
        <f t="shared" si="0"/>
        <v>1200</v>
      </c>
      <c r="G22" s="1115">
        <v>0</v>
      </c>
      <c r="H22" s="1083">
        <v>0</v>
      </c>
      <c r="I22" s="1083">
        <v>0</v>
      </c>
      <c r="J22" s="1083">
        <v>0</v>
      </c>
      <c r="K22" s="1083">
        <v>0</v>
      </c>
      <c r="L22" s="1122">
        <v>0</v>
      </c>
      <c r="M22" s="1101">
        <v>0</v>
      </c>
      <c r="N22" s="1083">
        <v>0</v>
      </c>
      <c r="O22" s="1083">
        <v>1200</v>
      </c>
      <c r="P22" s="1083">
        <v>0</v>
      </c>
      <c r="Q22" s="1083">
        <v>0</v>
      </c>
      <c r="R22" s="1081">
        <v>0</v>
      </c>
    </row>
    <row r="23" spans="1:18">
      <c r="A23" s="2131" t="s">
        <v>100</v>
      </c>
      <c r="B23" s="2149" t="s">
        <v>900</v>
      </c>
      <c r="C23" s="2148" t="s">
        <v>337</v>
      </c>
      <c r="D23" s="1128" t="s">
        <v>3</v>
      </c>
      <c r="E23" s="1104">
        <v>0</v>
      </c>
      <c r="F23" s="1107">
        <f>SUM(G23:R23)</f>
        <v>104362</v>
      </c>
      <c r="G23" s="1114">
        <v>87994</v>
      </c>
      <c r="H23" s="1080">
        <v>16368</v>
      </c>
      <c r="I23" s="1080">
        <v>0</v>
      </c>
      <c r="J23" s="1080">
        <v>0</v>
      </c>
      <c r="K23" s="1080">
        <v>0</v>
      </c>
      <c r="L23" s="1084">
        <v>0</v>
      </c>
      <c r="M23" s="1100">
        <v>0</v>
      </c>
      <c r="N23" s="1080">
        <v>0</v>
      </c>
      <c r="O23" s="1080">
        <v>0</v>
      </c>
      <c r="P23" s="1080">
        <v>0</v>
      </c>
      <c r="Q23" s="1080">
        <v>0</v>
      </c>
      <c r="R23" s="1081">
        <v>0</v>
      </c>
    </row>
    <row r="24" spans="1:18">
      <c r="A24" s="2129"/>
      <c r="B24" s="2143"/>
      <c r="C24" s="2146"/>
      <c r="D24" s="1127" t="s">
        <v>964</v>
      </c>
      <c r="E24" s="1104">
        <v>0</v>
      </c>
      <c r="F24" s="1107">
        <f>SUM(G24:R24)</f>
        <v>103583</v>
      </c>
      <c r="G24" s="1114">
        <f>87994</f>
        <v>87994</v>
      </c>
      <c r="H24" s="1080">
        <f>16368-779</f>
        <v>15589</v>
      </c>
      <c r="I24" s="1080">
        <v>0</v>
      </c>
      <c r="J24" s="1080">
        <v>0</v>
      </c>
      <c r="K24" s="1080">
        <v>0</v>
      </c>
      <c r="L24" s="1084">
        <v>0</v>
      </c>
      <c r="M24" s="1100">
        <v>0</v>
      </c>
      <c r="N24" s="1080">
        <v>0</v>
      </c>
      <c r="O24" s="1080">
        <v>0</v>
      </c>
      <c r="P24" s="1080">
        <v>0</v>
      </c>
      <c r="Q24" s="1080">
        <v>0</v>
      </c>
      <c r="R24" s="1081">
        <v>0</v>
      </c>
    </row>
    <row r="25" spans="1:18">
      <c r="A25" s="2130"/>
      <c r="B25" s="2144"/>
      <c r="C25" s="2147"/>
      <c r="D25" s="1127" t="s">
        <v>977</v>
      </c>
      <c r="E25" s="1104">
        <v>0</v>
      </c>
      <c r="F25" s="1107">
        <f>SUM(G25:R25)</f>
        <v>103583</v>
      </c>
      <c r="G25" s="1114">
        <f>87994-270</f>
        <v>87724</v>
      </c>
      <c r="H25" s="1080">
        <f>16368-779</f>
        <v>15589</v>
      </c>
      <c r="I25" s="1080">
        <v>270</v>
      </c>
      <c r="J25" s="1080">
        <v>0</v>
      </c>
      <c r="K25" s="1080">
        <v>0</v>
      </c>
      <c r="L25" s="1084">
        <v>0</v>
      </c>
      <c r="M25" s="1100">
        <v>0</v>
      </c>
      <c r="N25" s="1080">
        <v>0</v>
      </c>
      <c r="O25" s="1080">
        <v>0</v>
      </c>
      <c r="P25" s="1080">
        <v>0</v>
      </c>
      <c r="Q25" s="1080">
        <v>0</v>
      </c>
      <c r="R25" s="1081">
        <v>0</v>
      </c>
    </row>
    <row r="26" spans="1:18">
      <c r="A26" s="2131" t="s">
        <v>344</v>
      </c>
      <c r="B26" s="2149" t="s">
        <v>901</v>
      </c>
      <c r="C26" s="2148" t="s">
        <v>339</v>
      </c>
      <c r="D26" s="1128" t="s">
        <v>3</v>
      </c>
      <c r="E26" s="1104">
        <v>2400</v>
      </c>
      <c r="F26" s="1107">
        <f t="shared" si="0"/>
        <v>4010</v>
      </c>
      <c r="G26" s="1114">
        <v>0</v>
      </c>
      <c r="H26" s="1080">
        <v>0</v>
      </c>
      <c r="I26" s="1080">
        <v>2960</v>
      </c>
      <c r="J26" s="1080">
        <v>0</v>
      </c>
      <c r="K26" s="1080">
        <v>0</v>
      </c>
      <c r="L26" s="1084">
        <v>0</v>
      </c>
      <c r="M26" s="1100">
        <v>1050</v>
      </c>
      <c r="N26" s="1080">
        <v>0</v>
      </c>
      <c r="O26" s="1080">
        <v>0</v>
      </c>
      <c r="P26" s="1080">
        <v>0</v>
      </c>
      <c r="Q26" s="1080">
        <v>0</v>
      </c>
      <c r="R26" s="1081">
        <v>0</v>
      </c>
    </row>
    <row r="27" spans="1:18">
      <c r="A27" s="2129"/>
      <c r="B27" s="2143"/>
      <c r="C27" s="2146"/>
      <c r="D27" s="1127" t="s">
        <v>964</v>
      </c>
      <c r="E27" s="1104">
        <v>2400</v>
      </c>
      <c r="F27" s="1107">
        <f t="shared" si="0"/>
        <v>4010</v>
      </c>
      <c r="G27" s="1114">
        <v>0</v>
      </c>
      <c r="H27" s="1080">
        <v>0</v>
      </c>
      <c r="I27" s="1080">
        <v>2960</v>
      </c>
      <c r="J27" s="1080">
        <v>0</v>
      </c>
      <c r="K27" s="1080">
        <v>0</v>
      </c>
      <c r="L27" s="1084">
        <v>0</v>
      </c>
      <c r="M27" s="1100">
        <v>1050</v>
      </c>
      <c r="N27" s="1080">
        <v>0</v>
      </c>
      <c r="O27" s="1080">
        <v>0</v>
      </c>
      <c r="P27" s="1080">
        <v>0</v>
      </c>
      <c r="Q27" s="1080">
        <v>0</v>
      </c>
      <c r="R27" s="1081">
        <v>0</v>
      </c>
    </row>
    <row r="28" spans="1:18">
      <c r="A28" s="2130"/>
      <c r="B28" s="2144"/>
      <c r="C28" s="2147"/>
      <c r="D28" s="1127" t="s">
        <v>977</v>
      </c>
      <c r="E28" s="1104">
        <v>2400</v>
      </c>
      <c r="F28" s="1107">
        <f t="shared" si="0"/>
        <v>4010</v>
      </c>
      <c r="G28" s="1114">
        <v>0</v>
      </c>
      <c r="H28" s="1080">
        <v>0</v>
      </c>
      <c r="I28" s="1080">
        <v>2960</v>
      </c>
      <c r="J28" s="1080">
        <v>0</v>
      </c>
      <c r="K28" s="1080">
        <v>0</v>
      </c>
      <c r="L28" s="1084">
        <v>0</v>
      </c>
      <c r="M28" s="1100">
        <v>1050</v>
      </c>
      <c r="N28" s="1080">
        <v>0</v>
      </c>
      <c r="O28" s="1080">
        <v>0</v>
      </c>
      <c r="P28" s="1080">
        <v>0</v>
      </c>
      <c r="Q28" s="1080">
        <v>0</v>
      </c>
      <c r="R28" s="1081">
        <v>0</v>
      </c>
    </row>
    <row r="29" spans="1:18">
      <c r="A29" s="2131" t="s">
        <v>344</v>
      </c>
      <c r="B29" s="2149" t="s">
        <v>902</v>
      </c>
      <c r="C29" s="2148" t="s">
        <v>341</v>
      </c>
      <c r="D29" s="1128" t="s">
        <v>3</v>
      </c>
      <c r="E29" s="1104">
        <v>250</v>
      </c>
      <c r="F29" s="1107">
        <f t="shared" si="0"/>
        <v>595</v>
      </c>
      <c r="G29" s="1114">
        <v>0</v>
      </c>
      <c r="H29" s="1080">
        <v>0</v>
      </c>
      <c r="I29" s="1080">
        <v>345</v>
      </c>
      <c r="J29" s="1080">
        <v>0</v>
      </c>
      <c r="K29" s="1080">
        <v>0</v>
      </c>
      <c r="L29" s="1084">
        <v>0</v>
      </c>
      <c r="M29" s="1100">
        <v>250</v>
      </c>
      <c r="N29" s="1080">
        <v>0</v>
      </c>
      <c r="O29" s="1080">
        <v>0</v>
      </c>
      <c r="P29" s="1080">
        <v>0</v>
      </c>
      <c r="Q29" s="1080">
        <v>0</v>
      </c>
      <c r="R29" s="1081">
        <v>0</v>
      </c>
    </row>
    <row r="30" spans="1:18">
      <c r="A30" s="2129"/>
      <c r="B30" s="2143"/>
      <c r="C30" s="2146"/>
      <c r="D30" s="1127" t="s">
        <v>964</v>
      </c>
      <c r="E30" s="1104">
        <v>250</v>
      </c>
      <c r="F30" s="1107">
        <f t="shared" si="0"/>
        <v>595</v>
      </c>
      <c r="G30" s="1114">
        <v>0</v>
      </c>
      <c r="H30" s="1080">
        <v>0</v>
      </c>
      <c r="I30" s="1080">
        <v>345</v>
      </c>
      <c r="J30" s="1080">
        <v>0</v>
      </c>
      <c r="K30" s="1080">
        <v>0</v>
      </c>
      <c r="L30" s="1084">
        <v>0</v>
      </c>
      <c r="M30" s="1100">
        <v>250</v>
      </c>
      <c r="N30" s="1080">
        <v>0</v>
      </c>
      <c r="O30" s="1080">
        <v>0</v>
      </c>
      <c r="P30" s="1080">
        <v>0</v>
      </c>
      <c r="Q30" s="1080">
        <v>0</v>
      </c>
      <c r="R30" s="1081">
        <v>0</v>
      </c>
    </row>
    <row r="31" spans="1:18">
      <c r="A31" s="2130"/>
      <c r="B31" s="2144"/>
      <c r="C31" s="2147"/>
      <c r="D31" s="1127" t="s">
        <v>977</v>
      </c>
      <c r="E31" s="1104">
        <v>250</v>
      </c>
      <c r="F31" s="1107">
        <f t="shared" si="0"/>
        <v>595</v>
      </c>
      <c r="G31" s="1114">
        <v>0</v>
      </c>
      <c r="H31" s="1080">
        <v>0</v>
      </c>
      <c r="I31" s="1080">
        <v>345</v>
      </c>
      <c r="J31" s="1080">
        <v>0</v>
      </c>
      <c r="K31" s="1080">
        <v>0</v>
      </c>
      <c r="L31" s="1084">
        <v>0</v>
      </c>
      <c r="M31" s="1100">
        <v>250</v>
      </c>
      <c r="N31" s="1080">
        <v>0</v>
      </c>
      <c r="O31" s="1080">
        <v>0</v>
      </c>
      <c r="P31" s="1080">
        <v>0</v>
      </c>
      <c r="Q31" s="1080">
        <v>0</v>
      </c>
      <c r="R31" s="1081">
        <v>0</v>
      </c>
    </row>
    <row r="32" spans="1:18">
      <c r="A32" s="2131" t="s">
        <v>344</v>
      </c>
      <c r="B32" s="2149" t="s">
        <v>903</v>
      </c>
      <c r="C32" s="2148" t="s">
        <v>343</v>
      </c>
      <c r="D32" s="1128" t="s">
        <v>3</v>
      </c>
      <c r="E32" s="1104">
        <v>240</v>
      </c>
      <c r="F32" s="1107">
        <f t="shared" si="0"/>
        <v>720</v>
      </c>
      <c r="G32" s="1114">
        <v>0</v>
      </c>
      <c r="H32" s="1080">
        <v>0</v>
      </c>
      <c r="I32" s="1080">
        <v>720</v>
      </c>
      <c r="J32" s="1080">
        <v>0</v>
      </c>
      <c r="K32" s="1080">
        <v>0</v>
      </c>
      <c r="L32" s="1084">
        <v>0</v>
      </c>
      <c r="M32" s="1100">
        <v>0</v>
      </c>
      <c r="N32" s="1080">
        <v>0</v>
      </c>
      <c r="O32" s="1080">
        <v>0</v>
      </c>
      <c r="P32" s="1080">
        <v>0</v>
      </c>
      <c r="Q32" s="1080">
        <v>0</v>
      </c>
      <c r="R32" s="1081">
        <v>0</v>
      </c>
    </row>
    <row r="33" spans="1:18">
      <c r="A33" s="2129"/>
      <c r="B33" s="2143"/>
      <c r="C33" s="2146"/>
      <c r="D33" s="1127" t="s">
        <v>964</v>
      </c>
      <c r="E33" s="1104">
        <v>240</v>
      </c>
      <c r="F33" s="1107">
        <f t="shared" si="0"/>
        <v>720</v>
      </c>
      <c r="G33" s="1114">
        <v>0</v>
      </c>
      <c r="H33" s="1080">
        <v>0</v>
      </c>
      <c r="I33" s="1080">
        <v>720</v>
      </c>
      <c r="J33" s="1080">
        <v>0</v>
      </c>
      <c r="K33" s="1080">
        <v>0</v>
      </c>
      <c r="L33" s="1084">
        <v>0</v>
      </c>
      <c r="M33" s="1100">
        <v>0</v>
      </c>
      <c r="N33" s="1080">
        <v>0</v>
      </c>
      <c r="O33" s="1080">
        <v>0</v>
      </c>
      <c r="P33" s="1080">
        <v>0</v>
      </c>
      <c r="Q33" s="1080">
        <v>0</v>
      </c>
      <c r="R33" s="1081">
        <v>0</v>
      </c>
    </row>
    <row r="34" spans="1:18">
      <c r="A34" s="2130"/>
      <c r="B34" s="2144"/>
      <c r="C34" s="2147"/>
      <c r="D34" s="1127" t="s">
        <v>977</v>
      </c>
      <c r="E34" s="1104">
        <v>240</v>
      </c>
      <c r="F34" s="1107">
        <f t="shared" si="0"/>
        <v>720</v>
      </c>
      <c r="G34" s="1114">
        <v>0</v>
      </c>
      <c r="H34" s="1080">
        <v>0</v>
      </c>
      <c r="I34" s="1080">
        <f>720-97</f>
        <v>623</v>
      </c>
      <c r="J34" s="1080">
        <v>0</v>
      </c>
      <c r="K34" s="1080">
        <v>0</v>
      </c>
      <c r="L34" s="1084">
        <v>0</v>
      </c>
      <c r="M34" s="1100">
        <v>97</v>
      </c>
      <c r="N34" s="1080">
        <v>0</v>
      </c>
      <c r="O34" s="1080">
        <v>0</v>
      </c>
      <c r="P34" s="1080">
        <v>0</v>
      </c>
      <c r="Q34" s="1080">
        <v>0</v>
      </c>
      <c r="R34" s="1081">
        <v>0</v>
      </c>
    </row>
    <row r="35" spans="1:18">
      <c r="A35" s="2131" t="s">
        <v>344</v>
      </c>
      <c r="B35" s="2149" t="s">
        <v>904</v>
      </c>
      <c r="C35" s="2148" t="s">
        <v>449</v>
      </c>
      <c r="D35" s="1128" t="s">
        <v>3</v>
      </c>
      <c r="E35" s="1104">
        <v>33410</v>
      </c>
      <c r="F35" s="1107">
        <f t="shared" si="0"/>
        <v>54244</v>
      </c>
      <c r="G35" s="1114">
        <v>30791</v>
      </c>
      <c r="H35" s="1080">
        <v>4167</v>
      </c>
      <c r="I35" s="1080">
        <v>19286</v>
      </c>
      <c r="J35" s="1080">
        <v>0</v>
      </c>
      <c r="K35" s="1080">
        <v>0</v>
      </c>
      <c r="L35" s="1084">
        <v>0</v>
      </c>
      <c r="M35" s="1100">
        <v>0</v>
      </c>
      <c r="N35" s="1080">
        <v>0</v>
      </c>
      <c r="O35" s="1080">
        <v>0</v>
      </c>
      <c r="P35" s="1080">
        <v>0</v>
      </c>
      <c r="Q35" s="1080">
        <v>0</v>
      </c>
      <c r="R35" s="1081">
        <v>0</v>
      </c>
    </row>
    <row r="36" spans="1:18">
      <c r="A36" s="2129"/>
      <c r="B36" s="2143"/>
      <c r="C36" s="2146"/>
      <c r="D36" s="1127" t="s">
        <v>964</v>
      </c>
      <c r="E36" s="1104">
        <f>33410+2372+603</f>
        <v>36385</v>
      </c>
      <c r="F36" s="1107">
        <f t="shared" si="0"/>
        <v>57219</v>
      </c>
      <c r="G36" s="1114">
        <f>30791+1614+18842-20000</f>
        <v>31247</v>
      </c>
      <c r="H36" s="1080">
        <f>4167+758+1761</f>
        <v>6686</v>
      </c>
      <c r="I36" s="1080">
        <v>19286</v>
      </c>
      <c r="J36" s="1080">
        <v>0</v>
      </c>
      <c r="K36" s="1080">
        <v>0</v>
      </c>
      <c r="L36" s="1084">
        <v>0</v>
      </c>
      <c r="M36" s="1100">
        <v>0</v>
      </c>
      <c r="N36" s="1080">
        <v>0</v>
      </c>
      <c r="O36" s="1080">
        <v>0</v>
      </c>
      <c r="P36" s="1080">
        <v>0</v>
      </c>
      <c r="Q36" s="1080">
        <v>0</v>
      </c>
      <c r="R36" s="1081">
        <v>0</v>
      </c>
    </row>
    <row r="37" spans="1:18">
      <c r="A37" s="2130"/>
      <c r="B37" s="2144"/>
      <c r="C37" s="2147"/>
      <c r="D37" s="1127" t="s">
        <v>977</v>
      </c>
      <c r="E37" s="1104">
        <f>33410+2372+603</f>
        <v>36385</v>
      </c>
      <c r="F37" s="1107">
        <f t="shared" si="0"/>
        <v>57219</v>
      </c>
      <c r="G37" s="1114">
        <f>30791+1614+18842-20000</f>
        <v>31247</v>
      </c>
      <c r="H37" s="1080">
        <f>4167+758+1761</f>
        <v>6686</v>
      </c>
      <c r="I37" s="1080">
        <v>19286</v>
      </c>
      <c r="J37" s="1080">
        <v>0</v>
      </c>
      <c r="K37" s="1080">
        <v>0</v>
      </c>
      <c r="L37" s="1084">
        <v>0</v>
      </c>
      <c r="M37" s="1100">
        <v>0</v>
      </c>
      <c r="N37" s="1080">
        <v>0</v>
      </c>
      <c r="O37" s="1080">
        <v>0</v>
      </c>
      <c r="P37" s="1080">
        <v>0</v>
      </c>
      <c r="Q37" s="1080">
        <v>0</v>
      </c>
      <c r="R37" s="1081">
        <v>0</v>
      </c>
    </row>
    <row r="38" spans="1:18">
      <c r="A38" s="2131" t="s">
        <v>100</v>
      </c>
      <c r="B38" s="2153" t="s">
        <v>905</v>
      </c>
      <c r="C38" s="2150" t="s">
        <v>906</v>
      </c>
      <c r="D38" s="1128" t="s">
        <v>3</v>
      </c>
      <c r="E38" s="1104">
        <v>0</v>
      </c>
      <c r="F38" s="1107">
        <f t="shared" si="0"/>
        <v>0</v>
      </c>
      <c r="G38" s="1114"/>
      <c r="H38" s="1080"/>
      <c r="I38" s="1080"/>
      <c r="J38" s="1080"/>
      <c r="K38" s="1080"/>
      <c r="L38" s="1084"/>
      <c r="M38" s="1100"/>
      <c r="N38" s="1080"/>
      <c r="O38" s="1080"/>
      <c r="P38" s="1080"/>
      <c r="Q38" s="1080"/>
      <c r="R38" s="1081"/>
    </row>
    <row r="39" spans="1:18">
      <c r="A39" s="2129"/>
      <c r="B39" s="2153"/>
      <c r="C39" s="2151"/>
      <c r="D39" s="1127" t="s">
        <v>964</v>
      </c>
      <c r="E39" s="1104">
        <v>0</v>
      </c>
      <c r="F39" s="1107">
        <f t="shared" si="0"/>
        <v>1175</v>
      </c>
      <c r="G39" s="1114">
        <v>135</v>
      </c>
      <c r="H39" s="1080">
        <v>22</v>
      </c>
      <c r="I39" s="1080">
        <v>1018</v>
      </c>
      <c r="J39" s="1080">
        <v>0</v>
      </c>
      <c r="K39" s="1080">
        <v>0</v>
      </c>
      <c r="L39" s="1084">
        <v>0</v>
      </c>
      <c r="M39" s="1100">
        <v>0</v>
      </c>
      <c r="N39" s="1080">
        <v>0</v>
      </c>
      <c r="O39" s="1080">
        <v>0</v>
      </c>
      <c r="P39" s="1080">
        <v>0</v>
      </c>
      <c r="Q39" s="1080">
        <v>0</v>
      </c>
      <c r="R39" s="1081">
        <v>0</v>
      </c>
    </row>
    <row r="40" spans="1:18">
      <c r="A40" s="2130"/>
      <c r="B40" s="2153"/>
      <c r="C40" s="2152"/>
      <c r="D40" s="1127" t="s">
        <v>977</v>
      </c>
      <c r="E40" s="1104">
        <v>0</v>
      </c>
      <c r="F40" s="1107">
        <f t="shared" si="0"/>
        <v>1329</v>
      </c>
      <c r="G40" s="1114">
        <v>135</v>
      </c>
      <c r="H40" s="1080">
        <v>22</v>
      </c>
      <c r="I40" s="1080">
        <f>1018+77</f>
        <v>1095</v>
      </c>
      <c r="J40" s="1080">
        <v>0</v>
      </c>
      <c r="K40" s="1080">
        <v>0</v>
      </c>
      <c r="L40" s="1084">
        <v>0</v>
      </c>
      <c r="M40" s="1100">
        <v>77</v>
      </c>
      <c r="N40" s="1080">
        <v>0</v>
      </c>
      <c r="O40" s="1080">
        <v>0</v>
      </c>
      <c r="P40" s="1080">
        <v>0</v>
      </c>
      <c r="Q40" s="1080">
        <v>0</v>
      </c>
      <c r="R40" s="1081">
        <v>0</v>
      </c>
    </row>
    <row r="41" spans="1:18">
      <c r="A41" s="2131" t="s">
        <v>100</v>
      </c>
      <c r="B41" s="2154" t="s">
        <v>994</v>
      </c>
      <c r="C41" s="2148" t="s">
        <v>995</v>
      </c>
      <c r="D41" s="1128" t="s">
        <v>3</v>
      </c>
      <c r="E41" s="1104">
        <v>0</v>
      </c>
      <c r="F41" s="1108">
        <f t="shared" si="0"/>
        <v>0</v>
      </c>
      <c r="G41" s="1114">
        <v>0</v>
      </c>
      <c r="H41" s="1080">
        <v>0</v>
      </c>
      <c r="I41" s="1080">
        <v>0</v>
      </c>
      <c r="J41" s="1080">
        <v>0</v>
      </c>
      <c r="K41" s="1080">
        <v>0</v>
      </c>
      <c r="L41" s="1084">
        <v>0</v>
      </c>
      <c r="M41" s="1100">
        <v>0</v>
      </c>
      <c r="N41" s="1080">
        <v>0</v>
      </c>
      <c r="O41" s="1080">
        <v>0</v>
      </c>
      <c r="P41" s="1080">
        <v>0</v>
      </c>
      <c r="Q41" s="1080">
        <v>0</v>
      </c>
      <c r="R41" s="1084">
        <v>0</v>
      </c>
    </row>
    <row r="42" spans="1:18">
      <c r="A42" s="2129"/>
      <c r="B42" s="2155"/>
      <c r="C42" s="2146"/>
      <c r="D42" s="1127" t="s">
        <v>964</v>
      </c>
      <c r="E42" s="1104">
        <v>0</v>
      </c>
      <c r="F42" s="1108">
        <f t="shared" si="0"/>
        <v>0</v>
      </c>
      <c r="G42" s="1114">
        <v>0</v>
      </c>
      <c r="H42" s="1080">
        <v>0</v>
      </c>
      <c r="I42" s="1080">
        <v>0</v>
      </c>
      <c r="J42" s="1080">
        <v>0</v>
      </c>
      <c r="K42" s="1080">
        <v>0</v>
      </c>
      <c r="L42" s="1084">
        <v>0</v>
      </c>
      <c r="M42" s="1100">
        <v>0</v>
      </c>
      <c r="N42" s="1080">
        <v>0</v>
      </c>
      <c r="O42" s="1080">
        <v>0</v>
      </c>
      <c r="P42" s="1080">
        <v>0</v>
      </c>
      <c r="Q42" s="1080">
        <v>0</v>
      </c>
      <c r="R42" s="1084">
        <v>0</v>
      </c>
    </row>
    <row r="43" spans="1:18" ht="15.75" thickBot="1">
      <c r="A43" s="2130"/>
      <c r="B43" s="2156"/>
      <c r="C43" s="2147"/>
      <c r="D43" s="1127" t="s">
        <v>977</v>
      </c>
      <c r="E43" s="1104">
        <v>526</v>
      </c>
      <c r="F43" s="1108">
        <f t="shared" si="0"/>
        <v>526</v>
      </c>
      <c r="G43" s="1123">
        <v>415</v>
      </c>
      <c r="H43" s="1124">
        <v>61</v>
      </c>
      <c r="I43" s="1124">
        <v>50</v>
      </c>
      <c r="J43" s="1124">
        <v>0</v>
      </c>
      <c r="K43" s="1124">
        <v>0</v>
      </c>
      <c r="L43" s="1125">
        <v>0</v>
      </c>
      <c r="M43" s="1100">
        <v>0</v>
      </c>
      <c r="N43" s="1080">
        <v>0</v>
      </c>
      <c r="O43" s="1080">
        <v>0</v>
      </c>
      <c r="P43" s="1080">
        <v>0</v>
      </c>
      <c r="Q43" s="1080">
        <v>0</v>
      </c>
      <c r="R43" s="1084">
        <v>0</v>
      </c>
    </row>
    <row r="44" spans="1:18">
      <c r="A44" s="2129"/>
      <c r="B44" s="2169" t="s">
        <v>119</v>
      </c>
      <c r="C44" s="2172"/>
      <c r="D44" s="1129" t="s">
        <v>3</v>
      </c>
      <c r="E44" s="1103">
        <f t="shared" ref="E44:R44" si="1">E5+E8+E11+E14+E17+E20+E23+E26+E29+E32+E35</f>
        <v>896882</v>
      </c>
      <c r="F44" s="1107">
        <f t="shared" si="1"/>
        <v>896882</v>
      </c>
      <c r="G44" s="1119">
        <f t="shared" si="1"/>
        <v>608037</v>
      </c>
      <c r="H44" s="1075">
        <f t="shared" si="1"/>
        <v>115699</v>
      </c>
      <c r="I44" s="1075">
        <f t="shared" si="1"/>
        <v>155460</v>
      </c>
      <c r="J44" s="1075">
        <f t="shared" si="1"/>
        <v>0</v>
      </c>
      <c r="K44" s="1075">
        <f t="shared" si="1"/>
        <v>0</v>
      </c>
      <c r="L44" s="1075">
        <f t="shared" si="1"/>
        <v>0</v>
      </c>
      <c r="M44" s="1079">
        <f t="shared" si="1"/>
        <v>14559</v>
      </c>
      <c r="N44" s="1079">
        <f t="shared" si="1"/>
        <v>1927</v>
      </c>
      <c r="O44" s="1079">
        <f t="shared" si="1"/>
        <v>1200</v>
      </c>
      <c r="P44" s="1079">
        <f t="shared" si="1"/>
        <v>0</v>
      </c>
      <c r="Q44" s="1079">
        <f t="shared" si="1"/>
        <v>0</v>
      </c>
      <c r="R44" s="1085">
        <f t="shared" si="1"/>
        <v>0</v>
      </c>
    </row>
    <row r="45" spans="1:18">
      <c r="A45" s="2129"/>
      <c r="B45" s="2173"/>
      <c r="C45" s="2172"/>
      <c r="D45" s="1127" t="s">
        <v>964</v>
      </c>
      <c r="E45" s="1103">
        <f>E6+E9+E12+E15+E18+E21+E24+E27+E30+E33+E36</f>
        <v>910205</v>
      </c>
      <c r="F45" s="1103">
        <f t="shared" ref="F45:R45" si="2">F6+F9+F12+F15+F18+F21+F24+F27+F30+F33+F36+F39</f>
        <v>910205</v>
      </c>
      <c r="G45" s="1116">
        <f t="shared" si="2"/>
        <v>616395</v>
      </c>
      <c r="H45" s="1079">
        <f t="shared" si="2"/>
        <v>114659</v>
      </c>
      <c r="I45" s="1079">
        <f t="shared" si="2"/>
        <v>161186</v>
      </c>
      <c r="J45" s="1079">
        <f t="shared" si="2"/>
        <v>0</v>
      </c>
      <c r="K45" s="1079">
        <f t="shared" si="2"/>
        <v>0</v>
      </c>
      <c r="L45" s="1079">
        <f t="shared" si="2"/>
        <v>0</v>
      </c>
      <c r="M45" s="1079">
        <f t="shared" si="2"/>
        <v>14838</v>
      </c>
      <c r="N45" s="1079">
        <f t="shared" si="2"/>
        <v>1927</v>
      </c>
      <c r="O45" s="1079">
        <f t="shared" si="2"/>
        <v>1200</v>
      </c>
      <c r="P45" s="1079">
        <f t="shared" si="2"/>
        <v>0</v>
      </c>
      <c r="Q45" s="1079">
        <f t="shared" si="2"/>
        <v>0</v>
      </c>
      <c r="R45" s="1085">
        <f t="shared" si="2"/>
        <v>0</v>
      </c>
    </row>
    <row r="46" spans="1:18" ht="15.75" thickBot="1">
      <c r="A46" s="2132"/>
      <c r="B46" s="2174"/>
      <c r="C46" s="2175"/>
      <c r="D46" s="1130" t="s">
        <v>977</v>
      </c>
      <c r="E46" s="1133">
        <f>E7+E10+E13+E16+E19+E22+E25+E28+E31+E34+E37+E40+E43</f>
        <v>915769</v>
      </c>
      <c r="F46" s="1109">
        <f>F7+F10+F13+F16+F19+F22+F25+F28+F31+F34+F37+F40+F43</f>
        <v>915769</v>
      </c>
      <c r="G46" s="1117">
        <f t="shared" ref="G46:R46" si="3">G7+G10+G13+G16+G19+G22+G25+G28+G31+G34+G37+G40+G43</f>
        <v>620988</v>
      </c>
      <c r="H46" s="1087">
        <f t="shared" si="3"/>
        <v>115409</v>
      </c>
      <c r="I46" s="1087">
        <f t="shared" si="3"/>
        <v>161233</v>
      </c>
      <c r="J46" s="1087">
        <f t="shared" si="3"/>
        <v>0</v>
      </c>
      <c r="K46" s="1087">
        <f t="shared" si="3"/>
        <v>0</v>
      </c>
      <c r="L46" s="1087">
        <f t="shared" si="3"/>
        <v>0</v>
      </c>
      <c r="M46" s="1087">
        <f t="shared" si="3"/>
        <v>15012</v>
      </c>
      <c r="N46" s="1087">
        <f t="shared" si="3"/>
        <v>1927</v>
      </c>
      <c r="O46" s="1087">
        <f t="shared" si="3"/>
        <v>1200</v>
      </c>
      <c r="P46" s="1087">
        <f t="shared" si="3"/>
        <v>0</v>
      </c>
      <c r="Q46" s="1087">
        <f t="shared" si="3"/>
        <v>0</v>
      </c>
      <c r="R46" s="1088">
        <f t="shared" si="3"/>
        <v>0</v>
      </c>
    </row>
    <row r="47" spans="1:18" ht="15.75" thickBot="1">
      <c r="A47" s="2139" t="s">
        <v>121</v>
      </c>
      <c r="B47" s="2140"/>
      <c r="C47" s="2140"/>
      <c r="D47" s="2140"/>
      <c r="E47" s="2140"/>
      <c r="F47" s="2140"/>
      <c r="G47" s="2140"/>
      <c r="H47" s="2140"/>
      <c r="I47" s="2140"/>
      <c r="J47" s="2140"/>
      <c r="K47" s="2140"/>
      <c r="L47" s="2140"/>
      <c r="M47" s="2140"/>
      <c r="N47" s="2140"/>
      <c r="O47" s="2140"/>
      <c r="P47" s="2140"/>
      <c r="Q47" s="2140"/>
      <c r="R47" s="2141"/>
    </row>
    <row r="48" spans="1:18">
      <c r="A48" s="2128" t="s">
        <v>100</v>
      </c>
      <c r="B48" s="2142" t="s">
        <v>786</v>
      </c>
      <c r="C48" s="2176" t="s">
        <v>121</v>
      </c>
      <c r="D48" s="1126" t="s">
        <v>3</v>
      </c>
      <c r="E48" s="1131">
        <v>36297</v>
      </c>
      <c r="F48" s="1140">
        <f>SUM(G48:R48)</f>
        <v>36297</v>
      </c>
      <c r="G48" s="1110">
        <v>28887</v>
      </c>
      <c r="H48" s="1111">
        <v>4569</v>
      </c>
      <c r="I48" s="1111">
        <v>2741</v>
      </c>
      <c r="J48" s="1111">
        <v>0</v>
      </c>
      <c r="K48" s="1111">
        <v>0</v>
      </c>
      <c r="L48" s="1120">
        <v>0</v>
      </c>
      <c r="M48" s="1118">
        <v>100</v>
      </c>
      <c r="N48" s="1111">
        <v>0</v>
      </c>
      <c r="O48" s="1111">
        <v>0</v>
      </c>
      <c r="P48" s="1111">
        <v>0</v>
      </c>
      <c r="Q48" s="1111">
        <v>0</v>
      </c>
      <c r="R48" s="1112">
        <v>0</v>
      </c>
    </row>
    <row r="49" spans="1:18">
      <c r="A49" s="2129"/>
      <c r="B49" s="2143"/>
      <c r="C49" s="2177"/>
      <c r="D49" s="1128" t="s">
        <v>964</v>
      </c>
      <c r="E49" s="1104">
        <f>36297+992-100+5944</f>
        <v>43133</v>
      </c>
      <c r="F49" s="1141">
        <f>SUM(G49:R49)</f>
        <v>43133</v>
      </c>
      <c r="G49" s="1114">
        <v>28887</v>
      </c>
      <c r="H49" s="1080">
        <v>4569</v>
      </c>
      <c r="I49" s="1080">
        <v>2741</v>
      </c>
      <c r="J49" s="1080">
        <f>992+5944</f>
        <v>6936</v>
      </c>
      <c r="K49" s="1080">
        <v>0</v>
      </c>
      <c r="L49" s="1084">
        <v>0</v>
      </c>
      <c r="M49" s="1100">
        <f>100-100</f>
        <v>0</v>
      </c>
      <c r="N49" s="1080">
        <v>0</v>
      </c>
      <c r="O49" s="1080">
        <v>0</v>
      </c>
      <c r="P49" s="1080">
        <v>0</v>
      </c>
      <c r="Q49" s="1080">
        <v>0</v>
      </c>
      <c r="R49" s="1081">
        <v>0</v>
      </c>
    </row>
    <row r="50" spans="1:18">
      <c r="A50" s="2130"/>
      <c r="B50" s="2144"/>
      <c r="C50" s="2178"/>
      <c r="D50" s="1128" t="s">
        <v>977</v>
      </c>
      <c r="E50" s="1104">
        <f>36297+992-100+5944</f>
        <v>43133</v>
      </c>
      <c r="F50" s="1141">
        <f>SUM(G50:R50)</f>
        <v>43133</v>
      </c>
      <c r="G50" s="1114">
        <v>28887</v>
      </c>
      <c r="H50" s="1080">
        <v>4569</v>
      </c>
      <c r="I50" s="1080">
        <v>2741</v>
      </c>
      <c r="J50" s="1080">
        <f>992+5944</f>
        <v>6936</v>
      </c>
      <c r="K50" s="1080">
        <v>0</v>
      </c>
      <c r="L50" s="1084">
        <v>0</v>
      </c>
      <c r="M50" s="1100">
        <f>100-100</f>
        <v>0</v>
      </c>
      <c r="N50" s="1080">
        <v>0</v>
      </c>
      <c r="O50" s="1080">
        <v>0</v>
      </c>
      <c r="P50" s="1080">
        <v>0</v>
      </c>
      <c r="Q50" s="1080">
        <v>0</v>
      </c>
      <c r="R50" s="1081">
        <v>0</v>
      </c>
    </row>
    <row r="51" spans="1:18">
      <c r="A51" s="2131"/>
      <c r="B51" s="2133" t="s">
        <v>564</v>
      </c>
      <c r="C51" s="2134"/>
      <c r="D51" s="1129" t="s">
        <v>3</v>
      </c>
      <c r="E51" s="1104">
        <f t="shared" ref="E51:R53" si="4">E48</f>
        <v>36297</v>
      </c>
      <c r="F51" s="1142">
        <f t="shared" si="4"/>
        <v>36297</v>
      </c>
      <c r="G51" s="1145">
        <f t="shared" si="4"/>
        <v>28887</v>
      </c>
      <c r="H51" s="1082">
        <f t="shared" si="4"/>
        <v>4569</v>
      </c>
      <c r="I51" s="1082">
        <f t="shared" si="4"/>
        <v>2741</v>
      </c>
      <c r="J51" s="1082">
        <f t="shared" si="4"/>
        <v>0</v>
      </c>
      <c r="K51" s="1082">
        <f t="shared" si="4"/>
        <v>0</v>
      </c>
      <c r="L51" s="1089">
        <f t="shared" si="4"/>
        <v>0</v>
      </c>
      <c r="M51" s="1097">
        <f t="shared" si="4"/>
        <v>100</v>
      </c>
      <c r="N51" s="1082">
        <f t="shared" si="4"/>
        <v>0</v>
      </c>
      <c r="O51" s="1082">
        <f t="shared" si="4"/>
        <v>0</v>
      </c>
      <c r="P51" s="1082">
        <f t="shared" si="4"/>
        <v>0</v>
      </c>
      <c r="Q51" s="1082">
        <f t="shared" si="4"/>
        <v>0</v>
      </c>
      <c r="R51" s="1089">
        <f t="shared" si="4"/>
        <v>0</v>
      </c>
    </row>
    <row r="52" spans="1:18">
      <c r="A52" s="2129"/>
      <c r="B52" s="2135"/>
      <c r="C52" s="2136"/>
      <c r="D52" s="1127" t="s">
        <v>964</v>
      </c>
      <c r="E52" s="1132">
        <f t="shared" si="4"/>
        <v>43133</v>
      </c>
      <c r="F52" s="1143">
        <f t="shared" si="4"/>
        <v>43133</v>
      </c>
      <c r="G52" s="1146">
        <f t="shared" si="4"/>
        <v>28887</v>
      </c>
      <c r="H52" s="1074">
        <f t="shared" si="4"/>
        <v>4569</v>
      </c>
      <c r="I52" s="1074">
        <f t="shared" si="4"/>
        <v>2741</v>
      </c>
      <c r="J52" s="1074">
        <f t="shared" si="4"/>
        <v>6936</v>
      </c>
      <c r="K52" s="1074">
        <f t="shared" si="4"/>
        <v>0</v>
      </c>
      <c r="L52" s="1090">
        <f t="shared" si="4"/>
        <v>0</v>
      </c>
      <c r="M52" s="1137">
        <f t="shared" si="4"/>
        <v>0</v>
      </c>
      <c r="N52" s="1074">
        <f t="shared" si="4"/>
        <v>0</v>
      </c>
      <c r="O52" s="1074">
        <f t="shared" si="4"/>
        <v>0</v>
      </c>
      <c r="P52" s="1074">
        <f t="shared" si="4"/>
        <v>0</v>
      </c>
      <c r="Q52" s="1074">
        <f t="shared" si="4"/>
        <v>0</v>
      </c>
      <c r="R52" s="1090">
        <f t="shared" si="4"/>
        <v>0</v>
      </c>
    </row>
    <row r="53" spans="1:18" ht="15.75" thickBot="1">
      <c r="A53" s="2132"/>
      <c r="B53" s="2137"/>
      <c r="C53" s="2138"/>
      <c r="D53" s="1130" t="s">
        <v>977</v>
      </c>
      <c r="E53" s="1139">
        <f t="shared" si="4"/>
        <v>43133</v>
      </c>
      <c r="F53" s="1144">
        <f t="shared" si="4"/>
        <v>43133</v>
      </c>
      <c r="G53" s="1147">
        <f t="shared" si="4"/>
        <v>28887</v>
      </c>
      <c r="H53" s="1134">
        <f t="shared" si="4"/>
        <v>4569</v>
      </c>
      <c r="I53" s="1134">
        <f t="shared" si="4"/>
        <v>2741</v>
      </c>
      <c r="J53" s="1134">
        <f t="shared" si="4"/>
        <v>6936</v>
      </c>
      <c r="K53" s="1134">
        <f t="shared" si="4"/>
        <v>0</v>
      </c>
      <c r="L53" s="1135">
        <f t="shared" si="4"/>
        <v>0</v>
      </c>
      <c r="M53" s="1138">
        <f t="shared" si="4"/>
        <v>0</v>
      </c>
      <c r="N53" s="1134">
        <f t="shared" si="4"/>
        <v>0</v>
      </c>
      <c r="O53" s="1134">
        <f t="shared" si="4"/>
        <v>0</v>
      </c>
      <c r="P53" s="1134">
        <f t="shared" si="4"/>
        <v>0</v>
      </c>
      <c r="Q53" s="1134">
        <f t="shared" si="4"/>
        <v>0</v>
      </c>
      <c r="R53" s="1135">
        <f t="shared" si="4"/>
        <v>0</v>
      </c>
    </row>
    <row r="54" spans="1:18" ht="15.75" thickBot="1">
      <c r="A54" s="2139" t="s">
        <v>787</v>
      </c>
      <c r="B54" s="2140"/>
      <c r="C54" s="2140"/>
      <c r="D54" s="2140"/>
      <c r="E54" s="2140"/>
      <c r="F54" s="2140"/>
      <c r="G54" s="2140"/>
      <c r="H54" s="2140"/>
      <c r="I54" s="2140"/>
      <c r="J54" s="2140"/>
      <c r="K54" s="2140"/>
      <c r="L54" s="2140"/>
      <c r="M54" s="2140"/>
      <c r="N54" s="2140"/>
      <c r="O54" s="2140"/>
      <c r="P54" s="2140"/>
      <c r="Q54" s="2140"/>
      <c r="R54" s="2141"/>
    </row>
    <row r="55" spans="1:18">
      <c r="A55" s="2128" t="s">
        <v>100</v>
      </c>
      <c r="B55" s="2142" t="s">
        <v>350</v>
      </c>
      <c r="C55" s="2145" t="s">
        <v>122</v>
      </c>
      <c r="D55" s="1126" t="s">
        <v>3</v>
      </c>
      <c r="E55" s="1131">
        <v>19890</v>
      </c>
      <c r="F55" s="1140">
        <f t="shared" ref="F55:F60" si="5">SUM(G55:R55)</f>
        <v>19890</v>
      </c>
      <c r="G55" s="1110">
        <v>15383</v>
      </c>
      <c r="H55" s="1111">
        <v>2842</v>
      </c>
      <c r="I55" s="1111">
        <v>1665</v>
      </c>
      <c r="J55" s="1111">
        <v>0</v>
      </c>
      <c r="K55" s="1111">
        <v>0</v>
      </c>
      <c r="L55" s="1120">
        <v>0</v>
      </c>
      <c r="M55" s="1118">
        <v>0</v>
      </c>
      <c r="N55" s="1111">
        <v>0</v>
      </c>
      <c r="O55" s="1111">
        <v>0</v>
      </c>
      <c r="P55" s="1111">
        <v>0</v>
      </c>
      <c r="Q55" s="1111">
        <v>0</v>
      </c>
      <c r="R55" s="1112">
        <v>0</v>
      </c>
    </row>
    <row r="56" spans="1:18">
      <c r="A56" s="2129"/>
      <c r="B56" s="2143"/>
      <c r="C56" s="2146"/>
      <c r="D56" s="1128" t="s">
        <v>964</v>
      </c>
      <c r="E56" s="1104">
        <f>19890+3+9015</f>
        <v>28908</v>
      </c>
      <c r="F56" s="1141">
        <f t="shared" si="5"/>
        <v>28908</v>
      </c>
      <c r="G56" s="1114">
        <f>15383+3+62</f>
        <v>15448</v>
      </c>
      <c r="H56" s="1080">
        <f>2842+8</f>
        <v>2850</v>
      </c>
      <c r="I56" s="1080">
        <v>1665</v>
      </c>
      <c r="J56" s="1080">
        <v>8945</v>
      </c>
      <c r="K56" s="1080">
        <v>0</v>
      </c>
      <c r="L56" s="1084">
        <v>0</v>
      </c>
      <c r="M56" s="1100">
        <v>0</v>
      </c>
      <c r="N56" s="1080">
        <v>0</v>
      </c>
      <c r="O56" s="1080">
        <v>0</v>
      </c>
      <c r="P56" s="1080">
        <v>0</v>
      </c>
      <c r="Q56" s="1080">
        <v>0</v>
      </c>
      <c r="R56" s="1081">
        <v>0</v>
      </c>
    </row>
    <row r="57" spans="1:18">
      <c r="A57" s="2130"/>
      <c r="B57" s="2144"/>
      <c r="C57" s="2147"/>
      <c r="D57" s="1128" t="s">
        <v>977</v>
      </c>
      <c r="E57" s="1104">
        <f>19890+3+9015</f>
        <v>28908</v>
      </c>
      <c r="F57" s="1141">
        <f t="shared" si="5"/>
        <v>28908</v>
      </c>
      <c r="G57" s="1114">
        <f>15383+3+62</f>
        <v>15448</v>
      </c>
      <c r="H57" s="1080">
        <f>2842+8</f>
        <v>2850</v>
      </c>
      <c r="I57" s="1080">
        <v>1665</v>
      </c>
      <c r="J57" s="1080">
        <v>8945</v>
      </c>
      <c r="K57" s="1080">
        <v>0</v>
      </c>
      <c r="L57" s="1084">
        <v>0</v>
      </c>
      <c r="M57" s="1100">
        <v>0</v>
      </c>
      <c r="N57" s="1080">
        <v>0</v>
      </c>
      <c r="O57" s="1080">
        <v>0</v>
      </c>
      <c r="P57" s="1080">
        <v>0</v>
      </c>
      <c r="Q57" s="1080">
        <v>0</v>
      </c>
      <c r="R57" s="1081">
        <v>0</v>
      </c>
    </row>
    <row r="58" spans="1:18">
      <c r="A58" s="2131" t="s">
        <v>100</v>
      </c>
      <c r="B58" s="2154" t="s">
        <v>994</v>
      </c>
      <c r="C58" s="2148" t="s">
        <v>995</v>
      </c>
      <c r="D58" s="1128" t="s">
        <v>3</v>
      </c>
      <c r="E58" s="1104">
        <v>0</v>
      </c>
      <c r="F58" s="1142">
        <f t="shared" si="5"/>
        <v>0</v>
      </c>
      <c r="G58" s="1114">
        <v>0</v>
      </c>
      <c r="H58" s="1080">
        <v>0</v>
      </c>
      <c r="I58" s="1080">
        <v>0</v>
      </c>
      <c r="J58" s="1080">
        <v>0</v>
      </c>
      <c r="K58" s="1080">
        <v>0</v>
      </c>
      <c r="L58" s="1084">
        <v>0</v>
      </c>
      <c r="M58" s="1100">
        <v>0</v>
      </c>
      <c r="N58" s="1080">
        <v>0</v>
      </c>
      <c r="O58" s="1080">
        <v>0</v>
      </c>
      <c r="P58" s="1080">
        <v>0</v>
      </c>
      <c r="Q58" s="1080">
        <v>0</v>
      </c>
      <c r="R58" s="1084">
        <v>0</v>
      </c>
    </row>
    <row r="59" spans="1:18">
      <c r="A59" s="2129"/>
      <c r="B59" s="2155"/>
      <c r="C59" s="2146"/>
      <c r="D59" s="1128" t="s">
        <v>964</v>
      </c>
      <c r="E59" s="1104">
        <v>0</v>
      </c>
      <c r="F59" s="1142">
        <f t="shared" si="5"/>
        <v>0</v>
      </c>
      <c r="G59" s="1114">
        <v>0</v>
      </c>
      <c r="H59" s="1080">
        <v>0</v>
      </c>
      <c r="I59" s="1080">
        <v>0</v>
      </c>
      <c r="J59" s="1080">
        <v>0</v>
      </c>
      <c r="K59" s="1080">
        <v>0</v>
      </c>
      <c r="L59" s="1084">
        <v>0</v>
      </c>
      <c r="M59" s="1100">
        <v>0</v>
      </c>
      <c r="N59" s="1080">
        <v>0</v>
      </c>
      <c r="O59" s="1080">
        <v>0</v>
      </c>
      <c r="P59" s="1080">
        <v>0</v>
      </c>
      <c r="Q59" s="1080">
        <v>0</v>
      </c>
      <c r="R59" s="1084">
        <v>0</v>
      </c>
    </row>
    <row r="60" spans="1:18">
      <c r="A60" s="2130"/>
      <c r="B60" s="2156"/>
      <c r="C60" s="2147"/>
      <c r="D60" s="1128" t="s">
        <v>977</v>
      </c>
      <c r="E60" s="1104">
        <v>570</v>
      </c>
      <c r="F60" s="1142">
        <f t="shared" si="5"/>
        <v>570</v>
      </c>
      <c r="G60" s="1114">
        <v>484</v>
      </c>
      <c r="H60" s="1080">
        <v>76</v>
      </c>
      <c r="I60" s="1080">
        <v>10</v>
      </c>
      <c r="J60" s="1080">
        <v>0</v>
      </c>
      <c r="K60" s="1080">
        <v>0</v>
      </c>
      <c r="L60" s="1084">
        <v>0</v>
      </c>
      <c r="M60" s="1100">
        <v>0</v>
      </c>
      <c r="N60" s="1080">
        <v>0</v>
      </c>
      <c r="O60" s="1080">
        <v>0</v>
      </c>
      <c r="P60" s="1080">
        <v>0</v>
      </c>
      <c r="Q60" s="1080">
        <v>0</v>
      </c>
      <c r="R60" s="1084">
        <v>0</v>
      </c>
    </row>
    <row r="61" spans="1:18">
      <c r="A61" s="2131"/>
      <c r="B61" s="2133" t="s">
        <v>565</v>
      </c>
      <c r="C61" s="2136"/>
      <c r="D61" s="1129" t="s">
        <v>3</v>
      </c>
      <c r="E61" s="1104">
        <f t="shared" ref="E61:R63" si="6">E55</f>
        <v>19890</v>
      </c>
      <c r="F61" s="1141">
        <f t="shared" si="6"/>
        <v>19890</v>
      </c>
      <c r="G61" s="1114">
        <f t="shared" si="6"/>
        <v>15383</v>
      </c>
      <c r="H61" s="1080">
        <f t="shared" si="6"/>
        <v>2842</v>
      </c>
      <c r="I61" s="1080">
        <f t="shared" si="6"/>
        <v>1665</v>
      </c>
      <c r="J61" s="1080">
        <f t="shared" si="6"/>
        <v>0</v>
      </c>
      <c r="K61" s="1080">
        <f t="shared" si="6"/>
        <v>0</v>
      </c>
      <c r="L61" s="1084">
        <f t="shared" si="6"/>
        <v>0</v>
      </c>
      <c r="M61" s="1100">
        <f t="shared" si="6"/>
        <v>0</v>
      </c>
      <c r="N61" s="1080">
        <f t="shared" si="6"/>
        <v>0</v>
      </c>
      <c r="O61" s="1080">
        <f t="shared" si="6"/>
        <v>0</v>
      </c>
      <c r="P61" s="1080">
        <f t="shared" si="6"/>
        <v>0</v>
      </c>
      <c r="Q61" s="1080">
        <f t="shared" si="6"/>
        <v>0</v>
      </c>
      <c r="R61" s="1081">
        <f t="shared" si="6"/>
        <v>0</v>
      </c>
    </row>
    <row r="62" spans="1:18">
      <c r="A62" s="2129"/>
      <c r="B62" s="2135"/>
      <c r="C62" s="2136"/>
      <c r="D62" s="1127" t="s">
        <v>964</v>
      </c>
      <c r="E62" s="1104">
        <f t="shared" si="6"/>
        <v>28908</v>
      </c>
      <c r="F62" s="1141">
        <f t="shared" si="6"/>
        <v>28908</v>
      </c>
      <c r="G62" s="1114">
        <f t="shared" si="6"/>
        <v>15448</v>
      </c>
      <c r="H62" s="1080">
        <f t="shared" si="6"/>
        <v>2850</v>
      </c>
      <c r="I62" s="1080">
        <f t="shared" si="6"/>
        <v>1665</v>
      </c>
      <c r="J62" s="1080">
        <f t="shared" si="6"/>
        <v>8945</v>
      </c>
      <c r="K62" s="1080">
        <f t="shared" si="6"/>
        <v>0</v>
      </c>
      <c r="L62" s="1084">
        <f t="shared" si="6"/>
        <v>0</v>
      </c>
      <c r="M62" s="1100">
        <f t="shared" si="6"/>
        <v>0</v>
      </c>
      <c r="N62" s="1080">
        <f t="shared" si="6"/>
        <v>0</v>
      </c>
      <c r="O62" s="1080">
        <f t="shared" si="6"/>
        <v>0</v>
      </c>
      <c r="P62" s="1080">
        <f t="shared" si="6"/>
        <v>0</v>
      </c>
      <c r="Q62" s="1080">
        <f t="shared" si="6"/>
        <v>0</v>
      </c>
      <c r="R62" s="1081">
        <f t="shared" si="6"/>
        <v>0</v>
      </c>
    </row>
    <row r="63" spans="1:18" ht="15.75" thickBot="1">
      <c r="A63" s="2132"/>
      <c r="B63" s="2137"/>
      <c r="C63" s="2138"/>
      <c r="D63" s="1130" t="s">
        <v>977</v>
      </c>
      <c r="E63" s="1139">
        <f>E57+E60</f>
        <v>29478</v>
      </c>
      <c r="F63" s="1109">
        <f>F57+F60</f>
        <v>29478</v>
      </c>
      <c r="G63" s="1117">
        <f t="shared" ref="G63:K63" si="7">G57+G60</f>
        <v>15932</v>
      </c>
      <c r="H63" s="1087">
        <f t="shared" si="7"/>
        <v>2926</v>
      </c>
      <c r="I63" s="1087">
        <f t="shared" si="7"/>
        <v>1675</v>
      </c>
      <c r="J63" s="1087">
        <f t="shared" si="7"/>
        <v>8945</v>
      </c>
      <c r="K63" s="1087">
        <f t="shared" si="7"/>
        <v>0</v>
      </c>
      <c r="L63" s="1152">
        <f t="shared" si="6"/>
        <v>0</v>
      </c>
      <c r="M63" s="1151">
        <f t="shared" si="6"/>
        <v>0</v>
      </c>
      <c r="N63" s="1148">
        <f t="shared" si="6"/>
        <v>0</v>
      </c>
      <c r="O63" s="1148">
        <f t="shared" si="6"/>
        <v>0</v>
      </c>
      <c r="P63" s="1148">
        <f t="shared" si="6"/>
        <v>0</v>
      </c>
      <c r="Q63" s="1148">
        <f t="shared" si="6"/>
        <v>0</v>
      </c>
      <c r="R63" s="1149">
        <f t="shared" si="6"/>
        <v>0</v>
      </c>
    </row>
    <row r="64" spans="1:18" ht="15.75" thickBot="1">
      <c r="A64" s="2139" t="s">
        <v>120</v>
      </c>
      <c r="B64" s="2140"/>
      <c r="C64" s="2140"/>
      <c r="D64" s="2140"/>
      <c r="E64" s="2140"/>
      <c r="F64" s="2140"/>
      <c r="G64" s="2140"/>
      <c r="H64" s="2140"/>
      <c r="I64" s="2140"/>
      <c r="J64" s="2140"/>
      <c r="K64" s="2140"/>
      <c r="L64" s="2140"/>
      <c r="M64" s="2140"/>
      <c r="N64" s="2140"/>
      <c r="O64" s="2140"/>
      <c r="P64" s="2140"/>
      <c r="Q64" s="2140"/>
      <c r="R64" s="2141"/>
    </row>
    <row r="65" spans="1:18">
      <c r="A65" s="2128" t="s">
        <v>100</v>
      </c>
      <c r="B65" s="2186" t="s">
        <v>548</v>
      </c>
      <c r="C65" s="2187" t="s">
        <v>120</v>
      </c>
      <c r="D65" s="1126" t="s">
        <v>3</v>
      </c>
      <c r="E65" s="1131">
        <v>45020</v>
      </c>
      <c r="F65" s="1140">
        <f>SUM(G65:R65)</f>
        <v>45020</v>
      </c>
      <c r="G65" s="1110">
        <v>37036</v>
      </c>
      <c r="H65" s="1111">
        <v>6657</v>
      </c>
      <c r="I65" s="1111">
        <v>1327</v>
      </c>
      <c r="J65" s="1111">
        <v>0</v>
      </c>
      <c r="K65" s="1111">
        <v>0</v>
      </c>
      <c r="L65" s="1120">
        <v>0</v>
      </c>
      <c r="M65" s="1118">
        <v>0</v>
      </c>
      <c r="N65" s="1111">
        <v>0</v>
      </c>
      <c r="O65" s="1111">
        <v>0</v>
      </c>
      <c r="P65" s="1111">
        <v>0</v>
      </c>
      <c r="Q65" s="1111">
        <v>0</v>
      </c>
      <c r="R65" s="1112">
        <v>0</v>
      </c>
    </row>
    <row r="66" spans="1:18">
      <c r="A66" s="2129"/>
      <c r="B66" s="2155"/>
      <c r="C66" s="2188"/>
      <c r="D66" s="1128" t="s">
        <v>964</v>
      </c>
      <c r="E66" s="1104">
        <f>45020+14627</f>
        <v>59647</v>
      </c>
      <c r="F66" s="1141">
        <f>SUM(G66:R66)</f>
        <v>59647</v>
      </c>
      <c r="G66" s="1114">
        <f>37036+809</f>
        <v>37845</v>
      </c>
      <c r="H66" s="1080">
        <f>6657+103</f>
        <v>6760</v>
      </c>
      <c r="I66" s="1080">
        <v>1327</v>
      </c>
      <c r="J66" s="1080">
        <v>13715</v>
      </c>
      <c r="K66" s="1080">
        <v>0</v>
      </c>
      <c r="L66" s="1084">
        <v>0</v>
      </c>
      <c r="M66" s="1100">
        <v>0</v>
      </c>
      <c r="N66" s="1080">
        <v>0</v>
      </c>
      <c r="O66" s="1080">
        <v>0</v>
      </c>
      <c r="P66" s="1080">
        <v>0</v>
      </c>
      <c r="Q66" s="1080">
        <v>0</v>
      </c>
      <c r="R66" s="1081">
        <v>0</v>
      </c>
    </row>
    <row r="67" spans="1:18">
      <c r="A67" s="2130"/>
      <c r="B67" s="2156"/>
      <c r="C67" s="2188"/>
      <c r="D67" s="1128" t="s">
        <v>977</v>
      </c>
      <c r="E67" s="1104">
        <f>45020+14627</f>
        <v>59647</v>
      </c>
      <c r="F67" s="1141">
        <f>SUM(G67:R67)</f>
        <v>59647</v>
      </c>
      <c r="G67" s="1114">
        <f>37036+809</f>
        <v>37845</v>
      </c>
      <c r="H67" s="1080">
        <f>6657+103</f>
        <v>6760</v>
      </c>
      <c r="I67" s="1080">
        <v>1327</v>
      </c>
      <c r="J67" s="1080">
        <v>13715</v>
      </c>
      <c r="K67" s="1080">
        <v>0</v>
      </c>
      <c r="L67" s="1084">
        <v>0</v>
      </c>
      <c r="M67" s="1100">
        <v>0</v>
      </c>
      <c r="N67" s="1080">
        <v>0</v>
      </c>
      <c r="O67" s="1080">
        <v>0</v>
      </c>
      <c r="P67" s="1080">
        <v>0</v>
      </c>
      <c r="Q67" s="1080">
        <v>0</v>
      </c>
      <c r="R67" s="1081">
        <v>0</v>
      </c>
    </row>
    <row r="68" spans="1:18">
      <c r="A68" s="2131"/>
      <c r="B68" s="2190" t="s">
        <v>563</v>
      </c>
      <c r="C68" s="2134"/>
      <c r="D68" s="1129" t="s">
        <v>3</v>
      </c>
      <c r="E68" s="1104">
        <f>E65</f>
        <v>45020</v>
      </c>
      <c r="F68" s="1141">
        <f t="shared" ref="F68:R70" si="8">F65</f>
        <v>45020</v>
      </c>
      <c r="G68" s="1114">
        <f t="shared" si="8"/>
        <v>37036</v>
      </c>
      <c r="H68" s="1080">
        <f t="shared" si="8"/>
        <v>6657</v>
      </c>
      <c r="I68" s="1080">
        <f t="shared" si="8"/>
        <v>1327</v>
      </c>
      <c r="J68" s="1080">
        <f t="shared" si="8"/>
        <v>0</v>
      </c>
      <c r="K68" s="1080">
        <f t="shared" si="8"/>
        <v>0</v>
      </c>
      <c r="L68" s="1084">
        <f t="shared" si="8"/>
        <v>0</v>
      </c>
      <c r="M68" s="1100">
        <f t="shared" si="8"/>
        <v>0</v>
      </c>
      <c r="N68" s="1080">
        <f t="shared" si="8"/>
        <v>0</v>
      </c>
      <c r="O68" s="1080">
        <f t="shared" si="8"/>
        <v>0</v>
      </c>
      <c r="P68" s="1080">
        <f t="shared" si="8"/>
        <v>0</v>
      </c>
      <c r="Q68" s="1080">
        <f t="shared" si="8"/>
        <v>0</v>
      </c>
      <c r="R68" s="1081">
        <f t="shared" si="8"/>
        <v>0</v>
      </c>
    </row>
    <row r="69" spans="1:18">
      <c r="A69" s="2129"/>
      <c r="B69" s="2191"/>
      <c r="C69" s="2136"/>
      <c r="D69" s="1127" t="s">
        <v>964</v>
      </c>
      <c r="E69" s="1104">
        <f>E66</f>
        <v>59647</v>
      </c>
      <c r="F69" s="1141">
        <f t="shared" si="8"/>
        <v>59647</v>
      </c>
      <c r="G69" s="1114">
        <f t="shared" si="8"/>
        <v>37845</v>
      </c>
      <c r="H69" s="1080">
        <f t="shared" si="8"/>
        <v>6760</v>
      </c>
      <c r="I69" s="1080">
        <f t="shared" si="8"/>
        <v>1327</v>
      </c>
      <c r="J69" s="1080">
        <f t="shared" si="8"/>
        <v>13715</v>
      </c>
      <c r="K69" s="1080">
        <f t="shared" si="8"/>
        <v>0</v>
      </c>
      <c r="L69" s="1084">
        <f t="shared" si="8"/>
        <v>0</v>
      </c>
      <c r="M69" s="1100">
        <f t="shared" si="8"/>
        <v>0</v>
      </c>
      <c r="N69" s="1080">
        <f t="shared" si="8"/>
        <v>0</v>
      </c>
      <c r="O69" s="1080">
        <f t="shared" si="8"/>
        <v>0</v>
      </c>
      <c r="P69" s="1080">
        <f t="shared" si="8"/>
        <v>0</v>
      </c>
      <c r="Q69" s="1080">
        <f t="shared" si="8"/>
        <v>0</v>
      </c>
      <c r="R69" s="1081">
        <f t="shared" si="8"/>
        <v>0</v>
      </c>
    </row>
    <row r="70" spans="1:18" ht="15.75" thickBot="1">
      <c r="A70" s="2132"/>
      <c r="B70" s="2192"/>
      <c r="C70" s="2138"/>
      <c r="D70" s="1130" t="s">
        <v>977</v>
      </c>
      <c r="E70" s="1139">
        <f>E67</f>
        <v>59647</v>
      </c>
      <c r="F70" s="1109">
        <f t="shared" si="8"/>
        <v>59647</v>
      </c>
      <c r="G70" s="1153">
        <f t="shared" si="8"/>
        <v>37845</v>
      </c>
      <c r="H70" s="1148">
        <f t="shared" si="8"/>
        <v>6760</v>
      </c>
      <c r="I70" s="1148">
        <f t="shared" si="8"/>
        <v>1327</v>
      </c>
      <c r="J70" s="1148">
        <f t="shared" si="8"/>
        <v>13715</v>
      </c>
      <c r="K70" s="1148">
        <f t="shared" si="8"/>
        <v>0</v>
      </c>
      <c r="L70" s="1152">
        <f t="shared" si="8"/>
        <v>0</v>
      </c>
      <c r="M70" s="1151">
        <f t="shared" si="8"/>
        <v>0</v>
      </c>
      <c r="N70" s="1148">
        <f t="shared" si="8"/>
        <v>0</v>
      </c>
      <c r="O70" s="1148">
        <f t="shared" si="8"/>
        <v>0</v>
      </c>
      <c r="P70" s="1148">
        <f t="shared" si="8"/>
        <v>0</v>
      </c>
      <c r="Q70" s="1148">
        <f t="shared" si="8"/>
        <v>0</v>
      </c>
      <c r="R70" s="1149">
        <f t="shared" si="8"/>
        <v>0</v>
      </c>
    </row>
    <row r="71" spans="1:18">
      <c r="A71" s="2160" t="s">
        <v>123</v>
      </c>
      <c r="B71" s="2161"/>
      <c r="C71" s="2179"/>
      <c r="D71" s="1126" t="s">
        <v>3</v>
      </c>
      <c r="E71" s="1105">
        <f t="shared" ref="E71:R73" si="9">E51+E61+E68</f>
        <v>101207</v>
      </c>
      <c r="F71" s="1102">
        <f t="shared" si="9"/>
        <v>101207</v>
      </c>
      <c r="G71" s="1136">
        <f t="shared" si="9"/>
        <v>81306</v>
      </c>
      <c r="H71" s="1092">
        <f t="shared" si="9"/>
        <v>14068</v>
      </c>
      <c r="I71" s="1092">
        <f t="shared" si="9"/>
        <v>5733</v>
      </c>
      <c r="J71" s="1092">
        <f t="shared" si="9"/>
        <v>0</v>
      </c>
      <c r="K71" s="1092">
        <f t="shared" si="9"/>
        <v>0</v>
      </c>
      <c r="L71" s="1093">
        <f t="shared" si="9"/>
        <v>0</v>
      </c>
      <c r="M71" s="1136">
        <f t="shared" si="9"/>
        <v>100</v>
      </c>
      <c r="N71" s="1092">
        <f t="shared" si="9"/>
        <v>0</v>
      </c>
      <c r="O71" s="1092">
        <f t="shared" si="9"/>
        <v>0</v>
      </c>
      <c r="P71" s="1092">
        <f t="shared" si="9"/>
        <v>0</v>
      </c>
      <c r="Q71" s="1092">
        <f t="shared" si="9"/>
        <v>0</v>
      </c>
      <c r="R71" s="1093">
        <f t="shared" si="9"/>
        <v>0</v>
      </c>
    </row>
    <row r="72" spans="1:18">
      <c r="A72" s="2180"/>
      <c r="B72" s="2181"/>
      <c r="C72" s="2182"/>
      <c r="D72" s="1128" t="s">
        <v>964</v>
      </c>
      <c r="E72" s="1107">
        <f t="shared" si="9"/>
        <v>131688</v>
      </c>
      <c r="F72" s="1103">
        <f t="shared" si="9"/>
        <v>131688</v>
      </c>
      <c r="G72" s="1096">
        <f t="shared" si="9"/>
        <v>82180</v>
      </c>
      <c r="H72" s="1079">
        <f t="shared" si="9"/>
        <v>14179</v>
      </c>
      <c r="I72" s="1079">
        <f t="shared" si="9"/>
        <v>5733</v>
      </c>
      <c r="J72" s="1079">
        <f t="shared" si="9"/>
        <v>29596</v>
      </c>
      <c r="K72" s="1079">
        <f t="shared" si="9"/>
        <v>0</v>
      </c>
      <c r="L72" s="1085">
        <f t="shared" si="9"/>
        <v>0</v>
      </c>
      <c r="M72" s="1096">
        <f t="shared" si="9"/>
        <v>0</v>
      </c>
      <c r="N72" s="1079">
        <f t="shared" si="9"/>
        <v>0</v>
      </c>
      <c r="O72" s="1079">
        <f t="shared" si="9"/>
        <v>0</v>
      </c>
      <c r="P72" s="1079">
        <f t="shared" si="9"/>
        <v>0</v>
      </c>
      <c r="Q72" s="1079">
        <f t="shared" si="9"/>
        <v>0</v>
      </c>
      <c r="R72" s="1085">
        <f t="shared" si="9"/>
        <v>0</v>
      </c>
    </row>
    <row r="73" spans="1:18" ht="15.75" thickBot="1">
      <c r="A73" s="2183"/>
      <c r="B73" s="2184"/>
      <c r="C73" s="2185"/>
      <c r="D73" s="1130" t="s">
        <v>977</v>
      </c>
      <c r="E73" s="1159">
        <f t="shared" si="9"/>
        <v>132258</v>
      </c>
      <c r="F73" s="1133">
        <f t="shared" si="9"/>
        <v>132258</v>
      </c>
      <c r="G73" s="1098">
        <f t="shared" si="9"/>
        <v>82664</v>
      </c>
      <c r="H73" s="1087">
        <f t="shared" si="9"/>
        <v>14255</v>
      </c>
      <c r="I73" s="1087">
        <f t="shared" si="9"/>
        <v>5743</v>
      </c>
      <c r="J73" s="1087">
        <f t="shared" si="9"/>
        <v>29596</v>
      </c>
      <c r="K73" s="1087">
        <f t="shared" si="9"/>
        <v>0</v>
      </c>
      <c r="L73" s="1088">
        <f t="shared" si="9"/>
        <v>0</v>
      </c>
      <c r="M73" s="1098">
        <f t="shared" si="9"/>
        <v>0</v>
      </c>
      <c r="N73" s="1087">
        <f t="shared" si="9"/>
        <v>0</v>
      </c>
      <c r="O73" s="1087">
        <f t="shared" si="9"/>
        <v>0</v>
      </c>
      <c r="P73" s="1087">
        <f t="shared" si="9"/>
        <v>0</v>
      </c>
      <c r="Q73" s="1087">
        <f t="shared" si="9"/>
        <v>0</v>
      </c>
      <c r="R73" s="1088">
        <f t="shared" si="9"/>
        <v>0</v>
      </c>
    </row>
    <row r="74" spans="1:18">
      <c r="A74" s="2160" t="s">
        <v>124</v>
      </c>
      <c r="B74" s="2161"/>
      <c r="C74" s="2179"/>
      <c r="D74" s="1154" t="s">
        <v>3</v>
      </c>
      <c r="E74" s="1105">
        <f t="shared" ref="E74:R76" si="10">E44+E51+E61+E68</f>
        <v>998089</v>
      </c>
      <c r="F74" s="1102">
        <f t="shared" si="10"/>
        <v>998089</v>
      </c>
      <c r="G74" s="1136">
        <f t="shared" si="10"/>
        <v>689343</v>
      </c>
      <c r="H74" s="1092">
        <f t="shared" si="10"/>
        <v>129767</v>
      </c>
      <c r="I74" s="1092">
        <f t="shared" si="10"/>
        <v>161193</v>
      </c>
      <c r="J74" s="1092">
        <f t="shared" si="10"/>
        <v>0</v>
      </c>
      <c r="K74" s="1092">
        <f t="shared" si="10"/>
        <v>0</v>
      </c>
      <c r="L74" s="1093">
        <f t="shared" si="10"/>
        <v>0</v>
      </c>
      <c r="M74" s="1136">
        <f t="shared" si="10"/>
        <v>14659</v>
      </c>
      <c r="N74" s="1092">
        <f t="shared" si="10"/>
        <v>1927</v>
      </c>
      <c r="O74" s="1092">
        <f t="shared" si="10"/>
        <v>1200</v>
      </c>
      <c r="P74" s="1092">
        <f t="shared" si="10"/>
        <v>0</v>
      </c>
      <c r="Q74" s="1092">
        <f t="shared" si="10"/>
        <v>0</v>
      </c>
      <c r="R74" s="1093">
        <f t="shared" si="10"/>
        <v>0</v>
      </c>
    </row>
    <row r="75" spans="1:18">
      <c r="A75" s="2180"/>
      <c r="B75" s="2189"/>
      <c r="C75" s="2182"/>
      <c r="D75" s="1128" t="s">
        <v>964</v>
      </c>
      <c r="E75" s="1107">
        <f t="shared" si="10"/>
        <v>1041893</v>
      </c>
      <c r="F75" s="1103">
        <f t="shared" si="10"/>
        <v>1041893</v>
      </c>
      <c r="G75" s="1096">
        <f t="shared" si="10"/>
        <v>698575</v>
      </c>
      <c r="H75" s="1079">
        <f t="shared" si="10"/>
        <v>128838</v>
      </c>
      <c r="I75" s="1079">
        <f t="shared" si="10"/>
        <v>166919</v>
      </c>
      <c r="J75" s="1079">
        <f t="shared" si="10"/>
        <v>29596</v>
      </c>
      <c r="K75" s="1079">
        <f t="shared" si="10"/>
        <v>0</v>
      </c>
      <c r="L75" s="1085">
        <f t="shared" si="10"/>
        <v>0</v>
      </c>
      <c r="M75" s="1096">
        <f t="shared" si="10"/>
        <v>14838</v>
      </c>
      <c r="N75" s="1079">
        <f t="shared" si="10"/>
        <v>1927</v>
      </c>
      <c r="O75" s="1079">
        <f t="shared" si="10"/>
        <v>1200</v>
      </c>
      <c r="P75" s="1079">
        <f t="shared" si="10"/>
        <v>0</v>
      </c>
      <c r="Q75" s="1079">
        <f t="shared" si="10"/>
        <v>0</v>
      </c>
      <c r="R75" s="1085">
        <f t="shared" si="10"/>
        <v>0</v>
      </c>
    </row>
    <row r="76" spans="1:18" ht="15.75" thickBot="1">
      <c r="A76" s="2183"/>
      <c r="B76" s="2184"/>
      <c r="C76" s="2185"/>
      <c r="D76" s="1155" t="s">
        <v>977</v>
      </c>
      <c r="E76" s="1160">
        <f t="shared" si="10"/>
        <v>1048027</v>
      </c>
      <c r="F76" s="1157">
        <f t="shared" si="10"/>
        <v>1048027</v>
      </c>
      <c r="G76" s="1156">
        <f t="shared" si="10"/>
        <v>703652</v>
      </c>
      <c r="H76" s="1091">
        <f t="shared" si="10"/>
        <v>129664</v>
      </c>
      <c r="I76" s="1091">
        <f t="shared" si="10"/>
        <v>166976</v>
      </c>
      <c r="J76" s="1091">
        <f t="shared" si="10"/>
        <v>29596</v>
      </c>
      <c r="K76" s="1091">
        <f t="shared" si="10"/>
        <v>0</v>
      </c>
      <c r="L76" s="1095">
        <f t="shared" si="10"/>
        <v>0</v>
      </c>
      <c r="M76" s="1156">
        <f t="shared" si="10"/>
        <v>15012</v>
      </c>
      <c r="N76" s="1091">
        <f t="shared" si="10"/>
        <v>1927</v>
      </c>
      <c r="O76" s="1091">
        <f t="shared" si="10"/>
        <v>1200</v>
      </c>
      <c r="P76" s="1091">
        <f t="shared" si="10"/>
        <v>0</v>
      </c>
      <c r="Q76" s="1091">
        <f t="shared" si="10"/>
        <v>0</v>
      </c>
      <c r="R76" s="1095">
        <f t="shared" si="10"/>
        <v>0</v>
      </c>
    </row>
    <row r="77" spans="1:18">
      <c r="A77" s="2160" t="s">
        <v>116</v>
      </c>
      <c r="B77" s="2161"/>
      <c r="C77" s="2179"/>
      <c r="D77" s="1154" t="s">
        <v>3</v>
      </c>
      <c r="E77" s="1105">
        <v>0</v>
      </c>
      <c r="F77" s="1102">
        <v>0</v>
      </c>
      <c r="G77" s="1136">
        <v>0</v>
      </c>
      <c r="H77" s="1092">
        <v>0</v>
      </c>
      <c r="I77" s="1092">
        <v>0</v>
      </c>
      <c r="J77" s="1092">
        <v>0</v>
      </c>
      <c r="K77" s="1092">
        <v>0</v>
      </c>
      <c r="L77" s="1093">
        <v>0</v>
      </c>
      <c r="M77" s="1136">
        <v>0</v>
      </c>
      <c r="N77" s="1092">
        <v>0</v>
      </c>
      <c r="O77" s="1092">
        <v>0</v>
      </c>
      <c r="P77" s="1092">
        <v>0</v>
      </c>
      <c r="Q77" s="1092">
        <v>0</v>
      </c>
      <c r="R77" s="1093">
        <v>0</v>
      </c>
    </row>
    <row r="78" spans="1:18">
      <c r="A78" s="2180"/>
      <c r="B78" s="2181"/>
      <c r="C78" s="2182"/>
      <c r="D78" s="1128" t="s">
        <v>964</v>
      </c>
      <c r="E78" s="1107">
        <v>0</v>
      </c>
      <c r="F78" s="1103">
        <v>0</v>
      </c>
      <c r="G78" s="1096">
        <v>0</v>
      </c>
      <c r="H78" s="1079">
        <v>0</v>
      </c>
      <c r="I78" s="1079">
        <v>0</v>
      </c>
      <c r="J78" s="1079">
        <v>0</v>
      </c>
      <c r="K78" s="1079">
        <v>0</v>
      </c>
      <c r="L78" s="1085">
        <v>0</v>
      </c>
      <c r="M78" s="1096">
        <v>0</v>
      </c>
      <c r="N78" s="1079">
        <v>0</v>
      </c>
      <c r="O78" s="1079">
        <v>0</v>
      </c>
      <c r="P78" s="1079">
        <v>0</v>
      </c>
      <c r="Q78" s="1079">
        <v>0</v>
      </c>
      <c r="R78" s="1085">
        <v>0</v>
      </c>
    </row>
    <row r="79" spans="1:18" ht="15.75" thickBot="1">
      <c r="A79" s="2183"/>
      <c r="B79" s="2184"/>
      <c r="C79" s="2185"/>
      <c r="D79" s="1155" t="s">
        <v>977</v>
      </c>
      <c r="E79" s="1160">
        <v>0</v>
      </c>
      <c r="F79" s="1157">
        <v>0</v>
      </c>
      <c r="G79" s="1156">
        <v>0</v>
      </c>
      <c r="H79" s="1091">
        <v>0</v>
      </c>
      <c r="I79" s="1091">
        <v>0</v>
      </c>
      <c r="J79" s="1091">
        <v>0</v>
      </c>
      <c r="K79" s="1091">
        <v>0</v>
      </c>
      <c r="L79" s="1095">
        <v>0</v>
      </c>
      <c r="M79" s="1156">
        <v>0</v>
      </c>
      <c r="N79" s="1091">
        <v>0</v>
      </c>
      <c r="O79" s="1091">
        <v>0</v>
      </c>
      <c r="P79" s="1091">
        <v>0</v>
      </c>
      <c r="Q79" s="1091">
        <v>0</v>
      </c>
      <c r="R79" s="1095">
        <v>0</v>
      </c>
    </row>
    <row r="80" spans="1:18">
      <c r="A80" s="2160" t="s">
        <v>448</v>
      </c>
      <c r="B80" s="2161"/>
      <c r="C80" s="2179"/>
      <c r="D80" s="1154" t="s">
        <v>3</v>
      </c>
      <c r="E80" s="1105">
        <f t="shared" ref="E80:R80" si="11">SUM(E14+E26+E29+E32+E35+E20)</f>
        <v>36550</v>
      </c>
      <c r="F80" s="1102">
        <f t="shared" si="11"/>
        <v>96512</v>
      </c>
      <c r="G80" s="1136">
        <f t="shared" si="11"/>
        <v>53460</v>
      </c>
      <c r="H80" s="1092">
        <f t="shared" si="11"/>
        <v>8334</v>
      </c>
      <c r="I80" s="1092">
        <f t="shared" si="11"/>
        <v>32018</v>
      </c>
      <c r="J80" s="1092">
        <f t="shared" si="11"/>
        <v>0</v>
      </c>
      <c r="K80" s="1092">
        <f t="shared" si="11"/>
        <v>0</v>
      </c>
      <c r="L80" s="1093">
        <f t="shared" si="11"/>
        <v>0</v>
      </c>
      <c r="M80" s="1136">
        <f t="shared" si="11"/>
        <v>1500</v>
      </c>
      <c r="N80" s="1092">
        <f t="shared" si="11"/>
        <v>0</v>
      </c>
      <c r="O80" s="1092">
        <f t="shared" si="11"/>
        <v>1200</v>
      </c>
      <c r="P80" s="1092">
        <f t="shared" si="11"/>
        <v>0</v>
      </c>
      <c r="Q80" s="1092">
        <f t="shared" si="11"/>
        <v>0</v>
      </c>
      <c r="R80" s="1093">
        <f t="shared" si="11"/>
        <v>0</v>
      </c>
    </row>
    <row r="81" spans="1:18">
      <c r="A81" s="2180"/>
      <c r="B81" s="2181"/>
      <c r="C81" s="2182"/>
      <c r="D81" s="1128" t="s">
        <v>964</v>
      </c>
      <c r="E81" s="1107">
        <f t="shared" ref="E81:R82" si="12">SUM(E15+E27+E30+E33+E36+E21)</f>
        <v>39525</v>
      </c>
      <c r="F81" s="1103">
        <f t="shared" si="12"/>
        <v>99316</v>
      </c>
      <c r="G81" s="1096">
        <f t="shared" si="12"/>
        <v>53916</v>
      </c>
      <c r="H81" s="1079">
        <f t="shared" si="12"/>
        <v>10655</v>
      </c>
      <c r="I81" s="1079">
        <f t="shared" si="12"/>
        <v>32045</v>
      </c>
      <c r="J81" s="1079">
        <f t="shared" si="12"/>
        <v>0</v>
      </c>
      <c r="K81" s="1079">
        <f t="shared" si="12"/>
        <v>0</v>
      </c>
      <c r="L81" s="1085">
        <f t="shared" si="12"/>
        <v>0</v>
      </c>
      <c r="M81" s="1096">
        <f t="shared" si="12"/>
        <v>1500</v>
      </c>
      <c r="N81" s="1079">
        <f t="shared" si="12"/>
        <v>0</v>
      </c>
      <c r="O81" s="1079">
        <f t="shared" si="12"/>
        <v>1200</v>
      </c>
      <c r="P81" s="1079">
        <f t="shared" si="12"/>
        <v>0</v>
      </c>
      <c r="Q81" s="1079">
        <f t="shared" si="12"/>
        <v>0</v>
      </c>
      <c r="R81" s="1085">
        <f t="shared" si="12"/>
        <v>0</v>
      </c>
    </row>
    <row r="82" spans="1:18" ht="15.75" thickBot="1">
      <c r="A82" s="2183"/>
      <c r="B82" s="2184"/>
      <c r="C82" s="2185"/>
      <c r="D82" s="1155" t="s">
        <v>977</v>
      </c>
      <c r="E82" s="1159">
        <f>SUM(E16+E28+E31+E34+E37+E22)</f>
        <v>39525</v>
      </c>
      <c r="F82" s="1133">
        <f t="shared" si="12"/>
        <v>98489</v>
      </c>
      <c r="G82" s="1098">
        <f t="shared" si="12"/>
        <v>53916</v>
      </c>
      <c r="H82" s="1087">
        <f t="shared" si="12"/>
        <v>10655</v>
      </c>
      <c r="I82" s="1087">
        <f t="shared" si="12"/>
        <v>31121</v>
      </c>
      <c r="J82" s="1087">
        <f t="shared" si="12"/>
        <v>0</v>
      </c>
      <c r="K82" s="1087">
        <f t="shared" si="12"/>
        <v>0</v>
      </c>
      <c r="L82" s="1088">
        <f t="shared" si="12"/>
        <v>0</v>
      </c>
      <c r="M82" s="1156">
        <f t="shared" si="12"/>
        <v>1597</v>
      </c>
      <c r="N82" s="1091">
        <f t="shared" si="12"/>
        <v>0</v>
      </c>
      <c r="O82" s="1091">
        <f t="shared" si="12"/>
        <v>1200</v>
      </c>
      <c r="P82" s="1091">
        <f t="shared" si="12"/>
        <v>0</v>
      </c>
      <c r="Q82" s="1091">
        <f t="shared" si="12"/>
        <v>0</v>
      </c>
      <c r="R82" s="1095">
        <f t="shared" si="12"/>
        <v>0</v>
      </c>
    </row>
    <row r="83" spans="1:18">
      <c r="A83" s="2160" t="s">
        <v>117</v>
      </c>
      <c r="B83" s="2161"/>
      <c r="C83" s="2179"/>
      <c r="D83" s="1094" t="s">
        <v>3</v>
      </c>
      <c r="E83" s="1161">
        <f t="shared" ref="E83:R83" si="13">E5+E8+E11+E17+E23+E48+E55+E65</f>
        <v>961539</v>
      </c>
      <c r="F83" s="1102">
        <f t="shared" si="13"/>
        <v>901577</v>
      </c>
      <c r="G83" s="1158">
        <f t="shared" si="13"/>
        <v>635883</v>
      </c>
      <c r="H83" s="1092">
        <f t="shared" si="13"/>
        <v>121433</v>
      </c>
      <c r="I83" s="1092">
        <f t="shared" si="13"/>
        <v>129175</v>
      </c>
      <c r="J83" s="1092">
        <f t="shared" si="13"/>
        <v>0</v>
      </c>
      <c r="K83" s="1092">
        <f t="shared" si="13"/>
        <v>0</v>
      </c>
      <c r="L83" s="1093">
        <f t="shared" si="13"/>
        <v>0</v>
      </c>
      <c r="M83" s="1136">
        <f t="shared" si="13"/>
        <v>13159</v>
      </c>
      <c r="N83" s="1092">
        <f t="shared" si="13"/>
        <v>1927</v>
      </c>
      <c r="O83" s="1092">
        <f t="shared" si="13"/>
        <v>0</v>
      </c>
      <c r="P83" s="1092">
        <f t="shared" si="13"/>
        <v>0</v>
      </c>
      <c r="Q83" s="1092">
        <f t="shared" si="13"/>
        <v>0</v>
      </c>
      <c r="R83" s="1093">
        <f t="shared" si="13"/>
        <v>0</v>
      </c>
    </row>
    <row r="84" spans="1:18">
      <c r="A84" s="2180"/>
      <c r="B84" s="2181"/>
      <c r="C84" s="2182"/>
      <c r="D84" s="1078" t="s">
        <v>964</v>
      </c>
      <c r="E84" s="1162">
        <f>E6+E9+E12+E18+E24+E49+E56+E66</f>
        <v>1002368</v>
      </c>
      <c r="F84" s="1103">
        <f t="shared" ref="F84:R84" si="14">F6+F9+F12+F18+F24+F49+F56+F66+F39</f>
        <v>942577</v>
      </c>
      <c r="G84" s="1116">
        <f>G6+G9+G12+G18+G24+G49+G56+G66+G39</f>
        <v>644659</v>
      </c>
      <c r="H84" s="1079">
        <f t="shared" si="14"/>
        <v>118183</v>
      </c>
      <c r="I84" s="1079">
        <f t="shared" si="14"/>
        <v>134874</v>
      </c>
      <c r="J84" s="1079">
        <f t="shared" si="14"/>
        <v>29596</v>
      </c>
      <c r="K84" s="1079">
        <f t="shared" si="14"/>
        <v>0</v>
      </c>
      <c r="L84" s="1085">
        <f t="shared" si="14"/>
        <v>0</v>
      </c>
      <c r="M84" s="1096">
        <f t="shared" si="14"/>
        <v>13338</v>
      </c>
      <c r="N84" s="1079">
        <f t="shared" si="14"/>
        <v>1927</v>
      </c>
      <c r="O84" s="1079">
        <f t="shared" si="14"/>
        <v>0</v>
      </c>
      <c r="P84" s="1079">
        <f t="shared" si="14"/>
        <v>0</v>
      </c>
      <c r="Q84" s="1079">
        <f t="shared" si="14"/>
        <v>0</v>
      </c>
      <c r="R84" s="1085">
        <f t="shared" si="14"/>
        <v>0</v>
      </c>
    </row>
    <row r="85" spans="1:18" ht="15.75" thickBot="1">
      <c r="A85" s="2183"/>
      <c r="B85" s="2184"/>
      <c r="C85" s="2185"/>
      <c r="D85" s="1086" t="s">
        <v>977</v>
      </c>
      <c r="E85" s="1150">
        <f>E7+E10+E13+E19+E25+E50+E57+E67+E43+E60</f>
        <v>1008502</v>
      </c>
      <c r="F85" s="1133">
        <f>F7+F10+F13+F19+F25+F50+F57+F67+F43+F60+F40</f>
        <v>949538</v>
      </c>
      <c r="G85" s="1117">
        <f>G7+G10+G13+G19+G25+G50+G57+G67+G43+G60+G40</f>
        <v>649736</v>
      </c>
      <c r="H85" s="1087">
        <f t="shared" ref="H85:R85" si="15">H7+H10+H13+H19+H25+H50+H57+H67+H43+H60+H40</f>
        <v>119009</v>
      </c>
      <c r="I85" s="1087">
        <f t="shared" si="15"/>
        <v>135855</v>
      </c>
      <c r="J85" s="1087">
        <f t="shared" si="15"/>
        <v>29596</v>
      </c>
      <c r="K85" s="1087">
        <f t="shared" si="15"/>
        <v>0</v>
      </c>
      <c r="L85" s="1088">
        <f t="shared" si="15"/>
        <v>0</v>
      </c>
      <c r="M85" s="1098">
        <f t="shared" si="15"/>
        <v>13415</v>
      </c>
      <c r="N85" s="1087">
        <f t="shared" si="15"/>
        <v>1927</v>
      </c>
      <c r="O85" s="1087">
        <f t="shared" si="15"/>
        <v>0</v>
      </c>
      <c r="P85" s="1087">
        <f t="shared" si="15"/>
        <v>0</v>
      </c>
      <c r="Q85" s="1087">
        <f t="shared" si="15"/>
        <v>0</v>
      </c>
      <c r="R85" s="1088">
        <f t="shared" si="15"/>
        <v>0</v>
      </c>
    </row>
  </sheetData>
  <mergeCells count="75">
    <mergeCell ref="A80:C82"/>
    <mergeCell ref="A83:C85"/>
    <mergeCell ref="C58:C60"/>
    <mergeCell ref="A61:A63"/>
    <mergeCell ref="B61:C63"/>
    <mergeCell ref="A64:R64"/>
    <mergeCell ref="A65:A67"/>
    <mergeCell ref="B65:B67"/>
    <mergeCell ref="C65:C67"/>
    <mergeCell ref="A58:A60"/>
    <mergeCell ref="B58:B60"/>
    <mergeCell ref="A74:C76"/>
    <mergeCell ref="A77:C79"/>
    <mergeCell ref="A71:C73"/>
    <mergeCell ref="A68:A70"/>
    <mergeCell ref="B68:C70"/>
    <mergeCell ref="B44:C46"/>
    <mergeCell ref="A47:R47"/>
    <mergeCell ref="B48:B50"/>
    <mergeCell ref="C48:C50"/>
    <mergeCell ref="A48:A50"/>
    <mergeCell ref="B41:B43"/>
    <mergeCell ref="C41:C43"/>
    <mergeCell ref="A41:A43"/>
    <mergeCell ref="A44:A46"/>
    <mergeCell ref="A1:R1"/>
    <mergeCell ref="Q2:R2"/>
    <mergeCell ref="A4:R4"/>
    <mergeCell ref="F2:F3"/>
    <mergeCell ref="G2:L2"/>
    <mergeCell ref="M2:P2"/>
    <mergeCell ref="A2:D3"/>
    <mergeCell ref="E2:E3"/>
    <mergeCell ref="C17:C19"/>
    <mergeCell ref="B17:B19"/>
    <mergeCell ref="A17:A19"/>
    <mergeCell ref="C20:C22"/>
    <mergeCell ref="B20:B22"/>
    <mergeCell ref="A20:A22"/>
    <mergeCell ref="C11:C13"/>
    <mergeCell ref="B11:B13"/>
    <mergeCell ref="A11:A13"/>
    <mergeCell ref="C14:C16"/>
    <mergeCell ref="B14:B16"/>
    <mergeCell ref="A14:A16"/>
    <mergeCell ref="C5:C7"/>
    <mergeCell ref="B5:B7"/>
    <mergeCell ref="A5:A7"/>
    <mergeCell ref="C8:C10"/>
    <mergeCell ref="B8:B10"/>
    <mergeCell ref="A8:A10"/>
    <mergeCell ref="C29:C31"/>
    <mergeCell ref="B29:B31"/>
    <mergeCell ref="A29:A31"/>
    <mergeCell ref="C32:C34"/>
    <mergeCell ref="B32:B34"/>
    <mergeCell ref="A32:A34"/>
    <mergeCell ref="C35:C37"/>
    <mergeCell ref="B35:B37"/>
    <mergeCell ref="A35:A37"/>
    <mergeCell ref="C38:C40"/>
    <mergeCell ref="B38:B40"/>
    <mergeCell ref="A38:A40"/>
    <mergeCell ref="C23:C25"/>
    <mergeCell ref="B23:B25"/>
    <mergeCell ref="A23:A25"/>
    <mergeCell ref="C26:C28"/>
    <mergeCell ref="B26:B28"/>
    <mergeCell ref="A26:A28"/>
    <mergeCell ref="A55:A57"/>
    <mergeCell ref="A51:A53"/>
    <mergeCell ref="B51:C53"/>
    <mergeCell ref="A54:R54"/>
    <mergeCell ref="B55:B57"/>
    <mergeCell ref="C55:C57"/>
  </mergeCells>
  <printOptions horizontalCentered="1"/>
  <pageMargins left="0.16" right="0.23622047244094491" top="0.47244094488188981" bottom="0.55118110236220474" header="0.31496062992125984" footer="0.15748031496062992"/>
  <pageSetup paperSize="9" scale="60" orientation="portrait" r:id="rId1"/>
  <headerFooter>
    <oddHeader>&amp;L&amp;"Times New Roman,Normál"&amp;8 5. melléklet a 31/2020.(XII.2.) Tata Város Önkormányzat Polgármesterének rendeletéhez</oddHeader>
    <oddFooter>&amp;L&amp;8 24/2019.(XII.19.)önk.rend. Hatályos:2020.01.01.
17/2020.(VII.9.)önk.rend. Hatályos:2020.07.10.
22/2020.(VIII.6.)önk.rend. Hatályos:2020.08.10.</oddFooter>
  </headerFooter>
  <rowBreaks count="1" manualBreakCount="1">
    <brk id="43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1"/>
  <sheetViews>
    <sheetView view="pageLayout" zoomScale="91" zoomScaleNormal="60" zoomScalePageLayoutView="91" workbookViewId="0">
      <selection sqref="A1:R1"/>
    </sheetView>
  </sheetViews>
  <sheetFormatPr defaultColWidth="9" defaultRowHeight="15.75"/>
  <cols>
    <col min="1" max="1" width="26.28515625" style="784" customWidth="1"/>
    <col min="2" max="2" width="13.7109375" style="41" customWidth="1"/>
    <col min="3" max="3" width="14.7109375" style="464" bestFit="1" customWidth="1"/>
    <col min="4" max="4" width="14.7109375" style="41" bestFit="1" customWidth="1"/>
    <col min="5" max="5" width="15.5703125" style="41" bestFit="1" customWidth="1"/>
    <col min="6" max="6" width="13.7109375" style="41" bestFit="1" customWidth="1"/>
    <col min="7" max="7" width="14.7109375" style="41" bestFit="1" customWidth="1"/>
    <col min="8" max="8" width="9.140625" style="41" bestFit="1" customWidth="1"/>
    <col min="9" max="9" width="13.85546875" style="41" bestFit="1" customWidth="1"/>
    <col min="10" max="10" width="10.85546875" style="41" bestFit="1" customWidth="1"/>
    <col min="11" max="11" width="13" style="41" bestFit="1" customWidth="1"/>
    <col min="12" max="13" width="14" style="41" bestFit="1" customWidth="1"/>
    <col min="14" max="14" width="14.7109375" style="41" customWidth="1"/>
    <col min="15" max="15" width="15.28515625" style="41" bestFit="1" customWidth="1"/>
    <col min="16" max="16" width="14.85546875" style="41" customWidth="1"/>
    <col min="17" max="17" width="10.42578125" style="41" bestFit="1" customWidth="1"/>
    <col min="18" max="18" width="14.85546875" style="41" customWidth="1"/>
    <col min="19" max="16384" width="9" style="41"/>
  </cols>
  <sheetData>
    <row r="1" spans="1:21" ht="21" customHeight="1">
      <c r="A1" s="2228" t="s">
        <v>929</v>
      </c>
      <c r="B1" s="2228"/>
      <c r="C1" s="2228"/>
      <c r="D1" s="2228"/>
      <c r="E1" s="2228"/>
      <c r="F1" s="2228"/>
      <c r="G1" s="2228"/>
      <c r="H1" s="2228"/>
      <c r="I1" s="2228"/>
      <c r="J1" s="2228"/>
      <c r="K1" s="2228"/>
      <c r="L1" s="2228"/>
      <c r="M1" s="2228"/>
      <c r="N1" s="2228"/>
      <c r="O1" s="2228"/>
      <c r="P1" s="2228"/>
      <c r="Q1" s="2228"/>
      <c r="R1" s="2228"/>
    </row>
    <row r="2" spans="1:21" ht="12.75" customHeight="1" thickBot="1">
      <c r="A2" s="2228"/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  <c r="P2" s="2228"/>
      <c r="Q2" s="2228"/>
      <c r="R2" s="2228"/>
    </row>
    <row r="3" spans="1:21" ht="27.75" customHeight="1">
      <c r="A3" s="2229" t="s">
        <v>125</v>
      </c>
      <c r="B3" s="2046" t="s">
        <v>126</v>
      </c>
      <c r="C3" s="2230"/>
      <c r="D3" s="2232" t="s">
        <v>20</v>
      </c>
      <c r="E3" s="2233"/>
      <c r="F3" s="2233"/>
      <c r="G3" s="2233"/>
      <c r="H3" s="2233"/>
      <c r="I3" s="2234"/>
      <c r="J3" s="2045" t="s">
        <v>535</v>
      </c>
      <c r="K3" s="2046"/>
      <c r="L3" s="2046"/>
      <c r="M3" s="2051"/>
      <c r="N3" s="2052" t="s">
        <v>937</v>
      </c>
      <c r="O3" s="2205" t="s">
        <v>1002</v>
      </c>
      <c r="P3" s="2205" t="s">
        <v>938</v>
      </c>
      <c r="Q3" s="2046" t="s">
        <v>1003</v>
      </c>
      <c r="R3" s="2051" t="s">
        <v>536</v>
      </c>
    </row>
    <row r="4" spans="1:21" ht="120.75" customHeight="1" thickBot="1">
      <c r="A4" s="2217"/>
      <c r="B4" s="2203"/>
      <c r="C4" s="2231"/>
      <c r="D4" s="1184" t="s">
        <v>939</v>
      </c>
      <c r="E4" s="1851" t="s">
        <v>1037</v>
      </c>
      <c r="F4" s="1065" t="s">
        <v>1036</v>
      </c>
      <c r="G4" s="1065" t="s">
        <v>28</v>
      </c>
      <c r="H4" s="1065" t="s">
        <v>127</v>
      </c>
      <c r="I4" s="1064" t="s">
        <v>940</v>
      </c>
      <c r="J4" s="1184" t="s">
        <v>941</v>
      </c>
      <c r="K4" s="1065" t="s">
        <v>741</v>
      </c>
      <c r="L4" s="1065" t="s">
        <v>942</v>
      </c>
      <c r="M4" s="1064" t="s">
        <v>943</v>
      </c>
      <c r="N4" s="2235"/>
      <c r="O4" s="2236"/>
      <c r="P4" s="2204"/>
      <c r="Q4" s="2203"/>
      <c r="R4" s="2227"/>
      <c r="T4" s="111"/>
      <c r="U4" s="111"/>
    </row>
    <row r="5" spans="1:21" ht="24" customHeight="1">
      <c r="A5" s="2207" t="s">
        <v>781</v>
      </c>
      <c r="B5" s="2223" t="s">
        <v>101</v>
      </c>
      <c r="C5" s="1203" t="s">
        <v>3</v>
      </c>
      <c r="D5" s="1185"/>
      <c r="E5" s="1163">
        <v>329</v>
      </c>
      <c r="F5" s="1163"/>
      <c r="G5" s="1163">
        <v>2141</v>
      </c>
      <c r="H5" s="1163">
        <v>665</v>
      </c>
      <c r="I5" s="1186"/>
      <c r="J5" s="1200"/>
      <c r="K5" s="1163"/>
      <c r="L5" s="1163"/>
      <c r="M5" s="1186"/>
      <c r="N5" s="1176"/>
      <c r="O5" s="1163"/>
      <c r="P5" s="1163">
        <v>117641</v>
      </c>
      <c r="Q5" s="1163">
        <f>SUM(D5:O5)</f>
        <v>3135</v>
      </c>
      <c r="R5" s="1164">
        <f>P5+Q5</f>
        <v>120776</v>
      </c>
      <c r="S5" s="81"/>
      <c r="U5" s="81"/>
    </row>
    <row r="6" spans="1:21" ht="24" customHeight="1">
      <c r="A6" s="2197"/>
      <c r="B6" s="2194"/>
      <c r="C6" s="1204" t="s">
        <v>964</v>
      </c>
      <c r="D6" s="1187"/>
      <c r="E6" s="1165">
        <f>329-5</f>
        <v>324</v>
      </c>
      <c r="F6" s="1165"/>
      <c r="G6" s="1165">
        <v>2141</v>
      </c>
      <c r="H6" s="1165">
        <v>665</v>
      </c>
      <c r="I6" s="1188">
        <f>5</f>
        <v>5</v>
      </c>
      <c r="J6" s="1201"/>
      <c r="K6" s="1165">
        <f>294</f>
        <v>294</v>
      </c>
      <c r="L6" s="1165"/>
      <c r="M6" s="1188"/>
      <c r="N6" s="1177"/>
      <c r="O6" s="1165">
        <v>80</v>
      </c>
      <c r="P6" s="1165">
        <f>110565+1353-556</f>
        <v>111362</v>
      </c>
      <c r="Q6" s="1165">
        <f>SUM(D6:O6)</f>
        <v>3509</v>
      </c>
      <c r="R6" s="1166">
        <f t="shared" ref="R6:R7" si="0">P6+Q6</f>
        <v>114871</v>
      </c>
      <c r="S6" s="81"/>
      <c r="U6" s="81"/>
    </row>
    <row r="7" spans="1:21" ht="24" customHeight="1">
      <c r="A7" s="2198"/>
      <c r="B7" s="2195"/>
      <c r="C7" s="1204" t="s">
        <v>977</v>
      </c>
      <c r="D7" s="1187"/>
      <c r="E7" s="1165">
        <f>329-5</f>
        <v>324</v>
      </c>
      <c r="F7" s="1165"/>
      <c r="G7" s="1165">
        <v>2141</v>
      </c>
      <c r="H7" s="1165">
        <v>665</v>
      </c>
      <c r="I7" s="1188">
        <f>5</f>
        <v>5</v>
      </c>
      <c r="J7" s="1201"/>
      <c r="K7" s="1165">
        <f>294</f>
        <v>294</v>
      </c>
      <c r="L7" s="1165"/>
      <c r="M7" s="1188"/>
      <c r="N7" s="1177"/>
      <c r="O7" s="1165">
        <v>80</v>
      </c>
      <c r="P7" s="1165">
        <f>110565+1353-556</f>
        <v>111362</v>
      </c>
      <c r="Q7" s="1165">
        <f>SUM(D7:O7)</f>
        <v>3509</v>
      </c>
      <c r="R7" s="1166">
        <f t="shared" si="0"/>
        <v>114871</v>
      </c>
      <c r="S7" s="81"/>
      <c r="U7" s="81"/>
    </row>
    <row r="8" spans="1:21" ht="24" customHeight="1">
      <c r="A8" s="2196" t="s">
        <v>129</v>
      </c>
      <c r="B8" s="2193" t="s">
        <v>101</v>
      </c>
      <c r="C8" s="1204" t="s">
        <v>3</v>
      </c>
      <c r="D8" s="1187"/>
      <c r="E8" s="1165">
        <v>43</v>
      </c>
      <c r="F8" s="1165"/>
      <c r="G8" s="1165">
        <v>229</v>
      </c>
      <c r="H8" s="1165">
        <v>72</v>
      </c>
      <c r="I8" s="1188"/>
      <c r="J8" s="1201"/>
      <c r="K8" s="1165"/>
      <c r="L8" s="1165"/>
      <c r="M8" s="1188"/>
      <c r="N8" s="1177"/>
      <c r="O8" s="1165"/>
      <c r="P8" s="1165">
        <v>43587</v>
      </c>
      <c r="Q8" s="1165">
        <f t="shared" ref="Q8:Q78" si="1">SUM(D8:O8)</f>
        <v>344</v>
      </c>
      <c r="R8" s="1166">
        <f t="shared" ref="R8:R78" si="2">P8+Q8</f>
        <v>43931</v>
      </c>
      <c r="S8" s="81"/>
      <c r="U8" s="81"/>
    </row>
    <row r="9" spans="1:21" ht="24" customHeight="1">
      <c r="A9" s="2197"/>
      <c r="B9" s="2194"/>
      <c r="C9" s="1204" t="s">
        <v>964</v>
      </c>
      <c r="D9" s="1187"/>
      <c r="E9" s="1165">
        <v>43</v>
      </c>
      <c r="F9" s="1165"/>
      <c r="G9" s="1165">
        <v>229</v>
      </c>
      <c r="H9" s="1165">
        <v>72</v>
      </c>
      <c r="I9" s="1188"/>
      <c r="J9" s="1201"/>
      <c r="K9" s="1165"/>
      <c r="L9" s="1165"/>
      <c r="M9" s="1188"/>
      <c r="N9" s="1177"/>
      <c r="O9" s="1165"/>
      <c r="P9" s="1165">
        <f>44587+829</f>
        <v>45416</v>
      </c>
      <c r="Q9" s="1165">
        <f>SUM(D9:O9)</f>
        <v>344</v>
      </c>
      <c r="R9" s="1166">
        <f t="shared" ref="R9:R10" si="3">P9+Q9</f>
        <v>45760</v>
      </c>
      <c r="S9" s="81"/>
      <c r="U9" s="81"/>
    </row>
    <row r="10" spans="1:21" ht="24" customHeight="1">
      <c r="A10" s="2198"/>
      <c r="B10" s="2195"/>
      <c r="C10" s="1204" t="s">
        <v>977</v>
      </c>
      <c r="D10" s="1187"/>
      <c r="E10" s="1165">
        <v>43</v>
      </c>
      <c r="F10" s="1165"/>
      <c r="G10" s="1165">
        <v>229</v>
      </c>
      <c r="H10" s="1165">
        <v>72</v>
      </c>
      <c r="I10" s="1188"/>
      <c r="J10" s="1201"/>
      <c r="K10" s="1165"/>
      <c r="L10" s="1165"/>
      <c r="M10" s="1188"/>
      <c r="N10" s="1177"/>
      <c r="O10" s="1165"/>
      <c r="P10" s="1165">
        <f>44587+829</f>
        <v>45416</v>
      </c>
      <c r="Q10" s="1165">
        <f>SUM(D10:O10)</f>
        <v>344</v>
      </c>
      <c r="R10" s="1166">
        <f t="shared" si="3"/>
        <v>45760</v>
      </c>
      <c r="S10" s="81"/>
      <c r="U10" s="81"/>
    </row>
    <row r="11" spans="1:21" ht="24" customHeight="1">
      <c r="A11" s="2224" t="s">
        <v>130</v>
      </c>
      <c r="B11" s="2193" t="s">
        <v>101</v>
      </c>
      <c r="C11" s="1204" t="s">
        <v>3</v>
      </c>
      <c r="D11" s="1187"/>
      <c r="E11" s="1165">
        <v>416</v>
      </c>
      <c r="F11" s="1165"/>
      <c r="G11" s="1165">
        <v>2371</v>
      </c>
      <c r="H11" s="1165">
        <v>751</v>
      </c>
      <c r="I11" s="1188"/>
      <c r="J11" s="1201"/>
      <c r="K11" s="1165"/>
      <c r="L11" s="1165"/>
      <c r="M11" s="1188"/>
      <c r="N11" s="1177"/>
      <c r="O11" s="1165"/>
      <c r="P11" s="1165">
        <v>99725</v>
      </c>
      <c r="Q11" s="1165">
        <f t="shared" si="1"/>
        <v>3538</v>
      </c>
      <c r="R11" s="1166">
        <f t="shared" si="2"/>
        <v>103263</v>
      </c>
      <c r="S11" s="81"/>
      <c r="U11" s="81"/>
    </row>
    <row r="12" spans="1:21" ht="24" customHeight="1">
      <c r="A12" s="2225"/>
      <c r="B12" s="2194"/>
      <c r="C12" s="1204" t="s">
        <v>964</v>
      </c>
      <c r="D12" s="1187"/>
      <c r="E12" s="1165">
        <f>416-5</f>
        <v>411</v>
      </c>
      <c r="F12" s="1165"/>
      <c r="G12" s="1165">
        <v>2371</v>
      </c>
      <c r="H12" s="1165">
        <v>751</v>
      </c>
      <c r="I12" s="1188">
        <f>5</f>
        <v>5</v>
      </c>
      <c r="J12" s="1201"/>
      <c r="K12" s="1165">
        <f>122</f>
        <v>122</v>
      </c>
      <c r="L12" s="1165"/>
      <c r="M12" s="1188"/>
      <c r="N12" s="1177"/>
      <c r="O12" s="1165">
        <v>14</v>
      </c>
      <c r="P12" s="1165">
        <f>98188+25+1833-666</f>
        <v>99380</v>
      </c>
      <c r="Q12" s="1165">
        <f>SUM(D12:O12)</f>
        <v>3674</v>
      </c>
      <c r="R12" s="1166">
        <f t="shared" ref="R12:R13" si="4">P12+Q12</f>
        <v>103054</v>
      </c>
      <c r="S12" s="81"/>
      <c r="U12" s="81"/>
    </row>
    <row r="13" spans="1:21" ht="24" customHeight="1">
      <c r="A13" s="2226"/>
      <c r="B13" s="2195"/>
      <c r="C13" s="1204" t="s">
        <v>977</v>
      </c>
      <c r="D13" s="1187"/>
      <c r="E13" s="1165">
        <f>416-5</f>
        <v>411</v>
      </c>
      <c r="F13" s="1165"/>
      <c r="G13" s="1165">
        <v>2371</v>
      </c>
      <c r="H13" s="1165">
        <v>751</v>
      </c>
      <c r="I13" s="1188">
        <f>5</f>
        <v>5</v>
      </c>
      <c r="J13" s="1201"/>
      <c r="K13" s="1165">
        <f>122</f>
        <v>122</v>
      </c>
      <c r="L13" s="1165"/>
      <c r="M13" s="1188"/>
      <c r="N13" s="1177"/>
      <c r="O13" s="1165">
        <v>14</v>
      </c>
      <c r="P13" s="1165">
        <f>98188+25+1833-666+99</f>
        <v>99479</v>
      </c>
      <c r="Q13" s="1165">
        <f>SUM(D13:O13)</f>
        <v>3674</v>
      </c>
      <c r="R13" s="1166">
        <f t="shared" si="4"/>
        <v>103153</v>
      </c>
      <c r="S13" s="81"/>
      <c r="U13" s="81"/>
    </row>
    <row r="14" spans="1:21" ht="24" customHeight="1">
      <c r="A14" s="2196" t="s">
        <v>131</v>
      </c>
      <c r="B14" s="2193" t="s">
        <v>101</v>
      </c>
      <c r="C14" s="1204" t="s">
        <v>3</v>
      </c>
      <c r="D14" s="1187"/>
      <c r="E14" s="1165">
        <v>1984</v>
      </c>
      <c r="F14" s="1165"/>
      <c r="G14" s="1165">
        <v>2218</v>
      </c>
      <c r="H14" s="1165">
        <v>1134</v>
      </c>
      <c r="I14" s="1188"/>
      <c r="J14" s="1201"/>
      <c r="K14" s="1165">
        <v>1512</v>
      </c>
      <c r="L14" s="1165"/>
      <c r="M14" s="1188"/>
      <c r="N14" s="1177"/>
      <c r="O14" s="1165"/>
      <c r="P14" s="1165">
        <v>145739</v>
      </c>
      <c r="Q14" s="1165">
        <f t="shared" si="1"/>
        <v>6848</v>
      </c>
      <c r="R14" s="1166">
        <f t="shared" si="2"/>
        <v>152587</v>
      </c>
      <c r="S14" s="81"/>
      <c r="U14" s="81"/>
    </row>
    <row r="15" spans="1:21" ht="24" customHeight="1">
      <c r="A15" s="2197"/>
      <c r="B15" s="2194"/>
      <c r="C15" s="1204" t="s">
        <v>964</v>
      </c>
      <c r="D15" s="1187"/>
      <c r="E15" s="1165">
        <v>1984</v>
      </c>
      <c r="F15" s="1165">
        <f>747</f>
        <v>747</v>
      </c>
      <c r="G15" s="1165">
        <f>2218-747</f>
        <v>1471</v>
      </c>
      <c r="H15" s="1165">
        <v>1134</v>
      </c>
      <c r="I15" s="1188"/>
      <c r="J15" s="1201"/>
      <c r="K15" s="1165">
        <f>1512+93</f>
        <v>1605</v>
      </c>
      <c r="L15" s="1165"/>
      <c r="M15" s="1188"/>
      <c r="N15" s="1177"/>
      <c r="O15" s="1165">
        <v>129</v>
      </c>
      <c r="P15" s="1165">
        <f>132113+1585-700</f>
        <v>132998</v>
      </c>
      <c r="Q15" s="1165">
        <f>SUM(D15:O15)</f>
        <v>7070</v>
      </c>
      <c r="R15" s="1166">
        <f t="shared" ref="R15:R16" si="5">P15+Q15</f>
        <v>140068</v>
      </c>
      <c r="S15" s="81"/>
      <c r="U15" s="81"/>
    </row>
    <row r="16" spans="1:21" ht="24" customHeight="1">
      <c r="A16" s="2198"/>
      <c r="B16" s="2195"/>
      <c r="C16" s="1204" t="s">
        <v>977</v>
      </c>
      <c r="D16" s="1187"/>
      <c r="E16" s="1165">
        <v>1984</v>
      </c>
      <c r="F16" s="1165">
        <f>747</f>
        <v>747</v>
      </c>
      <c r="G16" s="1165">
        <f>2218-747</f>
        <v>1471</v>
      </c>
      <c r="H16" s="1165">
        <v>1134</v>
      </c>
      <c r="I16" s="1188"/>
      <c r="J16" s="1201"/>
      <c r="K16" s="1165">
        <f>1512+93+80+1300</f>
        <v>2985</v>
      </c>
      <c r="L16" s="1165"/>
      <c r="M16" s="1188"/>
      <c r="N16" s="1177"/>
      <c r="O16" s="1165">
        <v>129</v>
      </c>
      <c r="P16" s="1165">
        <f>132113+1585-700</f>
        <v>132998</v>
      </c>
      <c r="Q16" s="1165">
        <f>SUM(D16:O16)</f>
        <v>8450</v>
      </c>
      <c r="R16" s="1166">
        <f t="shared" si="5"/>
        <v>141448</v>
      </c>
      <c r="S16" s="81"/>
      <c r="U16" s="81"/>
    </row>
    <row r="17" spans="1:21" ht="24" customHeight="1">
      <c r="A17" s="2196" t="s">
        <v>132</v>
      </c>
      <c r="B17" s="2193" t="s">
        <v>101</v>
      </c>
      <c r="C17" s="1204" t="s">
        <v>3</v>
      </c>
      <c r="D17" s="1187"/>
      <c r="E17" s="1165">
        <v>5</v>
      </c>
      <c r="F17" s="1165"/>
      <c r="G17" s="1165">
        <v>2447</v>
      </c>
      <c r="H17" s="1165">
        <v>662</v>
      </c>
      <c r="I17" s="1188"/>
      <c r="J17" s="1201"/>
      <c r="K17" s="1165"/>
      <c r="L17" s="1165"/>
      <c r="M17" s="1188"/>
      <c r="N17" s="1177"/>
      <c r="O17" s="1165"/>
      <c r="P17" s="1165">
        <v>81304</v>
      </c>
      <c r="Q17" s="1165">
        <f t="shared" si="1"/>
        <v>3114</v>
      </c>
      <c r="R17" s="1166">
        <f t="shared" si="2"/>
        <v>84418</v>
      </c>
      <c r="S17" s="81"/>
      <c r="U17" s="81"/>
    </row>
    <row r="18" spans="1:21" ht="24" customHeight="1">
      <c r="A18" s="2197"/>
      <c r="B18" s="2194"/>
      <c r="C18" s="1204" t="s">
        <v>964</v>
      </c>
      <c r="D18" s="1187"/>
      <c r="E18" s="1165">
        <v>5</v>
      </c>
      <c r="F18" s="1165"/>
      <c r="G18" s="1165">
        <v>2447</v>
      </c>
      <c r="H18" s="1165">
        <v>662</v>
      </c>
      <c r="I18" s="1188"/>
      <c r="J18" s="1201"/>
      <c r="K18" s="1165">
        <f>194</f>
        <v>194</v>
      </c>
      <c r="L18" s="1165"/>
      <c r="M18" s="1188"/>
      <c r="N18" s="1177"/>
      <c r="O18" s="1165">
        <v>65</v>
      </c>
      <c r="P18" s="1165">
        <f>77228+1190-373</f>
        <v>78045</v>
      </c>
      <c r="Q18" s="1165">
        <f>SUM(D18:O18)</f>
        <v>3373</v>
      </c>
      <c r="R18" s="1166">
        <f t="shared" ref="R18:R19" si="6">P18+Q18</f>
        <v>81418</v>
      </c>
      <c r="S18" s="81"/>
      <c r="U18" s="81"/>
    </row>
    <row r="19" spans="1:21" ht="24" customHeight="1">
      <c r="A19" s="2198"/>
      <c r="B19" s="2195"/>
      <c r="C19" s="1204" t="s">
        <v>977</v>
      </c>
      <c r="D19" s="1187"/>
      <c r="E19" s="1165">
        <v>5</v>
      </c>
      <c r="F19" s="1165"/>
      <c r="G19" s="1165">
        <v>2447</v>
      </c>
      <c r="H19" s="1165">
        <v>662</v>
      </c>
      <c r="I19" s="1188"/>
      <c r="J19" s="1201"/>
      <c r="K19" s="1165">
        <f>194</f>
        <v>194</v>
      </c>
      <c r="L19" s="1165"/>
      <c r="M19" s="1188"/>
      <c r="N19" s="1177"/>
      <c r="O19" s="1165">
        <v>65</v>
      </c>
      <c r="P19" s="1165">
        <f>77228+1190-373+31-3000</f>
        <v>75076</v>
      </c>
      <c r="Q19" s="1165">
        <f>SUM(D19:O19)</f>
        <v>3373</v>
      </c>
      <c r="R19" s="1166">
        <f t="shared" si="6"/>
        <v>78449</v>
      </c>
      <c r="S19" s="81"/>
      <c r="U19" s="81"/>
    </row>
    <row r="20" spans="1:21" ht="24" customHeight="1">
      <c r="A20" s="2196" t="s">
        <v>133</v>
      </c>
      <c r="B20" s="2193" t="s">
        <v>101</v>
      </c>
      <c r="C20" s="1204" t="s">
        <v>3</v>
      </c>
      <c r="D20" s="1187"/>
      <c r="E20" s="1165">
        <v>160</v>
      </c>
      <c r="F20" s="1165"/>
      <c r="G20" s="1165">
        <v>1530</v>
      </c>
      <c r="H20" s="1165">
        <v>455</v>
      </c>
      <c r="I20" s="1188"/>
      <c r="J20" s="1201"/>
      <c r="K20" s="1165"/>
      <c r="L20" s="1165"/>
      <c r="M20" s="1188"/>
      <c r="N20" s="1177"/>
      <c r="O20" s="1165"/>
      <c r="P20" s="1165">
        <v>123431</v>
      </c>
      <c r="Q20" s="1165">
        <f t="shared" si="1"/>
        <v>2145</v>
      </c>
      <c r="R20" s="1166">
        <f t="shared" si="2"/>
        <v>125576</v>
      </c>
      <c r="S20" s="81"/>
      <c r="U20" s="81"/>
    </row>
    <row r="21" spans="1:21" ht="24" customHeight="1">
      <c r="A21" s="2197"/>
      <c r="B21" s="2194"/>
      <c r="C21" s="1204" t="s">
        <v>964</v>
      </c>
      <c r="D21" s="1187"/>
      <c r="E21" s="1165">
        <f>160-5</f>
        <v>155</v>
      </c>
      <c r="F21" s="1165"/>
      <c r="G21" s="1165">
        <v>1530</v>
      </c>
      <c r="H21" s="1165">
        <v>455</v>
      </c>
      <c r="I21" s="1188">
        <v>5</v>
      </c>
      <c r="J21" s="1201"/>
      <c r="K21" s="1165">
        <f>95</f>
        <v>95</v>
      </c>
      <c r="L21" s="1165"/>
      <c r="M21" s="1188"/>
      <c r="N21" s="1177"/>
      <c r="O21" s="1165">
        <v>32</v>
      </c>
      <c r="P21" s="1165">
        <f>113179+1152-851</f>
        <v>113480</v>
      </c>
      <c r="Q21" s="1165">
        <f>SUM(D21:O21)</f>
        <v>2272</v>
      </c>
      <c r="R21" s="1166">
        <f t="shared" ref="R21:R22" si="7">P21+Q21</f>
        <v>115752</v>
      </c>
      <c r="S21" s="81"/>
      <c r="U21" s="81"/>
    </row>
    <row r="22" spans="1:21" ht="24" customHeight="1">
      <c r="A22" s="2198"/>
      <c r="B22" s="2195"/>
      <c r="C22" s="1204" t="s">
        <v>977</v>
      </c>
      <c r="D22" s="1187"/>
      <c r="E22" s="1165">
        <f>160-5</f>
        <v>155</v>
      </c>
      <c r="F22" s="1165"/>
      <c r="G22" s="1165">
        <v>1530</v>
      </c>
      <c r="H22" s="1165">
        <v>455</v>
      </c>
      <c r="I22" s="1188">
        <v>5</v>
      </c>
      <c r="J22" s="1201"/>
      <c r="K22" s="1165">
        <f>95+58</f>
        <v>153</v>
      </c>
      <c r="L22" s="1165"/>
      <c r="M22" s="1188"/>
      <c r="N22" s="1177"/>
      <c r="O22" s="1165">
        <v>32</v>
      </c>
      <c r="P22" s="1165">
        <f>113179+1152-851</f>
        <v>113480</v>
      </c>
      <c r="Q22" s="1165">
        <f>SUM(D22:O22)</f>
        <v>2330</v>
      </c>
      <c r="R22" s="1166">
        <f t="shared" si="7"/>
        <v>115810</v>
      </c>
      <c r="S22" s="81"/>
      <c r="U22" s="81"/>
    </row>
    <row r="23" spans="1:21" s="112" customFormat="1" ht="24" customHeight="1">
      <c r="A23" s="2196" t="s">
        <v>134</v>
      </c>
      <c r="B23" s="2193" t="s">
        <v>101</v>
      </c>
      <c r="C23" s="1204" t="s">
        <v>3</v>
      </c>
      <c r="D23" s="1187"/>
      <c r="E23" s="1165">
        <v>2</v>
      </c>
      <c r="F23" s="1165"/>
      <c r="G23" s="1165">
        <v>229</v>
      </c>
      <c r="H23" s="1165">
        <v>63</v>
      </c>
      <c r="I23" s="1188"/>
      <c r="J23" s="1201"/>
      <c r="K23" s="1165"/>
      <c r="L23" s="1165"/>
      <c r="M23" s="1188"/>
      <c r="N23" s="1177"/>
      <c r="O23" s="1165"/>
      <c r="P23" s="1165">
        <v>21282</v>
      </c>
      <c r="Q23" s="1165">
        <f t="shared" si="1"/>
        <v>294</v>
      </c>
      <c r="R23" s="1166">
        <f t="shared" si="2"/>
        <v>21576</v>
      </c>
      <c r="S23" s="81"/>
      <c r="U23" s="81"/>
    </row>
    <row r="24" spans="1:21" s="112" customFormat="1" ht="24" customHeight="1">
      <c r="A24" s="2197"/>
      <c r="B24" s="2194"/>
      <c r="C24" s="1204" t="s">
        <v>964</v>
      </c>
      <c r="D24" s="1187"/>
      <c r="E24" s="1165">
        <v>2</v>
      </c>
      <c r="F24" s="1165"/>
      <c r="G24" s="1165">
        <v>229</v>
      </c>
      <c r="H24" s="1165">
        <v>63</v>
      </c>
      <c r="I24" s="1188"/>
      <c r="J24" s="1201"/>
      <c r="K24" s="1165"/>
      <c r="L24" s="1165"/>
      <c r="M24" s="1188"/>
      <c r="N24" s="1177"/>
      <c r="O24" s="1165"/>
      <c r="P24" s="1165">
        <f>21282+415</f>
        <v>21697</v>
      </c>
      <c r="Q24" s="1165">
        <f>SUM(D24:O24)</f>
        <v>294</v>
      </c>
      <c r="R24" s="1166">
        <f t="shared" ref="R24:R25" si="8">P24+Q24</f>
        <v>21991</v>
      </c>
      <c r="S24" s="81"/>
      <c r="U24" s="81"/>
    </row>
    <row r="25" spans="1:21" s="112" customFormat="1" ht="24" customHeight="1">
      <c r="A25" s="2198"/>
      <c r="B25" s="2195"/>
      <c r="C25" s="1204" t="s">
        <v>977</v>
      </c>
      <c r="D25" s="1187"/>
      <c r="E25" s="1165">
        <v>2</v>
      </c>
      <c r="F25" s="1165"/>
      <c r="G25" s="1165">
        <v>229</v>
      </c>
      <c r="H25" s="1165">
        <v>63</v>
      </c>
      <c r="I25" s="1188"/>
      <c r="J25" s="1201"/>
      <c r="K25" s="1165"/>
      <c r="L25" s="1165"/>
      <c r="M25" s="1188"/>
      <c r="N25" s="1177"/>
      <c r="O25" s="1165"/>
      <c r="P25" s="1165">
        <f>21282+415</f>
        <v>21697</v>
      </c>
      <c r="Q25" s="1165">
        <f>SUM(D25:O25)</f>
        <v>294</v>
      </c>
      <c r="R25" s="1166">
        <f t="shared" si="8"/>
        <v>21991</v>
      </c>
      <c r="S25" s="81"/>
      <c r="U25" s="81"/>
    </row>
    <row r="26" spans="1:21" ht="24" customHeight="1">
      <c r="A26" s="2196" t="s">
        <v>135</v>
      </c>
      <c r="B26" s="2193" t="s">
        <v>101</v>
      </c>
      <c r="C26" s="1204" t="s">
        <v>3</v>
      </c>
      <c r="D26" s="1187"/>
      <c r="E26" s="1165">
        <v>14900</v>
      </c>
      <c r="F26" s="1165"/>
      <c r="G26" s="1165">
        <v>7337</v>
      </c>
      <c r="H26" s="1165">
        <v>4649</v>
      </c>
      <c r="I26" s="1188"/>
      <c r="J26" s="1201"/>
      <c r="K26" s="1165"/>
      <c r="L26" s="1165"/>
      <c r="M26" s="1188"/>
      <c r="N26" s="1177"/>
      <c r="O26" s="1165"/>
      <c r="P26" s="1165">
        <v>198995</v>
      </c>
      <c r="Q26" s="1165">
        <f t="shared" si="1"/>
        <v>26886</v>
      </c>
      <c r="R26" s="1166">
        <f t="shared" si="2"/>
        <v>225881</v>
      </c>
      <c r="S26" s="81"/>
      <c r="U26" s="81"/>
    </row>
    <row r="27" spans="1:21" ht="24" customHeight="1">
      <c r="A27" s="2197"/>
      <c r="B27" s="2194"/>
      <c r="C27" s="1204" t="s">
        <v>964</v>
      </c>
      <c r="D27" s="1187"/>
      <c r="E27" s="1165">
        <f>14900-20</f>
        <v>14880</v>
      </c>
      <c r="F27" s="1165"/>
      <c r="G27" s="1165">
        <v>7337</v>
      </c>
      <c r="H27" s="1165">
        <v>4649</v>
      </c>
      <c r="I27" s="1188">
        <f>20</f>
        <v>20</v>
      </c>
      <c r="J27" s="1201"/>
      <c r="K27" s="1165">
        <f>170</f>
        <v>170</v>
      </c>
      <c r="L27" s="1165"/>
      <c r="M27" s="1188"/>
      <c r="N27" s="1177"/>
      <c r="O27" s="1165">
        <v>216</v>
      </c>
      <c r="P27" s="1165">
        <f>198793+19+1132-2721-1127</f>
        <v>196096</v>
      </c>
      <c r="Q27" s="1165">
        <f>SUM(D27:O27)</f>
        <v>27272</v>
      </c>
      <c r="R27" s="1166">
        <f t="shared" ref="R27:R28" si="9">P27+Q27</f>
        <v>223368</v>
      </c>
      <c r="S27" s="81"/>
      <c r="U27" s="81"/>
    </row>
    <row r="28" spans="1:21" ht="24" customHeight="1">
      <c r="A28" s="2198"/>
      <c r="B28" s="2195"/>
      <c r="C28" s="1204" t="s">
        <v>977</v>
      </c>
      <c r="D28" s="1187"/>
      <c r="E28" s="1165">
        <f>14900-20</f>
        <v>14880</v>
      </c>
      <c r="F28" s="1165"/>
      <c r="G28" s="1165">
        <f>7337+3000</f>
        <v>10337</v>
      </c>
      <c r="H28" s="1165">
        <v>4649</v>
      </c>
      <c r="I28" s="1188">
        <f>20</f>
        <v>20</v>
      </c>
      <c r="J28" s="1201"/>
      <c r="K28" s="1165">
        <f>170</f>
        <v>170</v>
      </c>
      <c r="L28" s="1165"/>
      <c r="M28" s="1188"/>
      <c r="N28" s="1177"/>
      <c r="O28" s="1165">
        <v>216</v>
      </c>
      <c r="P28" s="1165">
        <f>198793+19+1132-2721-1127-3000-1500+90+1664</f>
        <v>193350</v>
      </c>
      <c r="Q28" s="1165">
        <f>SUM(D28:O28)</f>
        <v>30272</v>
      </c>
      <c r="R28" s="1166">
        <f t="shared" si="9"/>
        <v>223622</v>
      </c>
      <c r="S28" s="81"/>
      <c r="U28" s="81"/>
    </row>
    <row r="29" spans="1:21" ht="24" customHeight="1">
      <c r="A29" s="2211" t="s">
        <v>542</v>
      </c>
      <c r="B29" s="2193" t="s">
        <v>101</v>
      </c>
      <c r="C29" s="1204" t="s">
        <v>3</v>
      </c>
      <c r="D29" s="1187"/>
      <c r="E29" s="1165">
        <v>0</v>
      </c>
      <c r="F29" s="1165"/>
      <c r="G29" s="1165">
        <v>19048</v>
      </c>
      <c r="H29" s="1165">
        <v>5143</v>
      </c>
      <c r="I29" s="1188"/>
      <c r="J29" s="1201"/>
      <c r="K29" s="1165"/>
      <c r="L29" s="1165"/>
      <c r="M29" s="1188"/>
      <c r="N29" s="1177"/>
      <c r="O29" s="1165"/>
      <c r="P29" s="1165">
        <v>37032</v>
      </c>
      <c r="Q29" s="1165">
        <f t="shared" si="1"/>
        <v>24191</v>
      </c>
      <c r="R29" s="1166">
        <f t="shared" si="2"/>
        <v>61223</v>
      </c>
      <c r="S29" s="81"/>
      <c r="U29" s="81"/>
    </row>
    <row r="30" spans="1:21" ht="24" customHeight="1">
      <c r="A30" s="2212"/>
      <c r="B30" s="2194"/>
      <c r="C30" s="1204" t="s">
        <v>964</v>
      </c>
      <c r="D30" s="1187"/>
      <c r="E30" s="1165">
        <v>0</v>
      </c>
      <c r="F30" s="1165"/>
      <c r="G30" s="1165">
        <v>19048</v>
      </c>
      <c r="H30" s="1165">
        <v>5143</v>
      </c>
      <c r="I30" s="1188"/>
      <c r="J30" s="1201"/>
      <c r="K30" s="1165"/>
      <c r="L30" s="1165"/>
      <c r="M30" s="1188"/>
      <c r="N30" s="1177"/>
      <c r="O30" s="1165"/>
      <c r="P30" s="1165">
        <f>33826-1905</f>
        <v>31921</v>
      </c>
      <c r="Q30" s="1165">
        <f>SUM(D30:O30)</f>
        <v>24191</v>
      </c>
      <c r="R30" s="1166">
        <f t="shared" ref="R30:R31" si="10">P30+Q30</f>
        <v>56112</v>
      </c>
      <c r="S30" s="81"/>
      <c r="U30" s="81"/>
    </row>
    <row r="31" spans="1:21" ht="24" customHeight="1">
      <c r="A31" s="2213"/>
      <c r="B31" s="2195"/>
      <c r="C31" s="1204" t="s">
        <v>977</v>
      </c>
      <c r="D31" s="1187"/>
      <c r="E31" s="1165">
        <v>0</v>
      </c>
      <c r="F31" s="1165"/>
      <c r="G31" s="1165">
        <v>19048</v>
      </c>
      <c r="H31" s="1165">
        <v>5143</v>
      </c>
      <c r="I31" s="1188"/>
      <c r="J31" s="1201"/>
      <c r="K31" s="1165"/>
      <c r="L31" s="1165"/>
      <c r="M31" s="1188"/>
      <c r="N31" s="1177"/>
      <c r="O31" s="1165"/>
      <c r="P31" s="1165">
        <f>33826-1905-212</f>
        <v>31709</v>
      </c>
      <c r="Q31" s="1165">
        <f>SUM(D31:O31)</f>
        <v>24191</v>
      </c>
      <c r="R31" s="1166">
        <f t="shared" si="10"/>
        <v>55900</v>
      </c>
      <c r="S31" s="81"/>
      <c r="U31" s="81"/>
    </row>
    <row r="32" spans="1:21" ht="24" customHeight="1">
      <c r="A32" s="2211" t="s">
        <v>137</v>
      </c>
      <c r="B32" s="2193" t="s">
        <v>101</v>
      </c>
      <c r="C32" s="1204" t="s">
        <v>3</v>
      </c>
      <c r="D32" s="1187"/>
      <c r="E32" s="1165">
        <v>0</v>
      </c>
      <c r="F32" s="1165"/>
      <c r="G32" s="1165">
        <v>13637</v>
      </c>
      <c r="H32" s="1165">
        <v>3682</v>
      </c>
      <c r="I32" s="1188"/>
      <c r="J32" s="1201"/>
      <c r="K32" s="1165"/>
      <c r="L32" s="1165"/>
      <c r="M32" s="1188"/>
      <c r="N32" s="1177"/>
      <c r="O32" s="1165"/>
      <c r="P32" s="1165">
        <v>18079</v>
      </c>
      <c r="Q32" s="1165">
        <f t="shared" si="1"/>
        <v>17319</v>
      </c>
      <c r="R32" s="1166">
        <f t="shared" si="2"/>
        <v>35398</v>
      </c>
      <c r="S32" s="81"/>
      <c r="U32" s="81"/>
    </row>
    <row r="33" spans="1:21" ht="24" customHeight="1">
      <c r="A33" s="2212"/>
      <c r="B33" s="2194"/>
      <c r="C33" s="1204" t="s">
        <v>964</v>
      </c>
      <c r="D33" s="1187"/>
      <c r="E33" s="1165">
        <v>0</v>
      </c>
      <c r="F33" s="1165"/>
      <c r="G33" s="1165">
        <v>13637</v>
      </c>
      <c r="H33" s="1165">
        <v>3682</v>
      </c>
      <c r="I33" s="1188"/>
      <c r="J33" s="1201"/>
      <c r="K33" s="1165"/>
      <c r="L33" s="1165"/>
      <c r="M33" s="1188"/>
      <c r="N33" s="1177"/>
      <c r="O33" s="1165"/>
      <c r="P33" s="1165">
        <f>16392-1025</f>
        <v>15367</v>
      </c>
      <c r="Q33" s="1165">
        <f>SUM(D33:O33)</f>
        <v>17319</v>
      </c>
      <c r="R33" s="1166">
        <f t="shared" ref="R33:R34" si="11">P33+Q33</f>
        <v>32686</v>
      </c>
      <c r="S33" s="81"/>
      <c r="U33" s="81"/>
    </row>
    <row r="34" spans="1:21" ht="24" customHeight="1">
      <c r="A34" s="2213"/>
      <c r="B34" s="2195"/>
      <c r="C34" s="1204" t="s">
        <v>977</v>
      </c>
      <c r="D34" s="1187"/>
      <c r="E34" s="1165">
        <v>0</v>
      </c>
      <c r="F34" s="1165"/>
      <c r="G34" s="1165">
        <v>13637</v>
      </c>
      <c r="H34" s="1165">
        <v>3682</v>
      </c>
      <c r="I34" s="1188"/>
      <c r="J34" s="1201"/>
      <c r="K34" s="1165"/>
      <c r="L34" s="1165"/>
      <c r="M34" s="1188"/>
      <c r="N34" s="1177"/>
      <c r="O34" s="1165"/>
      <c r="P34" s="1165">
        <f>16392-1025-114</f>
        <v>15253</v>
      </c>
      <c r="Q34" s="1165">
        <f>SUM(D34:O34)</f>
        <v>17319</v>
      </c>
      <c r="R34" s="1166">
        <f t="shared" si="11"/>
        <v>32572</v>
      </c>
      <c r="S34" s="81"/>
      <c r="U34" s="81"/>
    </row>
    <row r="35" spans="1:21" s="113" customFormat="1" ht="24" customHeight="1">
      <c r="A35" s="2196" t="s">
        <v>794</v>
      </c>
      <c r="B35" s="2203" t="s">
        <v>101</v>
      </c>
      <c r="C35" s="1205" t="s">
        <v>3</v>
      </c>
      <c r="D35" s="1189">
        <f t="shared" ref="D35:H37" si="12">D29+D32</f>
        <v>0</v>
      </c>
      <c r="E35" s="1167">
        <f t="shared" si="12"/>
        <v>0</v>
      </c>
      <c r="F35" s="1167">
        <f t="shared" si="12"/>
        <v>0</v>
      </c>
      <c r="G35" s="1167">
        <f t="shared" si="12"/>
        <v>32685</v>
      </c>
      <c r="H35" s="1167">
        <f t="shared" si="12"/>
        <v>8825</v>
      </c>
      <c r="I35" s="1190"/>
      <c r="J35" s="1189">
        <f t="shared" ref="J35:P37" si="13">J29+J32</f>
        <v>0</v>
      </c>
      <c r="K35" s="1167">
        <f t="shared" si="13"/>
        <v>0</v>
      </c>
      <c r="L35" s="1167">
        <f t="shared" si="13"/>
        <v>0</v>
      </c>
      <c r="M35" s="1190">
        <f t="shared" si="13"/>
        <v>0</v>
      </c>
      <c r="N35" s="1178">
        <f t="shared" si="13"/>
        <v>0</v>
      </c>
      <c r="O35" s="1167">
        <f t="shared" si="13"/>
        <v>0</v>
      </c>
      <c r="P35" s="1167">
        <f t="shared" si="13"/>
        <v>55111</v>
      </c>
      <c r="Q35" s="1165">
        <f t="shared" si="1"/>
        <v>41510</v>
      </c>
      <c r="R35" s="1166">
        <f t="shared" si="2"/>
        <v>96621</v>
      </c>
      <c r="S35" s="114"/>
      <c r="U35" s="114"/>
    </row>
    <row r="36" spans="1:21" s="113" customFormat="1" ht="24" customHeight="1">
      <c r="A36" s="2197"/>
      <c r="B36" s="2204"/>
      <c r="C36" s="1205" t="s">
        <v>964</v>
      </c>
      <c r="D36" s="1189">
        <f t="shared" si="12"/>
        <v>0</v>
      </c>
      <c r="E36" s="1167">
        <f t="shared" si="12"/>
        <v>0</v>
      </c>
      <c r="F36" s="1167">
        <f t="shared" si="12"/>
        <v>0</v>
      </c>
      <c r="G36" s="1167">
        <f t="shared" si="12"/>
        <v>32685</v>
      </c>
      <c r="H36" s="1167">
        <f t="shared" si="12"/>
        <v>8825</v>
      </c>
      <c r="I36" s="1190">
        <f>I30+I33</f>
        <v>0</v>
      </c>
      <c r="J36" s="1189">
        <f t="shared" si="13"/>
        <v>0</v>
      </c>
      <c r="K36" s="1167">
        <f t="shared" si="13"/>
        <v>0</v>
      </c>
      <c r="L36" s="1167">
        <f t="shared" si="13"/>
        <v>0</v>
      </c>
      <c r="M36" s="1190">
        <f t="shared" si="13"/>
        <v>0</v>
      </c>
      <c r="N36" s="1178">
        <f t="shared" si="13"/>
        <v>0</v>
      </c>
      <c r="O36" s="1167">
        <f t="shared" si="13"/>
        <v>0</v>
      </c>
      <c r="P36" s="1168">
        <f>P30+P33</f>
        <v>47288</v>
      </c>
      <c r="Q36" s="1165">
        <f>SUM(D36:O36)</f>
        <v>41510</v>
      </c>
      <c r="R36" s="1166">
        <f t="shared" ref="R36:R37" si="14">P36+Q36</f>
        <v>88798</v>
      </c>
      <c r="S36" s="114"/>
      <c r="U36" s="114"/>
    </row>
    <row r="37" spans="1:21" s="113" customFormat="1" ht="24" customHeight="1">
      <c r="A37" s="2198"/>
      <c r="B37" s="2206"/>
      <c r="C37" s="1205" t="s">
        <v>977</v>
      </c>
      <c r="D37" s="1189">
        <f t="shared" si="12"/>
        <v>0</v>
      </c>
      <c r="E37" s="1167">
        <f t="shared" si="12"/>
        <v>0</v>
      </c>
      <c r="F37" s="1167">
        <f t="shared" si="12"/>
        <v>0</v>
      </c>
      <c r="G37" s="1167">
        <f t="shared" si="12"/>
        <v>32685</v>
      </c>
      <c r="H37" s="1167">
        <f t="shared" si="12"/>
        <v>8825</v>
      </c>
      <c r="I37" s="1190">
        <f>I31+I34</f>
        <v>0</v>
      </c>
      <c r="J37" s="1189">
        <f t="shared" si="13"/>
        <v>0</v>
      </c>
      <c r="K37" s="1167">
        <f t="shared" si="13"/>
        <v>0</v>
      </c>
      <c r="L37" s="1167">
        <f t="shared" si="13"/>
        <v>0</v>
      </c>
      <c r="M37" s="1190">
        <f t="shared" si="13"/>
        <v>0</v>
      </c>
      <c r="N37" s="1178">
        <f t="shared" si="13"/>
        <v>0</v>
      </c>
      <c r="O37" s="1167">
        <f t="shared" si="13"/>
        <v>0</v>
      </c>
      <c r="P37" s="1168">
        <f>P31+P34</f>
        <v>46962</v>
      </c>
      <c r="Q37" s="1165">
        <f>SUM(D37:O37)</f>
        <v>41510</v>
      </c>
      <c r="R37" s="1166">
        <f t="shared" si="14"/>
        <v>88472</v>
      </c>
      <c r="S37" s="114"/>
      <c r="U37" s="114"/>
    </row>
    <row r="38" spans="1:21" ht="24" customHeight="1">
      <c r="A38" s="2211" t="s">
        <v>139</v>
      </c>
      <c r="B38" s="2193" t="s">
        <v>101</v>
      </c>
      <c r="C38" s="1204" t="s">
        <v>3</v>
      </c>
      <c r="D38" s="1187"/>
      <c r="E38" s="1165"/>
      <c r="F38" s="1165"/>
      <c r="G38" s="1165">
        <v>18004</v>
      </c>
      <c r="H38" s="1165">
        <v>4861</v>
      </c>
      <c r="I38" s="1188"/>
      <c r="J38" s="1201"/>
      <c r="K38" s="1165"/>
      <c r="L38" s="1165"/>
      <c r="M38" s="1188"/>
      <c r="N38" s="1177"/>
      <c r="O38" s="1165"/>
      <c r="P38" s="1165">
        <v>35782</v>
      </c>
      <c r="Q38" s="1165">
        <f t="shared" si="1"/>
        <v>22865</v>
      </c>
      <c r="R38" s="1166">
        <f t="shared" si="2"/>
        <v>58647</v>
      </c>
      <c r="S38" s="81"/>
      <c r="U38" s="81"/>
    </row>
    <row r="39" spans="1:21" ht="24" customHeight="1">
      <c r="A39" s="2212"/>
      <c r="B39" s="2194"/>
      <c r="C39" s="1204" t="s">
        <v>964</v>
      </c>
      <c r="D39" s="1187"/>
      <c r="E39" s="1165"/>
      <c r="F39" s="1165"/>
      <c r="G39" s="1165">
        <v>18004</v>
      </c>
      <c r="H39" s="1165">
        <v>4861</v>
      </c>
      <c r="I39" s="1188"/>
      <c r="J39" s="1201"/>
      <c r="K39" s="1165"/>
      <c r="L39" s="1165"/>
      <c r="M39" s="1188"/>
      <c r="N39" s="1177"/>
      <c r="O39" s="1165"/>
      <c r="P39" s="1165">
        <f>32450-1979</f>
        <v>30471</v>
      </c>
      <c r="Q39" s="1165">
        <f>SUM(D39:O39)</f>
        <v>22865</v>
      </c>
      <c r="R39" s="1166">
        <f t="shared" ref="R39:R40" si="15">P39+Q39</f>
        <v>53336</v>
      </c>
      <c r="S39" s="81"/>
      <c r="U39" s="81"/>
    </row>
    <row r="40" spans="1:21" ht="24" customHeight="1">
      <c r="A40" s="2213"/>
      <c r="B40" s="2195"/>
      <c r="C40" s="1204" t="s">
        <v>977</v>
      </c>
      <c r="D40" s="1187"/>
      <c r="E40" s="1165"/>
      <c r="F40" s="1165"/>
      <c r="G40" s="1165">
        <v>18004</v>
      </c>
      <c r="H40" s="1165">
        <v>4861</v>
      </c>
      <c r="I40" s="1188"/>
      <c r="J40" s="1201"/>
      <c r="K40" s="1165"/>
      <c r="L40" s="1165"/>
      <c r="M40" s="1188"/>
      <c r="N40" s="1177"/>
      <c r="O40" s="1165"/>
      <c r="P40" s="1165">
        <f>32450-1979-220</f>
        <v>30251</v>
      </c>
      <c r="Q40" s="1165">
        <f>SUM(D40:O40)</f>
        <v>22865</v>
      </c>
      <c r="R40" s="1166">
        <f t="shared" si="15"/>
        <v>53116</v>
      </c>
      <c r="S40" s="81"/>
      <c r="U40" s="81"/>
    </row>
    <row r="41" spans="1:21" ht="24" customHeight="1">
      <c r="A41" s="2211" t="s">
        <v>140</v>
      </c>
      <c r="B41" s="2193" t="s">
        <v>101</v>
      </c>
      <c r="C41" s="1204" t="s">
        <v>3</v>
      </c>
      <c r="D41" s="1187"/>
      <c r="E41" s="1165"/>
      <c r="F41" s="1165"/>
      <c r="G41" s="1165">
        <v>7735</v>
      </c>
      <c r="H41" s="1165">
        <v>2088</v>
      </c>
      <c r="I41" s="1188"/>
      <c r="J41" s="1201"/>
      <c r="K41" s="1165"/>
      <c r="L41" s="1165"/>
      <c r="M41" s="1188"/>
      <c r="N41" s="1177"/>
      <c r="O41" s="1165"/>
      <c r="P41" s="1165">
        <v>13467</v>
      </c>
      <c r="Q41" s="1165">
        <f>SUM(D41:O41)</f>
        <v>9823</v>
      </c>
      <c r="R41" s="1166">
        <f t="shared" si="2"/>
        <v>23290</v>
      </c>
      <c r="S41" s="81"/>
      <c r="U41" s="81"/>
    </row>
    <row r="42" spans="1:21" ht="24" customHeight="1">
      <c r="A42" s="2212"/>
      <c r="B42" s="2194"/>
      <c r="C42" s="1204" t="s">
        <v>964</v>
      </c>
      <c r="D42" s="1187"/>
      <c r="E42" s="1165"/>
      <c r="F42" s="1165"/>
      <c r="G42" s="1165">
        <v>7735</v>
      </c>
      <c r="H42" s="1165">
        <v>2088</v>
      </c>
      <c r="I42" s="1188"/>
      <c r="J42" s="1201"/>
      <c r="K42" s="1165"/>
      <c r="L42" s="1165"/>
      <c r="M42" s="1188"/>
      <c r="N42" s="1177"/>
      <c r="O42" s="1165"/>
      <c r="P42" s="1165">
        <f>12287-731</f>
        <v>11556</v>
      </c>
      <c r="Q42" s="1165">
        <f>SUM(D42:O42)</f>
        <v>9823</v>
      </c>
      <c r="R42" s="1166">
        <f t="shared" ref="R42:R43" si="16">P42+Q42</f>
        <v>21379</v>
      </c>
      <c r="S42" s="81"/>
      <c r="U42" s="81"/>
    </row>
    <row r="43" spans="1:21" ht="24" customHeight="1">
      <c r="A43" s="2213"/>
      <c r="B43" s="2195"/>
      <c r="C43" s="1204" t="s">
        <v>977</v>
      </c>
      <c r="D43" s="1187"/>
      <c r="E43" s="1165"/>
      <c r="F43" s="1165"/>
      <c r="G43" s="1165">
        <v>7735</v>
      </c>
      <c r="H43" s="1165">
        <v>2088</v>
      </c>
      <c r="I43" s="1188"/>
      <c r="J43" s="1201"/>
      <c r="K43" s="1165"/>
      <c r="L43" s="1165"/>
      <c r="M43" s="1188"/>
      <c r="N43" s="1177"/>
      <c r="O43" s="1165"/>
      <c r="P43" s="1165">
        <f>12287-731-81</f>
        <v>11475</v>
      </c>
      <c r="Q43" s="1165">
        <f>SUM(D43:O43)</f>
        <v>9823</v>
      </c>
      <c r="R43" s="1166">
        <f t="shared" si="16"/>
        <v>21298</v>
      </c>
      <c r="S43" s="81"/>
      <c r="U43" s="81"/>
    </row>
    <row r="44" spans="1:21" s="115" customFormat="1" ht="24" customHeight="1">
      <c r="A44" s="2196" t="s">
        <v>141</v>
      </c>
      <c r="B44" s="2203" t="s">
        <v>101</v>
      </c>
      <c r="C44" s="1205" t="s">
        <v>3</v>
      </c>
      <c r="D44" s="1189">
        <f t="shared" ref="D44:H46" si="17">D38+D41</f>
        <v>0</v>
      </c>
      <c r="E44" s="1167">
        <f t="shared" si="17"/>
        <v>0</v>
      </c>
      <c r="F44" s="1167">
        <f t="shared" si="17"/>
        <v>0</v>
      </c>
      <c r="G44" s="1167">
        <f t="shared" si="17"/>
        <v>25739</v>
      </c>
      <c r="H44" s="1167">
        <f t="shared" si="17"/>
        <v>6949</v>
      </c>
      <c r="I44" s="1190"/>
      <c r="J44" s="1189">
        <f t="shared" ref="J44:P46" si="18">J38+J41</f>
        <v>0</v>
      </c>
      <c r="K44" s="1167">
        <f t="shared" si="18"/>
        <v>0</v>
      </c>
      <c r="L44" s="1167">
        <f t="shared" si="18"/>
        <v>0</v>
      </c>
      <c r="M44" s="1190">
        <f t="shared" si="18"/>
        <v>0</v>
      </c>
      <c r="N44" s="1178">
        <f t="shared" si="18"/>
        <v>0</v>
      </c>
      <c r="O44" s="1167">
        <f t="shared" si="18"/>
        <v>0</v>
      </c>
      <c r="P44" s="1167">
        <f t="shared" si="18"/>
        <v>49249</v>
      </c>
      <c r="Q44" s="1165">
        <f t="shared" si="1"/>
        <v>32688</v>
      </c>
      <c r="R44" s="1166">
        <f t="shared" si="2"/>
        <v>81937</v>
      </c>
      <c r="S44" s="114"/>
      <c r="U44" s="114"/>
    </row>
    <row r="45" spans="1:21" s="115" customFormat="1" ht="24" customHeight="1">
      <c r="A45" s="2197"/>
      <c r="B45" s="2204"/>
      <c r="C45" s="1205" t="s">
        <v>964</v>
      </c>
      <c r="D45" s="1189">
        <f t="shared" si="17"/>
        <v>0</v>
      </c>
      <c r="E45" s="1167">
        <f t="shared" si="17"/>
        <v>0</v>
      </c>
      <c r="F45" s="1167">
        <f t="shared" si="17"/>
        <v>0</v>
      </c>
      <c r="G45" s="1167">
        <f t="shared" si="17"/>
        <v>25739</v>
      </c>
      <c r="H45" s="1167">
        <f t="shared" si="17"/>
        <v>6949</v>
      </c>
      <c r="I45" s="1190">
        <f>I39+I42</f>
        <v>0</v>
      </c>
      <c r="J45" s="1189">
        <f t="shared" si="18"/>
        <v>0</v>
      </c>
      <c r="K45" s="1167">
        <f t="shared" si="18"/>
        <v>0</v>
      </c>
      <c r="L45" s="1167">
        <f t="shared" si="18"/>
        <v>0</v>
      </c>
      <c r="M45" s="1190">
        <f t="shared" si="18"/>
        <v>0</v>
      </c>
      <c r="N45" s="1178">
        <f t="shared" si="18"/>
        <v>0</v>
      </c>
      <c r="O45" s="1167">
        <f t="shared" si="18"/>
        <v>0</v>
      </c>
      <c r="P45" s="1168">
        <f>P39+P42</f>
        <v>42027</v>
      </c>
      <c r="Q45" s="1165">
        <f>SUM(D45:O45)</f>
        <v>32688</v>
      </c>
      <c r="R45" s="1166">
        <f t="shared" ref="R45:R46" si="19">P45+Q45</f>
        <v>74715</v>
      </c>
      <c r="S45" s="114"/>
      <c r="U45" s="114"/>
    </row>
    <row r="46" spans="1:21" s="115" customFormat="1" ht="24" customHeight="1">
      <c r="A46" s="2198"/>
      <c r="B46" s="2206"/>
      <c r="C46" s="1205" t="s">
        <v>977</v>
      </c>
      <c r="D46" s="1189">
        <f t="shared" si="17"/>
        <v>0</v>
      </c>
      <c r="E46" s="1167">
        <f t="shared" si="17"/>
        <v>0</v>
      </c>
      <c r="F46" s="1167">
        <f t="shared" si="17"/>
        <v>0</v>
      </c>
      <c r="G46" s="1167">
        <f t="shared" si="17"/>
        <v>25739</v>
      </c>
      <c r="H46" s="1167">
        <f t="shared" si="17"/>
        <v>6949</v>
      </c>
      <c r="I46" s="1190">
        <f>I40+I43</f>
        <v>0</v>
      </c>
      <c r="J46" s="1189">
        <f t="shared" si="18"/>
        <v>0</v>
      </c>
      <c r="K46" s="1167">
        <f t="shared" si="18"/>
        <v>0</v>
      </c>
      <c r="L46" s="1167">
        <f t="shared" si="18"/>
        <v>0</v>
      </c>
      <c r="M46" s="1190">
        <f t="shared" si="18"/>
        <v>0</v>
      </c>
      <c r="N46" s="1178">
        <f t="shared" si="18"/>
        <v>0</v>
      </c>
      <c r="O46" s="1167">
        <f t="shared" si="18"/>
        <v>0</v>
      </c>
      <c r="P46" s="1168">
        <f>P40+P43</f>
        <v>41726</v>
      </c>
      <c r="Q46" s="1165">
        <f>SUM(D46:O46)</f>
        <v>32688</v>
      </c>
      <c r="R46" s="1166">
        <f t="shared" si="19"/>
        <v>74414</v>
      </c>
      <c r="S46" s="114"/>
      <c r="U46" s="114"/>
    </row>
    <row r="47" spans="1:21" ht="24" customHeight="1">
      <c r="A47" s="2196" t="s">
        <v>142</v>
      </c>
      <c r="B47" s="2193" t="s">
        <v>101</v>
      </c>
      <c r="C47" s="1204" t="s">
        <v>3</v>
      </c>
      <c r="D47" s="1187"/>
      <c r="E47" s="1165"/>
      <c r="F47" s="1165"/>
      <c r="G47" s="1165">
        <v>4808</v>
      </c>
      <c r="H47" s="1165">
        <v>1298</v>
      </c>
      <c r="I47" s="1188"/>
      <c r="J47" s="1201"/>
      <c r="K47" s="1165"/>
      <c r="L47" s="1165"/>
      <c r="M47" s="1188"/>
      <c r="N47" s="1177"/>
      <c r="O47" s="1165"/>
      <c r="P47" s="1165">
        <v>20119</v>
      </c>
      <c r="Q47" s="1165">
        <f t="shared" si="1"/>
        <v>6106</v>
      </c>
      <c r="R47" s="1166">
        <f t="shared" si="2"/>
        <v>26225</v>
      </c>
      <c r="S47" s="81"/>
      <c r="U47" s="81"/>
    </row>
    <row r="48" spans="1:21" ht="24" customHeight="1">
      <c r="A48" s="2197"/>
      <c r="B48" s="2194"/>
      <c r="C48" s="1204" t="s">
        <v>964</v>
      </c>
      <c r="D48" s="1187"/>
      <c r="E48" s="1165"/>
      <c r="F48" s="1165"/>
      <c r="G48" s="1165">
        <v>4808</v>
      </c>
      <c r="H48" s="1165">
        <v>1298</v>
      </c>
      <c r="I48" s="1188"/>
      <c r="J48" s="1201"/>
      <c r="K48" s="1165"/>
      <c r="L48" s="1165"/>
      <c r="M48" s="1188"/>
      <c r="N48" s="1177"/>
      <c r="O48" s="1165"/>
      <c r="P48" s="1165">
        <f>19064-659</f>
        <v>18405</v>
      </c>
      <c r="Q48" s="1165">
        <f>SUM(D48:O48)</f>
        <v>6106</v>
      </c>
      <c r="R48" s="1166">
        <f t="shared" ref="R48:R49" si="20">P48+Q48</f>
        <v>24511</v>
      </c>
      <c r="S48" s="81"/>
      <c r="U48" s="81"/>
    </row>
    <row r="49" spans="1:21" ht="24" customHeight="1">
      <c r="A49" s="2198"/>
      <c r="B49" s="2195"/>
      <c r="C49" s="1204" t="s">
        <v>977</v>
      </c>
      <c r="D49" s="1187"/>
      <c r="E49" s="1165"/>
      <c r="F49" s="1165"/>
      <c r="G49" s="1165">
        <v>4808</v>
      </c>
      <c r="H49" s="1165">
        <v>1298</v>
      </c>
      <c r="I49" s="1188"/>
      <c r="J49" s="1201"/>
      <c r="K49" s="1165"/>
      <c r="L49" s="1165"/>
      <c r="M49" s="1188"/>
      <c r="N49" s="1177"/>
      <c r="O49" s="1165"/>
      <c r="P49" s="1165">
        <f>19064-659-73</f>
        <v>18332</v>
      </c>
      <c r="Q49" s="1165">
        <f>SUM(D49:O49)</f>
        <v>6106</v>
      </c>
      <c r="R49" s="1166">
        <f t="shared" si="20"/>
        <v>24438</v>
      </c>
      <c r="S49" s="81"/>
      <c r="U49" s="81"/>
    </row>
    <row r="50" spans="1:21" ht="24" customHeight="1">
      <c r="A50" s="2214" t="s">
        <v>780</v>
      </c>
      <c r="B50" s="2193" t="s">
        <v>101</v>
      </c>
      <c r="C50" s="1204" t="s">
        <v>3</v>
      </c>
      <c r="D50" s="1187"/>
      <c r="E50" s="1165"/>
      <c r="F50" s="1165"/>
      <c r="G50" s="1165">
        <v>4817</v>
      </c>
      <c r="H50" s="1165">
        <v>1301</v>
      </c>
      <c r="I50" s="1188"/>
      <c r="J50" s="1201"/>
      <c r="K50" s="1165"/>
      <c r="L50" s="1165"/>
      <c r="M50" s="1188"/>
      <c r="N50" s="1177"/>
      <c r="O50" s="1165"/>
      <c r="P50" s="1165">
        <v>6886</v>
      </c>
      <c r="Q50" s="1165">
        <f t="shared" si="1"/>
        <v>6118</v>
      </c>
      <c r="R50" s="1166">
        <f t="shared" si="2"/>
        <v>13004</v>
      </c>
      <c r="S50" s="81"/>
      <c r="U50" s="81"/>
    </row>
    <row r="51" spans="1:21" ht="24.75" customHeight="1">
      <c r="A51" s="2215"/>
      <c r="B51" s="2194"/>
      <c r="C51" s="1204" t="s">
        <v>964</v>
      </c>
      <c r="D51" s="1187"/>
      <c r="E51" s="1165"/>
      <c r="F51" s="1165"/>
      <c r="G51" s="1165">
        <v>4817</v>
      </c>
      <c r="H51" s="1165">
        <v>1301</v>
      </c>
      <c r="I51" s="1188"/>
      <c r="J51" s="1201"/>
      <c r="K51" s="1165"/>
      <c r="L51" s="1165"/>
      <c r="M51" s="1188"/>
      <c r="N51" s="1177"/>
      <c r="O51" s="1165"/>
      <c r="P51" s="1165">
        <f>6717-146</f>
        <v>6571</v>
      </c>
      <c r="Q51" s="1165">
        <f>SUM(D51:O51)</f>
        <v>6118</v>
      </c>
      <c r="R51" s="1166">
        <f t="shared" ref="R51:R52" si="21">P51+Q51</f>
        <v>12689</v>
      </c>
      <c r="S51" s="81"/>
      <c r="U51" s="81"/>
    </row>
    <row r="52" spans="1:21" ht="24.75" customHeight="1">
      <c r="A52" s="2216"/>
      <c r="B52" s="2195"/>
      <c r="C52" s="1204" t="s">
        <v>977</v>
      </c>
      <c r="D52" s="1187"/>
      <c r="E52" s="1165"/>
      <c r="F52" s="1165"/>
      <c r="G52" s="1165">
        <v>4817</v>
      </c>
      <c r="H52" s="1165">
        <v>1301</v>
      </c>
      <c r="I52" s="1188"/>
      <c r="J52" s="1201"/>
      <c r="K52" s="1165"/>
      <c r="L52" s="1165"/>
      <c r="M52" s="1188"/>
      <c r="N52" s="1177"/>
      <c r="O52" s="1165"/>
      <c r="P52" s="1165">
        <f>6717-146-16</f>
        <v>6555</v>
      </c>
      <c r="Q52" s="1165">
        <f>SUM(D52:O52)</f>
        <v>6118</v>
      </c>
      <c r="R52" s="1166">
        <f t="shared" si="21"/>
        <v>12673</v>
      </c>
      <c r="S52" s="81"/>
      <c r="U52" s="81"/>
    </row>
    <row r="53" spans="1:21" ht="24" customHeight="1">
      <c r="A53" s="2217" t="s">
        <v>537</v>
      </c>
      <c r="B53" s="2193" t="s">
        <v>101</v>
      </c>
      <c r="C53" s="1204" t="s">
        <v>3</v>
      </c>
      <c r="D53" s="1187"/>
      <c r="E53" s="1165"/>
      <c r="F53" s="1165"/>
      <c r="G53" s="1165">
        <v>14066</v>
      </c>
      <c r="H53" s="1165">
        <v>3798</v>
      </c>
      <c r="I53" s="1188"/>
      <c r="J53" s="1201"/>
      <c r="K53" s="1165"/>
      <c r="L53" s="1165"/>
      <c r="M53" s="1188"/>
      <c r="N53" s="1177"/>
      <c r="O53" s="1165"/>
      <c r="P53" s="1165">
        <v>22331</v>
      </c>
      <c r="Q53" s="1165">
        <f t="shared" si="1"/>
        <v>17864</v>
      </c>
      <c r="R53" s="1166">
        <f t="shared" si="2"/>
        <v>40195</v>
      </c>
      <c r="S53" s="81"/>
      <c r="U53" s="81"/>
    </row>
    <row r="54" spans="1:21" ht="24" customHeight="1">
      <c r="A54" s="2218"/>
      <c r="B54" s="2194"/>
      <c r="C54" s="1204" t="s">
        <v>964</v>
      </c>
      <c r="D54" s="1187"/>
      <c r="E54" s="1165"/>
      <c r="F54" s="1165"/>
      <c r="G54" s="1165">
        <v>14066</v>
      </c>
      <c r="H54" s="1165">
        <v>3798</v>
      </c>
      <c r="I54" s="1188"/>
      <c r="J54" s="1201"/>
      <c r="K54" s="1165"/>
      <c r="L54" s="1165"/>
      <c r="M54" s="1188"/>
      <c r="N54" s="1177"/>
      <c r="O54" s="1165"/>
      <c r="P54" s="1165">
        <f>20305-879</f>
        <v>19426</v>
      </c>
      <c r="Q54" s="1165">
        <f>SUM(D54:O54)</f>
        <v>17864</v>
      </c>
      <c r="R54" s="1166">
        <f t="shared" ref="R54:R55" si="22">P54+Q54</f>
        <v>37290</v>
      </c>
      <c r="S54" s="81"/>
      <c r="U54" s="81"/>
    </row>
    <row r="55" spans="1:21" ht="24" customHeight="1">
      <c r="A55" s="2219"/>
      <c r="B55" s="2195"/>
      <c r="C55" s="1204" t="s">
        <v>977</v>
      </c>
      <c r="D55" s="1187"/>
      <c r="E55" s="1165"/>
      <c r="F55" s="1165"/>
      <c r="G55" s="1165">
        <v>14066</v>
      </c>
      <c r="H55" s="1165">
        <v>3798</v>
      </c>
      <c r="I55" s="1188"/>
      <c r="J55" s="1201"/>
      <c r="K55" s="1165"/>
      <c r="L55" s="1165"/>
      <c r="M55" s="1188"/>
      <c r="N55" s="1177"/>
      <c r="O55" s="1165"/>
      <c r="P55" s="1165">
        <f>20305-879-98</f>
        <v>19328</v>
      </c>
      <c r="Q55" s="1165">
        <f>SUM(D55:O55)</f>
        <v>17864</v>
      </c>
      <c r="R55" s="1166">
        <f t="shared" si="22"/>
        <v>37192</v>
      </c>
      <c r="S55" s="81"/>
      <c r="U55" s="81"/>
    </row>
    <row r="56" spans="1:21" ht="24" customHeight="1">
      <c r="A56" s="2196" t="s">
        <v>143</v>
      </c>
      <c r="B56" s="2220" t="s">
        <v>1001</v>
      </c>
      <c r="C56" s="1204" t="s">
        <v>3</v>
      </c>
      <c r="D56" s="1191"/>
      <c r="E56" s="1169">
        <v>13010</v>
      </c>
      <c r="F56" s="1169"/>
      <c r="G56" s="1169"/>
      <c r="H56" s="1169">
        <v>25003</v>
      </c>
      <c r="I56" s="1192"/>
      <c r="J56" s="1202"/>
      <c r="K56" s="1169"/>
      <c r="L56" s="1169"/>
      <c r="M56" s="1192"/>
      <c r="N56" s="1179"/>
      <c r="O56" s="1169"/>
      <c r="P56" s="1165">
        <v>69287</v>
      </c>
      <c r="Q56" s="1165">
        <f t="shared" si="1"/>
        <v>38013</v>
      </c>
      <c r="R56" s="1166">
        <f t="shared" si="2"/>
        <v>107300</v>
      </c>
      <c r="S56" s="81"/>
      <c r="U56" s="81"/>
    </row>
    <row r="57" spans="1:21" ht="24" customHeight="1">
      <c r="A57" s="2197"/>
      <c r="B57" s="2221"/>
      <c r="C57" s="1204" t="s">
        <v>964</v>
      </c>
      <c r="D57" s="1191"/>
      <c r="E57" s="1169">
        <f>13010-10</f>
        <v>13000</v>
      </c>
      <c r="F57" s="1169"/>
      <c r="G57" s="1169"/>
      <c r="H57" s="1169">
        <v>25003</v>
      </c>
      <c r="I57" s="1192">
        <f>10</f>
        <v>10</v>
      </c>
      <c r="J57" s="1202"/>
      <c r="K57" s="1169">
        <f>644</f>
        <v>644</v>
      </c>
      <c r="L57" s="1169"/>
      <c r="M57" s="1192"/>
      <c r="N57" s="1179"/>
      <c r="O57" s="1169">
        <v>1166</v>
      </c>
      <c r="P57" s="1165">
        <f>69086-314</f>
        <v>68772</v>
      </c>
      <c r="Q57" s="1165">
        <f>SUM(D57:O57)</f>
        <v>39823</v>
      </c>
      <c r="R57" s="1166">
        <f t="shared" ref="R57:R58" si="23">P57+Q57</f>
        <v>108595</v>
      </c>
      <c r="S57" s="81"/>
      <c r="U57" s="81"/>
    </row>
    <row r="58" spans="1:21" ht="24" customHeight="1">
      <c r="A58" s="2198"/>
      <c r="B58" s="2222"/>
      <c r="C58" s="1204" t="s">
        <v>977</v>
      </c>
      <c r="D58" s="1191"/>
      <c r="E58" s="1169">
        <f>13010-10</f>
        <v>13000</v>
      </c>
      <c r="F58" s="1169"/>
      <c r="G58" s="1169"/>
      <c r="H58" s="1169">
        <v>25003</v>
      </c>
      <c r="I58" s="1192">
        <f>10</f>
        <v>10</v>
      </c>
      <c r="J58" s="1202"/>
      <c r="K58" s="1169">
        <f>644</f>
        <v>644</v>
      </c>
      <c r="L58" s="1169"/>
      <c r="M58" s="1192"/>
      <c r="N58" s="1179"/>
      <c r="O58" s="1169">
        <v>1166</v>
      </c>
      <c r="P58" s="1165">
        <f>69086-314-500-268</f>
        <v>68004</v>
      </c>
      <c r="Q58" s="1165">
        <f>SUM(D58:O58)</f>
        <v>39823</v>
      </c>
      <c r="R58" s="1166">
        <f t="shared" si="23"/>
        <v>107827</v>
      </c>
      <c r="S58" s="81"/>
      <c r="U58" s="81"/>
    </row>
    <row r="59" spans="1:21" s="113" customFormat="1" ht="24" customHeight="1">
      <c r="A59" s="2196" t="s">
        <v>145</v>
      </c>
      <c r="B59" s="2203"/>
      <c r="C59" s="1205" t="s">
        <v>3</v>
      </c>
      <c r="D59" s="1189">
        <f t="shared" ref="D59:H61" si="24">D35+D44+D47+D50+D53+D56</f>
        <v>0</v>
      </c>
      <c r="E59" s="1170">
        <f t="shared" si="24"/>
        <v>13010</v>
      </c>
      <c r="F59" s="1170">
        <f t="shared" si="24"/>
        <v>0</v>
      </c>
      <c r="G59" s="1170">
        <f t="shared" si="24"/>
        <v>82115</v>
      </c>
      <c r="H59" s="1170">
        <f t="shared" si="24"/>
        <v>47174</v>
      </c>
      <c r="I59" s="1166"/>
      <c r="J59" s="1195">
        <f t="shared" ref="J59:P61" si="25">J35+J44+J47+J50+J53+J56</f>
        <v>0</v>
      </c>
      <c r="K59" s="1170">
        <f t="shared" si="25"/>
        <v>0</v>
      </c>
      <c r="L59" s="1170">
        <f t="shared" si="25"/>
        <v>0</v>
      </c>
      <c r="M59" s="1166">
        <f t="shared" si="25"/>
        <v>0</v>
      </c>
      <c r="N59" s="1180">
        <f t="shared" si="25"/>
        <v>0</v>
      </c>
      <c r="O59" s="1170">
        <f t="shared" si="25"/>
        <v>0</v>
      </c>
      <c r="P59" s="1170">
        <f t="shared" si="25"/>
        <v>222983</v>
      </c>
      <c r="Q59" s="1165">
        <f t="shared" si="1"/>
        <v>142299</v>
      </c>
      <c r="R59" s="1166">
        <f t="shared" si="2"/>
        <v>365282</v>
      </c>
      <c r="S59" s="114"/>
      <c r="U59" s="114"/>
    </row>
    <row r="60" spans="1:21" s="113" customFormat="1" ht="24" customHeight="1">
      <c r="A60" s="2197"/>
      <c r="B60" s="2204"/>
      <c r="C60" s="1205" t="s">
        <v>964</v>
      </c>
      <c r="D60" s="1189">
        <f t="shared" si="24"/>
        <v>0</v>
      </c>
      <c r="E60" s="1167">
        <f t="shared" si="24"/>
        <v>13000</v>
      </c>
      <c r="F60" s="1167">
        <f t="shared" si="24"/>
        <v>0</v>
      </c>
      <c r="G60" s="1167">
        <f t="shared" si="24"/>
        <v>82115</v>
      </c>
      <c r="H60" s="1167">
        <f t="shared" si="24"/>
        <v>47174</v>
      </c>
      <c r="I60" s="1190">
        <f>I36+I45+I48+I51+I54+I57</f>
        <v>10</v>
      </c>
      <c r="J60" s="1189">
        <f t="shared" si="25"/>
        <v>0</v>
      </c>
      <c r="K60" s="1167">
        <f t="shared" si="25"/>
        <v>644</v>
      </c>
      <c r="L60" s="1167">
        <f t="shared" si="25"/>
        <v>0</v>
      </c>
      <c r="M60" s="1190">
        <f t="shared" si="25"/>
        <v>0</v>
      </c>
      <c r="N60" s="1178">
        <f t="shared" si="25"/>
        <v>0</v>
      </c>
      <c r="O60" s="1167">
        <f t="shared" si="25"/>
        <v>1166</v>
      </c>
      <c r="P60" s="1170">
        <f>P30+P33+P39+P42+P48+P51+P54+P57</f>
        <v>202489</v>
      </c>
      <c r="Q60" s="1165">
        <f>SUM(D60:O60)</f>
        <v>144109</v>
      </c>
      <c r="R60" s="1166">
        <f t="shared" ref="R60:R61" si="26">P60+Q60</f>
        <v>346598</v>
      </c>
      <c r="S60" s="114"/>
      <c r="U60" s="114"/>
    </row>
    <row r="61" spans="1:21" s="113" customFormat="1" ht="24" customHeight="1">
      <c r="A61" s="2198"/>
      <c r="B61" s="2206"/>
      <c r="C61" s="1205" t="s">
        <v>977</v>
      </c>
      <c r="D61" s="1189">
        <f t="shared" si="24"/>
        <v>0</v>
      </c>
      <c r="E61" s="1167">
        <f t="shared" si="24"/>
        <v>13000</v>
      </c>
      <c r="F61" s="1167">
        <f t="shared" si="24"/>
        <v>0</v>
      </c>
      <c r="G61" s="1167">
        <f t="shared" si="24"/>
        <v>82115</v>
      </c>
      <c r="H61" s="1167">
        <f t="shared" si="24"/>
        <v>47174</v>
      </c>
      <c r="I61" s="1190">
        <f>I37+I46+I49+I52+I55+I58</f>
        <v>10</v>
      </c>
      <c r="J61" s="1189">
        <f t="shared" si="25"/>
        <v>0</v>
      </c>
      <c r="K61" s="1167">
        <f t="shared" si="25"/>
        <v>644</v>
      </c>
      <c r="L61" s="1167">
        <f t="shared" si="25"/>
        <v>0</v>
      </c>
      <c r="M61" s="1190">
        <f t="shared" si="25"/>
        <v>0</v>
      </c>
      <c r="N61" s="1178">
        <f t="shared" si="25"/>
        <v>0</v>
      </c>
      <c r="O61" s="1167">
        <f t="shared" si="25"/>
        <v>1166</v>
      </c>
      <c r="P61" s="1170">
        <f>P31+P34+P40+P43+P49+P52+P55+P58</f>
        <v>200907</v>
      </c>
      <c r="Q61" s="1165">
        <f>SUM(D61:O61)</f>
        <v>144109</v>
      </c>
      <c r="R61" s="1166">
        <f t="shared" si="26"/>
        <v>345016</v>
      </c>
      <c r="S61" s="114"/>
      <c r="U61" s="114"/>
    </row>
    <row r="62" spans="1:21" ht="24" customHeight="1">
      <c r="A62" s="2196" t="s">
        <v>146</v>
      </c>
      <c r="B62" s="2193" t="s">
        <v>101</v>
      </c>
      <c r="C62" s="1204" t="s">
        <v>3</v>
      </c>
      <c r="D62" s="1193">
        <v>5000</v>
      </c>
      <c r="E62" s="1165">
        <v>208509</v>
      </c>
      <c r="F62" s="1165">
        <v>900</v>
      </c>
      <c r="G62" s="1165"/>
      <c r="H62" s="1165">
        <v>57891</v>
      </c>
      <c r="I62" s="1188"/>
      <c r="J62" s="1201"/>
      <c r="K62" s="1165"/>
      <c r="L62" s="1165"/>
      <c r="M62" s="1188"/>
      <c r="N62" s="1177"/>
      <c r="O62" s="1165"/>
      <c r="P62" s="1165">
        <v>351815</v>
      </c>
      <c r="Q62" s="1165">
        <f t="shared" si="1"/>
        <v>272300</v>
      </c>
      <c r="R62" s="1166">
        <f t="shared" si="2"/>
        <v>624115</v>
      </c>
      <c r="S62" s="81"/>
      <c r="U62" s="81"/>
    </row>
    <row r="63" spans="1:21" ht="24" customHeight="1">
      <c r="A63" s="2197"/>
      <c r="B63" s="2194"/>
      <c r="C63" s="1204" t="s">
        <v>964</v>
      </c>
      <c r="D63" s="1193">
        <v>5000</v>
      </c>
      <c r="E63" s="1165">
        <f>208509+157480-50</f>
        <v>365939</v>
      </c>
      <c r="F63" s="1165">
        <v>900</v>
      </c>
      <c r="G63" s="1165"/>
      <c r="H63" s="1165">
        <f>57891+42520</f>
        <v>100411</v>
      </c>
      <c r="I63" s="1188">
        <f>160+50</f>
        <v>210</v>
      </c>
      <c r="J63" s="1201"/>
      <c r="K63" s="1165">
        <f>750+1000+725+4520</f>
        <v>6995</v>
      </c>
      <c r="L63" s="1165"/>
      <c r="M63" s="1188"/>
      <c r="N63" s="1177"/>
      <c r="O63" s="1165">
        <v>145883</v>
      </c>
      <c r="P63" s="1165">
        <f>344066+1709-1436</f>
        <v>344339</v>
      </c>
      <c r="Q63" s="1165">
        <f>SUM(D63:O63)</f>
        <v>625338</v>
      </c>
      <c r="R63" s="1166">
        <f t="shared" ref="R63:R64" si="27">P63+Q63</f>
        <v>969677</v>
      </c>
      <c r="S63" s="81"/>
      <c r="U63" s="81"/>
    </row>
    <row r="64" spans="1:21" ht="24" customHeight="1">
      <c r="A64" s="2198"/>
      <c r="B64" s="2195"/>
      <c r="C64" s="1204" t="s">
        <v>977</v>
      </c>
      <c r="D64" s="1193">
        <v>5000</v>
      </c>
      <c r="E64" s="1165">
        <f>208509+157480-50</f>
        <v>365939</v>
      </c>
      <c r="F64" s="1165">
        <v>900</v>
      </c>
      <c r="G64" s="1165"/>
      <c r="H64" s="1165">
        <f>57891+42520</f>
        <v>100411</v>
      </c>
      <c r="I64" s="1188">
        <f>160+50+518</f>
        <v>728</v>
      </c>
      <c r="J64" s="1201"/>
      <c r="K64" s="1165">
        <f>750+1000+725+4520+586+500+729+1200+600+200+1475</f>
        <v>12285</v>
      </c>
      <c r="L64" s="1165"/>
      <c r="M64" s="1188"/>
      <c r="N64" s="1177"/>
      <c r="O64" s="1165">
        <v>145883</v>
      </c>
      <c r="P64" s="1165">
        <f>344066+1709-1436+2471</f>
        <v>346810</v>
      </c>
      <c r="Q64" s="1165">
        <f>SUM(D64:O64)</f>
        <v>631146</v>
      </c>
      <c r="R64" s="1166">
        <f t="shared" si="27"/>
        <v>977956</v>
      </c>
      <c r="S64" s="81"/>
      <c r="U64" s="81"/>
    </row>
    <row r="65" spans="1:21" ht="24" customHeight="1">
      <c r="A65" s="2196" t="s">
        <v>147</v>
      </c>
      <c r="B65" s="2193" t="s">
        <v>101</v>
      </c>
      <c r="C65" s="1204" t="s">
        <v>3</v>
      </c>
      <c r="D65" s="1187"/>
      <c r="E65" s="1165">
        <v>1105</v>
      </c>
      <c r="F65" s="1165"/>
      <c r="G65" s="1165"/>
      <c r="H65" s="1165">
        <v>297</v>
      </c>
      <c r="I65" s="1188"/>
      <c r="J65" s="1201"/>
      <c r="K65" s="1165"/>
      <c r="L65" s="1165"/>
      <c r="M65" s="1188"/>
      <c r="N65" s="1177"/>
      <c r="O65" s="1165"/>
      <c r="P65" s="1165">
        <v>51598</v>
      </c>
      <c r="Q65" s="1165">
        <f t="shared" si="1"/>
        <v>1402</v>
      </c>
      <c r="R65" s="1166">
        <f t="shared" si="2"/>
        <v>53000</v>
      </c>
      <c r="S65" s="81"/>
      <c r="U65" s="81"/>
    </row>
    <row r="66" spans="1:21" ht="24" customHeight="1">
      <c r="A66" s="2197"/>
      <c r="B66" s="2194"/>
      <c r="C66" s="1204" t="s">
        <v>964</v>
      </c>
      <c r="D66" s="1187"/>
      <c r="E66" s="1165">
        <v>1105</v>
      </c>
      <c r="F66" s="1165"/>
      <c r="G66" s="1165"/>
      <c r="H66" s="1165">
        <v>297</v>
      </c>
      <c r="I66" s="1188"/>
      <c r="J66" s="1201"/>
      <c r="K66" s="1165">
        <f>393</f>
        <v>393</v>
      </c>
      <c r="L66" s="1165"/>
      <c r="M66" s="1188"/>
      <c r="N66" s="1177"/>
      <c r="O66" s="1165">
        <v>195</v>
      </c>
      <c r="P66" s="1165">
        <f>52496+466-296</f>
        <v>52666</v>
      </c>
      <c r="Q66" s="1165">
        <f>SUM(D66:O66)</f>
        <v>1990</v>
      </c>
      <c r="R66" s="1166">
        <f t="shared" ref="R66:R67" si="28">P66+Q66</f>
        <v>54656</v>
      </c>
      <c r="S66" s="81"/>
      <c r="U66" s="81"/>
    </row>
    <row r="67" spans="1:21" ht="24" customHeight="1">
      <c r="A67" s="2198"/>
      <c r="B67" s="2195"/>
      <c r="C67" s="1204" t="s">
        <v>977</v>
      </c>
      <c r="D67" s="1187"/>
      <c r="E67" s="1165">
        <v>1105</v>
      </c>
      <c r="F67" s="1165"/>
      <c r="G67" s="1165"/>
      <c r="H67" s="1165">
        <v>297</v>
      </c>
      <c r="I67" s="1188"/>
      <c r="J67" s="1201"/>
      <c r="K67" s="1165">
        <f>393</f>
        <v>393</v>
      </c>
      <c r="L67" s="1165"/>
      <c r="M67" s="1188"/>
      <c r="N67" s="1177"/>
      <c r="O67" s="1165">
        <v>195</v>
      </c>
      <c r="P67" s="1165">
        <f>52496+466-296+631+612</f>
        <v>53909</v>
      </c>
      <c r="Q67" s="1165">
        <f>SUM(D67:O67)</f>
        <v>1990</v>
      </c>
      <c r="R67" s="1166">
        <f t="shared" si="28"/>
        <v>55899</v>
      </c>
      <c r="S67" s="81"/>
      <c r="U67" s="81"/>
    </row>
    <row r="68" spans="1:21" s="115" customFormat="1" ht="24" customHeight="1">
      <c r="A68" s="2196" t="s">
        <v>148</v>
      </c>
      <c r="B68" s="2203" t="s">
        <v>101</v>
      </c>
      <c r="C68" s="1204" t="s">
        <v>3</v>
      </c>
      <c r="D68" s="1187"/>
      <c r="E68" s="1165">
        <v>20</v>
      </c>
      <c r="F68" s="1165">
        <v>1400</v>
      </c>
      <c r="G68" s="1165"/>
      <c r="H68" s="1165"/>
      <c r="I68" s="1188"/>
      <c r="J68" s="1201"/>
      <c r="K68" s="1165">
        <v>86856</v>
      </c>
      <c r="L68" s="1165"/>
      <c r="M68" s="1188"/>
      <c r="N68" s="1177"/>
      <c r="O68" s="1165"/>
      <c r="P68" s="1165">
        <v>36539</v>
      </c>
      <c r="Q68" s="1165">
        <f t="shared" si="1"/>
        <v>88276</v>
      </c>
      <c r="R68" s="1166">
        <f t="shared" si="2"/>
        <v>124815</v>
      </c>
      <c r="S68" s="114"/>
      <c r="U68" s="114"/>
    </row>
    <row r="69" spans="1:21" s="115" customFormat="1" ht="24" customHeight="1">
      <c r="A69" s="2197"/>
      <c r="B69" s="2204"/>
      <c r="C69" s="1204" t="s">
        <v>964</v>
      </c>
      <c r="D69" s="1187"/>
      <c r="E69" s="1165">
        <f>20-20</f>
        <v>0</v>
      </c>
      <c r="F69" s="1165">
        <v>1400</v>
      </c>
      <c r="G69" s="1165"/>
      <c r="H69" s="1165"/>
      <c r="I69" s="1188">
        <f>20</f>
        <v>20</v>
      </c>
      <c r="J69" s="1201"/>
      <c r="K69" s="1165">
        <f>86856+9824+7638</f>
        <v>104318</v>
      </c>
      <c r="L69" s="1165"/>
      <c r="M69" s="1188"/>
      <c r="N69" s="1177"/>
      <c r="O69" s="1165">
        <v>617</v>
      </c>
      <c r="P69" s="1165">
        <f>25630+22-571</f>
        <v>25081</v>
      </c>
      <c r="Q69" s="1165">
        <f>SUM(D69:O69)</f>
        <v>106355</v>
      </c>
      <c r="R69" s="1166">
        <f t="shared" ref="R69:R70" si="29">P69+Q69</f>
        <v>131436</v>
      </c>
      <c r="S69" s="114"/>
      <c r="U69" s="114"/>
    </row>
    <row r="70" spans="1:21" s="115" customFormat="1" ht="24" customHeight="1" thickBot="1">
      <c r="A70" s="2197"/>
      <c r="B70" s="2204"/>
      <c r="C70" s="1204" t="s">
        <v>978</v>
      </c>
      <c r="D70" s="1187"/>
      <c r="E70" s="1165">
        <f>20-20</f>
        <v>0</v>
      </c>
      <c r="F70" s="1165">
        <v>1400</v>
      </c>
      <c r="G70" s="1165"/>
      <c r="H70" s="1165"/>
      <c r="I70" s="1188">
        <f>20</f>
        <v>20</v>
      </c>
      <c r="J70" s="1201"/>
      <c r="K70" s="1165">
        <f>86856+9824+7638-88</f>
        <v>104230</v>
      </c>
      <c r="L70" s="1165">
        <f>5696</f>
        <v>5696</v>
      </c>
      <c r="M70" s="1188"/>
      <c r="N70" s="1177"/>
      <c r="O70" s="1165">
        <v>617</v>
      </c>
      <c r="P70" s="1165">
        <f>25630+22-571+89</f>
        <v>25170</v>
      </c>
      <c r="Q70" s="1165">
        <f>SUM(D70:O70)</f>
        <v>111963</v>
      </c>
      <c r="R70" s="1166">
        <f t="shared" si="29"/>
        <v>137133</v>
      </c>
      <c r="S70" s="114"/>
      <c r="U70" s="114"/>
    </row>
    <row r="71" spans="1:21" s="115" customFormat="1" ht="24" customHeight="1">
      <c r="A71" s="2207" t="s">
        <v>541</v>
      </c>
      <c r="B71" s="2205" t="s">
        <v>68</v>
      </c>
      <c r="C71" s="1206" t="s">
        <v>3</v>
      </c>
      <c r="D71" s="1194">
        <f t="shared" ref="D71:H73" si="30">D5+D8+D11+D14+D17+D20+D23+D26+D59+D62+D65+D68</f>
        <v>5000</v>
      </c>
      <c r="E71" s="1171">
        <f t="shared" si="30"/>
        <v>240483</v>
      </c>
      <c r="F71" s="1171">
        <f t="shared" si="30"/>
        <v>2300</v>
      </c>
      <c r="G71" s="1171">
        <f t="shared" si="30"/>
        <v>100617</v>
      </c>
      <c r="H71" s="1171">
        <f t="shared" si="30"/>
        <v>113813</v>
      </c>
      <c r="I71" s="1164"/>
      <c r="J71" s="1194">
        <f t="shared" ref="J71:P73" si="31">J5+J8+J11+J14+J17+J20+J23+J26+J59+J62+J65+J68</f>
        <v>0</v>
      </c>
      <c r="K71" s="1171">
        <f t="shared" si="31"/>
        <v>88368</v>
      </c>
      <c r="L71" s="1171">
        <f t="shared" si="31"/>
        <v>0</v>
      </c>
      <c r="M71" s="1164">
        <f t="shared" si="31"/>
        <v>0</v>
      </c>
      <c r="N71" s="1181">
        <f t="shared" si="31"/>
        <v>0</v>
      </c>
      <c r="O71" s="1171">
        <f t="shared" si="31"/>
        <v>0</v>
      </c>
      <c r="P71" s="1171">
        <f t="shared" si="31"/>
        <v>1494639</v>
      </c>
      <c r="Q71" s="1171">
        <f t="shared" si="1"/>
        <v>550581</v>
      </c>
      <c r="R71" s="1164">
        <f t="shared" si="2"/>
        <v>2045220</v>
      </c>
      <c r="S71" s="116"/>
      <c r="U71" s="114"/>
    </row>
    <row r="72" spans="1:21" s="115" customFormat="1" ht="24" customHeight="1">
      <c r="A72" s="2197"/>
      <c r="B72" s="2204"/>
      <c r="C72" s="1205" t="s">
        <v>964</v>
      </c>
      <c r="D72" s="1195">
        <f t="shared" si="30"/>
        <v>5000</v>
      </c>
      <c r="E72" s="1170">
        <f t="shared" si="30"/>
        <v>397848</v>
      </c>
      <c r="F72" s="1170">
        <f t="shared" si="30"/>
        <v>3047</v>
      </c>
      <c r="G72" s="1170">
        <f t="shared" si="30"/>
        <v>99870</v>
      </c>
      <c r="H72" s="1170">
        <f t="shared" si="30"/>
        <v>156333</v>
      </c>
      <c r="I72" s="1166">
        <f>I6+I9+I12+I15+I18+I21+I24+I27+I60+I63+I66+I69</f>
        <v>275</v>
      </c>
      <c r="J72" s="1195">
        <f t="shared" si="31"/>
        <v>0</v>
      </c>
      <c r="K72" s="1170">
        <f t="shared" si="31"/>
        <v>114830</v>
      </c>
      <c r="L72" s="1170">
        <f t="shared" si="31"/>
        <v>0</v>
      </c>
      <c r="M72" s="1166">
        <f t="shared" si="31"/>
        <v>0</v>
      </c>
      <c r="N72" s="1180">
        <f t="shared" si="31"/>
        <v>0</v>
      </c>
      <c r="O72" s="1170">
        <f t="shared" si="31"/>
        <v>148397</v>
      </c>
      <c r="P72" s="1170">
        <f>P6+P9+P12+P15+P18+P21+P24+P27+P60+P63+P66+P69</f>
        <v>1423049</v>
      </c>
      <c r="Q72" s="1170">
        <f>SUM(D72:O72)</f>
        <v>925600</v>
      </c>
      <c r="R72" s="1166">
        <f t="shared" ref="R72" si="32">P72+Q72</f>
        <v>2348649</v>
      </c>
      <c r="S72" s="116"/>
      <c r="U72" s="114"/>
    </row>
    <row r="73" spans="1:21" s="115" customFormat="1" ht="24" customHeight="1">
      <c r="A73" s="2198"/>
      <c r="B73" s="2206"/>
      <c r="C73" s="1205" t="s">
        <v>977</v>
      </c>
      <c r="D73" s="1195">
        <f t="shared" si="30"/>
        <v>5000</v>
      </c>
      <c r="E73" s="1170">
        <f t="shared" si="30"/>
        <v>397848</v>
      </c>
      <c r="F73" s="1170">
        <f t="shared" si="30"/>
        <v>3047</v>
      </c>
      <c r="G73" s="1170">
        <f t="shared" si="30"/>
        <v>102870</v>
      </c>
      <c r="H73" s="1170">
        <f t="shared" si="30"/>
        <v>156333</v>
      </c>
      <c r="I73" s="1166">
        <f>I7+I10+I13+I16+I19+I22+I25+I28+I61+I64+I67+I70</f>
        <v>793</v>
      </c>
      <c r="J73" s="1195">
        <f t="shared" si="31"/>
        <v>0</v>
      </c>
      <c r="K73" s="1170">
        <f t="shared" si="31"/>
        <v>121470</v>
      </c>
      <c r="L73" s="1170">
        <f t="shared" si="31"/>
        <v>5696</v>
      </c>
      <c r="M73" s="1166">
        <f t="shared" si="31"/>
        <v>0</v>
      </c>
      <c r="N73" s="1180">
        <f t="shared" si="31"/>
        <v>0</v>
      </c>
      <c r="O73" s="1170">
        <f t="shared" si="31"/>
        <v>148397</v>
      </c>
      <c r="P73" s="1170">
        <f>P7+P10+P13+P16+P19+P22+P25+P28+P61+P64+P67+P70</f>
        <v>1419654</v>
      </c>
      <c r="Q73" s="1170">
        <f>SUM(D73:O73)</f>
        <v>941454</v>
      </c>
      <c r="R73" s="1166">
        <f t="shared" si="2"/>
        <v>2361108</v>
      </c>
      <c r="S73" s="116"/>
      <c r="U73" s="114"/>
    </row>
    <row r="74" spans="1:21" s="113" customFormat="1" ht="24" customHeight="1">
      <c r="A74" s="2196" t="s">
        <v>149</v>
      </c>
      <c r="B74" s="2208" t="s">
        <v>116</v>
      </c>
      <c r="C74" s="1205" t="s">
        <v>3</v>
      </c>
      <c r="D74" s="1196">
        <f t="shared" ref="D74:H76" si="33">D71-D77</f>
        <v>5000</v>
      </c>
      <c r="E74" s="1172">
        <f t="shared" si="33"/>
        <v>227473</v>
      </c>
      <c r="F74" s="1172">
        <f t="shared" si="33"/>
        <v>2300</v>
      </c>
      <c r="G74" s="1172">
        <f t="shared" si="33"/>
        <v>100617</v>
      </c>
      <c r="H74" s="1172">
        <f t="shared" si="33"/>
        <v>88810</v>
      </c>
      <c r="I74" s="1197"/>
      <c r="J74" s="1196">
        <f t="shared" ref="J74:P76" si="34">J71-J77</f>
        <v>0</v>
      </c>
      <c r="K74" s="1172">
        <f t="shared" si="34"/>
        <v>88368</v>
      </c>
      <c r="L74" s="1172">
        <f t="shared" si="34"/>
        <v>0</v>
      </c>
      <c r="M74" s="1197">
        <f t="shared" si="34"/>
        <v>0</v>
      </c>
      <c r="N74" s="1182">
        <f t="shared" si="34"/>
        <v>0</v>
      </c>
      <c r="O74" s="1172">
        <f t="shared" si="34"/>
        <v>0</v>
      </c>
      <c r="P74" s="1172">
        <f t="shared" si="34"/>
        <v>1425352</v>
      </c>
      <c r="Q74" s="1170">
        <f t="shared" si="1"/>
        <v>512568</v>
      </c>
      <c r="R74" s="1166">
        <f t="shared" si="2"/>
        <v>1937920</v>
      </c>
      <c r="S74" s="116"/>
      <c r="U74" s="114"/>
    </row>
    <row r="75" spans="1:21" s="113" customFormat="1" ht="24" customHeight="1">
      <c r="A75" s="2197"/>
      <c r="B75" s="2209"/>
      <c r="C75" s="1205" t="s">
        <v>964</v>
      </c>
      <c r="D75" s="1196">
        <f t="shared" si="33"/>
        <v>5000</v>
      </c>
      <c r="E75" s="1172">
        <f t="shared" si="33"/>
        <v>384848</v>
      </c>
      <c r="F75" s="1172">
        <f t="shared" si="33"/>
        <v>3047</v>
      </c>
      <c r="G75" s="1172">
        <f t="shared" si="33"/>
        <v>99870</v>
      </c>
      <c r="H75" s="1172">
        <f t="shared" si="33"/>
        <v>131330</v>
      </c>
      <c r="I75" s="1197">
        <f>I72-I78</f>
        <v>265</v>
      </c>
      <c r="J75" s="1196">
        <f t="shared" si="34"/>
        <v>0</v>
      </c>
      <c r="K75" s="1172">
        <f t="shared" si="34"/>
        <v>114186</v>
      </c>
      <c r="L75" s="1172">
        <f t="shared" si="34"/>
        <v>0</v>
      </c>
      <c r="M75" s="1197">
        <f t="shared" si="34"/>
        <v>0</v>
      </c>
      <c r="N75" s="1182">
        <f t="shared" si="34"/>
        <v>0</v>
      </c>
      <c r="O75" s="1172">
        <f t="shared" si="34"/>
        <v>147231</v>
      </c>
      <c r="P75" s="1172">
        <f t="shared" si="34"/>
        <v>1354277</v>
      </c>
      <c r="Q75" s="1170">
        <f t="shared" ref="Q75" si="35">SUM(D75:O75)</f>
        <v>885777</v>
      </c>
      <c r="R75" s="1166">
        <f t="shared" ref="R75" si="36">P75+Q75</f>
        <v>2240054</v>
      </c>
      <c r="S75" s="116"/>
      <c r="U75" s="114"/>
    </row>
    <row r="76" spans="1:21" s="113" customFormat="1" ht="24" customHeight="1">
      <c r="A76" s="2198"/>
      <c r="B76" s="2210"/>
      <c r="C76" s="1205" t="s">
        <v>977</v>
      </c>
      <c r="D76" s="1196">
        <f t="shared" si="33"/>
        <v>5000</v>
      </c>
      <c r="E76" s="1172">
        <f t="shared" si="33"/>
        <v>384848</v>
      </c>
      <c r="F76" s="1172">
        <f t="shared" si="33"/>
        <v>3047</v>
      </c>
      <c r="G76" s="1172">
        <f t="shared" si="33"/>
        <v>102870</v>
      </c>
      <c r="H76" s="1172">
        <f t="shared" si="33"/>
        <v>131330</v>
      </c>
      <c r="I76" s="1197">
        <f>I73-I79</f>
        <v>783</v>
      </c>
      <c r="J76" s="1196">
        <f t="shared" si="34"/>
        <v>0</v>
      </c>
      <c r="K76" s="1172">
        <f t="shared" si="34"/>
        <v>120826</v>
      </c>
      <c r="L76" s="1172">
        <f t="shared" si="34"/>
        <v>5696</v>
      </c>
      <c r="M76" s="1197">
        <f t="shared" si="34"/>
        <v>0</v>
      </c>
      <c r="N76" s="1182">
        <f t="shared" si="34"/>
        <v>0</v>
      </c>
      <c r="O76" s="1172">
        <f t="shared" si="34"/>
        <v>147231</v>
      </c>
      <c r="P76" s="1172">
        <f t="shared" si="34"/>
        <v>1351650</v>
      </c>
      <c r="Q76" s="1170">
        <f t="shared" si="1"/>
        <v>901631</v>
      </c>
      <c r="R76" s="1166">
        <f t="shared" si="2"/>
        <v>2253281</v>
      </c>
      <c r="S76" s="116"/>
      <c r="U76" s="114"/>
    </row>
    <row r="77" spans="1:21" s="114" customFormat="1" ht="24" customHeight="1">
      <c r="A77" s="2199" t="s">
        <v>150</v>
      </c>
      <c r="B77" s="2201" t="s">
        <v>1001</v>
      </c>
      <c r="C77" s="1207" t="s">
        <v>3</v>
      </c>
      <c r="D77" s="1196">
        <f>D56</f>
        <v>0</v>
      </c>
      <c r="E77" s="1172">
        <f t="shared" ref="E77:P79" si="37">E56</f>
        <v>13010</v>
      </c>
      <c r="F77" s="1172">
        <f t="shared" si="37"/>
        <v>0</v>
      </c>
      <c r="G77" s="1172">
        <f t="shared" si="37"/>
        <v>0</v>
      </c>
      <c r="H77" s="1172">
        <f t="shared" si="37"/>
        <v>25003</v>
      </c>
      <c r="I77" s="1197"/>
      <c r="J77" s="1196">
        <f t="shared" si="37"/>
        <v>0</v>
      </c>
      <c r="K77" s="1172">
        <f t="shared" si="37"/>
        <v>0</v>
      </c>
      <c r="L77" s="1172">
        <f t="shared" si="37"/>
        <v>0</v>
      </c>
      <c r="M77" s="1197">
        <f t="shared" si="37"/>
        <v>0</v>
      </c>
      <c r="N77" s="1182">
        <f t="shared" si="37"/>
        <v>0</v>
      </c>
      <c r="O77" s="1172">
        <f t="shared" si="37"/>
        <v>0</v>
      </c>
      <c r="P77" s="1172">
        <f t="shared" si="37"/>
        <v>69287</v>
      </c>
      <c r="Q77" s="1170">
        <f t="shared" si="1"/>
        <v>38013</v>
      </c>
      <c r="R77" s="1166">
        <f t="shared" si="2"/>
        <v>107300</v>
      </c>
      <c r="S77" s="116"/>
    </row>
    <row r="78" spans="1:21" s="81" customFormat="1" ht="24.75" customHeight="1">
      <c r="A78" s="2199"/>
      <c r="B78" s="2201"/>
      <c r="C78" s="1205" t="s">
        <v>964</v>
      </c>
      <c r="D78" s="1196">
        <f>D57</f>
        <v>0</v>
      </c>
      <c r="E78" s="1172">
        <f t="shared" si="37"/>
        <v>13000</v>
      </c>
      <c r="F78" s="1172">
        <f t="shared" si="37"/>
        <v>0</v>
      </c>
      <c r="G78" s="1172">
        <f t="shared" si="37"/>
        <v>0</v>
      </c>
      <c r="H78" s="1172">
        <f t="shared" si="37"/>
        <v>25003</v>
      </c>
      <c r="I78" s="1197">
        <f t="shared" si="37"/>
        <v>10</v>
      </c>
      <c r="J78" s="1196">
        <f t="shared" si="37"/>
        <v>0</v>
      </c>
      <c r="K78" s="1172">
        <f t="shared" si="37"/>
        <v>644</v>
      </c>
      <c r="L78" s="1172">
        <f t="shared" si="37"/>
        <v>0</v>
      </c>
      <c r="M78" s="1197">
        <f t="shared" si="37"/>
        <v>0</v>
      </c>
      <c r="N78" s="1182">
        <f t="shared" si="37"/>
        <v>0</v>
      </c>
      <c r="O78" s="1172">
        <f t="shared" si="37"/>
        <v>1166</v>
      </c>
      <c r="P78" s="1172">
        <f t="shared" si="37"/>
        <v>68772</v>
      </c>
      <c r="Q78" s="1170">
        <f t="shared" si="1"/>
        <v>39823</v>
      </c>
      <c r="R78" s="1166">
        <f t="shared" si="2"/>
        <v>108595</v>
      </c>
    </row>
    <row r="79" spans="1:21" s="81" customFormat="1" ht="24.75" customHeight="1" thickBot="1">
      <c r="A79" s="2200"/>
      <c r="B79" s="2202"/>
      <c r="C79" s="1208" t="s">
        <v>977</v>
      </c>
      <c r="D79" s="1198">
        <f>D58</f>
        <v>0</v>
      </c>
      <c r="E79" s="1173">
        <f t="shared" si="37"/>
        <v>13000</v>
      </c>
      <c r="F79" s="1173">
        <f t="shared" si="37"/>
        <v>0</v>
      </c>
      <c r="G79" s="1173">
        <f t="shared" si="37"/>
        <v>0</v>
      </c>
      <c r="H79" s="1173">
        <f t="shared" si="37"/>
        <v>25003</v>
      </c>
      <c r="I79" s="1199">
        <f t="shared" si="37"/>
        <v>10</v>
      </c>
      <c r="J79" s="1198">
        <f t="shared" si="37"/>
        <v>0</v>
      </c>
      <c r="K79" s="1173">
        <f t="shared" si="37"/>
        <v>644</v>
      </c>
      <c r="L79" s="1173">
        <f t="shared" si="37"/>
        <v>0</v>
      </c>
      <c r="M79" s="1199">
        <f t="shared" si="37"/>
        <v>0</v>
      </c>
      <c r="N79" s="1183">
        <f t="shared" si="37"/>
        <v>0</v>
      </c>
      <c r="O79" s="1173">
        <f t="shared" si="37"/>
        <v>1166</v>
      </c>
      <c r="P79" s="1173">
        <f t="shared" si="37"/>
        <v>68004</v>
      </c>
      <c r="Q79" s="1174">
        <f t="shared" ref="Q79" si="38">SUM(D79:O79)</f>
        <v>39823</v>
      </c>
      <c r="R79" s="1175">
        <f t="shared" ref="R79" si="39">P79+Q79</f>
        <v>107827</v>
      </c>
    </row>
    <row r="80" spans="1:21">
      <c r="A80" s="783"/>
    </row>
    <row r="81" spans="1:18">
      <c r="A81" s="783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</row>
  </sheetData>
  <mergeCells count="62">
    <mergeCell ref="R3:R4"/>
    <mergeCell ref="A1:R1"/>
    <mergeCell ref="A2:R2"/>
    <mergeCell ref="A3:A4"/>
    <mergeCell ref="B3:B4"/>
    <mergeCell ref="C3:C4"/>
    <mergeCell ref="Q3:Q4"/>
    <mergeCell ref="P3:P4"/>
    <mergeCell ref="D3:I3"/>
    <mergeCell ref="J3:M3"/>
    <mergeCell ref="N3:N4"/>
    <mergeCell ref="O3:O4"/>
    <mergeCell ref="B5:B7"/>
    <mergeCell ref="A5:A7"/>
    <mergeCell ref="B8:B10"/>
    <mergeCell ref="A8:A10"/>
    <mergeCell ref="A11:A13"/>
    <mergeCell ref="B11:B13"/>
    <mergeCell ref="A14:A16"/>
    <mergeCell ref="B14:B16"/>
    <mergeCell ref="B17:B19"/>
    <mergeCell ref="A17:A19"/>
    <mergeCell ref="A20:A22"/>
    <mergeCell ref="B20:B22"/>
    <mergeCell ref="A23:A25"/>
    <mergeCell ref="B23:B25"/>
    <mergeCell ref="A26:A28"/>
    <mergeCell ref="B26:B28"/>
    <mergeCell ref="A29:A31"/>
    <mergeCell ref="B29:B31"/>
    <mergeCell ref="A32:A34"/>
    <mergeCell ref="B32:B34"/>
    <mergeCell ref="A35:A37"/>
    <mergeCell ref="B35:B37"/>
    <mergeCell ref="B38:B40"/>
    <mergeCell ref="A38:A40"/>
    <mergeCell ref="B59:B61"/>
    <mergeCell ref="A59:A61"/>
    <mergeCell ref="A41:A43"/>
    <mergeCell ref="B41:B43"/>
    <mergeCell ref="A44:A46"/>
    <mergeCell ref="B44:B46"/>
    <mergeCell ref="A47:A49"/>
    <mergeCell ref="B47:B49"/>
    <mergeCell ref="A50:A52"/>
    <mergeCell ref="B50:B52"/>
    <mergeCell ref="A53:A55"/>
    <mergeCell ref="B53:B55"/>
    <mergeCell ref="A56:A58"/>
    <mergeCell ref="B56:B58"/>
    <mergeCell ref="B62:B64"/>
    <mergeCell ref="A62:A64"/>
    <mergeCell ref="A65:A67"/>
    <mergeCell ref="B65:B67"/>
    <mergeCell ref="A77:A79"/>
    <mergeCell ref="B77:B79"/>
    <mergeCell ref="A68:A70"/>
    <mergeCell ref="B68:B70"/>
    <mergeCell ref="B71:B73"/>
    <mergeCell ref="A71:A73"/>
    <mergeCell ref="B74:B76"/>
    <mergeCell ref="A74:A76"/>
  </mergeCells>
  <pageMargins left="0.19685039370078741" right="0.15748031496062992" top="0.43307086614173229" bottom="0.59055118110236227" header="0.23622047244094491" footer="0.19685039370078741"/>
  <pageSetup paperSize="9" scale="39" orientation="portrait" r:id="rId1"/>
  <headerFooter>
    <oddHeader>&amp;L&amp;"Times New Roman,Normál"&amp;8 6. melléklet 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  <rowBreaks count="1" manualBreakCount="1">
    <brk id="46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view="pageLayout" zoomScale="84" zoomScaleNormal="95" zoomScaleSheetLayoutView="98" zoomScalePageLayoutView="84" workbookViewId="0">
      <selection activeCell="G27" sqref="G27"/>
    </sheetView>
  </sheetViews>
  <sheetFormatPr defaultColWidth="9.140625" defaultRowHeight="12.75"/>
  <cols>
    <col min="1" max="1" width="42.7109375" style="782" customWidth="1"/>
    <col min="2" max="2" width="15.28515625" style="782" customWidth="1"/>
    <col min="3" max="3" width="14.28515625" style="801" bestFit="1" customWidth="1"/>
    <col min="4" max="4" width="10.42578125" style="782" bestFit="1" customWidth="1"/>
    <col min="5" max="5" width="9.7109375" style="782" customWidth="1"/>
    <col min="6" max="6" width="10.42578125" style="782" customWidth="1"/>
    <col min="7" max="7" width="10.5703125" style="782" customWidth="1"/>
    <col min="8" max="8" width="11.7109375" style="782" customWidth="1"/>
    <col min="9" max="9" width="11.140625" style="782" customWidth="1"/>
    <col min="10" max="16384" width="9.140625" style="782"/>
  </cols>
  <sheetData>
    <row r="1" spans="1:9">
      <c r="A1" s="2237" t="s">
        <v>936</v>
      </c>
      <c r="B1" s="2237"/>
      <c r="C1" s="2237"/>
      <c r="D1" s="2237"/>
      <c r="E1" s="2237"/>
      <c r="F1" s="2237"/>
      <c r="G1" s="2237"/>
      <c r="H1" s="2237"/>
      <c r="I1" s="2237"/>
    </row>
    <row r="2" spans="1:9" ht="10.5" customHeight="1" thickBot="1">
      <c r="A2" s="2244"/>
      <c r="B2" s="2244"/>
      <c r="C2" s="2244"/>
      <c r="D2" s="2244"/>
      <c r="E2" s="2244"/>
      <c r="F2" s="2244"/>
      <c r="G2" s="2244"/>
      <c r="H2" s="2244"/>
      <c r="I2" s="2244"/>
    </row>
    <row r="3" spans="1:9">
      <c r="A3" s="2238" t="s">
        <v>125</v>
      </c>
      <c r="B3" s="2240" t="s">
        <v>126</v>
      </c>
      <c r="C3" s="2242"/>
      <c r="D3" s="2245" t="s">
        <v>97</v>
      </c>
      <c r="E3" s="2246"/>
      <c r="F3" s="2246"/>
      <c r="G3" s="2245" t="s">
        <v>98</v>
      </c>
      <c r="H3" s="2246"/>
      <c r="I3" s="2247" t="s">
        <v>128</v>
      </c>
    </row>
    <row r="4" spans="1:9" ht="45" customHeight="1" thickBot="1">
      <c r="A4" s="2239"/>
      <c r="B4" s="2241"/>
      <c r="C4" s="2243"/>
      <c r="D4" s="899" t="s">
        <v>539</v>
      </c>
      <c r="E4" s="899" t="s">
        <v>540</v>
      </c>
      <c r="F4" s="900" t="s">
        <v>99</v>
      </c>
      <c r="G4" s="900" t="s">
        <v>56</v>
      </c>
      <c r="H4" s="900" t="s">
        <v>57</v>
      </c>
      <c r="I4" s="2248"/>
    </row>
    <row r="5" spans="1:9" ht="15" customHeight="1">
      <c r="A5" s="2252" t="s">
        <v>779</v>
      </c>
      <c r="B5" s="2249" t="s">
        <v>101</v>
      </c>
      <c r="C5" s="785" t="s">
        <v>3</v>
      </c>
      <c r="D5" s="786">
        <v>83348</v>
      </c>
      <c r="E5" s="786">
        <v>14498</v>
      </c>
      <c r="F5" s="786">
        <v>18087</v>
      </c>
      <c r="G5" s="786">
        <v>1442</v>
      </c>
      <c r="H5" s="786">
        <v>3401</v>
      </c>
      <c r="I5" s="787">
        <f>SUM(D5:H5)</f>
        <v>120776</v>
      </c>
    </row>
    <row r="6" spans="1:9">
      <c r="A6" s="2253"/>
      <c r="B6" s="2250"/>
      <c r="C6" s="901" t="s">
        <v>964</v>
      </c>
      <c r="D6" s="902">
        <f>83348+12-2901+256+1615-630</f>
        <v>81700</v>
      </c>
      <c r="E6" s="902">
        <f>14498+2-507+38+251-556</f>
        <v>13726</v>
      </c>
      <c r="F6" s="902">
        <f>18087-1182+310+80-513+630</f>
        <v>17412</v>
      </c>
      <c r="G6" s="902">
        <f>1442+112</f>
        <v>1554</v>
      </c>
      <c r="H6" s="902">
        <f>3401-310-112-2500</f>
        <v>479</v>
      </c>
      <c r="I6" s="903">
        <f>SUM(D6:H6)</f>
        <v>114871</v>
      </c>
    </row>
    <row r="7" spans="1:9" ht="13.5" thickBot="1">
      <c r="A7" s="2254"/>
      <c r="B7" s="2251"/>
      <c r="C7" s="935" t="s">
        <v>977</v>
      </c>
      <c r="D7" s="902">
        <f>83348+12-2901+256+1615-630</f>
        <v>81700</v>
      </c>
      <c r="E7" s="902">
        <f>14498+2-507+38+251-556</f>
        <v>13726</v>
      </c>
      <c r="F7" s="902">
        <f>18087-1182+310+80-513+630</f>
        <v>17412</v>
      </c>
      <c r="G7" s="902">
        <f>1442+112</f>
        <v>1554</v>
      </c>
      <c r="H7" s="902">
        <f>3401-310-112-2500</f>
        <v>479</v>
      </c>
      <c r="I7" s="903">
        <f>SUM(D7:H7)</f>
        <v>114871</v>
      </c>
    </row>
    <row r="8" spans="1:9" ht="15" customHeight="1">
      <c r="A8" s="2252" t="s">
        <v>129</v>
      </c>
      <c r="B8" s="2249" t="s">
        <v>101</v>
      </c>
      <c r="C8" s="785" t="s">
        <v>3</v>
      </c>
      <c r="D8" s="786">
        <v>27491</v>
      </c>
      <c r="E8" s="786">
        <v>4790</v>
      </c>
      <c r="F8" s="786">
        <v>7830</v>
      </c>
      <c r="G8" s="786">
        <v>3820</v>
      </c>
      <c r="H8" s="786">
        <v>0</v>
      </c>
      <c r="I8" s="787">
        <f t="shared" ref="I8:I77" si="0">SUM(D8:H8)</f>
        <v>43931</v>
      </c>
    </row>
    <row r="9" spans="1:9">
      <c r="A9" s="2253"/>
      <c r="B9" s="2250"/>
      <c r="C9" s="901" t="s">
        <v>964</v>
      </c>
      <c r="D9" s="902">
        <f>27491+718</f>
        <v>28209</v>
      </c>
      <c r="E9" s="902">
        <f>4790+111</f>
        <v>4901</v>
      </c>
      <c r="F9" s="902">
        <f>7830</f>
        <v>7830</v>
      </c>
      <c r="G9" s="902">
        <f>3820+1000</f>
        <v>4820</v>
      </c>
      <c r="H9" s="902">
        <v>0</v>
      </c>
      <c r="I9" s="903">
        <f t="shared" ref="I9:I10" si="1">SUM(D9:H9)</f>
        <v>45760</v>
      </c>
    </row>
    <row r="10" spans="1:9" ht="13.5" thickBot="1">
      <c r="A10" s="2254"/>
      <c r="B10" s="2251"/>
      <c r="C10" s="936" t="s">
        <v>977</v>
      </c>
      <c r="D10" s="909">
        <f>27491+718</f>
        <v>28209</v>
      </c>
      <c r="E10" s="909">
        <f>4790+111</f>
        <v>4901</v>
      </c>
      <c r="F10" s="909">
        <f>7830</f>
        <v>7830</v>
      </c>
      <c r="G10" s="909">
        <f>3820+1000</f>
        <v>4820</v>
      </c>
      <c r="H10" s="909">
        <v>0</v>
      </c>
      <c r="I10" s="910">
        <f t="shared" si="1"/>
        <v>45760</v>
      </c>
    </row>
    <row r="11" spans="1:9">
      <c r="A11" s="2252" t="s">
        <v>130</v>
      </c>
      <c r="B11" s="2249" t="s">
        <v>101</v>
      </c>
      <c r="C11" s="788" t="s">
        <v>3</v>
      </c>
      <c r="D11" s="789">
        <v>70369</v>
      </c>
      <c r="E11" s="789">
        <v>12244</v>
      </c>
      <c r="F11" s="789">
        <v>16570</v>
      </c>
      <c r="G11" s="789">
        <v>480</v>
      </c>
      <c r="H11" s="789">
        <v>3600</v>
      </c>
      <c r="I11" s="802">
        <f t="shared" si="0"/>
        <v>103263</v>
      </c>
    </row>
    <row r="12" spans="1:9">
      <c r="A12" s="2253"/>
      <c r="B12" s="2250"/>
      <c r="C12" s="901" t="s">
        <v>964</v>
      </c>
      <c r="D12" s="902">
        <f>70369+165+312+14+106+21+368+1705</f>
        <v>73060</v>
      </c>
      <c r="E12" s="902">
        <f>12244+29+52+16+4+57+264-666</f>
        <v>12000</v>
      </c>
      <c r="F12" s="902">
        <f>16570-1295-77-561</f>
        <v>14637</v>
      </c>
      <c r="G12" s="902">
        <f>480-400</f>
        <v>80</v>
      </c>
      <c r="H12" s="902">
        <f>3600+77-400</f>
        <v>3277</v>
      </c>
      <c r="I12" s="903">
        <f t="shared" ref="I12:I13" si="2">SUM(D12:H12)</f>
        <v>103054</v>
      </c>
    </row>
    <row r="13" spans="1:9" ht="13.5" thickBot="1">
      <c r="A13" s="2254"/>
      <c r="B13" s="2251"/>
      <c r="C13" s="935" t="s">
        <v>977</v>
      </c>
      <c r="D13" s="902">
        <v>73145</v>
      </c>
      <c r="E13" s="902">
        <v>12014</v>
      </c>
      <c r="F13" s="902">
        <v>14637</v>
      </c>
      <c r="G13" s="902">
        <v>80</v>
      </c>
      <c r="H13" s="902">
        <v>3277</v>
      </c>
      <c r="I13" s="903">
        <f t="shared" si="2"/>
        <v>103153</v>
      </c>
    </row>
    <row r="14" spans="1:9">
      <c r="A14" s="2252" t="s">
        <v>131</v>
      </c>
      <c r="B14" s="2249" t="s">
        <v>101</v>
      </c>
      <c r="C14" s="785" t="s">
        <v>3</v>
      </c>
      <c r="D14" s="786">
        <v>93731</v>
      </c>
      <c r="E14" s="786">
        <v>16182</v>
      </c>
      <c r="F14" s="786">
        <v>28024</v>
      </c>
      <c r="G14" s="786">
        <v>650</v>
      </c>
      <c r="H14" s="786">
        <v>14000</v>
      </c>
      <c r="I14" s="787">
        <f t="shared" si="0"/>
        <v>152587</v>
      </c>
    </row>
    <row r="15" spans="1:9">
      <c r="A15" s="2253"/>
      <c r="B15" s="2250"/>
      <c r="C15" s="901" t="s">
        <v>964</v>
      </c>
      <c r="D15" s="902">
        <f>93731-851+81+1795</f>
        <v>94756</v>
      </c>
      <c r="E15" s="902">
        <f>16182-149+12+278-700</f>
        <v>15623</v>
      </c>
      <c r="F15" s="902">
        <f>28024-1126+2400+129-488</f>
        <v>28939</v>
      </c>
      <c r="G15" s="902">
        <v>650</v>
      </c>
      <c r="H15" s="902">
        <f>14000-2400-11500</f>
        <v>100</v>
      </c>
      <c r="I15" s="903">
        <f t="shared" ref="I15:I16" si="3">SUM(D15:H15)</f>
        <v>140068</v>
      </c>
    </row>
    <row r="16" spans="1:9" ht="13.5" thickBot="1">
      <c r="A16" s="2254"/>
      <c r="B16" s="2251"/>
      <c r="C16" s="936" t="s">
        <v>977</v>
      </c>
      <c r="D16" s="902">
        <f>93731-851+81+1795+69</f>
        <v>94825</v>
      </c>
      <c r="E16" s="902">
        <f>16182-149+12+278-700+11</f>
        <v>15634</v>
      </c>
      <c r="F16" s="902">
        <f>28024-1126+2400+129-488+1300</f>
        <v>30239</v>
      </c>
      <c r="G16" s="902">
        <v>650</v>
      </c>
      <c r="H16" s="902">
        <f>14000-2400-11500</f>
        <v>100</v>
      </c>
      <c r="I16" s="903">
        <f t="shared" si="3"/>
        <v>141448</v>
      </c>
    </row>
    <row r="17" spans="1:9">
      <c r="A17" s="2252" t="s">
        <v>132</v>
      </c>
      <c r="B17" s="2249" t="s">
        <v>101</v>
      </c>
      <c r="C17" s="785" t="s">
        <v>3</v>
      </c>
      <c r="D17" s="786">
        <v>49258</v>
      </c>
      <c r="E17" s="786">
        <v>8554</v>
      </c>
      <c r="F17" s="786">
        <v>16456</v>
      </c>
      <c r="G17" s="786">
        <v>5150</v>
      </c>
      <c r="H17" s="786">
        <v>5000</v>
      </c>
      <c r="I17" s="787">
        <f t="shared" si="0"/>
        <v>84418</v>
      </c>
    </row>
    <row r="18" spans="1:9">
      <c r="A18" s="2253"/>
      <c r="B18" s="2250"/>
      <c r="C18" s="901" t="s">
        <v>964</v>
      </c>
      <c r="D18" s="902">
        <f>49258+37+168+7+1256</f>
        <v>50726</v>
      </c>
      <c r="E18" s="902">
        <f>8554+6+26+1+195-373</f>
        <v>8409</v>
      </c>
      <c r="F18" s="902">
        <f>16456-619+1500+65-269</f>
        <v>17133</v>
      </c>
      <c r="G18" s="902">
        <f>5150-3000</f>
        <v>2150</v>
      </c>
      <c r="H18" s="902">
        <f>5000-1500-500</f>
        <v>3000</v>
      </c>
      <c r="I18" s="903">
        <f t="shared" ref="I18:I19" si="4">SUM(D18:H18)</f>
        <v>81418</v>
      </c>
    </row>
    <row r="19" spans="1:9" ht="13.5" thickBot="1">
      <c r="A19" s="2254"/>
      <c r="B19" s="2251"/>
      <c r="C19" s="935" t="s">
        <v>977</v>
      </c>
      <c r="D19" s="902">
        <f>49258+37+168+7+1256+27</f>
        <v>50753</v>
      </c>
      <c r="E19" s="902">
        <f>8554+6+26+1+195-373+4</f>
        <v>8413</v>
      </c>
      <c r="F19" s="902">
        <f>16456-619+1500+65-269</f>
        <v>17133</v>
      </c>
      <c r="G19" s="902">
        <f>5150-3000</f>
        <v>2150</v>
      </c>
      <c r="H19" s="902">
        <f>5000-1500-500-3000</f>
        <v>0</v>
      </c>
      <c r="I19" s="903">
        <f t="shared" si="4"/>
        <v>78449</v>
      </c>
    </row>
    <row r="20" spans="1:9">
      <c r="A20" s="2252" t="s">
        <v>133</v>
      </c>
      <c r="B20" s="2249" t="s">
        <v>101</v>
      </c>
      <c r="C20" s="785" t="s">
        <v>3</v>
      </c>
      <c r="D20" s="786">
        <v>89756</v>
      </c>
      <c r="E20" s="786">
        <v>18460</v>
      </c>
      <c r="F20" s="786">
        <f>14020</f>
        <v>14020</v>
      </c>
      <c r="G20" s="786">
        <v>1240</v>
      </c>
      <c r="H20" s="786">
        <v>2100</v>
      </c>
      <c r="I20" s="787">
        <f t="shared" si="0"/>
        <v>125576</v>
      </c>
    </row>
    <row r="21" spans="1:9">
      <c r="A21" s="2253"/>
      <c r="B21" s="2250"/>
      <c r="C21" s="901" t="s">
        <v>964</v>
      </c>
      <c r="D21" s="902">
        <f>89756-425-851-5574+83+1526</f>
        <v>84515</v>
      </c>
      <c r="E21" s="902">
        <f>18460-75-149-976+12+236-851</f>
        <v>16657</v>
      </c>
      <c r="F21" s="902">
        <f>14020-1407+32-55-610</f>
        <v>11980</v>
      </c>
      <c r="G21" s="902">
        <f>1240+500-1240</f>
        <v>500</v>
      </c>
      <c r="H21" s="902">
        <v>2100</v>
      </c>
      <c r="I21" s="903">
        <f t="shared" ref="I21:I22" si="5">SUM(D21:H21)</f>
        <v>115752</v>
      </c>
    </row>
    <row r="22" spans="1:9" ht="13.5" thickBot="1">
      <c r="A22" s="2254"/>
      <c r="B22" s="2251"/>
      <c r="C22" s="935" t="s">
        <v>977</v>
      </c>
      <c r="D22" s="902">
        <f>89756-425-851-5574+83+1526+50-1300</f>
        <v>83265</v>
      </c>
      <c r="E22" s="902">
        <f>18460-75-149-976+12+236-851+8</f>
        <v>16665</v>
      </c>
      <c r="F22" s="902">
        <f>14020-1407+32-55-610+1300</f>
        <v>13280</v>
      </c>
      <c r="G22" s="902">
        <f>1240+500-1240</f>
        <v>500</v>
      </c>
      <c r="H22" s="902">
        <v>2100</v>
      </c>
      <c r="I22" s="903">
        <f t="shared" si="5"/>
        <v>115810</v>
      </c>
    </row>
    <row r="23" spans="1:9" ht="15" customHeight="1">
      <c r="A23" s="2252" t="s">
        <v>749</v>
      </c>
      <c r="B23" s="2249" t="s">
        <v>101</v>
      </c>
      <c r="C23" s="785" t="s">
        <v>3</v>
      </c>
      <c r="D23" s="786">
        <v>13147</v>
      </c>
      <c r="E23" s="786">
        <v>2301</v>
      </c>
      <c r="F23" s="786">
        <v>3998</v>
      </c>
      <c r="G23" s="786">
        <v>130</v>
      </c>
      <c r="H23" s="786">
        <v>2000</v>
      </c>
      <c r="I23" s="787">
        <f t="shared" si="0"/>
        <v>21576</v>
      </c>
    </row>
    <row r="24" spans="1:9">
      <c r="A24" s="2253"/>
      <c r="B24" s="2250"/>
      <c r="C24" s="901" t="s">
        <v>964</v>
      </c>
      <c r="D24" s="902">
        <f>13147+359</f>
        <v>13506</v>
      </c>
      <c r="E24" s="902">
        <f>2301+56</f>
        <v>2357</v>
      </c>
      <c r="F24" s="902">
        <f>3998+378</f>
        <v>4376</v>
      </c>
      <c r="G24" s="902">
        <v>130</v>
      </c>
      <c r="H24" s="902">
        <f>2000-378</f>
        <v>1622</v>
      </c>
      <c r="I24" s="903">
        <f t="shared" ref="I24:I25" si="6">SUM(D24:H24)</f>
        <v>21991</v>
      </c>
    </row>
    <row r="25" spans="1:9" ht="13.5" thickBot="1">
      <c r="A25" s="2254"/>
      <c r="B25" s="2251"/>
      <c r="C25" s="936" t="s">
        <v>977</v>
      </c>
      <c r="D25" s="909">
        <f>13147+359</f>
        <v>13506</v>
      </c>
      <c r="E25" s="909">
        <f>2301+56</f>
        <v>2357</v>
      </c>
      <c r="F25" s="909">
        <f>3998+378</f>
        <v>4376</v>
      </c>
      <c r="G25" s="909">
        <v>130</v>
      </c>
      <c r="H25" s="909">
        <f>2000-378</f>
        <v>1622</v>
      </c>
      <c r="I25" s="910">
        <f t="shared" si="6"/>
        <v>21991</v>
      </c>
    </row>
    <row r="26" spans="1:9">
      <c r="A26" s="2252" t="s">
        <v>135</v>
      </c>
      <c r="B26" s="2249" t="s">
        <v>101</v>
      </c>
      <c r="C26" s="788" t="s">
        <v>3</v>
      </c>
      <c r="D26" s="789">
        <v>138978</v>
      </c>
      <c r="E26" s="789">
        <v>28100</v>
      </c>
      <c r="F26" s="789">
        <v>51201</v>
      </c>
      <c r="G26" s="789">
        <v>5342</v>
      </c>
      <c r="H26" s="789">
        <v>2260</v>
      </c>
      <c r="I26" s="802">
        <f t="shared" si="0"/>
        <v>225881</v>
      </c>
    </row>
    <row r="27" spans="1:9">
      <c r="A27" s="2253"/>
      <c r="B27" s="2250"/>
      <c r="C27" s="901" t="s">
        <v>964</v>
      </c>
      <c r="D27" s="902">
        <f>138978+131+2197+216+148+16+858+964</f>
        <v>143508</v>
      </c>
      <c r="E27" s="902">
        <f>28100+23+385+22+3+133+168-1127</f>
        <v>27707</v>
      </c>
      <c r="F27" s="902">
        <f>51201-938-407-3305</f>
        <v>46551</v>
      </c>
      <c r="G27" s="902">
        <f>5342-900</f>
        <v>4442</v>
      </c>
      <c r="H27" s="902">
        <f>2260-1100</f>
        <v>1160</v>
      </c>
      <c r="I27" s="903">
        <f t="shared" ref="I27:I28" si="7">SUM(D27:H27)</f>
        <v>223368</v>
      </c>
    </row>
    <row r="28" spans="1:9" ht="13.5" thickBot="1">
      <c r="A28" s="2254"/>
      <c r="B28" s="2251"/>
      <c r="C28" s="935" t="s">
        <v>977</v>
      </c>
      <c r="D28" s="902">
        <f>138978+131+2197+216+148+16+858+964+1437+78</f>
        <v>145023</v>
      </c>
      <c r="E28" s="902">
        <f>28100+23+385+22+3+133+168-1127+227+12</f>
        <v>27946</v>
      </c>
      <c r="F28" s="902">
        <f>51201-938-407-3305-3000+3000</f>
        <v>46551</v>
      </c>
      <c r="G28" s="902">
        <f>5342-900-1500</f>
        <v>2942</v>
      </c>
      <c r="H28" s="902">
        <f>2260-1100</f>
        <v>1160</v>
      </c>
      <c r="I28" s="903">
        <f t="shared" si="7"/>
        <v>223622</v>
      </c>
    </row>
    <row r="29" spans="1:9">
      <c r="A29" s="2255" t="s">
        <v>136</v>
      </c>
      <c r="B29" s="2249" t="s">
        <v>101</v>
      </c>
      <c r="C29" s="785" t="s">
        <v>3</v>
      </c>
      <c r="D29" s="786">
        <v>0</v>
      </c>
      <c r="E29" s="786">
        <v>0</v>
      </c>
      <c r="F29" s="786">
        <v>61223</v>
      </c>
      <c r="G29" s="786"/>
      <c r="H29" s="786"/>
      <c r="I29" s="787">
        <f t="shared" si="0"/>
        <v>61223</v>
      </c>
    </row>
    <row r="30" spans="1:9">
      <c r="A30" s="2256"/>
      <c r="B30" s="2250"/>
      <c r="C30" s="901" t="s">
        <v>964</v>
      </c>
      <c r="D30" s="902">
        <v>0</v>
      </c>
      <c r="E30" s="902">
        <v>0</v>
      </c>
      <c r="F30" s="902">
        <f>61223-4390+1184-1905</f>
        <v>56112</v>
      </c>
      <c r="G30" s="902"/>
      <c r="H30" s="902"/>
      <c r="I30" s="903">
        <f t="shared" ref="I30:I31" si="8">SUM(D30:H30)</f>
        <v>56112</v>
      </c>
    </row>
    <row r="31" spans="1:9">
      <c r="A31" s="2257"/>
      <c r="B31" s="2258"/>
      <c r="C31" s="901" t="s">
        <v>977</v>
      </c>
      <c r="D31" s="902">
        <v>0</v>
      </c>
      <c r="E31" s="902">
        <v>0</v>
      </c>
      <c r="F31" s="902">
        <f>61223-4390+1184-1905-212</f>
        <v>55900</v>
      </c>
      <c r="G31" s="902"/>
      <c r="H31" s="902"/>
      <c r="I31" s="903">
        <f t="shared" si="8"/>
        <v>55900</v>
      </c>
    </row>
    <row r="32" spans="1:9" ht="15" customHeight="1">
      <c r="A32" s="2259" t="s">
        <v>137</v>
      </c>
      <c r="B32" s="2260" t="s">
        <v>101</v>
      </c>
      <c r="C32" s="904" t="s">
        <v>3</v>
      </c>
      <c r="D32" s="902"/>
      <c r="E32" s="902"/>
      <c r="F32" s="902">
        <v>35398</v>
      </c>
      <c r="G32" s="902"/>
      <c r="H32" s="902"/>
      <c r="I32" s="903">
        <f t="shared" si="0"/>
        <v>35398</v>
      </c>
    </row>
    <row r="33" spans="1:9">
      <c r="A33" s="2256"/>
      <c r="B33" s="2250"/>
      <c r="C33" s="901" t="s">
        <v>964</v>
      </c>
      <c r="D33" s="902"/>
      <c r="E33" s="902"/>
      <c r="F33" s="902">
        <f>35398-2364+677-1025</f>
        <v>32686</v>
      </c>
      <c r="G33" s="902"/>
      <c r="H33" s="902"/>
      <c r="I33" s="903">
        <f t="shared" ref="I33:I34" si="9">SUM(D33:H33)</f>
        <v>32686</v>
      </c>
    </row>
    <row r="34" spans="1:9">
      <c r="A34" s="2257"/>
      <c r="B34" s="2258"/>
      <c r="C34" s="901" t="s">
        <v>977</v>
      </c>
      <c r="D34" s="902"/>
      <c r="E34" s="902"/>
      <c r="F34" s="902">
        <f>35398-2364+677-1025-114</f>
        <v>32572</v>
      </c>
      <c r="G34" s="902"/>
      <c r="H34" s="902"/>
      <c r="I34" s="903">
        <f t="shared" si="9"/>
        <v>32572</v>
      </c>
    </row>
    <row r="35" spans="1:9" s="790" customFormat="1" ht="14.25" customHeight="1">
      <c r="A35" s="2261" t="s">
        <v>138</v>
      </c>
      <c r="B35" s="2262" t="s">
        <v>101</v>
      </c>
      <c r="C35" s="905" t="s">
        <v>3</v>
      </c>
      <c r="D35" s="906">
        <f t="shared" ref="D35:H37" si="10">D29+D32</f>
        <v>0</v>
      </c>
      <c r="E35" s="906">
        <f t="shared" si="10"/>
        <v>0</v>
      </c>
      <c r="F35" s="906">
        <f t="shared" si="10"/>
        <v>96621</v>
      </c>
      <c r="G35" s="906">
        <f t="shared" si="10"/>
        <v>0</v>
      </c>
      <c r="H35" s="906">
        <f t="shared" si="10"/>
        <v>0</v>
      </c>
      <c r="I35" s="907">
        <f t="shared" si="0"/>
        <v>96621</v>
      </c>
    </row>
    <row r="36" spans="1:9" s="790" customFormat="1" ht="14.25" customHeight="1">
      <c r="A36" s="2253"/>
      <c r="B36" s="2263"/>
      <c r="C36" s="908" t="s">
        <v>964</v>
      </c>
      <c r="D36" s="906">
        <f t="shared" si="10"/>
        <v>0</v>
      </c>
      <c r="E36" s="906">
        <f t="shared" si="10"/>
        <v>0</v>
      </c>
      <c r="F36" s="906">
        <f t="shared" si="10"/>
        <v>88798</v>
      </c>
      <c r="G36" s="906">
        <f t="shared" si="10"/>
        <v>0</v>
      </c>
      <c r="H36" s="906">
        <f t="shared" si="10"/>
        <v>0</v>
      </c>
      <c r="I36" s="907">
        <f t="shared" ref="I36" si="11">SUM(D36:H36)</f>
        <v>88798</v>
      </c>
    </row>
    <row r="37" spans="1:9" s="790" customFormat="1" ht="14.25" customHeight="1" thickBot="1">
      <c r="A37" s="2254"/>
      <c r="B37" s="2264"/>
      <c r="C37" s="937" t="s">
        <v>977</v>
      </c>
      <c r="D37" s="791">
        <f t="shared" si="10"/>
        <v>0</v>
      </c>
      <c r="E37" s="791">
        <f t="shared" si="10"/>
        <v>0</v>
      </c>
      <c r="F37" s="791">
        <f t="shared" si="10"/>
        <v>88472</v>
      </c>
      <c r="G37" s="791">
        <f t="shared" si="10"/>
        <v>0</v>
      </c>
      <c r="H37" s="791">
        <f t="shared" si="10"/>
        <v>0</v>
      </c>
      <c r="I37" s="792">
        <f t="shared" ref="I37" si="12">SUM(D37:H37)</f>
        <v>88472</v>
      </c>
    </row>
    <row r="38" spans="1:9">
      <c r="A38" s="2255" t="s">
        <v>139</v>
      </c>
      <c r="B38" s="2249" t="s">
        <v>101</v>
      </c>
      <c r="C38" s="785" t="s">
        <v>3</v>
      </c>
      <c r="D38" s="786"/>
      <c r="E38" s="786"/>
      <c r="F38" s="786">
        <v>58647</v>
      </c>
      <c r="G38" s="786"/>
      <c r="H38" s="786"/>
      <c r="I38" s="787">
        <f t="shared" si="0"/>
        <v>58647</v>
      </c>
    </row>
    <row r="39" spans="1:9">
      <c r="A39" s="2256"/>
      <c r="B39" s="2250"/>
      <c r="C39" s="901" t="s">
        <v>964</v>
      </c>
      <c r="D39" s="902"/>
      <c r="E39" s="902"/>
      <c r="F39" s="902">
        <f>58647-4559+1227</f>
        <v>55315</v>
      </c>
      <c r="G39" s="902"/>
      <c r="H39" s="902"/>
      <c r="I39" s="903">
        <f t="shared" si="0"/>
        <v>55315</v>
      </c>
    </row>
    <row r="40" spans="1:9">
      <c r="A40" s="2257"/>
      <c r="B40" s="2258"/>
      <c r="C40" s="901" t="s">
        <v>977</v>
      </c>
      <c r="D40" s="902"/>
      <c r="E40" s="902"/>
      <c r="F40" s="902">
        <v>53116</v>
      </c>
      <c r="G40" s="902"/>
      <c r="H40" s="902"/>
      <c r="I40" s="903">
        <f t="shared" si="0"/>
        <v>53116</v>
      </c>
    </row>
    <row r="41" spans="1:9" ht="15" customHeight="1">
      <c r="A41" s="2259" t="s">
        <v>140</v>
      </c>
      <c r="B41" s="2260" t="s">
        <v>101</v>
      </c>
      <c r="C41" s="904" t="s">
        <v>3</v>
      </c>
      <c r="D41" s="902"/>
      <c r="E41" s="902"/>
      <c r="F41" s="902">
        <v>23290</v>
      </c>
      <c r="G41" s="902"/>
      <c r="H41" s="902"/>
      <c r="I41" s="903">
        <f t="shared" si="0"/>
        <v>23290</v>
      </c>
    </row>
    <row r="42" spans="1:9">
      <c r="A42" s="2256"/>
      <c r="B42" s="2250"/>
      <c r="C42" s="901" t="s">
        <v>964</v>
      </c>
      <c r="D42" s="902"/>
      <c r="E42" s="902"/>
      <c r="F42" s="902">
        <f>23290-1688+508-731</f>
        <v>21379</v>
      </c>
      <c r="G42" s="902"/>
      <c r="H42" s="902"/>
      <c r="I42" s="903">
        <f t="shared" ref="I42:I43" si="13">SUM(D42:H42)</f>
        <v>21379</v>
      </c>
    </row>
    <row r="43" spans="1:9">
      <c r="A43" s="2257"/>
      <c r="B43" s="2258"/>
      <c r="C43" s="901" t="s">
        <v>977</v>
      </c>
      <c r="D43" s="902"/>
      <c r="E43" s="902"/>
      <c r="F43" s="902">
        <v>21298</v>
      </c>
      <c r="G43" s="902"/>
      <c r="H43" s="902"/>
      <c r="I43" s="903">
        <f t="shared" si="13"/>
        <v>21298</v>
      </c>
    </row>
    <row r="44" spans="1:9" s="790" customFormat="1">
      <c r="A44" s="2261" t="s">
        <v>141</v>
      </c>
      <c r="B44" s="2262" t="s">
        <v>101</v>
      </c>
      <c r="C44" s="905" t="s">
        <v>3</v>
      </c>
      <c r="D44" s="906">
        <f t="shared" ref="D44:H46" si="14">D38+D41</f>
        <v>0</v>
      </c>
      <c r="E44" s="906">
        <f t="shared" si="14"/>
        <v>0</v>
      </c>
      <c r="F44" s="906">
        <f t="shared" si="14"/>
        <v>81937</v>
      </c>
      <c r="G44" s="906">
        <f t="shared" si="14"/>
        <v>0</v>
      </c>
      <c r="H44" s="906">
        <f t="shared" si="14"/>
        <v>0</v>
      </c>
      <c r="I44" s="907">
        <f t="shared" si="0"/>
        <v>81937</v>
      </c>
    </row>
    <row r="45" spans="1:9" s="790" customFormat="1" ht="15.75" customHeight="1">
      <c r="A45" s="2253"/>
      <c r="B45" s="2263"/>
      <c r="C45" s="908" t="s">
        <v>964</v>
      </c>
      <c r="D45" s="906">
        <f t="shared" si="14"/>
        <v>0</v>
      </c>
      <c r="E45" s="906">
        <f t="shared" si="14"/>
        <v>0</v>
      </c>
      <c r="F45" s="906">
        <f t="shared" si="14"/>
        <v>76694</v>
      </c>
      <c r="G45" s="906">
        <f t="shared" si="14"/>
        <v>0</v>
      </c>
      <c r="H45" s="906">
        <f t="shared" si="14"/>
        <v>0</v>
      </c>
      <c r="I45" s="907">
        <f t="shared" ref="I45" si="15">SUM(D45:H45)</f>
        <v>76694</v>
      </c>
    </row>
    <row r="46" spans="1:9" s="790" customFormat="1" ht="15.75" customHeight="1" thickBot="1">
      <c r="A46" s="2254"/>
      <c r="B46" s="2264"/>
      <c r="C46" s="938" t="s">
        <v>977</v>
      </c>
      <c r="D46" s="793">
        <f t="shared" si="14"/>
        <v>0</v>
      </c>
      <c r="E46" s="793">
        <f t="shared" si="14"/>
        <v>0</v>
      </c>
      <c r="F46" s="793">
        <f t="shared" si="14"/>
        <v>74414</v>
      </c>
      <c r="G46" s="793">
        <f t="shared" si="14"/>
        <v>0</v>
      </c>
      <c r="H46" s="793">
        <f t="shared" si="14"/>
        <v>0</v>
      </c>
      <c r="I46" s="794">
        <f t="shared" ref="I46" si="16">SUM(D46:H46)</f>
        <v>74414</v>
      </c>
    </row>
    <row r="47" spans="1:9" ht="15" customHeight="1">
      <c r="A47" s="2255" t="s">
        <v>142</v>
      </c>
      <c r="B47" s="2249" t="s">
        <v>101</v>
      </c>
      <c r="C47" s="785" t="s">
        <v>3</v>
      </c>
      <c r="D47" s="786"/>
      <c r="E47" s="786"/>
      <c r="F47" s="786">
        <v>26225</v>
      </c>
      <c r="G47" s="786"/>
      <c r="H47" s="786"/>
      <c r="I47" s="787">
        <f t="shared" si="0"/>
        <v>26225</v>
      </c>
    </row>
    <row r="48" spans="1:9">
      <c r="A48" s="2256"/>
      <c r="B48" s="2250"/>
      <c r="C48" s="901" t="s">
        <v>964</v>
      </c>
      <c r="D48" s="902"/>
      <c r="E48" s="902"/>
      <c r="F48" s="902">
        <f>26225-1520+465-659</f>
        <v>24511</v>
      </c>
      <c r="G48" s="902"/>
      <c r="H48" s="902"/>
      <c r="I48" s="903">
        <f t="shared" ref="I48:I49" si="17">SUM(D48:H48)</f>
        <v>24511</v>
      </c>
    </row>
    <row r="49" spans="1:9" ht="13.5" thickBot="1">
      <c r="A49" s="2265"/>
      <c r="B49" s="2251"/>
      <c r="C49" s="935" t="s">
        <v>977</v>
      </c>
      <c r="D49" s="902"/>
      <c r="E49" s="902"/>
      <c r="F49" s="902">
        <v>24438</v>
      </c>
      <c r="G49" s="902"/>
      <c r="H49" s="902"/>
      <c r="I49" s="903">
        <f t="shared" si="17"/>
        <v>24438</v>
      </c>
    </row>
    <row r="50" spans="1:9">
      <c r="A50" s="2255" t="s">
        <v>780</v>
      </c>
      <c r="B50" s="2249" t="s">
        <v>101</v>
      </c>
      <c r="C50" s="795" t="s">
        <v>3</v>
      </c>
      <c r="D50" s="786"/>
      <c r="E50" s="786"/>
      <c r="F50" s="786">
        <v>13004</v>
      </c>
      <c r="G50" s="786"/>
      <c r="H50" s="786"/>
      <c r="I50" s="787">
        <f t="shared" si="0"/>
        <v>13004</v>
      </c>
    </row>
    <row r="51" spans="1:9">
      <c r="A51" s="2256"/>
      <c r="B51" s="2250"/>
      <c r="C51" s="901" t="s">
        <v>964</v>
      </c>
      <c r="D51" s="902"/>
      <c r="E51" s="902"/>
      <c r="F51" s="902">
        <f>13004-338+169-146</f>
        <v>12689</v>
      </c>
      <c r="G51" s="902"/>
      <c r="H51" s="902"/>
      <c r="I51" s="903">
        <f t="shared" ref="I51:I52" si="18">SUM(D51:H51)</f>
        <v>12689</v>
      </c>
    </row>
    <row r="52" spans="1:9" ht="13.5" thickBot="1">
      <c r="A52" s="2265"/>
      <c r="B52" s="2251"/>
      <c r="C52" s="936" t="s">
        <v>977</v>
      </c>
      <c r="D52" s="909"/>
      <c r="E52" s="909"/>
      <c r="F52" s="909">
        <v>12673</v>
      </c>
      <c r="G52" s="909"/>
      <c r="H52" s="909"/>
      <c r="I52" s="910">
        <f t="shared" si="18"/>
        <v>12673</v>
      </c>
    </row>
    <row r="53" spans="1:9">
      <c r="A53" s="2255" t="s">
        <v>537</v>
      </c>
      <c r="B53" s="2249" t="s">
        <v>101</v>
      </c>
      <c r="C53" s="788" t="s">
        <v>3</v>
      </c>
      <c r="D53" s="789"/>
      <c r="E53" s="789"/>
      <c r="F53" s="789">
        <v>40195</v>
      </c>
      <c r="G53" s="789"/>
      <c r="H53" s="789"/>
      <c r="I53" s="802">
        <f t="shared" si="0"/>
        <v>40195</v>
      </c>
    </row>
    <row r="54" spans="1:9">
      <c r="A54" s="2256"/>
      <c r="B54" s="2250"/>
      <c r="C54" s="901" t="s">
        <v>964</v>
      </c>
      <c r="D54" s="902"/>
      <c r="E54" s="902"/>
      <c r="F54" s="902">
        <f>40195-2026-879</f>
        <v>37290</v>
      </c>
      <c r="G54" s="902"/>
      <c r="H54" s="902"/>
      <c r="I54" s="903">
        <f t="shared" ref="I54:I55" si="19">SUM(D54:H54)</f>
        <v>37290</v>
      </c>
    </row>
    <row r="55" spans="1:9" ht="13.5" thickBot="1">
      <c r="A55" s="2265"/>
      <c r="B55" s="2251"/>
      <c r="C55" s="935" t="s">
        <v>977</v>
      </c>
      <c r="D55" s="902"/>
      <c r="E55" s="902"/>
      <c r="F55" s="902">
        <v>37192</v>
      </c>
      <c r="G55" s="902"/>
      <c r="H55" s="902"/>
      <c r="I55" s="903">
        <f t="shared" si="19"/>
        <v>37192</v>
      </c>
    </row>
    <row r="56" spans="1:9" ht="15" customHeight="1">
      <c r="A56" s="2255" t="s">
        <v>143</v>
      </c>
      <c r="B56" s="2266" t="s">
        <v>144</v>
      </c>
      <c r="C56" s="785" t="s">
        <v>3</v>
      </c>
      <c r="D56" s="786">
        <v>44329</v>
      </c>
      <c r="E56" s="786">
        <v>7573</v>
      </c>
      <c r="F56" s="786">
        <v>53598</v>
      </c>
      <c r="G56" s="786">
        <v>1800</v>
      </c>
      <c r="H56" s="786"/>
      <c r="I56" s="787">
        <f t="shared" si="0"/>
        <v>107300</v>
      </c>
    </row>
    <row r="57" spans="1:9">
      <c r="A57" s="2256"/>
      <c r="B57" s="2267"/>
      <c r="C57" s="901" t="s">
        <v>964</v>
      </c>
      <c r="D57" s="902">
        <f>44329+1010+560</f>
        <v>45899</v>
      </c>
      <c r="E57" s="902">
        <f>7573+156+84-314</f>
        <v>7499</v>
      </c>
      <c r="F57" s="902">
        <f>53598-1</f>
        <v>53597</v>
      </c>
      <c r="G57" s="902">
        <f>1800-200</f>
        <v>1600</v>
      </c>
      <c r="H57" s="902"/>
      <c r="I57" s="903">
        <f t="shared" ref="I57:I58" si="20">SUM(D57:H57)</f>
        <v>108595</v>
      </c>
    </row>
    <row r="58" spans="1:9" ht="13.5" thickBot="1">
      <c r="A58" s="2265"/>
      <c r="B58" s="2268"/>
      <c r="C58" s="936" t="s">
        <v>977</v>
      </c>
      <c r="D58" s="909">
        <f>44329+1010+560</f>
        <v>45899</v>
      </c>
      <c r="E58" s="909">
        <f>7573+156+84-314</f>
        <v>7499</v>
      </c>
      <c r="F58" s="909">
        <f>53598-1-268</f>
        <v>53329</v>
      </c>
      <c r="G58" s="909">
        <f>1800-200-500</f>
        <v>1100</v>
      </c>
      <c r="H58" s="909"/>
      <c r="I58" s="910">
        <f t="shared" si="20"/>
        <v>107827</v>
      </c>
    </row>
    <row r="59" spans="1:9" s="790" customFormat="1">
      <c r="A59" s="2252" t="s">
        <v>145</v>
      </c>
      <c r="B59" s="2269"/>
      <c r="C59" s="796" t="s">
        <v>3</v>
      </c>
      <c r="D59" s="797">
        <f t="shared" ref="D59:H61" si="21">D35+D44+D47+D50+D53+D56</f>
        <v>44329</v>
      </c>
      <c r="E59" s="797">
        <f t="shared" si="21"/>
        <v>7573</v>
      </c>
      <c r="F59" s="797">
        <f t="shared" si="21"/>
        <v>311580</v>
      </c>
      <c r="G59" s="797">
        <f t="shared" si="21"/>
        <v>1800</v>
      </c>
      <c r="H59" s="797">
        <f t="shared" si="21"/>
        <v>0</v>
      </c>
      <c r="I59" s="803">
        <f t="shared" si="0"/>
        <v>365282</v>
      </c>
    </row>
    <row r="60" spans="1:9" s="790" customFormat="1" ht="15.75" customHeight="1">
      <c r="A60" s="2253"/>
      <c r="B60" s="2270"/>
      <c r="C60" s="908" t="s">
        <v>964</v>
      </c>
      <c r="D60" s="906">
        <f t="shared" si="21"/>
        <v>45899</v>
      </c>
      <c r="E60" s="906">
        <f t="shared" si="21"/>
        <v>7499</v>
      </c>
      <c r="F60" s="906">
        <f t="shared" si="21"/>
        <v>293579</v>
      </c>
      <c r="G60" s="906">
        <f t="shared" si="21"/>
        <v>1600</v>
      </c>
      <c r="H60" s="906">
        <f t="shared" si="21"/>
        <v>0</v>
      </c>
      <c r="I60" s="907">
        <f t="shared" ref="I60" si="22">SUM(D60:H60)</f>
        <v>348577</v>
      </c>
    </row>
    <row r="61" spans="1:9" s="790" customFormat="1" ht="15.75" customHeight="1" thickBot="1">
      <c r="A61" s="2254"/>
      <c r="B61" s="2271"/>
      <c r="C61" s="938" t="s">
        <v>977</v>
      </c>
      <c r="D61" s="793">
        <f t="shared" si="21"/>
        <v>45899</v>
      </c>
      <c r="E61" s="793">
        <f t="shared" si="21"/>
        <v>7499</v>
      </c>
      <c r="F61" s="793">
        <f t="shared" si="21"/>
        <v>290518</v>
      </c>
      <c r="G61" s="793">
        <f t="shared" si="21"/>
        <v>1100</v>
      </c>
      <c r="H61" s="793">
        <f t="shared" si="21"/>
        <v>0</v>
      </c>
      <c r="I61" s="794">
        <f t="shared" ref="I61" si="23">SUM(D61:H61)</f>
        <v>345016</v>
      </c>
    </row>
    <row r="62" spans="1:9">
      <c r="A62" s="2272" t="s">
        <v>146</v>
      </c>
      <c r="B62" s="2266" t="s">
        <v>101</v>
      </c>
      <c r="C62" s="785" t="s">
        <v>3</v>
      </c>
      <c r="D62" s="786">
        <v>194348</v>
      </c>
      <c r="E62" s="786">
        <v>32967</v>
      </c>
      <c r="F62" s="786">
        <v>346800</v>
      </c>
      <c r="G62" s="786">
        <v>26000</v>
      </c>
      <c r="H62" s="786">
        <v>24000</v>
      </c>
      <c r="I62" s="787">
        <f t="shared" si="0"/>
        <v>624115</v>
      </c>
    </row>
    <row r="63" spans="1:9">
      <c r="A63" s="2273"/>
      <c r="B63" s="2267"/>
      <c r="C63" s="901" t="s">
        <v>964</v>
      </c>
      <c r="D63" s="902">
        <f>194348+10000+750+725+3+3614+3930+1455</f>
        <v>214825</v>
      </c>
      <c r="E63" s="902">
        <f>32967+1575+1+633+590+254-1436</f>
        <v>34584</v>
      </c>
      <c r="F63" s="902">
        <f>346800+188425+1000+139883+160-1396</f>
        <v>674872</v>
      </c>
      <c r="G63" s="902">
        <f>26000-1000+6000+1396</f>
        <v>32396</v>
      </c>
      <c r="H63" s="902">
        <f>24000-11000</f>
        <v>13000</v>
      </c>
      <c r="I63" s="903">
        <f t="shared" ref="I63:I64" si="24">SUM(D63:H63)</f>
        <v>969677</v>
      </c>
    </row>
    <row r="64" spans="1:9" ht="13.5" thickBot="1">
      <c r="A64" s="2274"/>
      <c r="B64" s="2268"/>
      <c r="C64" s="936" t="s">
        <v>977</v>
      </c>
      <c r="D64" s="902">
        <f>194348+10000+750+725+3+3614+3930+1455+2139+507+631</f>
        <v>218102</v>
      </c>
      <c r="E64" s="902">
        <f>32967+1575+1+633+590+254-1436+332+79+98</f>
        <v>35093</v>
      </c>
      <c r="F64" s="902">
        <f>346800+188425+1000+139883+160-1396-16040+518+200+600+1200+1475</f>
        <v>662825</v>
      </c>
      <c r="G64" s="902">
        <f>26000-1000+6000+1396+16040+500</f>
        <v>48936</v>
      </c>
      <c r="H64" s="902">
        <f>24000-11000</f>
        <v>13000</v>
      </c>
      <c r="I64" s="903">
        <f t="shared" si="24"/>
        <v>977956</v>
      </c>
    </row>
    <row r="65" spans="1:9">
      <c r="A65" s="2272" t="s">
        <v>147</v>
      </c>
      <c r="B65" s="2266" t="s">
        <v>101</v>
      </c>
      <c r="C65" s="785" t="s">
        <v>3</v>
      </c>
      <c r="D65" s="786">
        <v>33207</v>
      </c>
      <c r="E65" s="786">
        <v>5710</v>
      </c>
      <c r="F65" s="786">
        <v>11031</v>
      </c>
      <c r="G65" s="786">
        <v>3052</v>
      </c>
      <c r="H65" s="786">
        <v>0</v>
      </c>
      <c r="I65" s="787">
        <f t="shared" si="0"/>
        <v>53000</v>
      </c>
    </row>
    <row r="66" spans="1:9">
      <c r="A66" s="2273"/>
      <c r="B66" s="2267"/>
      <c r="C66" s="901" t="s">
        <v>964</v>
      </c>
      <c r="D66" s="902">
        <f>33207+943-60+342+396</f>
        <v>34828</v>
      </c>
      <c r="E66" s="902">
        <f>5710+165+51+70-296</f>
        <v>5700</v>
      </c>
      <c r="F66" s="902">
        <v>11031</v>
      </c>
      <c r="G66" s="902">
        <f>3052-150+195</f>
        <v>3097</v>
      </c>
      <c r="H66" s="902">
        <v>0</v>
      </c>
      <c r="I66" s="903">
        <f t="shared" ref="I66:I67" si="25">SUM(D66:H66)</f>
        <v>54656</v>
      </c>
    </row>
    <row r="67" spans="1:9" ht="13.5" thickBot="1">
      <c r="A67" s="2274"/>
      <c r="B67" s="2268"/>
      <c r="C67" s="935" t="s">
        <v>977</v>
      </c>
      <c r="D67" s="902">
        <f>33207+943-60+342+396+530</f>
        <v>35358</v>
      </c>
      <c r="E67" s="902">
        <f>5710+165+51+70-296+82</f>
        <v>5782</v>
      </c>
      <c r="F67" s="902">
        <v>11031</v>
      </c>
      <c r="G67" s="902">
        <f>3052-150+195+631</f>
        <v>3728</v>
      </c>
      <c r="H67" s="902">
        <v>0</v>
      </c>
      <c r="I67" s="903">
        <f t="shared" si="25"/>
        <v>55899</v>
      </c>
    </row>
    <row r="68" spans="1:9">
      <c r="A68" s="2272" t="s">
        <v>148</v>
      </c>
      <c r="B68" s="2266" t="s">
        <v>101</v>
      </c>
      <c r="C68" s="785" t="s">
        <v>3</v>
      </c>
      <c r="D68" s="786">
        <v>91312</v>
      </c>
      <c r="E68" s="786">
        <v>15894</v>
      </c>
      <c r="F68" s="786">
        <v>15962</v>
      </c>
      <c r="G68" s="786">
        <v>1647</v>
      </c>
      <c r="H68" s="786">
        <v>0</v>
      </c>
      <c r="I68" s="787">
        <f t="shared" si="0"/>
        <v>124815</v>
      </c>
    </row>
    <row r="69" spans="1:9" ht="16.5" customHeight="1">
      <c r="A69" s="2273"/>
      <c r="B69" s="2267"/>
      <c r="C69" s="901" t="s">
        <v>964</v>
      </c>
      <c r="D69" s="902">
        <f>91312+98-2043+6655+19-693</f>
        <v>95348</v>
      </c>
      <c r="E69" s="902">
        <f>15894+17-357+983+3-571-107</f>
        <v>15862</v>
      </c>
      <c r="F69" s="902">
        <f>15962+9824+2400+617-9824+800</f>
        <v>19779</v>
      </c>
      <c r="G69" s="902">
        <f>1647-1200</f>
        <v>447</v>
      </c>
      <c r="H69" s="902">
        <v>0</v>
      </c>
      <c r="I69" s="903">
        <f t="shared" ref="I69:I70" si="26">SUM(D69:H69)</f>
        <v>131436</v>
      </c>
    </row>
    <row r="70" spans="1:9" ht="16.5" customHeight="1" thickBot="1">
      <c r="A70" s="2274"/>
      <c r="B70" s="2268"/>
      <c r="C70" s="936" t="s">
        <v>977</v>
      </c>
      <c r="D70" s="909">
        <f>91312+98-2043+6655+19-693-1039+77</f>
        <v>94386</v>
      </c>
      <c r="E70" s="909">
        <f>15894+17-357+983+3-571-107-161+12-88</f>
        <v>15625</v>
      </c>
      <c r="F70" s="909">
        <f>15962+9824+2400+617-9824+800+1200</f>
        <v>20979</v>
      </c>
      <c r="G70" s="909">
        <f>1647-1200+5696</f>
        <v>6143</v>
      </c>
      <c r="H70" s="909">
        <v>0</v>
      </c>
      <c r="I70" s="910">
        <f t="shared" si="26"/>
        <v>137133</v>
      </c>
    </row>
    <row r="71" spans="1:9" s="790" customFormat="1" ht="13.5" customHeight="1">
      <c r="A71" s="2252" t="s">
        <v>541</v>
      </c>
      <c r="B71" s="2269" t="s">
        <v>538</v>
      </c>
      <c r="C71" s="796" t="s">
        <v>3</v>
      </c>
      <c r="D71" s="797">
        <f t="shared" ref="D71:H71" si="27">D5+D8+D11+D14+D17+D20+D23+D26+D1+D59+D62+D65+D68</f>
        <v>929274</v>
      </c>
      <c r="E71" s="797">
        <f t="shared" si="27"/>
        <v>167273</v>
      </c>
      <c r="F71" s="797">
        <f t="shared" si="27"/>
        <v>841559</v>
      </c>
      <c r="G71" s="797">
        <f t="shared" si="27"/>
        <v>50753</v>
      </c>
      <c r="H71" s="797">
        <f t="shared" si="27"/>
        <v>56361</v>
      </c>
      <c r="I71" s="803">
        <f t="shared" si="0"/>
        <v>2045220</v>
      </c>
    </row>
    <row r="72" spans="1:9" s="790" customFormat="1" ht="14.25" customHeight="1">
      <c r="A72" s="2253"/>
      <c r="B72" s="2270"/>
      <c r="C72" s="908" t="s">
        <v>964</v>
      </c>
      <c r="D72" s="906">
        <f>D6+D9+D12+D15+D18+D21+D24+D27+D60+D63+D66+D69</f>
        <v>960880</v>
      </c>
      <c r="E72" s="906">
        <f>E6+E9+E12+E15+E18+E21+E24+E27+E2+E60+E63+E66+E69</f>
        <v>165025</v>
      </c>
      <c r="F72" s="906">
        <f>F6+F9+F12+F15+F18+F21+F24+F27+F2+F60+F63+F66+F69</f>
        <v>1148119</v>
      </c>
      <c r="G72" s="906">
        <f>G6+G9+G12+G15+G18+G21+G24+G27+G60+G63+G66+G69</f>
        <v>51866</v>
      </c>
      <c r="H72" s="906">
        <f>H6+H9+H12+H15+H18+H21+H24+H27+H2+H60+H63+H66+H69</f>
        <v>24738</v>
      </c>
      <c r="I72" s="907">
        <f t="shared" ref="I72" si="28">SUM(D72:H72)</f>
        <v>2350628</v>
      </c>
    </row>
    <row r="73" spans="1:9" s="790" customFormat="1" ht="14.25" customHeight="1" thickBot="1">
      <c r="A73" s="2254"/>
      <c r="B73" s="2271"/>
      <c r="C73" s="938" t="s">
        <v>977</v>
      </c>
      <c r="D73" s="906">
        <f>D7+D10+D13+D16+D19+D22+D25+D28+D61+D64+D67+D70</f>
        <v>964171</v>
      </c>
      <c r="E73" s="906">
        <f>E7+E10+E13+E16+E19+E22+E25+E28+E3+E61+E64+E67+E70</f>
        <v>165655</v>
      </c>
      <c r="F73" s="906">
        <f>F7+F10+F13+F16+F19+F22+F25+F28+F3+F61+F64+F67+F70</f>
        <v>1136811</v>
      </c>
      <c r="G73" s="906">
        <f>G7+G10+G13+G16+G19+G22+G25+G28+G61+G64+G67+G70</f>
        <v>72733</v>
      </c>
      <c r="H73" s="906">
        <f>H7+H10+H13+H16+H19+H22+H25+H28+H3+H61+H64+H67+H70</f>
        <v>21738</v>
      </c>
      <c r="I73" s="907">
        <f t="shared" ref="I73" si="29">SUM(D73:H73)</f>
        <v>2361108</v>
      </c>
    </row>
    <row r="74" spans="1:9" s="790" customFormat="1">
      <c r="A74" s="2252" t="s">
        <v>149</v>
      </c>
      <c r="B74" s="2269" t="s">
        <v>116</v>
      </c>
      <c r="C74" s="798" t="s">
        <v>3</v>
      </c>
      <c r="D74" s="799">
        <f t="shared" ref="D74:H76" si="30">D71-D77</f>
        <v>884945</v>
      </c>
      <c r="E74" s="799">
        <f t="shared" si="30"/>
        <v>159700</v>
      </c>
      <c r="F74" s="799">
        <f t="shared" si="30"/>
        <v>787961</v>
      </c>
      <c r="G74" s="799">
        <f t="shared" si="30"/>
        <v>48953</v>
      </c>
      <c r="H74" s="799">
        <f t="shared" si="30"/>
        <v>56361</v>
      </c>
      <c r="I74" s="800">
        <f t="shared" si="0"/>
        <v>1937920</v>
      </c>
    </row>
    <row r="75" spans="1:9" s="790" customFormat="1" ht="15.75" customHeight="1">
      <c r="A75" s="2253"/>
      <c r="B75" s="2270"/>
      <c r="C75" s="908" t="s">
        <v>964</v>
      </c>
      <c r="D75" s="906">
        <f t="shared" si="30"/>
        <v>914981</v>
      </c>
      <c r="E75" s="906">
        <f t="shared" si="30"/>
        <v>157526</v>
      </c>
      <c r="F75" s="906">
        <f t="shared" si="30"/>
        <v>1094522</v>
      </c>
      <c r="G75" s="906">
        <f t="shared" si="30"/>
        <v>50266</v>
      </c>
      <c r="H75" s="906">
        <f t="shared" si="30"/>
        <v>24738</v>
      </c>
      <c r="I75" s="907">
        <f t="shared" ref="I75" si="31">SUM(D75:H75)</f>
        <v>2242033</v>
      </c>
    </row>
    <row r="76" spans="1:9" s="790" customFormat="1" ht="15.75" customHeight="1" thickBot="1">
      <c r="A76" s="2254"/>
      <c r="B76" s="2271"/>
      <c r="C76" s="938" t="s">
        <v>977</v>
      </c>
      <c r="D76" s="793">
        <f t="shared" si="30"/>
        <v>918272</v>
      </c>
      <c r="E76" s="793">
        <f t="shared" si="30"/>
        <v>158156</v>
      </c>
      <c r="F76" s="793">
        <f t="shared" si="30"/>
        <v>1083482</v>
      </c>
      <c r="G76" s="793">
        <f t="shared" si="30"/>
        <v>71633</v>
      </c>
      <c r="H76" s="793">
        <f t="shared" si="30"/>
        <v>21738</v>
      </c>
      <c r="I76" s="794">
        <f t="shared" si="0"/>
        <v>2253281</v>
      </c>
    </row>
    <row r="77" spans="1:9" s="790" customFormat="1" ht="14.25" customHeight="1">
      <c r="A77" s="2252" t="s">
        <v>150</v>
      </c>
      <c r="B77" s="2275" t="s">
        <v>144</v>
      </c>
      <c r="C77" s="798" t="s">
        <v>3</v>
      </c>
      <c r="D77" s="799">
        <f>D56</f>
        <v>44329</v>
      </c>
      <c r="E77" s="799">
        <f t="shared" ref="E77:H79" si="32">E56</f>
        <v>7573</v>
      </c>
      <c r="F77" s="799">
        <f t="shared" si="32"/>
        <v>53598</v>
      </c>
      <c r="G77" s="799">
        <f t="shared" si="32"/>
        <v>1800</v>
      </c>
      <c r="H77" s="799">
        <f t="shared" si="32"/>
        <v>0</v>
      </c>
      <c r="I77" s="800">
        <f t="shared" si="0"/>
        <v>107300</v>
      </c>
    </row>
    <row r="78" spans="1:9">
      <c r="A78" s="2253"/>
      <c r="B78" s="2276"/>
      <c r="C78" s="908" t="s">
        <v>964</v>
      </c>
      <c r="D78" s="906">
        <f>D57</f>
        <v>45899</v>
      </c>
      <c r="E78" s="906">
        <f t="shared" si="32"/>
        <v>7499</v>
      </c>
      <c r="F78" s="906">
        <f t="shared" si="32"/>
        <v>53597</v>
      </c>
      <c r="G78" s="906">
        <f t="shared" si="32"/>
        <v>1600</v>
      </c>
      <c r="H78" s="906">
        <f t="shared" si="32"/>
        <v>0</v>
      </c>
      <c r="I78" s="907">
        <f t="shared" ref="I78" si="33">SUM(D78:H78)</f>
        <v>108595</v>
      </c>
    </row>
    <row r="79" spans="1:9" ht="13.5" thickBot="1">
      <c r="A79" s="2254"/>
      <c r="B79" s="2277"/>
      <c r="C79" s="937" t="s">
        <v>977</v>
      </c>
      <c r="D79" s="791">
        <f>D58</f>
        <v>45899</v>
      </c>
      <c r="E79" s="791">
        <f t="shared" si="32"/>
        <v>7499</v>
      </c>
      <c r="F79" s="791">
        <f t="shared" si="32"/>
        <v>53329</v>
      </c>
      <c r="G79" s="791">
        <f t="shared" si="32"/>
        <v>1100</v>
      </c>
      <c r="H79" s="791">
        <f t="shared" si="32"/>
        <v>0</v>
      </c>
      <c r="I79" s="792">
        <f t="shared" ref="I79" si="34">SUM(D79:H79)</f>
        <v>107827</v>
      </c>
    </row>
    <row r="80" spans="1:9">
      <c r="A80" s="781"/>
    </row>
  </sheetData>
  <mergeCells count="58">
    <mergeCell ref="A68:A70"/>
    <mergeCell ref="B68:B70"/>
    <mergeCell ref="A77:A79"/>
    <mergeCell ref="B77:B79"/>
    <mergeCell ref="A74:A76"/>
    <mergeCell ref="B74:B76"/>
    <mergeCell ref="A71:A73"/>
    <mergeCell ref="B71:B73"/>
    <mergeCell ref="A59:A61"/>
    <mergeCell ref="B59:B61"/>
    <mergeCell ref="A62:A64"/>
    <mergeCell ref="B62:B64"/>
    <mergeCell ref="A65:A67"/>
    <mergeCell ref="B65:B67"/>
    <mergeCell ref="A50:A52"/>
    <mergeCell ref="B50:B52"/>
    <mergeCell ref="A53:A55"/>
    <mergeCell ref="B53:B55"/>
    <mergeCell ref="A56:A58"/>
    <mergeCell ref="B56:B58"/>
    <mergeCell ref="A41:A43"/>
    <mergeCell ref="B41:B43"/>
    <mergeCell ref="A44:A46"/>
    <mergeCell ref="B44:B46"/>
    <mergeCell ref="A47:A49"/>
    <mergeCell ref="B47:B49"/>
    <mergeCell ref="A23:A25"/>
    <mergeCell ref="B23:B25"/>
    <mergeCell ref="A26:A28"/>
    <mergeCell ref="B26:B28"/>
    <mergeCell ref="A38:A40"/>
    <mergeCell ref="B38:B40"/>
    <mergeCell ref="A29:A31"/>
    <mergeCell ref="B29:B31"/>
    <mergeCell ref="A32:A34"/>
    <mergeCell ref="B32:B34"/>
    <mergeCell ref="A35:A37"/>
    <mergeCell ref="B35:B37"/>
    <mergeCell ref="A14:A16"/>
    <mergeCell ref="B14:B16"/>
    <mergeCell ref="A17:A19"/>
    <mergeCell ref="B17:B19"/>
    <mergeCell ref="A20:A22"/>
    <mergeCell ref="B20:B22"/>
    <mergeCell ref="B5:B7"/>
    <mergeCell ref="A5:A7"/>
    <mergeCell ref="A8:A10"/>
    <mergeCell ref="B8:B10"/>
    <mergeCell ref="B11:B13"/>
    <mergeCell ref="A11:A13"/>
    <mergeCell ref="A1:I1"/>
    <mergeCell ref="A3:A4"/>
    <mergeCell ref="B3:B4"/>
    <mergeCell ref="C3:C4"/>
    <mergeCell ref="A2:I2"/>
    <mergeCell ref="D3:F3"/>
    <mergeCell ref="G3:H3"/>
    <mergeCell ref="I3:I4"/>
  </mergeCells>
  <pageMargins left="0.46" right="0.18" top="0.56999999999999995" bottom="0.69" header="0.31496062992125984" footer="0.31496062992125984"/>
  <pageSetup paperSize="9" scale="70" orientation="portrait" r:id="rId1"/>
  <headerFooter>
    <oddHeader>&amp;L&amp;"Times New Roman,Normál"6.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4"/>
  <sheetViews>
    <sheetView view="pageLayout" zoomScaleNormal="90" workbookViewId="0">
      <selection activeCell="A4" sqref="A4"/>
    </sheetView>
  </sheetViews>
  <sheetFormatPr defaultRowHeight="15"/>
  <cols>
    <col min="1" max="1" width="100.5703125" style="17" customWidth="1"/>
    <col min="2" max="2" width="11" style="17" customWidth="1"/>
    <col min="3" max="4" width="11" style="181" customWidth="1"/>
    <col min="5" max="10" width="9.140625" style="177"/>
    <col min="11" max="18" width="9.140625" style="465"/>
    <col min="19" max="19" width="9.140625" style="20"/>
    <col min="20" max="16384" width="9.140625" style="17"/>
  </cols>
  <sheetData>
    <row r="1" spans="1:4">
      <c r="A1" s="2278" t="s">
        <v>944</v>
      </c>
      <c r="B1" s="2278"/>
      <c r="C1" s="2278"/>
      <c r="D1" s="2278"/>
    </row>
    <row r="2" spans="1:4" ht="15.75" thickBot="1">
      <c r="A2" s="36"/>
    </row>
    <row r="3" spans="1:4" ht="32.25" thickBot="1">
      <c r="A3" s="1407" t="s">
        <v>2</v>
      </c>
      <c r="B3" s="1407" t="s">
        <v>3</v>
      </c>
      <c r="C3" s="1977" t="s">
        <v>960</v>
      </c>
      <c r="D3" s="1978" t="s">
        <v>972</v>
      </c>
    </row>
    <row r="4" spans="1:4" ht="16.5" thickBot="1">
      <c r="A4" s="1408" t="s">
        <v>66</v>
      </c>
      <c r="B4" s="1409">
        <f>B6+B23</f>
        <v>2130929</v>
      </c>
      <c r="C4" s="1410">
        <f>C6+C23</f>
        <v>3024805</v>
      </c>
      <c r="D4" s="1411">
        <f>D6+D23</f>
        <v>2861819</v>
      </c>
    </row>
    <row r="5" spans="1:4" ht="15.75">
      <c r="A5" s="1412"/>
      <c r="B5" s="1413"/>
      <c r="C5" s="1414"/>
      <c r="D5" s="1415"/>
    </row>
    <row r="6" spans="1:4" ht="15.75">
      <c r="A6" s="1574" t="s">
        <v>151</v>
      </c>
      <c r="B6" s="1416">
        <f>SUM(B7:B21)</f>
        <v>1828260</v>
      </c>
      <c r="C6" s="1417">
        <f>SUM(C7:C21)</f>
        <v>2738473</v>
      </c>
      <c r="D6" s="1418">
        <f>SUM(D7:D22)</f>
        <v>2575099</v>
      </c>
    </row>
    <row r="7" spans="1:4" ht="15" customHeight="1">
      <c r="A7" s="1575" t="s">
        <v>152</v>
      </c>
      <c r="B7" s="1419">
        <v>194310</v>
      </c>
      <c r="C7" s="1420">
        <v>250471</v>
      </c>
      <c r="D7" s="1421">
        <v>216929</v>
      </c>
    </row>
    <row r="8" spans="1:4" ht="15.75">
      <c r="A8" s="1576" t="s">
        <v>439</v>
      </c>
      <c r="B8" s="1419">
        <v>193599</v>
      </c>
      <c r="C8" s="1420">
        <v>191790</v>
      </c>
      <c r="D8" s="1422">
        <v>191790</v>
      </c>
    </row>
    <row r="9" spans="1:4" ht="15.75">
      <c r="A9" s="1577" t="s">
        <v>440</v>
      </c>
      <c r="B9" s="1419">
        <v>401034</v>
      </c>
      <c r="C9" s="1420">
        <v>401034</v>
      </c>
      <c r="D9" s="1422">
        <v>401034</v>
      </c>
    </row>
    <row r="10" spans="1:4" ht="15.75">
      <c r="A10" s="1577" t="s">
        <v>441</v>
      </c>
      <c r="B10" s="1419">
        <f>106926+37684</f>
        <v>144610</v>
      </c>
      <c r="C10" s="1420">
        <v>334284</v>
      </c>
      <c r="D10" s="1422">
        <v>231034</v>
      </c>
    </row>
    <row r="11" spans="1:4" ht="30.75" customHeight="1">
      <c r="A11" s="1578" t="s">
        <v>443</v>
      </c>
      <c r="B11" s="1419">
        <v>98270</v>
      </c>
      <c r="C11" s="1420">
        <v>105525</v>
      </c>
      <c r="D11" s="1422">
        <v>105525</v>
      </c>
    </row>
    <row r="12" spans="1:4" ht="31.5">
      <c r="A12" s="1575" t="s">
        <v>990</v>
      </c>
      <c r="B12" s="1419">
        <v>224517</v>
      </c>
      <c r="C12" s="1420">
        <v>292386</v>
      </c>
      <c r="D12" s="1421">
        <v>314801</v>
      </c>
    </row>
    <row r="13" spans="1:4" ht="15.75">
      <c r="A13" s="1575" t="s">
        <v>326</v>
      </c>
      <c r="B13" s="1419">
        <v>1820</v>
      </c>
      <c r="C13" s="1420">
        <v>1820</v>
      </c>
      <c r="D13" s="1422">
        <v>1820</v>
      </c>
    </row>
    <row r="14" spans="1:4" ht="31.5">
      <c r="A14" s="1575" t="s">
        <v>444</v>
      </c>
      <c r="B14" s="1419">
        <v>4161</v>
      </c>
      <c r="C14" s="1420">
        <v>20429</v>
      </c>
      <c r="D14" s="1422">
        <v>20429</v>
      </c>
    </row>
    <row r="15" spans="1:4" ht="31.5">
      <c r="A15" s="1575" t="s">
        <v>683</v>
      </c>
      <c r="B15" s="1419">
        <v>103129</v>
      </c>
      <c r="C15" s="1420">
        <v>113418</v>
      </c>
      <c r="D15" s="1422">
        <v>113418</v>
      </c>
    </row>
    <row r="16" spans="1:4" ht="15.75">
      <c r="A16" s="1427" t="s">
        <v>445</v>
      </c>
      <c r="B16" s="1423">
        <v>363888</v>
      </c>
      <c r="C16" s="1424">
        <v>356953</v>
      </c>
      <c r="D16" s="1426">
        <v>356953</v>
      </c>
    </row>
    <row r="17" spans="1:4" ht="15.75">
      <c r="A17" s="1427" t="s">
        <v>446</v>
      </c>
      <c r="B17" s="1423">
        <v>49557</v>
      </c>
      <c r="C17" s="1424">
        <v>33230</v>
      </c>
      <c r="D17" s="1425">
        <v>33230</v>
      </c>
    </row>
    <row r="18" spans="1:4" ht="15.75">
      <c r="A18" s="1579" t="s">
        <v>802</v>
      </c>
      <c r="B18" s="1423">
        <v>0</v>
      </c>
      <c r="C18" s="1424">
        <v>85264</v>
      </c>
      <c r="D18" s="1426">
        <v>85264</v>
      </c>
    </row>
    <row r="19" spans="1:4" ht="15.75">
      <c r="A19" s="824" t="s">
        <v>805</v>
      </c>
      <c r="B19" s="1423">
        <v>0</v>
      </c>
      <c r="C19" s="1424">
        <v>234915</v>
      </c>
      <c r="D19" s="1426">
        <v>234915</v>
      </c>
    </row>
    <row r="20" spans="1:4" ht="15.75">
      <c r="A20" s="824" t="s">
        <v>806</v>
      </c>
      <c r="B20" s="1423">
        <v>0</v>
      </c>
      <c r="C20" s="1424">
        <v>267957</v>
      </c>
      <c r="D20" s="1426">
        <v>267957</v>
      </c>
    </row>
    <row r="21" spans="1:4" ht="15.75">
      <c r="A21" s="1427" t="s">
        <v>447</v>
      </c>
      <c r="B21" s="1423">
        <f>144521-95156</f>
        <v>49365</v>
      </c>
      <c r="C21" s="1424">
        <v>48997</v>
      </c>
      <c r="D21" s="1426">
        <v>0</v>
      </c>
    </row>
    <row r="22" spans="1:4" ht="15.75">
      <c r="A22" s="1427"/>
      <c r="B22" s="1423"/>
      <c r="C22" s="1424"/>
      <c r="D22" s="1425"/>
    </row>
    <row r="23" spans="1:4" ht="13.5" customHeight="1">
      <c r="A23" s="1580" t="s">
        <v>571</v>
      </c>
      <c r="B23" s="1416">
        <f>SUM(B24:B73)</f>
        <v>302669</v>
      </c>
      <c r="C23" s="1417">
        <f>SUM(C24:C73)</f>
        <v>286332</v>
      </c>
      <c r="D23" s="1418">
        <f>SUM(D24:D72)</f>
        <v>286720</v>
      </c>
    </row>
    <row r="24" spans="1:4" ht="15.75">
      <c r="A24" s="1428" t="s">
        <v>572</v>
      </c>
      <c r="B24" s="1429">
        <v>900</v>
      </c>
      <c r="C24" s="1430">
        <v>928</v>
      </c>
      <c r="D24" s="1581">
        <v>928</v>
      </c>
    </row>
    <row r="25" spans="1:4" ht="15.75">
      <c r="A25" s="1582" t="s">
        <v>574</v>
      </c>
      <c r="B25" s="1423">
        <v>1000</v>
      </c>
      <c r="C25" s="1424">
        <v>0</v>
      </c>
      <c r="D25" s="1426">
        <v>0</v>
      </c>
    </row>
    <row r="26" spans="1:4" ht="13.5" customHeight="1">
      <c r="A26" s="1578" t="s">
        <v>589</v>
      </c>
      <c r="B26" s="1419">
        <v>3200</v>
      </c>
      <c r="C26" s="1420">
        <v>3200</v>
      </c>
      <c r="D26" s="1422">
        <v>3200</v>
      </c>
    </row>
    <row r="27" spans="1:4" ht="15.75">
      <c r="A27" s="1578" t="s">
        <v>590</v>
      </c>
      <c r="B27" s="1431">
        <v>657</v>
      </c>
      <c r="C27" s="1432">
        <v>657</v>
      </c>
      <c r="D27" s="1583">
        <v>657</v>
      </c>
    </row>
    <row r="28" spans="1:4" ht="15.75">
      <c r="A28" s="1578" t="s">
        <v>593</v>
      </c>
      <c r="B28" s="1431">
        <v>10000</v>
      </c>
      <c r="C28" s="1432">
        <v>800</v>
      </c>
      <c r="D28" s="1583">
        <v>800</v>
      </c>
    </row>
    <row r="29" spans="1:4" ht="15.75">
      <c r="A29" s="1578" t="s">
        <v>674</v>
      </c>
      <c r="B29" s="1431">
        <v>6350</v>
      </c>
      <c r="C29" s="1432">
        <v>0</v>
      </c>
      <c r="D29" s="1583">
        <v>0</v>
      </c>
    </row>
    <row r="30" spans="1:4" ht="15.75">
      <c r="A30" s="1578" t="s">
        <v>675</v>
      </c>
      <c r="B30" s="1431">
        <v>5940</v>
      </c>
      <c r="C30" s="1432">
        <v>5940</v>
      </c>
      <c r="D30" s="1583">
        <v>5940</v>
      </c>
    </row>
    <row r="31" spans="1:4" ht="15.75" customHeight="1">
      <c r="A31" s="1584" t="s">
        <v>678</v>
      </c>
      <c r="B31" s="1433">
        <v>70000</v>
      </c>
      <c r="C31" s="1434">
        <v>49564</v>
      </c>
      <c r="D31" s="1435">
        <v>47114</v>
      </c>
    </row>
    <row r="32" spans="1:4" ht="15.75">
      <c r="A32" s="1585" t="s">
        <v>679</v>
      </c>
      <c r="B32" s="1436">
        <v>18453</v>
      </c>
      <c r="C32" s="1437">
        <v>18453</v>
      </c>
      <c r="D32" s="1586">
        <v>18453</v>
      </c>
    </row>
    <row r="33" spans="1:4" ht="15.75">
      <c r="A33" s="1578" t="s">
        <v>680</v>
      </c>
      <c r="B33" s="1431">
        <v>20000</v>
      </c>
      <c r="C33" s="1432">
        <v>16000</v>
      </c>
      <c r="D33" s="1583">
        <v>16000</v>
      </c>
    </row>
    <row r="34" spans="1:4" ht="15.75">
      <c r="A34" s="1578" t="s">
        <v>681</v>
      </c>
      <c r="B34" s="1431">
        <v>5000</v>
      </c>
      <c r="C34" s="1432">
        <v>5000</v>
      </c>
      <c r="D34" s="1583">
        <v>5000</v>
      </c>
    </row>
    <row r="35" spans="1:4" ht="15.75">
      <c r="A35" s="1578" t="s">
        <v>725</v>
      </c>
      <c r="B35" s="1431">
        <v>15000</v>
      </c>
      <c r="C35" s="1432">
        <v>4437</v>
      </c>
      <c r="D35" s="1583">
        <v>4437</v>
      </c>
    </row>
    <row r="36" spans="1:4" ht="15.75">
      <c r="A36" s="1578" t="s">
        <v>685</v>
      </c>
      <c r="B36" s="1431">
        <v>2500</v>
      </c>
      <c r="C36" s="1432">
        <v>2500</v>
      </c>
      <c r="D36" s="1583">
        <v>2500</v>
      </c>
    </row>
    <row r="37" spans="1:4" ht="15.75">
      <c r="A37" s="1578" t="s">
        <v>687</v>
      </c>
      <c r="B37" s="1431">
        <v>3000</v>
      </c>
      <c r="C37" s="1432">
        <v>3000</v>
      </c>
      <c r="D37" s="1583">
        <v>3000</v>
      </c>
    </row>
    <row r="38" spans="1:4" ht="15" customHeight="1">
      <c r="A38" s="1578" t="s">
        <v>688</v>
      </c>
      <c r="B38" s="1431">
        <v>17691</v>
      </c>
      <c r="C38" s="1432">
        <v>17691</v>
      </c>
      <c r="D38" s="1583">
        <v>17691</v>
      </c>
    </row>
    <row r="39" spans="1:4" ht="15.75">
      <c r="A39" s="1578" t="s">
        <v>728</v>
      </c>
      <c r="B39" s="1431">
        <v>27000</v>
      </c>
      <c r="C39" s="1432">
        <v>0</v>
      </c>
      <c r="D39" s="1583">
        <v>0</v>
      </c>
    </row>
    <row r="40" spans="1:4" ht="15.75">
      <c r="A40" s="1578" t="s">
        <v>691</v>
      </c>
      <c r="B40" s="1431">
        <v>6350</v>
      </c>
      <c r="C40" s="1432">
        <v>6350</v>
      </c>
      <c r="D40" s="1583">
        <v>6350</v>
      </c>
    </row>
    <row r="41" spans="1:4" ht="15.75">
      <c r="A41" s="1578" t="s">
        <v>724</v>
      </c>
      <c r="B41" s="1431">
        <v>6350</v>
      </c>
      <c r="C41" s="1432">
        <v>2850</v>
      </c>
      <c r="D41" s="1583">
        <v>2850</v>
      </c>
    </row>
    <row r="42" spans="1:4" ht="15.75">
      <c r="A42" s="1578" t="s">
        <v>696</v>
      </c>
      <c r="B42" s="1431">
        <v>10160</v>
      </c>
      <c r="C42" s="1432">
        <v>0</v>
      </c>
      <c r="D42" s="1583">
        <v>0</v>
      </c>
    </row>
    <row r="43" spans="1:4" ht="15.75">
      <c r="A43" s="1587" t="s">
        <v>697</v>
      </c>
      <c r="B43" s="1431">
        <v>2000</v>
      </c>
      <c r="C43" s="1432">
        <v>2000</v>
      </c>
      <c r="D43" s="1583">
        <v>2000</v>
      </c>
    </row>
    <row r="44" spans="1:4" ht="15.75">
      <c r="A44" s="1587" t="s">
        <v>698</v>
      </c>
      <c r="B44" s="1431">
        <v>27400</v>
      </c>
      <c r="C44" s="1432">
        <v>27400</v>
      </c>
      <c r="D44" s="1583">
        <v>27400</v>
      </c>
    </row>
    <row r="45" spans="1:4" ht="15.75">
      <c r="A45" s="1578" t="s">
        <v>699</v>
      </c>
      <c r="B45" s="1431">
        <v>4000</v>
      </c>
      <c r="C45" s="1432">
        <v>4000</v>
      </c>
      <c r="D45" s="1583">
        <v>4000</v>
      </c>
    </row>
    <row r="46" spans="1:4" ht="15.75">
      <c r="A46" s="1588" t="s">
        <v>700</v>
      </c>
      <c r="B46" s="1438">
        <v>2000</v>
      </c>
      <c r="C46" s="1439">
        <v>2000</v>
      </c>
      <c r="D46" s="1440">
        <v>2000</v>
      </c>
    </row>
    <row r="47" spans="1:4" ht="15.75">
      <c r="A47" s="1588" t="s">
        <v>701</v>
      </c>
      <c r="B47" s="1438">
        <v>6218</v>
      </c>
      <c r="C47" s="1439">
        <v>6218</v>
      </c>
      <c r="D47" s="1440">
        <v>6218</v>
      </c>
    </row>
    <row r="48" spans="1:4" ht="15.75">
      <c r="A48" s="1588" t="s">
        <v>706</v>
      </c>
      <c r="B48" s="1438">
        <v>1500</v>
      </c>
      <c r="C48" s="1439">
        <v>1500</v>
      </c>
      <c r="D48" s="1440">
        <v>661</v>
      </c>
    </row>
    <row r="49" spans="1:4" ht="15.75">
      <c r="A49" s="1578" t="s">
        <v>710</v>
      </c>
      <c r="B49" s="1438">
        <v>1800</v>
      </c>
      <c r="C49" s="1439">
        <v>800</v>
      </c>
      <c r="D49" s="1440">
        <v>800</v>
      </c>
    </row>
    <row r="50" spans="1:4" ht="15.75">
      <c r="A50" s="824" t="s">
        <v>711</v>
      </c>
      <c r="B50" s="1438">
        <v>1200</v>
      </c>
      <c r="C50" s="1439">
        <v>1200</v>
      </c>
      <c r="D50" s="1440">
        <v>1200</v>
      </c>
    </row>
    <row r="51" spans="1:4" ht="15.75">
      <c r="A51" s="958" t="s">
        <v>723</v>
      </c>
      <c r="B51" s="1438">
        <v>7000</v>
      </c>
      <c r="C51" s="1439">
        <v>2000</v>
      </c>
      <c r="D51" s="1440">
        <v>2000</v>
      </c>
    </row>
    <row r="52" spans="1:4" ht="15.75">
      <c r="A52" s="933" t="s">
        <v>727</v>
      </c>
      <c r="B52" s="1438">
        <v>15000</v>
      </c>
      <c r="C52" s="1439">
        <v>0</v>
      </c>
      <c r="D52" s="1440">
        <v>0</v>
      </c>
    </row>
    <row r="53" spans="1:4" ht="15.75">
      <c r="A53" s="933" t="s">
        <v>694</v>
      </c>
      <c r="B53" s="1438"/>
      <c r="C53" s="1439">
        <v>47055</v>
      </c>
      <c r="D53" s="1440">
        <v>47055</v>
      </c>
    </row>
    <row r="54" spans="1:4" ht="15.75">
      <c r="A54" s="933" t="s">
        <v>797</v>
      </c>
      <c r="B54" s="1438"/>
      <c r="C54" s="1439">
        <v>625</v>
      </c>
      <c r="D54" s="1440">
        <v>903</v>
      </c>
    </row>
    <row r="55" spans="1:4" ht="15.75">
      <c r="A55" s="933" t="s">
        <v>798</v>
      </c>
      <c r="B55" s="1438"/>
      <c r="C55" s="1439">
        <v>667</v>
      </c>
      <c r="D55" s="1440">
        <v>667</v>
      </c>
    </row>
    <row r="56" spans="1:4" ht="15.75">
      <c r="A56" s="933" t="s">
        <v>800</v>
      </c>
      <c r="B56" s="1438"/>
      <c r="C56" s="1439">
        <v>4928</v>
      </c>
      <c r="D56" s="1440">
        <v>4928</v>
      </c>
    </row>
    <row r="57" spans="1:4" ht="15.75">
      <c r="A57" s="958" t="s">
        <v>799</v>
      </c>
      <c r="B57" s="1438"/>
      <c r="C57" s="1439">
        <v>8153</v>
      </c>
      <c r="D57" s="1440">
        <v>8153</v>
      </c>
    </row>
    <row r="58" spans="1:4" ht="15.75">
      <c r="A58" s="1579" t="s">
        <v>801</v>
      </c>
      <c r="B58" s="1438"/>
      <c r="C58" s="1439">
        <v>7989</v>
      </c>
      <c r="D58" s="1440">
        <v>7989</v>
      </c>
    </row>
    <row r="59" spans="1:4" ht="15.75">
      <c r="A59" s="1579" t="s">
        <v>803</v>
      </c>
      <c r="B59" s="1438"/>
      <c r="C59" s="1439">
        <v>1238</v>
      </c>
      <c r="D59" s="1440">
        <v>1238</v>
      </c>
    </row>
    <row r="60" spans="1:4" ht="15.75">
      <c r="A60" s="1503" t="s">
        <v>804</v>
      </c>
      <c r="B60" s="1438"/>
      <c r="C60" s="1439">
        <v>10650</v>
      </c>
      <c r="D60" s="1440">
        <v>10650</v>
      </c>
    </row>
    <row r="61" spans="1:4" ht="31.5">
      <c r="A61" s="1503" t="s">
        <v>947</v>
      </c>
      <c r="B61" s="1431"/>
      <c r="C61" s="1432">
        <v>12862</v>
      </c>
      <c r="D61" s="1583">
        <v>12862</v>
      </c>
    </row>
    <row r="62" spans="1:4" ht="15.75">
      <c r="A62" s="1503" t="s">
        <v>956</v>
      </c>
      <c r="B62" s="1431"/>
      <c r="C62" s="1432">
        <v>1088</v>
      </c>
      <c r="D62" s="1583">
        <v>1088</v>
      </c>
    </row>
    <row r="63" spans="1:4" ht="15.75">
      <c r="A63" s="1503" t="s">
        <v>957</v>
      </c>
      <c r="B63" s="1431"/>
      <c r="C63" s="1432">
        <v>791</v>
      </c>
      <c r="D63" s="1583">
        <v>791</v>
      </c>
    </row>
    <row r="64" spans="1:4" ht="15.75">
      <c r="A64" s="875" t="s">
        <v>958</v>
      </c>
      <c r="B64" s="1438"/>
      <c r="C64" s="1439">
        <v>762</v>
      </c>
      <c r="D64" s="1440">
        <v>762</v>
      </c>
    </row>
    <row r="65" spans="1:4" ht="15.75">
      <c r="A65" s="875" t="s">
        <v>991</v>
      </c>
      <c r="B65" s="1438"/>
      <c r="C65" s="1439"/>
      <c r="D65" s="1441">
        <v>102</v>
      </c>
    </row>
    <row r="66" spans="1:4" ht="15.75">
      <c r="A66" s="875" t="s">
        <v>989</v>
      </c>
      <c r="B66" s="1438"/>
      <c r="C66" s="1439"/>
      <c r="D66" s="1441">
        <v>350</v>
      </c>
    </row>
    <row r="67" spans="1:4" ht="15.75">
      <c r="A67" s="875" t="s">
        <v>992</v>
      </c>
      <c r="B67" s="1438"/>
      <c r="C67" s="1439"/>
      <c r="D67" s="1441">
        <v>768</v>
      </c>
    </row>
    <row r="68" spans="1:4" ht="15.75">
      <c r="A68" s="875" t="s">
        <v>993</v>
      </c>
      <c r="B68" s="1438"/>
      <c r="C68" s="1439"/>
      <c r="D68" s="1441">
        <v>381</v>
      </c>
    </row>
    <row r="69" spans="1:4" ht="15.75">
      <c r="A69" s="933" t="s">
        <v>735</v>
      </c>
      <c r="B69" s="1438">
        <v>5000</v>
      </c>
      <c r="C69" s="1439">
        <v>5036</v>
      </c>
      <c r="D69" s="1440">
        <v>5036</v>
      </c>
    </row>
    <row r="70" spans="1:4" ht="18" customHeight="1">
      <c r="A70" s="933" t="s">
        <v>1011</v>
      </c>
      <c r="B70" s="1438"/>
      <c r="C70" s="1439"/>
      <c r="D70" s="1441">
        <v>121</v>
      </c>
    </row>
    <row r="71" spans="1:4" ht="15.75">
      <c r="A71" s="1589" t="s">
        <v>807</v>
      </c>
      <c r="B71" s="1438"/>
      <c r="C71" s="1439"/>
      <c r="D71" s="1441">
        <v>838</v>
      </c>
    </row>
    <row r="72" spans="1:4" ht="15.75">
      <c r="A72" s="1579" t="s">
        <v>1012</v>
      </c>
      <c r="B72" s="1431"/>
      <c r="C72" s="1432"/>
      <c r="D72" s="1979">
        <v>839</v>
      </c>
    </row>
    <row r="73" spans="1:4" ht="15" customHeight="1" thickBot="1">
      <c r="A73" s="1442"/>
      <c r="B73" s="1443"/>
      <c r="C73" s="1444"/>
      <c r="D73" s="1445"/>
    </row>
    <row r="74" spans="1:4" ht="15" customHeight="1" thickBot="1">
      <c r="A74" s="1446" t="s">
        <v>67</v>
      </c>
      <c r="B74" s="1447">
        <f>B75+B92</f>
        <v>14659</v>
      </c>
      <c r="C74" s="1448">
        <f>C75+C92</f>
        <v>14838</v>
      </c>
      <c r="D74" s="1449">
        <f>D75+D92</f>
        <v>15012</v>
      </c>
    </row>
    <row r="75" spans="1:4" ht="15" customHeight="1">
      <c r="A75" s="1450" t="s">
        <v>118</v>
      </c>
      <c r="B75" s="1451">
        <f>SUM(B76:B91)</f>
        <v>14559</v>
      </c>
      <c r="C75" s="1452">
        <f>SUM(C76:C91)</f>
        <v>14838</v>
      </c>
      <c r="D75" s="1453">
        <f>SUM(D76:D90)</f>
        <v>15012</v>
      </c>
    </row>
    <row r="76" spans="1:4" ht="17.25" customHeight="1">
      <c r="A76" s="1454" t="s">
        <v>575</v>
      </c>
      <c r="B76" s="1455">
        <v>5000</v>
      </c>
      <c r="C76" s="1437">
        <v>5000</v>
      </c>
      <c r="D76" s="1586">
        <v>5000</v>
      </c>
    </row>
    <row r="77" spans="1:4" ht="14.25" customHeight="1">
      <c r="A77" s="1454" t="s">
        <v>888</v>
      </c>
      <c r="B77" s="1455"/>
      <c r="C77" s="1437">
        <v>279</v>
      </c>
      <c r="D77" s="1586">
        <v>279</v>
      </c>
    </row>
    <row r="78" spans="1:4" ht="14.25" customHeight="1">
      <c r="A78" s="1458" t="s">
        <v>576</v>
      </c>
      <c r="B78" s="1455">
        <v>450</v>
      </c>
      <c r="C78" s="1437">
        <v>450</v>
      </c>
      <c r="D78" s="1586">
        <v>450</v>
      </c>
    </row>
    <row r="79" spans="1:4" ht="15.75">
      <c r="A79" s="1458" t="s">
        <v>577</v>
      </c>
      <c r="B79" s="1456">
        <v>600</v>
      </c>
      <c r="C79" s="1432">
        <v>600</v>
      </c>
      <c r="D79" s="1583">
        <v>600</v>
      </c>
    </row>
    <row r="80" spans="1:4" ht="15.75">
      <c r="A80" s="1458" t="s">
        <v>578</v>
      </c>
      <c r="B80" s="1455">
        <v>250</v>
      </c>
      <c r="C80" s="1437">
        <v>250</v>
      </c>
      <c r="D80" s="1586">
        <v>250</v>
      </c>
    </row>
    <row r="81" spans="1:4" ht="15.75">
      <c r="A81" s="1458" t="s">
        <v>579</v>
      </c>
      <c r="B81" s="1456">
        <v>2655</v>
      </c>
      <c r="C81" s="1432">
        <v>2655</v>
      </c>
      <c r="D81" s="1583">
        <v>2655</v>
      </c>
    </row>
    <row r="82" spans="1:4" ht="15.75">
      <c r="A82" s="1458" t="s">
        <v>580</v>
      </c>
      <c r="B82" s="1456">
        <v>1232</v>
      </c>
      <c r="C82" s="1432">
        <v>1232</v>
      </c>
      <c r="D82" s="1583">
        <v>1232</v>
      </c>
    </row>
    <row r="83" spans="1:4" ht="15.75">
      <c r="A83" s="1590" t="s">
        <v>584</v>
      </c>
      <c r="B83" s="1456">
        <v>1302</v>
      </c>
      <c r="C83" s="1432">
        <v>1302</v>
      </c>
      <c r="D83" s="1583">
        <v>1302</v>
      </c>
    </row>
    <row r="84" spans="1:4" ht="15.75">
      <c r="A84" s="1590" t="s">
        <v>585</v>
      </c>
      <c r="B84" s="1456">
        <v>210</v>
      </c>
      <c r="C84" s="1432">
        <v>210</v>
      </c>
      <c r="D84" s="1583">
        <v>210</v>
      </c>
    </row>
    <row r="85" spans="1:4" ht="15.75">
      <c r="A85" s="1591" t="s">
        <v>586</v>
      </c>
      <c r="B85" s="1456">
        <v>1257</v>
      </c>
      <c r="C85" s="1432">
        <v>1257</v>
      </c>
      <c r="D85" s="1583">
        <v>1257</v>
      </c>
    </row>
    <row r="86" spans="1:4" ht="15.75">
      <c r="A86" s="1590" t="s">
        <v>587</v>
      </c>
      <c r="B86" s="1456">
        <v>489</v>
      </c>
      <c r="C86" s="1432">
        <v>489</v>
      </c>
      <c r="D86" s="1583">
        <v>489</v>
      </c>
    </row>
    <row r="87" spans="1:4" ht="15.75">
      <c r="A87" s="1458" t="s">
        <v>588</v>
      </c>
      <c r="B87" s="1457">
        <v>914</v>
      </c>
      <c r="C87" s="1420">
        <v>914</v>
      </c>
      <c r="D87" s="1422">
        <v>914</v>
      </c>
    </row>
    <row r="88" spans="1:4" ht="15.75">
      <c r="A88" s="1458" t="s">
        <v>1015</v>
      </c>
      <c r="B88" s="1457">
        <v>200</v>
      </c>
      <c r="C88" s="1420">
        <v>200</v>
      </c>
      <c r="D88" s="1422">
        <v>200</v>
      </c>
    </row>
    <row r="89" spans="1:4" ht="15.75">
      <c r="A89" s="1458" t="s">
        <v>1014</v>
      </c>
      <c r="B89" s="1457"/>
      <c r="C89" s="1420"/>
      <c r="D89" s="1422">
        <v>97</v>
      </c>
    </row>
    <row r="90" spans="1:4" ht="15.75">
      <c r="A90" s="1458" t="s">
        <v>1013</v>
      </c>
      <c r="B90" s="1457"/>
      <c r="C90" s="1420"/>
      <c r="D90" s="1422">
        <v>77</v>
      </c>
    </row>
    <row r="91" spans="1:4" ht="15.75">
      <c r="A91" s="1458"/>
      <c r="B91" s="1457"/>
      <c r="C91" s="1420"/>
      <c r="D91" s="1422"/>
    </row>
    <row r="92" spans="1:4" ht="15.75">
      <c r="A92" s="1592" t="s">
        <v>591</v>
      </c>
      <c r="B92" s="1459">
        <f>SUM(B93)</f>
        <v>100</v>
      </c>
      <c r="C92" s="1417">
        <f>SUM(C93)</f>
        <v>0</v>
      </c>
      <c r="D92" s="1460"/>
    </row>
    <row r="93" spans="1:4" ht="15.75">
      <c r="A93" s="1593" t="s">
        <v>592</v>
      </c>
      <c r="B93" s="1457">
        <v>100</v>
      </c>
      <c r="C93" s="1420">
        <v>0</v>
      </c>
      <c r="D93" s="1422">
        <v>0</v>
      </c>
    </row>
    <row r="94" spans="1:4" ht="16.5" thickBot="1">
      <c r="A94" s="1593"/>
      <c r="B94" s="1461"/>
      <c r="C94" s="1462"/>
      <c r="D94" s="1463"/>
    </row>
    <row r="95" spans="1:4" ht="16.5" thickBot="1">
      <c r="A95" s="1464" t="s">
        <v>153</v>
      </c>
      <c r="B95" s="1465">
        <f>B97+B101+B106+B114++B118+B122+B125+B128+B131+B136+B140+B151</f>
        <v>50753</v>
      </c>
      <c r="C95" s="1466">
        <f t="shared" ref="C95" si="0">C97+C101+C106+C114++C118+C122+C125+C128+C131+C136+C140+C151</f>
        <v>51866</v>
      </c>
      <c r="D95" s="1467">
        <f t="shared" ref="D95" si="1">D97+D101+D106+D114++D118+D122+D125+D128+D131+D136+D140+D151</f>
        <v>72733</v>
      </c>
    </row>
    <row r="96" spans="1:4" ht="16.5" customHeight="1">
      <c r="A96" s="1468"/>
      <c r="B96" s="1413"/>
      <c r="C96" s="1414"/>
      <c r="D96" s="1415"/>
    </row>
    <row r="97" spans="1:19" s="83" customFormat="1" ht="15.75">
      <c r="A97" s="1594" t="s">
        <v>775</v>
      </c>
      <c r="B97" s="1469">
        <v>5342</v>
      </c>
      <c r="C97" s="1470">
        <f>C98+C99</f>
        <v>4442</v>
      </c>
      <c r="D97" s="1471">
        <f>D98+D99</f>
        <v>2942</v>
      </c>
      <c r="E97" s="466"/>
      <c r="F97" s="466"/>
      <c r="G97" s="466"/>
      <c r="H97" s="466"/>
      <c r="I97" s="466"/>
      <c r="J97" s="466"/>
      <c r="K97" s="876"/>
      <c r="L97" s="876"/>
      <c r="M97" s="876"/>
      <c r="N97" s="876"/>
      <c r="O97" s="876"/>
      <c r="P97" s="876"/>
      <c r="Q97" s="876"/>
      <c r="R97" s="876"/>
      <c r="S97" s="877"/>
    </row>
    <row r="98" spans="1:19" ht="15.75">
      <c r="A98" s="1478" t="s">
        <v>759</v>
      </c>
      <c r="B98" s="1472">
        <v>4190</v>
      </c>
      <c r="C98" s="1473">
        <v>3290</v>
      </c>
      <c r="D98" s="1474">
        <v>2628</v>
      </c>
    </row>
    <row r="99" spans="1:19" ht="15.75">
      <c r="A99" s="1595" t="s">
        <v>760</v>
      </c>
      <c r="B99" s="1475">
        <v>1152</v>
      </c>
      <c r="C99" s="1476">
        <v>1152</v>
      </c>
      <c r="D99" s="1477">
        <v>314</v>
      </c>
    </row>
    <row r="100" spans="1:19" ht="15.75">
      <c r="A100" s="1478"/>
      <c r="B100" s="1478"/>
      <c r="C100" s="1479"/>
      <c r="D100" s="1480"/>
    </row>
    <row r="101" spans="1:19" ht="15.75">
      <c r="A101" s="1594" t="s">
        <v>188</v>
      </c>
      <c r="B101" s="1469">
        <v>1240</v>
      </c>
      <c r="C101" s="1470">
        <f>C102+C103+C104</f>
        <v>500</v>
      </c>
      <c r="D101" s="1471">
        <f>D102+D103+D104</f>
        <v>500</v>
      </c>
    </row>
    <row r="102" spans="1:19" ht="15.75">
      <c r="A102" s="1478" t="s">
        <v>965</v>
      </c>
      <c r="B102" s="1481">
        <v>540</v>
      </c>
      <c r="C102" s="1482">
        <v>0</v>
      </c>
      <c r="D102" s="1483">
        <v>0</v>
      </c>
    </row>
    <row r="103" spans="1:19" ht="15.75">
      <c r="A103" s="1478" t="s">
        <v>761</v>
      </c>
      <c r="B103" s="1481">
        <v>700</v>
      </c>
      <c r="C103" s="1482">
        <v>0</v>
      </c>
      <c r="D103" s="1483">
        <v>0</v>
      </c>
    </row>
    <row r="104" spans="1:19" ht="15.75">
      <c r="A104" s="1478" t="s">
        <v>759</v>
      </c>
      <c r="B104" s="1481"/>
      <c r="C104" s="1482">
        <v>500</v>
      </c>
      <c r="D104" s="1483">
        <v>500</v>
      </c>
    </row>
    <row r="105" spans="1:19" ht="15.75">
      <c r="A105" s="1478"/>
      <c r="B105" s="1481"/>
      <c r="C105" s="1482"/>
      <c r="D105" s="1484"/>
    </row>
    <row r="106" spans="1:19" ht="15.75">
      <c r="A106" s="1594" t="s">
        <v>129</v>
      </c>
      <c r="B106" s="1469">
        <v>3820</v>
      </c>
      <c r="C106" s="1470">
        <f>C107+C108+C109+C110+C111+C112</f>
        <v>4820</v>
      </c>
      <c r="D106" s="1471">
        <f>D107+D108+D109+D110+D111+D112</f>
        <v>4820</v>
      </c>
    </row>
    <row r="107" spans="1:19" ht="15.75">
      <c r="A107" s="1478" t="s">
        <v>762</v>
      </c>
      <c r="B107" s="1481">
        <v>850</v>
      </c>
      <c r="C107" s="1482">
        <v>850</v>
      </c>
      <c r="D107" s="1483">
        <v>850</v>
      </c>
    </row>
    <row r="108" spans="1:19" s="83" customFormat="1" ht="15.75" customHeight="1">
      <c r="A108" s="1478" t="s">
        <v>966</v>
      </c>
      <c r="B108" s="1481">
        <v>800</v>
      </c>
      <c r="C108" s="1482">
        <v>800</v>
      </c>
      <c r="D108" s="1483">
        <v>800</v>
      </c>
      <c r="E108" s="466"/>
      <c r="F108" s="466"/>
      <c r="G108" s="466"/>
      <c r="H108" s="466"/>
      <c r="I108" s="466"/>
      <c r="J108" s="466"/>
      <c r="K108" s="876"/>
      <c r="L108" s="876"/>
      <c r="M108" s="876"/>
      <c r="N108" s="876"/>
      <c r="O108" s="876"/>
      <c r="P108" s="876"/>
      <c r="Q108" s="876"/>
      <c r="R108" s="876"/>
      <c r="S108" s="877"/>
    </row>
    <row r="109" spans="1:19" ht="18" customHeight="1">
      <c r="A109" s="1478" t="s">
        <v>763</v>
      </c>
      <c r="B109" s="1481">
        <v>600</v>
      </c>
      <c r="C109" s="1482">
        <v>600</v>
      </c>
      <c r="D109" s="1483">
        <v>600</v>
      </c>
    </row>
    <row r="110" spans="1:19" ht="18" customHeight="1">
      <c r="A110" s="1478" t="s">
        <v>764</v>
      </c>
      <c r="B110" s="1481">
        <v>370</v>
      </c>
      <c r="C110" s="1482">
        <v>370</v>
      </c>
      <c r="D110" s="1483">
        <v>370</v>
      </c>
    </row>
    <row r="111" spans="1:19" ht="18" customHeight="1">
      <c r="A111" s="1478" t="s">
        <v>765</v>
      </c>
      <c r="B111" s="1481">
        <v>1200</v>
      </c>
      <c r="C111" s="1482">
        <v>1200</v>
      </c>
      <c r="D111" s="1483">
        <v>1200</v>
      </c>
    </row>
    <row r="112" spans="1:19" ht="18" customHeight="1">
      <c r="A112" s="1478" t="s">
        <v>759</v>
      </c>
      <c r="B112" s="1481"/>
      <c r="C112" s="1482">
        <v>1000</v>
      </c>
      <c r="D112" s="1483">
        <v>1000</v>
      </c>
    </row>
    <row r="113" spans="1:19" s="83" customFormat="1" ht="15.75" customHeight="1">
      <c r="A113" s="1596"/>
      <c r="B113" s="1481"/>
      <c r="C113" s="1482"/>
      <c r="D113" s="1484"/>
      <c r="E113" s="466"/>
      <c r="F113" s="466"/>
      <c r="G113" s="466"/>
      <c r="H113" s="466"/>
      <c r="I113" s="466"/>
      <c r="J113" s="466"/>
      <c r="K113" s="876"/>
      <c r="L113" s="876"/>
      <c r="M113" s="876"/>
      <c r="N113" s="876"/>
      <c r="O113" s="876"/>
      <c r="P113" s="876"/>
      <c r="Q113" s="876"/>
      <c r="R113" s="876"/>
      <c r="S113" s="877"/>
    </row>
    <row r="114" spans="1:19" ht="15.75">
      <c r="A114" s="1594" t="s">
        <v>132</v>
      </c>
      <c r="B114" s="1469">
        <v>5150</v>
      </c>
      <c r="C114" s="1470">
        <f>C115+C116</f>
        <v>2150</v>
      </c>
      <c r="D114" s="1471">
        <f>D115+D116</f>
        <v>2150</v>
      </c>
    </row>
    <row r="115" spans="1:19" ht="15.75">
      <c r="A115" s="1478" t="s">
        <v>967</v>
      </c>
      <c r="B115" s="1481">
        <v>3000</v>
      </c>
      <c r="C115" s="1482">
        <v>0</v>
      </c>
      <c r="D115" s="1483">
        <v>0</v>
      </c>
    </row>
    <row r="116" spans="1:19" s="83" customFormat="1" ht="15.75">
      <c r="A116" s="1478" t="s">
        <v>759</v>
      </c>
      <c r="B116" s="1481">
        <v>2150</v>
      </c>
      <c r="C116" s="1482">
        <v>2150</v>
      </c>
      <c r="D116" s="1483">
        <v>2150</v>
      </c>
      <c r="E116" s="466"/>
      <c r="F116" s="466"/>
      <c r="G116" s="466"/>
      <c r="H116" s="466"/>
      <c r="I116" s="466"/>
      <c r="J116" s="466"/>
      <c r="K116" s="876"/>
      <c r="L116" s="876"/>
      <c r="M116" s="876"/>
      <c r="N116" s="876"/>
      <c r="O116" s="876"/>
      <c r="P116" s="876"/>
      <c r="Q116" s="876"/>
      <c r="R116" s="876"/>
      <c r="S116" s="877"/>
    </row>
    <row r="117" spans="1:19" ht="15.75">
      <c r="A117" s="1596"/>
      <c r="B117" s="1481"/>
      <c r="C117" s="1482"/>
      <c r="D117" s="1484"/>
    </row>
    <row r="118" spans="1:19" ht="15.75">
      <c r="A118" s="1594" t="s">
        <v>184</v>
      </c>
      <c r="B118" s="1469">
        <v>1442</v>
      </c>
      <c r="C118" s="1470">
        <f>C119+C120</f>
        <v>1554</v>
      </c>
      <c r="D118" s="1471">
        <f>D119+D120</f>
        <v>1554</v>
      </c>
    </row>
    <row r="119" spans="1:19" ht="15.75">
      <c r="A119" s="1478" t="s">
        <v>759</v>
      </c>
      <c r="B119" s="1481">
        <v>442</v>
      </c>
      <c r="C119" s="1482">
        <v>1554</v>
      </c>
      <c r="D119" s="1483">
        <v>1554</v>
      </c>
    </row>
    <row r="120" spans="1:19" ht="15.75">
      <c r="A120" s="1478" t="s">
        <v>766</v>
      </c>
      <c r="B120" s="1481">
        <v>1000</v>
      </c>
      <c r="C120" s="1482">
        <v>0</v>
      </c>
      <c r="D120" s="1483">
        <v>0</v>
      </c>
    </row>
    <row r="121" spans="1:19" ht="15.75">
      <c r="A121" s="1596"/>
      <c r="B121" s="1481"/>
      <c r="C121" s="1482"/>
      <c r="D121" s="1484"/>
    </row>
    <row r="122" spans="1:19" ht="15.75">
      <c r="A122" s="1594" t="s">
        <v>131</v>
      </c>
      <c r="B122" s="1469">
        <v>650</v>
      </c>
      <c r="C122" s="1470">
        <f>C123</f>
        <v>650</v>
      </c>
      <c r="D122" s="1471">
        <f>D123</f>
        <v>650</v>
      </c>
    </row>
    <row r="123" spans="1:19" ht="15.75">
      <c r="A123" s="1478" t="s">
        <v>759</v>
      </c>
      <c r="B123" s="1485">
        <v>650</v>
      </c>
      <c r="C123" s="1486">
        <v>650</v>
      </c>
      <c r="D123" s="1487">
        <v>650</v>
      </c>
    </row>
    <row r="124" spans="1:19" ht="15.75">
      <c r="A124" s="1596"/>
      <c r="B124" s="1481"/>
      <c r="C124" s="1482"/>
      <c r="D124" s="1484"/>
    </row>
    <row r="125" spans="1:19" s="83" customFormat="1" ht="15.75">
      <c r="A125" s="1594" t="s">
        <v>130</v>
      </c>
      <c r="B125" s="1469">
        <v>480</v>
      </c>
      <c r="C125" s="1470">
        <f>C126</f>
        <v>80</v>
      </c>
      <c r="D125" s="1471">
        <f>D126</f>
        <v>80</v>
      </c>
      <c r="E125" s="466"/>
      <c r="F125" s="466"/>
      <c r="G125" s="466"/>
      <c r="H125" s="466"/>
      <c r="I125" s="466"/>
      <c r="J125" s="466"/>
      <c r="K125" s="876"/>
      <c r="L125" s="876"/>
      <c r="M125" s="876"/>
      <c r="N125" s="876"/>
      <c r="O125" s="876"/>
      <c r="P125" s="876"/>
      <c r="Q125" s="876"/>
      <c r="R125" s="876"/>
      <c r="S125" s="877"/>
    </row>
    <row r="126" spans="1:19" ht="15.75">
      <c r="A126" s="1478" t="s">
        <v>759</v>
      </c>
      <c r="B126" s="1488">
        <v>480</v>
      </c>
      <c r="C126" s="1489">
        <v>80</v>
      </c>
      <c r="D126" s="1490">
        <v>80</v>
      </c>
    </row>
    <row r="127" spans="1:19" ht="15.75">
      <c r="A127" s="1597"/>
      <c r="B127" s="1507"/>
      <c r="C127" s="1508"/>
      <c r="D127" s="1509"/>
    </row>
    <row r="128" spans="1:19" ht="15.75">
      <c r="A128" s="1598" t="s">
        <v>749</v>
      </c>
      <c r="B128" s="1504">
        <v>130</v>
      </c>
      <c r="C128" s="1505">
        <f>C129</f>
        <v>130</v>
      </c>
      <c r="D128" s="1506">
        <f>D129</f>
        <v>130</v>
      </c>
    </row>
    <row r="129" spans="1:19" ht="15.75">
      <c r="A129" s="1478" t="s">
        <v>767</v>
      </c>
      <c r="B129" s="1481">
        <v>130</v>
      </c>
      <c r="C129" s="1482">
        <v>130</v>
      </c>
      <c r="D129" s="1483">
        <v>130</v>
      </c>
    </row>
    <row r="130" spans="1:19" ht="15.75">
      <c r="A130" s="1599"/>
      <c r="B130" s="1481"/>
      <c r="C130" s="1482"/>
      <c r="D130" s="1484"/>
    </row>
    <row r="131" spans="1:19" s="83" customFormat="1" ht="15.75">
      <c r="A131" s="1594" t="s">
        <v>143</v>
      </c>
      <c r="B131" s="1469">
        <v>1800</v>
      </c>
      <c r="C131" s="1470">
        <f>C132+C133+C134</f>
        <v>1600</v>
      </c>
      <c r="D131" s="1471">
        <f>D132+D133+D134</f>
        <v>1100</v>
      </c>
      <c r="E131" s="466"/>
      <c r="F131" s="466"/>
      <c r="G131" s="466"/>
      <c r="H131" s="466"/>
      <c r="I131" s="466"/>
      <c r="J131" s="466"/>
      <c r="K131" s="876"/>
      <c r="L131" s="876"/>
      <c r="M131" s="876"/>
      <c r="N131" s="876"/>
      <c r="O131" s="876"/>
      <c r="P131" s="876"/>
      <c r="Q131" s="876"/>
      <c r="R131" s="876"/>
      <c r="S131" s="877"/>
    </row>
    <row r="132" spans="1:19" ht="15.75" customHeight="1">
      <c r="A132" s="1596" t="s">
        <v>768</v>
      </c>
      <c r="B132" s="1481">
        <v>800</v>
      </c>
      <c r="C132" s="1482">
        <v>0</v>
      </c>
      <c r="D132" s="1483">
        <v>0</v>
      </c>
    </row>
    <row r="133" spans="1:19" ht="15.75" customHeight="1">
      <c r="A133" s="1596" t="s">
        <v>847</v>
      </c>
      <c r="B133" s="1481"/>
      <c r="C133" s="1482">
        <v>600</v>
      </c>
      <c r="D133" s="1483">
        <v>600</v>
      </c>
    </row>
    <row r="134" spans="1:19" ht="15.75">
      <c r="A134" s="1596" t="s">
        <v>968</v>
      </c>
      <c r="B134" s="1481">
        <v>1000</v>
      </c>
      <c r="C134" s="1482">
        <v>1000</v>
      </c>
      <c r="D134" s="1483">
        <v>500</v>
      </c>
    </row>
    <row r="135" spans="1:19" ht="15.75">
      <c r="A135" s="1596"/>
      <c r="B135" s="1481"/>
      <c r="C135" s="1482"/>
      <c r="D135" s="1484"/>
    </row>
    <row r="136" spans="1:19" ht="15.75">
      <c r="A136" s="1594" t="s">
        <v>148</v>
      </c>
      <c r="B136" s="1469">
        <v>1647</v>
      </c>
      <c r="C136" s="1470">
        <f>C137</f>
        <v>447</v>
      </c>
      <c r="D136" s="1471">
        <f>SUM(D137:D138)</f>
        <v>6143</v>
      </c>
    </row>
    <row r="137" spans="1:19" s="83" customFormat="1" ht="15.75">
      <c r="A137" s="1478" t="s">
        <v>769</v>
      </c>
      <c r="B137" s="1485">
        <v>1647</v>
      </c>
      <c r="C137" s="1486">
        <v>447</v>
      </c>
      <c r="D137" s="1487">
        <v>447</v>
      </c>
      <c r="E137" s="466"/>
      <c r="F137" s="466"/>
      <c r="G137" s="466"/>
      <c r="H137" s="466"/>
      <c r="I137" s="466"/>
      <c r="J137" s="466"/>
      <c r="K137" s="876"/>
      <c r="L137" s="876"/>
      <c r="M137" s="876"/>
      <c r="N137" s="876"/>
      <c r="O137" s="876"/>
      <c r="P137" s="876"/>
      <c r="Q137" s="876"/>
      <c r="R137" s="876"/>
      <c r="S137" s="877"/>
    </row>
    <row r="138" spans="1:19" ht="15.75">
      <c r="A138" s="1600" t="s">
        <v>979</v>
      </c>
      <c r="B138" s="1481"/>
      <c r="C138" s="1482"/>
      <c r="D138" s="1484">
        <v>5696</v>
      </c>
    </row>
    <row r="139" spans="1:19" ht="15.75">
      <c r="A139" s="1600"/>
      <c r="B139" s="1481"/>
      <c r="C139" s="1482"/>
      <c r="D139" s="1484"/>
    </row>
    <row r="140" spans="1:19" ht="15.75">
      <c r="A140" s="1594" t="s">
        <v>146</v>
      </c>
      <c r="B140" s="1469">
        <v>26000</v>
      </c>
      <c r="C140" s="1470">
        <f>SUM(C141:C148)</f>
        <v>32396</v>
      </c>
      <c r="D140" s="1471">
        <f>SUM(D141:D149)</f>
        <v>48936</v>
      </c>
    </row>
    <row r="141" spans="1:19" ht="15.75">
      <c r="A141" s="1601" t="s">
        <v>770</v>
      </c>
      <c r="B141" s="1481">
        <v>8000</v>
      </c>
      <c r="C141" s="1482">
        <v>8000</v>
      </c>
      <c r="D141" s="1483">
        <v>8500</v>
      </c>
    </row>
    <row r="142" spans="1:19" ht="15.75">
      <c r="A142" s="1601" t="s">
        <v>771</v>
      </c>
      <c r="B142" s="1481">
        <v>3000</v>
      </c>
      <c r="C142" s="1482">
        <v>2000</v>
      </c>
      <c r="D142" s="1483">
        <v>7080</v>
      </c>
    </row>
    <row r="143" spans="1:19" ht="15.75">
      <c r="A143" s="1601" t="s">
        <v>772</v>
      </c>
      <c r="B143" s="1481">
        <v>2000</v>
      </c>
      <c r="C143" s="1482">
        <v>0</v>
      </c>
      <c r="D143" s="1483">
        <v>0</v>
      </c>
    </row>
    <row r="144" spans="1:19" ht="15.75">
      <c r="A144" s="1601" t="s">
        <v>969</v>
      </c>
      <c r="B144" s="1481"/>
      <c r="C144" s="1482">
        <v>2000</v>
      </c>
      <c r="D144" s="1483">
        <v>2000</v>
      </c>
    </row>
    <row r="145" spans="1:19" ht="15.75">
      <c r="A145" s="1601" t="s">
        <v>848</v>
      </c>
      <c r="B145" s="1481">
        <v>2000</v>
      </c>
      <c r="C145" s="1482">
        <v>8000</v>
      </c>
      <c r="D145" s="1483">
        <v>8000</v>
      </c>
    </row>
    <row r="146" spans="1:19" s="83" customFormat="1" ht="15" customHeight="1">
      <c r="A146" s="1601" t="s">
        <v>773</v>
      </c>
      <c r="B146" s="1481">
        <v>3000</v>
      </c>
      <c r="C146" s="1482">
        <v>3000</v>
      </c>
      <c r="D146" s="1483">
        <v>3000</v>
      </c>
      <c r="E146" s="466"/>
      <c r="F146" s="466"/>
      <c r="G146" s="466"/>
      <c r="H146" s="466"/>
      <c r="I146" s="466"/>
      <c r="J146" s="466"/>
      <c r="K146" s="876"/>
      <c r="L146" s="876"/>
      <c r="M146" s="876"/>
      <c r="N146" s="876"/>
      <c r="O146" s="876"/>
      <c r="P146" s="876"/>
      <c r="Q146" s="876"/>
      <c r="R146" s="876"/>
      <c r="S146" s="877"/>
    </row>
    <row r="147" spans="1:19" s="83" customFormat="1" ht="15" customHeight="1">
      <c r="A147" s="1601" t="s">
        <v>782</v>
      </c>
      <c r="B147" s="1481">
        <v>8000</v>
      </c>
      <c r="C147" s="1482">
        <v>8000</v>
      </c>
      <c r="D147" s="1483">
        <v>12445</v>
      </c>
      <c r="E147" s="466"/>
      <c r="F147" s="466"/>
      <c r="G147" s="466"/>
      <c r="H147" s="466"/>
      <c r="I147" s="466"/>
      <c r="J147" s="466"/>
      <c r="K147" s="876"/>
      <c r="L147" s="876"/>
      <c r="M147" s="876"/>
      <c r="N147" s="876"/>
      <c r="O147" s="876"/>
      <c r="P147" s="876"/>
      <c r="Q147" s="876"/>
      <c r="R147" s="876"/>
      <c r="S147" s="877"/>
    </row>
    <row r="148" spans="1:19" ht="15.75">
      <c r="A148" s="1601" t="s">
        <v>970</v>
      </c>
      <c r="B148" s="1481"/>
      <c r="C148" s="1482">
        <v>1396</v>
      </c>
      <c r="D148" s="1483">
        <v>2488</v>
      </c>
    </row>
    <row r="149" spans="1:19" s="83" customFormat="1" ht="15.75">
      <c r="A149" s="1600" t="s">
        <v>980</v>
      </c>
      <c r="B149" s="1481"/>
      <c r="C149" s="1482"/>
      <c r="D149" s="1484">
        <v>5423</v>
      </c>
      <c r="E149" s="466"/>
      <c r="F149" s="466"/>
      <c r="G149" s="466"/>
      <c r="H149" s="466"/>
      <c r="I149" s="466"/>
      <c r="J149" s="466"/>
      <c r="K149" s="876"/>
      <c r="L149" s="876"/>
      <c r="M149" s="876"/>
      <c r="N149" s="876"/>
      <c r="O149" s="876"/>
      <c r="P149" s="876"/>
      <c r="Q149" s="876"/>
      <c r="R149" s="876"/>
      <c r="S149" s="877"/>
    </row>
    <row r="150" spans="1:19" s="83" customFormat="1" ht="15.75">
      <c r="A150" s="1600"/>
      <c r="B150" s="1481"/>
      <c r="C150" s="1482"/>
      <c r="D150" s="1484"/>
      <c r="E150" s="466"/>
      <c r="F150" s="466"/>
      <c r="G150" s="466"/>
      <c r="H150" s="466"/>
      <c r="I150" s="466"/>
      <c r="J150" s="466"/>
      <c r="K150" s="876"/>
      <c r="L150" s="876"/>
      <c r="M150" s="876"/>
      <c r="N150" s="876"/>
      <c r="O150" s="876"/>
      <c r="P150" s="876"/>
      <c r="Q150" s="876"/>
      <c r="R150" s="876"/>
      <c r="S150" s="877"/>
    </row>
    <row r="151" spans="1:19" ht="15" customHeight="1">
      <c r="A151" s="1594" t="s">
        <v>147</v>
      </c>
      <c r="B151" s="1469">
        <v>3052</v>
      </c>
      <c r="C151" s="1470">
        <f>SUM(C152:C154)</f>
        <v>3097</v>
      </c>
      <c r="D151" s="1471">
        <f>SUM(D152:D154)</f>
        <v>3728</v>
      </c>
    </row>
    <row r="152" spans="1:19" ht="15" customHeight="1">
      <c r="A152" s="1602" t="s">
        <v>774</v>
      </c>
      <c r="B152" s="1491">
        <v>2902</v>
      </c>
      <c r="C152" s="1492">
        <v>2902</v>
      </c>
      <c r="D152" s="1493">
        <v>3533</v>
      </c>
    </row>
    <row r="153" spans="1:19" ht="13.5" customHeight="1">
      <c r="A153" s="1603" t="s">
        <v>759</v>
      </c>
      <c r="B153" s="1494">
        <v>0</v>
      </c>
      <c r="C153" s="1495">
        <v>195</v>
      </c>
      <c r="D153" s="1496">
        <v>195</v>
      </c>
    </row>
    <row r="154" spans="1:19" ht="13.5" customHeight="1" thickBot="1">
      <c r="A154" s="1604" t="s">
        <v>783</v>
      </c>
      <c r="B154" s="1497">
        <v>150</v>
      </c>
      <c r="C154" s="1498">
        <v>0</v>
      </c>
      <c r="D154" s="1499">
        <v>0</v>
      </c>
    </row>
    <row r="155" spans="1:19" ht="13.5" customHeight="1" thickBot="1">
      <c r="A155" s="911" t="s">
        <v>61</v>
      </c>
      <c r="B155" s="1500">
        <f>B95+B74+B4</f>
        <v>2196341</v>
      </c>
      <c r="C155" s="1501">
        <f>C95+C74+C4</f>
        <v>3091509</v>
      </c>
      <c r="D155" s="1502">
        <f>D95+D74+D4</f>
        <v>2949564</v>
      </c>
    </row>
    <row r="156" spans="1:19" ht="13.5" customHeight="1">
      <c r="A156" s="37"/>
    </row>
    <row r="157" spans="1:19" ht="13.5" customHeight="1">
      <c r="A157" s="37"/>
    </row>
    <row r="158" spans="1:19" ht="13.5" customHeight="1">
      <c r="A158" s="37"/>
    </row>
    <row r="159" spans="1:19" ht="13.5" customHeight="1">
      <c r="A159" s="37"/>
    </row>
    <row r="160" spans="1:19" ht="13.5" customHeight="1">
      <c r="A160" s="37"/>
    </row>
    <row r="161" spans="1:1" ht="13.5" customHeight="1">
      <c r="A161" s="37"/>
    </row>
    <row r="162" spans="1:1" ht="13.5" customHeight="1">
      <c r="A162" s="37"/>
    </row>
    <row r="163" spans="1:1" ht="13.5" customHeight="1">
      <c r="A163" s="37"/>
    </row>
    <row r="164" spans="1:1" ht="13.5" customHeight="1">
      <c r="A164" s="37"/>
    </row>
    <row r="165" spans="1:1" ht="13.5" customHeight="1">
      <c r="A165" s="37"/>
    </row>
    <row r="166" spans="1:1" ht="13.5" customHeight="1">
      <c r="A166" s="37"/>
    </row>
    <row r="167" spans="1:1" ht="13.5" customHeight="1">
      <c r="A167" s="38"/>
    </row>
    <row r="168" spans="1:1">
      <c r="A168" s="36"/>
    </row>
    <row r="169" spans="1:1">
      <c r="A169" s="36"/>
    </row>
    <row r="170" spans="1:1">
      <c r="A170" s="35"/>
    </row>
    <row r="171" spans="1:1">
      <c r="A171" s="35"/>
    </row>
    <row r="172" spans="1:1">
      <c r="A172" s="35"/>
    </row>
    <row r="173" spans="1:1">
      <c r="A173" s="39"/>
    </row>
    <row r="174" spans="1:1">
      <c r="A174" s="36"/>
    </row>
  </sheetData>
  <mergeCells count="1">
    <mergeCell ref="A1:D1"/>
  </mergeCells>
  <pageMargins left="0.2" right="0.23" top="0.51181102362204722" bottom="0.66" header="0.31496062992125984" footer="0.23"/>
  <pageSetup paperSize="9" scale="75" fitToHeight="3" orientation="portrait" r:id="rId1"/>
  <headerFooter>
    <oddHeader>&amp;L&amp;"Times New Roman,Normál"&amp;8 7. melléklet a 31/2020.(XII.2.) Tata Város Önkormányzat Polgármesterének rendeletéhez</oddHeader>
    <oddFooter>&amp;L24/2019.(XII.19.)önk.rend. Hatályos:2020.01.01.
17/2020.(VII.9.)önk.rend. Hatályos:2020.07.10.
22/2020.(VIII.6.)önk.rend. Hatályos:2020.08.10.</oddFooter>
  </headerFooter>
  <rowBreaks count="1" manualBreakCount="1">
    <brk id="127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25</vt:i4>
      </vt:variant>
    </vt:vector>
  </HeadingPairs>
  <TitlesOfParts>
    <vt:vector size="48" baseType="lpstr">
      <vt:lpstr>1. melléklet</vt:lpstr>
      <vt:lpstr>2. melléklet</vt:lpstr>
      <vt:lpstr>3. melléklet</vt:lpstr>
      <vt:lpstr>4. melléklet</vt:lpstr>
      <vt:lpstr>5. melléklet 1</vt:lpstr>
      <vt:lpstr>5. melléklet 2</vt:lpstr>
      <vt:lpstr>6. melléklet 1</vt:lpstr>
      <vt:lpstr>6. melléklet 2</vt:lpstr>
      <vt:lpstr>7. melléklet</vt:lpstr>
      <vt:lpstr>8. melléklet</vt:lpstr>
      <vt:lpstr>9. melléklet</vt:lpstr>
      <vt:lpstr>10. melléklet</vt:lpstr>
      <vt:lpstr>11. melléklet</vt:lpstr>
      <vt:lpstr>12. melléklet</vt:lpstr>
      <vt:lpstr>13.melléklet 1</vt:lpstr>
      <vt:lpstr>13. melléklet 2 </vt:lpstr>
      <vt:lpstr>13. melléklet 3</vt:lpstr>
      <vt:lpstr>14. melléklet 1</vt:lpstr>
      <vt:lpstr>14. melléklet 2</vt:lpstr>
      <vt:lpstr>14. melléklet 3</vt:lpstr>
      <vt:lpstr>15. melléklet</vt:lpstr>
      <vt:lpstr>16. melléklet</vt:lpstr>
      <vt:lpstr>17. melléklet</vt:lpstr>
      <vt:lpstr>'11. melléklet'!Nyomtatási_cím</vt:lpstr>
      <vt:lpstr>'14. melléklet 1'!Nyomtatási_cím</vt:lpstr>
      <vt:lpstr>'14. melléklet 2'!Nyomtatási_cím</vt:lpstr>
      <vt:lpstr>'15. melléklet'!Nyomtatási_cím</vt:lpstr>
      <vt:lpstr>'5. melléklet 1'!Nyomtatási_cím</vt:lpstr>
      <vt:lpstr>'7. melléklet'!Nyomtatási_cím</vt:lpstr>
      <vt:lpstr>'8. melléklet'!Nyomtatási_cím</vt:lpstr>
      <vt:lpstr>'10. melléklet'!Nyomtatási_terület</vt:lpstr>
      <vt:lpstr>'11. melléklet'!Nyomtatási_terület</vt:lpstr>
      <vt:lpstr>'12. melléklet'!Nyomtatási_terület</vt:lpstr>
      <vt:lpstr>'13. melléklet 2 '!Nyomtatási_terület</vt:lpstr>
      <vt:lpstr>'13. melléklet 3'!Nyomtatási_terület</vt:lpstr>
      <vt:lpstr>'13.melléklet 1'!Nyomtatási_terület</vt:lpstr>
      <vt:lpstr>'14. melléklet 1'!Nyomtatási_terület</vt:lpstr>
      <vt:lpstr>'14. melléklet 2'!Nyomtatási_terület</vt:lpstr>
      <vt:lpstr>'14. melléklet 3'!Nyomtatási_terület</vt:lpstr>
      <vt:lpstr>'15. melléklet'!Nyomtatási_terület</vt:lpstr>
      <vt:lpstr>'3. melléklet'!Nyomtatási_terület</vt:lpstr>
      <vt:lpstr>'4. melléklet'!Nyomtatási_terület</vt:lpstr>
      <vt:lpstr>'5. melléklet 1'!Nyomtatási_terület</vt:lpstr>
      <vt:lpstr>'5. melléklet 2'!Nyomtatási_terület</vt:lpstr>
      <vt:lpstr>'6. melléklet 1'!Nyomtatási_terület</vt:lpstr>
      <vt:lpstr>'7. melléklet'!Nyomtatási_terület</vt:lpstr>
      <vt:lpstr>'8. melléklet'!Nyomtatási_terület</vt:lpstr>
      <vt:lpstr>'9. melléklet'!Nyomtatási_terület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Kerényi Zsuzsanna</dc:creator>
  <cp:lastModifiedBy>Szendi Krisztián</cp:lastModifiedBy>
  <cp:lastPrinted>2020-12-02T12:31:27Z</cp:lastPrinted>
  <dcterms:created xsi:type="dcterms:W3CDTF">2018-06-06T07:42:41Z</dcterms:created>
  <dcterms:modified xsi:type="dcterms:W3CDTF">2020-12-02T12:31:35Z</dcterms:modified>
</cp:coreProperties>
</file>