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1" activeTab="11"/>
  </bookViews>
  <sheets>
    <sheet name="1.1.sz.mell. " sheetId="1043" r:id="rId1"/>
    <sheet name="1.2.sz.mell. " sheetId="1044" r:id="rId2"/>
    <sheet name="1.3.sz.mell." sheetId="1045" r:id="rId3"/>
    <sheet name="1.4.sz.mell. " sheetId="1046" r:id="rId4"/>
    <sheet name="2.1.sz.mell " sheetId="1047" r:id="rId5"/>
    <sheet name="2.2.sz.mell ." sheetId="1048" r:id="rId6"/>
    <sheet name="3.sz.mell." sheetId="1099" r:id="rId7"/>
    <sheet name="6.sz.mell." sheetId="1050" r:id="rId8"/>
    <sheet name="9.1. sz. mell." sheetId="1053" r:id="rId9"/>
    <sheet name="9.1.1. sz. mell. " sheetId="1054" r:id="rId10"/>
    <sheet name="9.1.2. sz. mell." sheetId="1055" r:id="rId11"/>
    <sheet name="9.2. sz. mell. " sheetId="1056" r:id="rId12"/>
    <sheet name="9.2.1. sz. mell" sheetId="1057" r:id="rId13"/>
    <sheet name="9.2.3. sz. mell." sheetId="1058" r:id="rId14"/>
    <sheet name="9.3. sz. mell" sheetId="1101" r:id="rId15"/>
    <sheet name="9.3.1. sz. mell EOI" sheetId="1102" r:id="rId16"/>
    <sheet name="9.6. sz. mell Kornisné Kp." sheetId="1103" r:id="rId17"/>
    <sheet name="9.6.1. sz. mell Kornisné Kp. " sheetId="1104" r:id="rId18"/>
    <sheet name="9.6.2. sz. mell Kornisné Kp." sheetId="1105" r:id="rId19"/>
    <sheet name="int.összesítő" sheetId="1106" r:id="rId20"/>
    <sheet name="tartalék" sheetId="1071" r:id="rId21"/>
    <sheet name="1.sz tájékoztató t " sheetId="1078" r:id="rId22"/>
    <sheet name="2. sz tájékoztató t." sheetId="1100" r:id="rId23"/>
    <sheet name="4.sz tájékoztató t " sheetId="1073" r:id="rId24"/>
    <sheet name="feladatos Önk. " sheetId="1075" r:id="rId25"/>
  </sheets>
  <definedNames>
    <definedName name="_xlnm.Print_Titles" localSheetId="8">'9.1. sz. mell.'!$1:$6</definedName>
    <definedName name="_xlnm.Print_Titles" localSheetId="9">'9.1.1. sz. mell. '!$1:$6</definedName>
    <definedName name="_xlnm.Print_Titles" localSheetId="10">'9.1.2. sz. mell.'!$1:$6</definedName>
    <definedName name="_xlnm.Print_Titles" localSheetId="11">'9.2. sz. mell. '!$1:$6</definedName>
    <definedName name="_xlnm.Print_Titles" localSheetId="12">'9.2.1. sz. mell'!$1:$6</definedName>
    <definedName name="_xlnm.Print_Titles" localSheetId="13">'9.2.3. sz. mell.'!$1:$6</definedName>
    <definedName name="_xlnm.Print_Titles" localSheetId="14">'9.3. sz. mell'!$1:$6</definedName>
    <definedName name="_xlnm.Print_Titles" localSheetId="15">'9.3.1. sz. mell EOI'!$1:$6</definedName>
    <definedName name="_xlnm.Print_Titles" localSheetId="16">'9.6. sz. mell Kornisné Kp.'!$1:$6</definedName>
    <definedName name="_xlnm.Print_Titles" localSheetId="17">'9.6.1. sz. mell Kornisné Kp. '!$1:$6</definedName>
    <definedName name="_xlnm.Print_Titles" localSheetId="18">'9.6.2. sz. mell Kornisné Kp.'!$1:$6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8">'9.1. sz. mell.'!$A$1:$C$158</definedName>
    <definedName name="_xlnm.Print_Area" localSheetId="11">'9.2. sz. mell. '!$A$1:$D$62</definedName>
  </definedNames>
  <calcPr calcId="145621"/>
</workbook>
</file>

<file path=xl/calcChain.xml><?xml version="1.0" encoding="utf-8"?>
<calcChain xmlns="http://schemas.openxmlformats.org/spreadsheetml/2006/main">
  <c r="M32" i="1075" l="1"/>
  <c r="I37" i="1075"/>
  <c r="I50" i="1075"/>
  <c r="I43" i="1075"/>
  <c r="I39" i="1075"/>
  <c r="B30" i="1075"/>
  <c r="B18" i="1075"/>
  <c r="I18" i="1075"/>
  <c r="F24" i="1073"/>
  <c r="F21" i="1073"/>
  <c r="F18" i="1073"/>
  <c r="N17" i="1073"/>
  <c r="M17" i="1073"/>
  <c r="L17" i="1073"/>
  <c r="K17" i="1073"/>
  <c r="J17" i="1073"/>
  <c r="I17" i="1073"/>
  <c r="H17" i="1073"/>
  <c r="G17" i="1073"/>
  <c r="D17" i="1073"/>
  <c r="F17" i="1073"/>
  <c r="F16" i="1073"/>
  <c r="E16" i="1073"/>
  <c r="D16" i="1073"/>
  <c r="C13" i="1073"/>
  <c r="E9" i="1073"/>
  <c r="N9" i="1073"/>
  <c r="M9" i="1073"/>
  <c r="L9" i="1073"/>
  <c r="K9" i="1073"/>
  <c r="J9" i="1073"/>
  <c r="I9" i="1073"/>
  <c r="H9" i="1073"/>
  <c r="G9" i="1073"/>
  <c r="F9" i="1073"/>
  <c r="D9" i="1073"/>
  <c r="F6" i="1073"/>
  <c r="E5" i="1073"/>
  <c r="H154" i="1078"/>
  <c r="H153" i="1078"/>
  <c r="H152" i="1078"/>
  <c r="H151" i="1078"/>
  <c r="H150" i="1078"/>
  <c r="H149" i="1078"/>
  <c r="H148" i="1078"/>
  <c r="K147" i="1078"/>
  <c r="J147" i="1078"/>
  <c r="I147" i="1078"/>
  <c r="H147" i="1078" s="1"/>
  <c r="H146" i="1078"/>
  <c r="H145" i="1078"/>
  <c r="H144" i="1078"/>
  <c r="H143" i="1078"/>
  <c r="K142" i="1078"/>
  <c r="J142" i="1078"/>
  <c r="I142" i="1078"/>
  <c r="H142" i="1078" s="1"/>
  <c r="H141" i="1078"/>
  <c r="H140" i="1078"/>
  <c r="H139" i="1078"/>
  <c r="H138" i="1078"/>
  <c r="H137" i="1078"/>
  <c r="H136" i="1078"/>
  <c r="K135" i="1078"/>
  <c r="J135" i="1078"/>
  <c r="I135" i="1078"/>
  <c r="H135" i="1078" s="1"/>
  <c r="H134" i="1078"/>
  <c r="H133" i="1078"/>
  <c r="I132" i="1078"/>
  <c r="H132" i="1078" s="1"/>
  <c r="K131" i="1078"/>
  <c r="K155" i="1078" s="1"/>
  <c r="J131" i="1078"/>
  <c r="J155" i="1078" s="1"/>
  <c r="I131" i="1078"/>
  <c r="I155" i="1078" s="1"/>
  <c r="H155" i="1078" s="1"/>
  <c r="H129" i="1078"/>
  <c r="H128" i="1078"/>
  <c r="H127" i="1078"/>
  <c r="H126" i="1078"/>
  <c r="H125" i="1078"/>
  <c r="H124" i="1078"/>
  <c r="H123" i="1078"/>
  <c r="H122" i="1078"/>
  <c r="H121" i="1078"/>
  <c r="H120" i="1078"/>
  <c r="I119" i="1078"/>
  <c r="H119" i="1078" s="1"/>
  <c r="I118" i="1078"/>
  <c r="H118" i="1078" s="1"/>
  <c r="I117" i="1078"/>
  <c r="H117" i="1078" s="1"/>
  <c r="K116" i="1078"/>
  <c r="J116" i="1078"/>
  <c r="I116" i="1078"/>
  <c r="H116" i="1078" s="1"/>
  <c r="H115" i="1078"/>
  <c r="I114" i="1078"/>
  <c r="H114" i="1078"/>
  <c r="K113" i="1078"/>
  <c r="I113" i="1078"/>
  <c r="H113" i="1078" s="1"/>
  <c r="I112" i="1078"/>
  <c r="H112" i="1078" s="1"/>
  <c r="H111" i="1078"/>
  <c r="H110" i="1078"/>
  <c r="H109" i="1078"/>
  <c r="H108" i="1078"/>
  <c r="H107" i="1078"/>
  <c r="H106" i="1078"/>
  <c r="H105" i="1078"/>
  <c r="H104" i="1078"/>
  <c r="H103" i="1078"/>
  <c r="H102" i="1078"/>
  <c r="H101" i="1078"/>
  <c r="I100" i="1078"/>
  <c r="H100" i="1078"/>
  <c r="I99" i="1078"/>
  <c r="H99" i="1078"/>
  <c r="J98" i="1078"/>
  <c r="I98" i="1078"/>
  <c r="H98" i="1078" s="1"/>
  <c r="J97" i="1078"/>
  <c r="J95" i="1078" s="1"/>
  <c r="J130" i="1078" s="1"/>
  <c r="J156" i="1078" s="1"/>
  <c r="I97" i="1078"/>
  <c r="H97" i="1078"/>
  <c r="J96" i="1078"/>
  <c r="I96" i="1078"/>
  <c r="H96" i="1078" s="1"/>
  <c r="K95" i="1078"/>
  <c r="K130" i="1078" s="1"/>
  <c r="K156" i="1078" s="1"/>
  <c r="I95" i="1078"/>
  <c r="H95" i="1078" s="1"/>
  <c r="H87" i="1078"/>
  <c r="H86" i="1078"/>
  <c r="H85" i="1078"/>
  <c r="H84" i="1078"/>
  <c r="H83" i="1078"/>
  <c r="H82" i="1078"/>
  <c r="K81" i="1078"/>
  <c r="J81" i="1078"/>
  <c r="I81" i="1078"/>
  <c r="H81" i="1078" s="1"/>
  <c r="H80" i="1078"/>
  <c r="H79" i="1078"/>
  <c r="H78" i="1078"/>
  <c r="K77" i="1078"/>
  <c r="J77" i="1078"/>
  <c r="I77" i="1078"/>
  <c r="H77" i="1078"/>
  <c r="H76" i="1078"/>
  <c r="K75" i="1078"/>
  <c r="K74" i="1078" s="1"/>
  <c r="H74" i="1078" s="1"/>
  <c r="I75" i="1078"/>
  <c r="H75" i="1078"/>
  <c r="J74" i="1078"/>
  <c r="I74" i="1078"/>
  <c r="H73" i="1078"/>
  <c r="H72" i="1078"/>
  <c r="H71" i="1078"/>
  <c r="H70" i="1078"/>
  <c r="K69" i="1078"/>
  <c r="J69" i="1078"/>
  <c r="I69" i="1078"/>
  <c r="H69" i="1078"/>
  <c r="H68" i="1078"/>
  <c r="H67" i="1078"/>
  <c r="H66" i="1078"/>
  <c r="K65" i="1078"/>
  <c r="K88" i="1078" s="1"/>
  <c r="J65" i="1078"/>
  <c r="J88" i="1078" s="1"/>
  <c r="I65" i="1078"/>
  <c r="I88" i="1078" s="1"/>
  <c r="H88" i="1078" s="1"/>
  <c r="H63" i="1078"/>
  <c r="H62" i="1078"/>
  <c r="H61" i="1078"/>
  <c r="H60" i="1078"/>
  <c r="K59" i="1078"/>
  <c r="J59" i="1078"/>
  <c r="I59" i="1078"/>
  <c r="H59" i="1078" s="1"/>
  <c r="H58" i="1078"/>
  <c r="H57" i="1078"/>
  <c r="I56" i="1078"/>
  <c r="H56" i="1078" s="1"/>
  <c r="H55" i="1078"/>
  <c r="K54" i="1078"/>
  <c r="J54" i="1078"/>
  <c r="H53" i="1078"/>
  <c r="H52" i="1078"/>
  <c r="H51" i="1078"/>
  <c r="H50" i="1078"/>
  <c r="H49" i="1078"/>
  <c r="K48" i="1078"/>
  <c r="J48" i="1078"/>
  <c r="I48" i="1078"/>
  <c r="H48" i="1078" s="1"/>
  <c r="I47" i="1078"/>
  <c r="H47" i="1078" s="1"/>
  <c r="H46" i="1078"/>
  <c r="H45" i="1078"/>
  <c r="H44" i="1078"/>
  <c r="H43" i="1078"/>
  <c r="J42" i="1078"/>
  <c r="I42" i="1078"/>
  <c r="H42" i="1078"/>
  <c r="H41" i="1078"/>
  <c r="H40" i="1078"/>
  <c r="I39" i="1078"/>
  <c r="H39" i="1078"/>
  <c r="J38" i="1078"/>
  <c r="I38" i="1078"/>
  <c r="H38" i="1078" s="1"/>
  <c r="H37" i="1078"/>
  <c r="K36" i="1078"/>
  <c r="J36" i="1078"/>
  <c r="I36" i="1078"/>
  <c r="H36" i="1078"/>
  <c r="I35" i="1078"/>
  <c r="H35" i="1078"/>
  <c r="I34" i="1078"/>
  <c r="H34" i="1078"/>
  <c r="H33" i="1078"/>
  <c r="H32" i="1078"/>
  <c r="H31" i="1078"/>
  <c r="I30" i="1078"/>
  <c r="H30" i="1078"/>
  <c r="I29" i="1078"/>
  <c r="H29" i="1078" s="1"/>
  <c r="K28" i="1078"/>
  <c r="J28" i="1078"/>
  <c r="I28" i="1078"/>
  <c r="H28" i="1078" s="1"/>
  <c r="I27" i="1078"/>
  <c r="H27" i="1078" s="1"/>
  <c r="I26" i="1078"/>
  <c r="H26" i="1078" s="1"/>
  <c r="H25" i="1078"/>
  <c r="H24" i="1078"/>
  <c r="H23" i="1078"/>
  <c r="H22" i="1078"/>
  <c r="K21" i="1078"/>
  <c r="J21" i="1078"/>
  <c r="I21" i="1078"/>
  <c r="H21" i="1078" s="1"/>
  <c r="H20" i="1078"/>
  <c r="I19" i="1078"/>
  <c r="H19" i="1078"/>
  <c r="H18" i="1078"/>
  <c r="H17" i="1078"/>
  <c r="H16" i="1078"/>
  <c r="H15" i="1078"/>
  <c r="K14" i="1078"/>
  <c r="J14" i="1078"/>
  <c r="I14" i="1078"/>
  <c r="H14" i="1078"/>
  <c r="H13" i="1078"/>
  <c r="I12" i="1078"/>
  <c r="H12" i="1078" s="1"/>
  <c r="I11" i="1078"/>
  <c r="H11" i="1078" s="1"/>
  <c r="I10" i="1078"/>
  <c r="H10" i="1078" s="1"/>
  <c r="H9" i="1078"/>
  <c r="H8" i="1078"/>
  <c r="K7" i="1078"/>
  <c r="K64" i="1078" s="1"/>
  <c r="K89" i="1078" s="1"/>
  <c r="J7" i="1078"/>
  <c r="J64" i="1078" s="1"/>
  <c r="J89" i="1078" s="1"/>
  <c r="I7" i="1078"/>
  <c r="I130" i="1078" l="1"/>
  <c r="H131" i="1078"/>
  <c r="H7" i="1078"/>
  <c r="I54" i="1078"/>
  <c r="H54" i="1078" s="1"/>
  <c r="H65" i="1078"/>
  <c r="C41" i="1058"/>
  <c r="C41" i="1057"/>
  <c r="C59" i="1105"/>
  <c r="C59" i="1103"/>
  <c r="C48" i="1058"/>
  <c r="C47" i="1058"/>
  <c r="C49" i="1057"/>
  <c r="C48" i="1057"/>
  <c r="C47" i="1057"/>
  <c r="C49" i="1056"/>
  <c r="C48" i="1056"/>
  <c r="C47" i="1056"/>
  <c r="C19" i="1058"/>
  <c r="C14" i="1057"/>
  <c r="C11" i="1057"/>
  <c r="C23" i="1057"/>
  <c r="C19" i="1056"/>
  <c r="C14" i="1056"/>
  <c r="C11" i="1056"/>
  <c r="C23" i="1056"/>
  <c r="C96" i="1055"/>
  <c r="C95" i="1055"/>
  <c r="C112" i="1054"/>
  <c r="C110" i="1054"/>
  <c r="C105" i="1054"/>
  <c r="C95" i="1054"/>
  <c r="C94" i="1054"/>
  <c r="C112" i="1053"/>
  <c r="C110" i="1053"/>
  <c r="C105" i="1053"/>
  <c r="C96" i="1053"/>
  <c r="C95" i="1053"/>
  <c r="C94" i="1053"/>
  <c r="C13" i="1054"/>
  <c r="C13" i="1053"/>
  <c r="I156" i="1078" l="1"/>
  <c r="H156" i="1078" s="1"/>
  <c r="H130" i="1078"/>
  <c r="I64" i="1078"/>
  <c r="D112" i="1044"/>
  <c r="D94" i="1045"/>
  <c r="C95" i="1046"/>
  <c r="C94" i="1046"/>
  <c r="D96" i="1045"/>
  <c r="D95" i="1045"/>
  <c r="D115" i="1044"/>
  <c r="D110" i="1044"/>
  <c r="D96" i="1044"/>
  <c r="D95" i="1044"/>
  <c r="D94" i="1044"/>
  <c r="D17" i="1044"/>
  <c r="C45" i="1046"/>
  <c r="D73" i="1044"/>
  <c r="D40" i="1044"/>
  <c r="D37" i="1044"/>
  <c r="D10" i="1044"/>
  <c r="H16" i="1106"/>
  <c r="B16" i="1106"/>
  <c r="J15" i="1106"/>
  <c r="C15" i="1106" s="1"/>
  <c r="D15" i="1106" s="1"/>
  <c r="J14" i="1106"/>
  <c r="C14" i="1106"/>
  <c r="D14" i="1106" s="1"/>
  <c r="G13" i="1106"/>
  <c r="F13" i="1106"/>
  <c r="E13" i="1106"/>
  <c r="J13" i="1106" s="1"/>
  <c r="C13" i="1106" s="1"/>
  <c r="B13" i="1106"/>
  <c r="J12" i="1106"/>
  <c r="C12" i="1106"/>
  <c r="D12" i="1106" s="1"/>
  <c r="I11" i="1106"/>
  <c r="I16" i="1106" s="1"/>
  <c r="G11" i="1106"/>
  <c r="G16" i="1106" s="1"/>
  <c r="F11" i="1106"/>
  <c r="F16" i="1106" s="1"/>
  <c r="E11" i="1106"/>
  <c r="E16" i="1106" s="1"/>
  <c r="J10" i="1106"/>
  <c r="C10" i="1106"/>
  <c r="C51" i="1105"/>
  <c r="C48" i="1105"/>
  <c r="C47" i="1105"/>
  <c r="C46" i="1105"/>
  <c r="C45" i="1105"/>
  <c r="C57" i="1105" s="1"/>
  <c r="C40" i="1105"/>
  <c r="C37" i="1105" s="1"/>
  <c r="C30" i="1105"/>
  <c r="C26" i="1105"/>
  <c r="C20" i="1105"/>
  <c r="C8" i="1105"/>
  <c r="C36" i="1105" s="1"/>
  <c r="C41" i="1105" s="1"/>
  <c r="C51" i="1104"/>
  <c r="C45" i="1104"/>
  <c r="C57" i="1104" s="1"/>
  <c r="C40" i="1104"/>
  <c r="C38" i="1104"/>
  <c r="C37" i="1104" s="1"/>
  <c r="C30" i="1104"/>
  <c r="C26" i="1104"/>
  <c r="C20" i="1104"/>
  <c r="C8" i="1104"/>
  <c r="C36" i="1104" s="1"/>
  <c r="C41" i="1104" s="1"/>
  <c r="C51" i="1103"/>
  <c r="C48" i="1103"/>
  <c r="C47" i="1103"/>
  <c r="C46" i="1103"/>
  <c r="C45" i="1103"/>
  <c r="C57" i="1103" s="1"/>
  <c r="C40" i="1103"/>
  <c r="C38" i="1103"/>
  <c r="C37" i="1103"/>
  <c r="C30" i="1103"/>
  <c r="C26" i="1103"/>
  <c r="C20" i="1103"/>
  <c r="C8" i="1103"/>
  <c r="C36" i="1103" s="1"/>
  <c r="C41" i="1103" s="1"/>
  <c r="C52" i="1102"/>
  <c r="C51" i="1102"/>
  <c r="C48" i="1102"/>
  <c r="C47" i="1102"/>
  <c r="C45" i="1102" s="1"/>
  <c r="C57" i="1102" s="1"/>
  <c r="C46" i="1102"/>
  <c r="C40" i="1102"/>
  <c r="C37" i="1102" s="1"/>
  <c r="C30" i="1102"/>
  <c r="C26" i="1102"/>
  <c r="C20" i="1102"/>
  <c r="C8" i="1102"/>
  <c r="C36" i="1102" s="1"/>
  <c r="C41" i="1102" s="1"/>
  <c r="C52" i="1101"/>
  <c r="C51" i="1101" s="1"/>
  <c r="C48" i="1101"/>
  <c r="C47" i="1101"/>
  <c r="C46" i="1101"/>
  <c r="C45" i="1101" s="1"/>
  <c r="C57" i="1101" s="1"/>
  <c r="C40" i="1101"/>
  <c r="C37" i="1101"/>
  <c r="C30" i="1101"/>
  <c r="C26" i="1101"/>
  <c r="C20" i="1101"/>
  <c r="C8" i="1101"/>
  <c r="C36" i="1101" s="1"/>
  <c r="C41" i="1101" s="1"/>
  <c r="I89" i="1078" l="1"/>
  <c r="H89" i="1078" s="1"/>
  <c r="H64" i="1078"/>
  <c r="D13" i="1106"/>
  <c r="D10" i="1106"/>
  <c r="J11" i="1106"/>
  <c r="C11" i="1106" s="1"/>
  <c r="D11" i="1106" s="1"/>
  <c r="D16" i="1106" l="1"/>
  <c r="C16" i="1106"/>
  <c r="J16" i="1106"/>
  <c r="D96" i="1043" l="1"/>
  <c r="D94" i="1043"/>
  <c r="D95" i="1043"/>
  <c r="D112" i="1043"/>
  <c r="D116" i="1043"/>
  <c r="D115" i="1043"/>
  <c r="D25" i="1043"/>
  <c r="D24" i="1043"/>
  <c r="C11" i="1047" l="1"/>
  <c r="C9" i="1047"/>
  <c r="C8" i="1047"/>
  <c r="D110" i="1043"/>
  <c r="D73" i="1043"/>
  <c r="F73" i="1043"/>
  <c r="D45" i="1043"/>
  <c r="D40" i="1043"/>
  <c r="D37" i="1043"/>
  <c r="D17" i="1043"/>
  <c r="D10" i="1043"/>
  <c r="I23" i="1073" l="1"/>
  <c r="C116" i="1078"/>
  <c r="C147" i="1078"/>
  <c r="C135" i="1078"/>
  <c r="C142" i="1078"/>
  <c r="C131" i="1078"/>
  <c r="C113" i="1078"/>
  <c r="C95" i="1078" s="1"/>
  <c r="C81" i="1078"/>
  <c r="C77" i="1078"/>
  <c r="C74" i="1078"/>
  <c r="C69" i="1078"/>
  <c r="C65" i="1078"/>
  <c r="C88" i="1078" s="1"/>
  <c r="C89" i="1078" s="1"/>
  <c r="C64" i="1078"/>
  <c r="C59" i="1078"/>
  <c r="C54" i="1078"/>
  <c r="C48" i="1078"/>
  <c r="C36" i="1078"/>
  <c r="C28" i="1078"/>
  <c r="C29" i="1078"/>
  <c r="C7" i="1078"/>
  <c r="H27" i="1100"/>
  <c r="G27" i="1100"/>
  <c r="F27" i="1100"/>
  <c r="E27" i="1100"/>
  <c r="D27" i="1100"/>
  <c r="I22" i="1100"/>
  <c r="I21" i="1100"/>
  <c r="I20" i="1100"/>
  <c r="I19" i="1100"/>
  <c r="I18" i="1100"/>
  <c r="I17" i="1100"/>
  <c r="I16" i="1100"/>
  <c r="I15" i="1100"/>
  <c r="I14" i="1100"/>
  <c r="I13" i="1100"/>
  <c r="I12" i="1100"/>
  <c r="I11" i="1100"/>
  <c r="I10" i="1100"/>
  <c r="I9" i="1100"/>
  <c r="I7" i="1100"/>
  <c r="I6" i="1100"/>
  <c r="G21" i="1099"/>
  <c r="F21" i="1099"/>
  <c r="E21" i="1099"/>
  <c r="D21" i="1099"/>
  <c r="C21" i="1099"/>
  <c r="H20" i="1099"/>
  <c r="H19" i="1099"/>
  <c r="H18" i="1099"/>
  <c r="H17" i="1099"/>
  <c r="H16" i="1099"/>
  <c r="H15" i="1099"/>
  <c r="H14" i="1099"/>
  <c r="H13" i="1099"/>
  <c r="H12" i="1099"/>
  <c r="H11" i="1099"/>
  <c r="H10" i="1099"/>
  <c r="H9" i="1099"/>
  <c r="H8" i="1099"/>
  <c r="H7" i="1099"/>
  <c r="H6" i="1099"/>
  <c r="D154" i="1078"/>
  <c r="D153" i="1078"/>
  <c r="D152" i="1078"/>
  <c r="D151" i="1078"/>
  <c r="D150" i="1078"/>
  <c r="D149" i="1078"/>
  <c r="D148" i="1078"/>
  <c r="G147" i="1078"/>
  <c r="F147" i="1078"/>
  <c r="E147" i="1078"/>
  <c r="D147" i="1078"/>
  <c r="D146" i="1078"/>
  <c r="D145" i="1078"/>
  <c r="E144" i="1078"/>
  <c r="D144" i="1078"/>
  <c r="D143" i="1078"/>
  <c r="G142" i="1078"/>
  <c r="F142" i="1078"/>
  <c r="E142" i="1078"/>
  <c r="D142" i="1078"/>
  <c r="D141" i="1078"/>
  <c r="D140" i="1078"/>
  <c r="D139" i="1078"/>
  <c r="D138" i="1078"/>
  <c r="D137" i="1078"/>
  <c r="D135" i="1078" s="1"/>
  <c r="D136" i="1078"/>
  <c r="G135" i="1078"/>
  <c r="F135" i="1078"/>
  <c r="E135" i="1078"/>
  <c r="D134" i="1078"/>
  <c r="D133" i="1078"/>
  <c r="D132" i="1078"/>
  <c r="G131" i="1078"/>
  <c r="G155" i="1078" s="1"/>
  <c r="F131" i="1078"/>
  <c r="F155" i="1078" s="1"/>
  <c r="E131" i="1078"/>
  <c r="E155" i="1078" s="1"/>
  <c r="D131" i="1078"/>
  <c r="E129" i="1078"/>
  <c r="D129" i="1078"/>
  <c r="D128" i="1078"/>
  <c r="D127" i="1078"/>
  <c r="D126" i="1078"/>
  <c r="D125" i="1078"/>
  <c r="D124" i="1078"/>
  <c r="D123" i="1078"/>
  <c r="D121" i="1078" s="1"/>
  <c r="D116" i="1078" s="1"/>
  <c r="D122" i="1078"/>
  <c r="E121" i="1078"/>
  <c r="D120" i="1078"/>
  <c r="E119" i="1078"/>
  <c r="D119" i="1078"/>
  <c r="E118" i="1078"/>
  <c r="D118" i="1078"/>
  <c r="E117" i="1078"/>
  <c r="D117" i="1078"/>
  <c r="G116" i="1078"/>
  <c r="F116" i="1078"/>
  <c r="E116" i="1078"/>
  <c r="E115" i="1078"/>
  <c r="D115" i="1078"/>
  <c r="E114" i="1078"/>
  <c r="D114" i="1078"/>
  <c r="D113" i="1078" s="1"/>
  <c r="G113" i="1078"/>
  <c r="E113" i="1078"/>
  <c r="E112" i="1078"/>
  <c r="D112" i="1078" s="1"/>
  <c r="D111" i="1078"/>
  <c r="D110" i="1078"/>
  <c r="D109" i="1078"/>
  <c r="D108" i="1078"/>
  <c r="D107" i="1078"/>
  <c r="D106" i="1078"/>
  <c r="D105" i="1078"/>
  <c r="D104" i="1078"/>
  <c r="D103" i="1078"/>
  <c r="D102" i="1078"/>
  <c r="D101" i="1078"/>
  <c r="F100" i="1078"/>
  <c r="E100" i="1078"/>
  <c r="E99" i="1078"/>
  <c r="D99" i="1078" s="1"/>
  <c r="E98" i="1078"/>
  <c r="D98" i="1078" s="1"/>
  <c r="E97" i="1078"/>
  <c r="D97" i="1078" s="1"/>
  <c r="E96" i="1078"/>
  <c r="D96" i="1078" s="1"/>
  <c r="G95" i="1078"/>
  <c r="G130" i="1078" s="1"/>
  <c r="G156" i="1078" s="1"/>
  <c r="F95" i="1078"/>
  <c r="F130" i="1078" s="1"/>
  <c r="F156" i="1078" s="1"/>
  <c r="E95" i="1078"/>
  <c r="E130" i="1078" s="1"/>
  <c r="E156" i="1078" s="1"/>
  <c r="D87" i="1078"/>
  <c r="D88" i="1078" s="1"/>
  <c r="D86" i="1078"/>
  <c r="D85" i="1078"/>
  <c r="D84" i="1078"/>
  <c r="D83" i="1078"/>
  <c r="D82" i="1078"/>
  <c r="G81" i="1078"/>
  <c r="F81" i="1078"/>
  <c r="E81" i="1078"/>
  <c r="D81" i="1078"/>
  <c r="D80" i="1078"/>
  <c r="D79" i="1078"/>
  <c r="D78" i="1078"/>
  <c r="G77" i="1078"/>
  <c r="F77" i="1078"/>
  <c r="E77" i="1078"/>
  <c r="D77" i="1078"/>
  <c r="D76" i="1078"/>
  <c r="D75" i="1078"/>
  <c r="G74" i="1078"/>
  <c r="F74" i="1078"/>
  <c r="E74" i="1078"/>
  <c r="D74" i="1078"/>
  <c r="D73" i="1078"/>
  <c r="D72" i="1078"/>
  <c r="D71" i="1078"/>
  <c r="D70" i="1078"/>
  <c r="G69" i="1078"/>
  <c r="F69" i="1078"/>
  <c r="E69" i="1078"/>
  <c r="D69" i="1078"/>
  <c r="D68" i="1078"/>
  <c r="D67" i="1078"/>
  <c r="D66" i="1078"/>
  <c r="G65" i="1078"/>
  <c r="G88" i="1078" s="1"/>
  <c r="F65" i="1078"/>
  <c r="F88" i="1078" s="1"/>
  <c r="E65" i="1078"/>
  <c r="E88" i="1078" s="1"/>
  <c r="D65" i="1078"/>
  <c r="D63" i="1078"/>
  <c r="D62" i="1078"/>
  <c r="D61" i="1078"/>
  <c r="D60" i="1078"/>
  <c r="G59" i="1078"/>
  <c r="F59" i="1078"/>
  <c r="E59" i="1078"/>
  <c r="D59" i="1078"/>
  <c r="D58" i="1078"/>
  <c r="E57" i="1078"/>
  <c r="D57" i="1078"/>
  <c r="E56" i="1078"/>
  <c r="D56" i="1078"/>
  <c r="D54" i="1078" s="1"/>
  <c r="D55" i="1078"/>
  <c r="G54" i="1078"/>
  <c r="F54" i="1078"/>
  <c r="E54" i="1078"/>
  <c r="D53" i="1078"/>
  <c r="D52" i="1078"/>
  <c r="E50" i="1078"/>
  <c r="D50" i="1078" s="1"/>
  <c r="D48" i="1078" s="1"/>
  <c r="D49" i="1078"/>
  <c r="G48" i="1078"/>
  <c r="F48" i="1078"/>
  <c r="E48" i="1078"/>
  <c r="E47" i="1078"/>
  <c r="D47" i="1078"/>
  <c r="E46" i="1078"/>
  <c r="D46" i="1078"/>
  <c r="D45" i="1078"/>
  <c r="D44" i="1078"/>
  <c r="D43" i="1078"/>
  <c r="E42" i="1078"/>
  <c r="D42" i="1078" s="1"/>
  <c r="G41" i="1078"/>
  <c r="D41" i="1078" s="1"/>
  <c r="E40" i="1078"/>
  <c r="D40" i="1078" s="1"/>
  <c r="E39" i="1078"/>
  <c r="D39" i="1078"/>
  <c r="E38" i="1078"/>
  <c r="D38" i="1078"/>
  <c r="E37" i="1078"/>
  <c r="D37" i="1078"/>
  <c r="G36" i="1078"/>
  <c r="F36" i="1078"/>
  <c r="E36" i="1078"/>
  <c r="D35" i="1078"/>
  <c r="D34" i="1078"/>
  <c r="E33" i="1078"/>
  <c r="D33" i="1078"/>
  <c r="D32" i="1078"/>
  <c r="E31" i="1078"/>
  <c r="D31" i="1078" s="1"/>
  <c r="E30" i="1078"/>
  <c r="D30" i="1078" s="1"/>
  <c r="E29" i="1078"/>
  <c r="G28" i="1078"/>
  <c r="F28" i="1078"/>
  <c r="E28" i="1078"/>
  <c r="D27" i="1078"/>
  <c r="E26" i="1078"/>
  <c r="D26" i="1078"/>
  <c r="D25" i="1078"/>
  <c r="D24" i="1078"/>
  <c r="D23" i="1078"/>
  <c r="D22" i="1078"/>
  <c r="G21" i="1078"/>
  <c r="F21" i="1078"/>
  <c r="E21" i="1078"/>
  <c r="D21" i="1078"/>
  <c r="D20" i="1078"/>
  <c r="E19" i="1078"/>
  <c r="D19" i="1078" s="1"/>
  <c r="D14" i="1078" s="1"/>
  <c r="D18" i="1078"/>
  <c r="D17" i="1078"/>
  <c r="D16" i="1078"/>
  <c r="D15" i="1078"/>
  <c r="G14" i="1078"/>
  <c r="F14" i="1078"/>
  <c r="E14" i="1078"/>
  <c r="D13" i="1078"/>
  <c r="E12" i="1078"/>
  <c r="D12" i="1078"/>
  <c r="E11" i="1078"/>
  <c r="D11" i="1078"/>
  <c r="E10" i="1078"/>
  <c r="D10" i="1078"/>
  <c r="D9" i="1078"/>
  <c r="D8" i="1078"/>
  <c r="G7" i="1078"/>
  <c r="G64" i="1078" s="1"/>
  <c r="F7" i="1078"/>
  <c r="F64" i="1078" s="1"/>
  <c r="F89" i="1078" s="1"/>
  <c r="E7" i="1078"/>
  <c r="E64" i="1078" s="1"/>
  <c r="D7" i="1078"/>
  <c r="C155" i="1078" l="1"/>
  <c r="C130" i="1078"/>
  <c r="C156" i="1078" s="1"/>
  <c r="I8" i="1100"/>
  <c r="I27" i="1100" s="1"/>
  <c r="H21" i="1099"/>
  <c r="D100" i="1078"/>
  <c r="D95" i="1078" s="1"/>
  <c r="D130" i="1078" s="1"/>
  <c r="D155" i="1078"/>
  <c r="E89" i="1078"/>
  <c r="G89" i="1078"/>
  <c r="D29" i="1078"/>
  <c r="D28" i="1078" s="1"/>
  <c r="D36" i="1078"/>
  <c r="D64" i="1078" s="1"/>
  <c r="D89" i="1078" s="1"/>
  <c r="D156" i="1078" l="1"/>
  <c r="D26" i="1071" l="1"/>
  <c r="C10" i="1057"/>
  <c r="E9" i="1056"/>
  <c r="E10" i="1056"/>
  <c r="E11" i="1056"/>
  <c r="E12" i="1056"/>
  <c r="E13" i="1056"/>
  <c r="E14" i="1056"/>
  <c r="E15" i="1056"/>
  <c r="E16" i="1056"/>
  <c r="E17" i="1056"/>
  <c r="E18" i="1056"/>
  <c r="E19" i="1056"/>
  <c r="E21" i="1056"/>
  <c r="E22" i="1056"/>
  <c r="E23" i="1056"/>
  <c r="E24" i="1056"/>
  <c r="E25" i="1056"/>
  <c r="E26" i="1056"/>
  <c r="E27" i="1056"/>
  <c r="E28" i="1056"/>
  <c r="E29" i="1056"/>
  <c r="E30" i="1056"/>
  <c r="E31" i="1056"/>
  <c r="E32" i="1056"/>
  <c r="E33" i="1056"/>
  <c r="E34" i="1056"/>
  <c r="E35" i="1056"/>
  <c r="E36" i="1056"/>
  <c r="E39" i="1056"/>
  <c r="E40" i="1056"/>
  <c r="E41" i="1056"/>
  <c r="E43" i="1056"/>
  <c r="E44" i="1056"/>
  <c r="E45" i="1056"/>
  <c r="E47" i="1056"/>
  <c r="E48" i="1056"/>
  <c r="E49" i="1056"/>
  <c r="E50" i="1056"/>
  <c r="E51" i="1056"/>
  <c r="E52" i="1056"/>
  <c r="E53" i="1056"/>
  <c r="E54" i="1056"/>
  <c r="E55" i="1056"/>
  <c r="E56" i="1056"/>
  <c r="E57" i="1056"/>
  <c r="E59" i="1056"/>
  <c r="E60" i="1056"/>
  <c r="E61" i="1056"/>
  <c r="B17" i="1050"/>
  <c r="D17" i="1050"/>
  <c r="C96" i="1054"/>
  <c r="C44" i="1075"/>
  <c r="C27" i="1054"/>
  <c r="C27" i="1053"/>
  <c r="D25" i="1044"/>
  <c r="D24" i="1044"/>
  <c r="E79" i="1050" l="1"/>
  <c r="D79" i="1050"/>
  <c r="B79" i="1050"/>
  <c r="F78" i="1050"/>
  <c r="F75" i="1050"/>
  <c r="F73" i="1050"/>
  <c r="F69" i="1050"/>
  <c r="F68" i="1050"/>
  <c r="F67" i="1050"/>
  <c r="F66" i="1050"/>
  <c r="F65" i="1050"/>
  <c r="F64" i="1050"/>
  <c r="F63" i="1050"/>
  <c r="F62" i="1050"/>
  <c r="F61" i="1050"/>
  <c r="F60" i="1050"/>
  <c r="F57" i="1050"/>
  <c r="F56" i="1050"/>
  <c r="F55" i="1050"/>
  <c r="F54" i="1050"/>
  <c r="F53" i="1050"/>
  <c r="F52" i="1050"/>
  <c r="F51" i="1050"/>
  <c r="F50" i="1050"/>
  <c r="F49" i="1050"/>
  <c r="F48" i="1050"/>
  <c r="F47" i="1050"/>
  <c r="F46" i="1050"/>
  <c r="F45" i="1050"/>
  <c r="F44" i="1050"/>
  <c r="F43" i="1050"/>
  <c r="F42" i="1050"/>
  <c r="F41" i="1050"/>
  <c r="F40" i="1050"/>
  <c r="F39" i="1050"/>
  <c r="F38" i="1050"/>
  <c r="F37" i="1050"/>
  <c r="F36" i="1050"/>
  <c r="F35" i="1050"/>
  <c r="F34" i="1050"/>
  <c r="F33" i="1050"/>
  <c r="F32" i="1050"/>
  <c r="F31" i="1050"/>
  <c r="F30" i="1050"/>
  <c r="F29" i="1050"/>
  <c r="F28" i="1050"/>
  <c r="F27" i="1050"/>
  <c r="E30" i="1048" l="1"/>
  <c r="E29" i="1047"/>
  <c r="I47" i="1075" l="1"/>
  <c r="I35" i="1075"/>
  <c r="I32" i="1075"/>
  <c r="L32" i="1075"/>
  <c r="B29" i="1075"/>
  <c r="B27" i="1075"/>
  <c r="I27" i="1075"/>
  <c r="D21" i="1075"/>
  <c r="B45" i="1075"/>
  <c r="I44" i="1075"/>
  <c r="J45" i="1075"/>
  <c r="J44" i="1075"/>
  <c r="C115" i="1055"/>
  <c r="C110" i="1055"/>
  <c r="C98" i="1055"/>
  <c r="C94" i="1055"/>
  <c r="C57" i="1055"/>
  <c r="C20" i="1055"/>
  <c r="C117" i="1054"/>
  <c r="C116" i="1054"/>
  <c r="C115" i="1054"/>
  <c r="C98" i="1054"/>
  <c r="C97" i="1054"/>
  <c r="C43" i="1054"/>
  <c r="C40" i="1054"/>
  <c r="C39" i="1054"/>
  <c r="C20" i="1054"/>
  <c r="C11" i="1054"/>
  <c r="C130" i="1053"/>
  <c r="C117" i="1053"/>
  <c r="C116" i="1053"/>
  <c r="C115" i="1053"/>
  <c r="C98" i="1053"/>
  <c r="C97" i="1053"/>
  <c r="C57" i="1053"/>
  <c r="C48" i="1053"/>
  <c r="C43" i="1053"/>
  <c r="C40" i="1053"/>
  <c r="C39" i="1053"/>
  <c r="C36" i="1053"/>
  <c r="C35" i="1053"/>
  <c r="C31" i="1053"/>
  <c r="C20" i="1053"/>
  <c r="C12" i="1053"/>
  <c r="C11" i="1053"/>
  <c r="F62" i="1043"/>
  <c r="F5" i="1043"/>
  <c r="F12" i="1043"/>
  <c r="F19" i="1043"/>
  <c r="F26" i="1043"/>
  <c r="F34" i="1043"/>
  <c r="F46" i="1043"/>
  <c r="F52" i="1043"/>
  <c r="F57" i="1043"/>
  <c r="F63" i="1043"/>
  <c r="F67" i="1043"/>
  <c r="F72" i="1043"/>
  <c r="F86" i="1043" s="1"/>
  <c r="F75" i="1043"/>
  <c r="F79" i="1043"/>
  <c r="F87" i="1043" l="1"/>
  <c r="D116" i="1044" l="1"/>
  <c r="D54" i="1045"/>
  <c r="C48" i="1044"/>
  <c r="D115" i="1045"/>
  <c r="D17" i="1045"/>
  <c r="D110" i="1045"/>
  <c r="D98" i="1045"/>
  <c r="D98" i="1044"/>
  <c r="D97" i="1044"/>
  <c r="D8" i="1044"/>
  <c r="D36" i="1044"/>
  <c r="D117" i="1044"/>
  <c r="C116" i="1044"/>
  <c r="C117" i="1044"/>
  <c r="C118" i="1044"/>
  <c r="D111" i="1043"/>
  <c r="D117" i="1043"/>
  <c r="D8" i="1043"/>
  <c r="D98" i="1043"/>
  <c r="D97" i="1043"/>
  <c r="D130" i="1043"/>
  <c r="D9" i="1043"/>
  <c r="D54" i="1043"/>
  <c r="D33" i="1043"/>
  <c r="D32" i="1043"/>
  <c r="D28" i="1043"/>
  <c r="D36" i="1043"/>
  <c r="E36" i="1044"/>
  <c r="E96" i="1044"/>
  <c r="E95" i="1044"/>
  <c r="E94" i="1044"/>
  <c r="E40" i="1044"/>
  <c r="E96" i="1043" l="1"/>
  <c r="C96" i="1043" s="1"/>
  <c r="E95" i="1043"/>
  <c r="E94" i="1043"/>
  <c r="E40" i="1043"/>
  <c r="C40" i="1043" s="1"/>
  <c r="E36" i="1043"/>
  <c r="C36" i="1043" s="1"/>
  <c r="C95" i="1043"/>
  <c r="C97" i="1043"/>
  <c r="C98" i="1043"/>
  <c r="C99" i="1043"/>
  <c r="C100" i="1043"/>
  <c r="C101" i="1043"/>
  <c r="C102" i="1043"/>
  <c r="C103" i="1043"/>
  <c r="C104" i="1043"/>
  <c r="C105" i="1043"/>
  <c r="C106" i="1043"/>
  <c r="C107" i="1043"/>
  <c r="C108" i="1043"/>
  <c r="C109" i="1043"/>
  <c r="C110" i="1043"/>
  <c r="C111" i="1043"/>
  <c r="C112" i="1043"/>
  <c r="C113" i="1043"/>
  <c r="C115" i="1043"/>
  <c r="C116" i="1043"/>
  <c r="C117" i="1043"/>
  <c r="C118" i="1043"/>
  <c r="C119" i="1043"/>
  <c r="C120" i="1043"/>
  <c r="C121" i="1043"/>
  <c r="C122" i="1043"/>
  <c r="C123" i="1043"/>
  <c r="C124" i="1043"/>
  <c r="C125" i="1043"/>
  <c r="C126" i="1043"/>
  <c r="C127" i="1043"/>
  <c r="C130" i="1043"/>
  <c r="C131" i="1043"/>
  <c r="C132" i="1043"/>
  <c r="C133" i="1043"/>
  <c r="C134" i="1043"/>
  <c r="C135" i="1043"/>
  <c r="C136" i="1043"/>
  <c r="C137" i="1043"/>
  <c r="C138" i="1043"/>
  <c r="C139" i="1043"/>
  <c r="C141" i="1043"/>
  <c r="C142" i="1043"/>
  <c r="C143" i="1043"/>
  <c r="C144" i="1043"/>
  <c r="C145" i="1043"/>
  <c r="C146" i="1043"/>
  <c r="C147" i="1043"/>
  <c r="C148" i="1043"/>
  <c r="C149" i="1043"/>
  <c r="C150" i="1043"/>
  <c r="C151" i="1043"/>
  <c r="C152" i="1043"/>
  <c r="C94" i="1043"/>
  <c r="C6" i="1043"/>
  <c r="C7" i="1043"/>
  <c r="C8" i="1043"/>
  <c r="C9" i="1043"/>
  <c r="C10" i="1043"/>
  <c r="C13" i="1043"/>
  <c r="C14" i="1043"/>
  <c r="C15" i="1043"/>
  <c r="C16" i="1043"/>
  <c r="C17" i="1043"/>
  <c r="C18" i="1043"/>
  <c r="C20" i="1043"/>
  <c r="C21" i="1043"/>
  <c r="C22" i="1043"/>
  <c r="C23" i="1043"/>
  <c r="C24" i="1043"/>
  <c r="C25" i="1043"/>
  <c r="C28" i="1043"/>
  <c r="C29" i="1043"/>
  <c r="C30" i="1043"/>
  <c r="C31" i="1043"/>
  <c r="C32" i="1043"/>
  <c r="C33" i="1043"/>
  <c r="C35" i="1043"/>
  <c r="C37" i="1043"/>
  <c r="C38" i="1043"/>
  <c r="C39" i="1043"/>
  <c r="C41" i="1043"/>
  <c r="C42" i="1043"/>
  <c r="C43" i="1043"/>
  <c r="C44" i="1043"/>
  <c r="C45" i="1043"/>
  <c r="C47" i="1043"/>
  <c r="C48" i="1043"/>
  <c r="C49" i="1043"/>
  <c r="C50" i="1043"/>
  <c r="C51" i="1043"/>
  <c r="C53" i="1043"/>
  <c r="C54" i="1043"/>
  <c r="C55" i="1043"/>
  <c r="C56" i="1043"/>
  <c r="C57" i="1043"/>
  <c r="C58" i="1043"/>
  <c r="C59" i="1043"/>
  <c r="C60" i="1043"/>
  <c r="C61" i="1043"/>
  <c r="C64" i="1043"/>
  <c r="C65" i="1043"/>
  <c r="C66" i="1043"/>
  <c r="C67" i="1043"/>
  <c r="C68" i="1043"/>
  <c r="C69" i="1043"/>
  <c r="C70" i="1043"/>
  <c r="C71" i="1043"/>
  <c r="C73" i="1043"/>
  <c r="C74" i="1043"/>
  <c r="C75" i="1043"/>
  <c r="C76" i="1043"/>
  <c r="C77" i="1043"/>
  <c r="C78" i="1043"/>
  <c r="C79" i="1043"/>
  <c r="C80" i="1043"/>
  <c r="C81" i="1043"/>
  <c r="C82" i="1043"/>
  <c r="C83" i="1043"/>
  <c r="C84" i="1043"/>
  <c r="C85" i="1043"/>
  <c r="B28" i="1075" l="1"/>
  <c r="H93" i="1078"/>
  <c r="D93" i="1078"/>
  <c r="H92" i="1078"/>
  <c r="D27" i="1044" l="1"/>
  <c r="N53" i="1075" l="1"/>
  <c r="F52" i="1075"/>
  <c r="F54" i="1075" s="1"/>
  <c r="N51" i="1075"/>
  <c r="G51" i="1075"/>
  <c r="N50" i="1075"/>
  <c r="G50" i="1075"/>
  <c r="N49" i="1075"/>
  <c r="G49" i="1075"/>
  <c r="N48" i="1075"/>
  <c r="G48" i="1075"/>
  <c r="N47" i="1075"/>
  <c r="G47" i="1075"/>
  <c r="N46" i="1075"/>
  <c r="G46" i="1075"/>
  <c r="N45" i="1075"/>
  <c r="G45" i="1075"/>
  <c r="N44" i="1075"/>
  <c r="G44" i="1075"/>
  <c r="N43" i="1075"/>
  <c r="G43" i="1075"/>
  <c r="N42" i="1075"/>
  <c r="G42" i="1075"/>
  <c r="N41" i="1075"/>
  <c r="G41" i="1075"/>
  <c r="N40" i="1075"/>
  <c r="G40" i="1075"/>
  <c r="N39" i="1075"/>
  <c r="G39" i="1075"/>
  <c r="N38" i="1075"/>
  <c r="G38" i="1075"/>
  <c r="N37" i="1075"/>
  <c r="G37" i="1075"/>
  <c r="N36" i="1075"/>
  <c r="G36" i="1075"/>
  <c r="N35" i="1075"/>
  <c r="G35" i="1075"/>
  <c r="N34" i="1075"/>
  <c r="G34" i="1075"/>
  <c r="N33" i="1075"/>
  <c r="G33" i="1075"/>
  <c r="N32" i="1075"/>
  <c r="G32" i="1075"/>
  <c r="G31" i="1075"/>
  <c r="N30" i="1075"/>
  <c r="G30" i="1075"/>
  <c r="N29" i="1075"/>
  <c r="G29" i="1075"/>
  <c r="M28" i="1075"/>
  <c r="M52" i="1075" s="1"/>
  <c r="M54" i="1075" s="1"/>
  <c r="L28" i="1075"/>
  <c r="L52" i="1075" s="1"/>
  <c r="L54" i="1075" s="1"/>
  <c r="K28" i="1075"/>
  <c r="J28" i="1075"/>
  <c r="I28" i="1075"/>
  <c r="I52" i="1075" s="1"/>
  <c r="I54" i="1075" s="1"/>
  <c r="F28" i="1075"/>
  <c r="E28" i="1075"/>
  <c r="E52" i="1075" s="1"/>
  <c r="E54" i="1075" s="1"/>
  <c r="D28" i="1075"/>
  <c r="C28" i="1075"/>
  <c r="N27" i="1075"/>
  <c r="G27" i="1075"/>
  <c r="N26" i="1075"/>
  <c r="G26" i="1075"/>
  <c r="N25" i="1075"/>
  <c r="G25" i="1075"/>
  <c r="N24" i="1075"/>
  <c r="G24" i="1075"/>
  <c r="N23" i="1075"/>
  <c r="G23" i="1075"/>
  <c r="N22" i="1075"/>
  <c r="G22" i="1075"/>
  <c r="N21" i="1075"/>
  <c r="G21" i="1075"/>
  <c r="G20" i="1075" s="1"/>
  <c r="N20" i="1075"/>
  <c r="K20" i="1075"/>
  <c r="K52" i="1075" s="1"/>
  <c r="K54" i="1075" s="1"/>
  <c r="D20" i="1075"/>
  <c r="D52" i="1075" s="1"/>
  <c r="D54" i="1075" s="1"/>
  <c r="C20" i="1075"/>
  <c r="B20" i="1075"/>
  <c r="N19" i="1075"/>
  <c r="G19" i="1075"/>
  <c r="N18" i="1075"/>
  <c r="G18" i="1075"/>
  <c r="N17" i="1075"/>
  <c r="G17" i="1075"/>
  <c r="N16" i="1075"/>
  <c r="G16" i="1075"/>
  <c r="N15" i="1075"/>
  <c r="G15" i="1075"/>
  <c r="N14" i="1075"/>
  <c r="G14" i="1075"/>
  <c r="N13" i="1075"/>
  <c r="H13" i="1075"/>
  <c r="H52" i="1075" s="1"/>
  <c r="H54" i="1075" s="1"/>
  <c r="G13" i="1075"/>
  <c r="N12" i="1075"/>
  <c r="G12" i="1075"/>
  <c r="C12" i="1075"/>
  <c r="N11" i="1075"/>
  <c r="G11" i="1075"/>
  <c r="N10" i="1075"/>
  <c r="G10" i="1075"/>
  <c r="G9" i="1075"/>
  <c r="R26" i="1073"/>
  <c r="O25" i="1073"/>
  <c r="S25" i="1073" s="1"/>
  <c r="O24" i="1073"/>
  <c r="S24" i="1073" s="1"/>
  <c r="O23" i="1073"/>
  <c r="S23" i="1073" s="1"/>
  <c r="O22" i="1073"/>
  <c r="S22" i="1073" s="1"/>
  <c r="O21" i="1073"/>
  <c r="S21" i="1073" s="1"/>
  <c r="O20" i="1073"/>
  <c r="S20" i="1073" s="1"/>
  <c r="O19" i="1073"/>
  <c r="S19" i="1073" s="1"/>
  <c r="O18" i="1073"/>
  <c r="S18" i="1073" s="1"/>
  <c r="D26" i="1073"/>
  <c r="C26" i="1073"/>
  <c r="N26" i="1073"/>
  <c r="M26" i="1073"/>
  <c r="L26" i="1073"/>
  <c r="K26" i="1073"/>
  <c r="J26" i="1073"/>
  <c r="I26" i="1073"/>
  <c r="H26" i="1073"/>
  <c r="G26" i="1073"/>
  <c r="F26" i="1073"/>
  <c r="E26" i="1073"/>
  <c r="S15" i="1073"/>
  <c r="R14" i="1073"/>
  <c r="D14" i="1073"/>
  <c r="O13" i="1073"/>
  <c r="S13" i="1073" s="1"/>
  <c r="O12" i="1073"/>
  <c r="S12" i="1073" s="1"/>
  <c r="L14" i="1073"/>
  <c r="O10" i="1073"/>
  <c r="S10" i="1073" s="1"/>
  <c r="O9" i="1073"/>
  <c r="S9" i="1073" s="1"/>
  <c r="H14" i="1073"/>
  <c r="H27" i="1073" s="1"/>
  <c r="O7" i="1073"/>
  <c r="S7" i="1073" s="1"/>
  <c r="N14" i="1073"/>
  <c r="N27" i="1073" s="1"/>
  <c r="M14" i="1073"/>
  <c r="M27" i="1073" s="1"/>
  <c r="K14" i="1073"/>
  <c r="J14" i="1073"/>
  <c r="I14" i="1073"/>
  <c r="G14" i="1073"/>
  <c r="G27" i="1073" s="1"/>
  <c r="F14" i="1073"/>
  <c r="F27" i="1073" s="1"/>
  <c r="E14" i="1073"/>
  <c r="E27" i="1073" s="1"/>
  <c r="C14" i="1073"/>
  <c r="D28" i="1071"/>
  <c r="C52" i="1058"/>
  <c r="C46" i="1058"/>
  <c r="C38" i="1058"/>
  <c r="C31" i="1058"/>
  <c r="C26" i="1058"/>
  <c r="C20" i="1058"/>
  <c r="C8" i="1058"/>
  <c r="C37" i="1058" s="1"/>
  <c r="C42" i="1058" s="1"/>
  <c r="C52" i="1057"/>
  <c r="C46" i="1057"/>
  <c r="C38" i="1057"/>
  <c r="E38" i="1056" s="1"/>
  <c r="C31" i="1057"/>
  <c r="C26" i="1057"/>
  <c r="C20" i="1057"/>
  <c r="E20" i="1056" s="1"/>
  <c r="C8" i="1057"/>
  <c r="E8" i="1056" s="1"/>
  <c r="F61" i="1056"/>
  <c r="F60" i="1056"/>
  <c r="F57" i="1056"/>
  <c r="F56" i="1056"/>
  <c r="F55" i="1056"/>
  <c r="F54" i="1056"/>
  <c r="F53" i="1056"/>
  <c r="F51" i="1056"/>
  <c r="F50" i="1056"/>
  <c r="F49" i="1056"/>
  <c r="F48" i="1056"/>
  <c r="F47" i="1056"/>
  <c r="C46" i="1056"/>
  <c r="F41" i="1056"/>
  <c r="F40" i="1056"/>
  <c r="F39" i="1056"/>
  <c r="C38" i="1056"/>
  <c r="F36" i="1056"/>
  <c r="F35" i="1056"/>
  <c r="F34" i="1056"/>
  <c r="F33" i="1056"/>
  <c r="F32" i="1056"/>
  <c r="C31" i="1056"/>
  <c r="F31" i="1056" s="1"/>
  <c r="F30" i="1056"/>
  <c r="F29" i="1056"/>
  <c r="F28" i="1056"/>
  <c r="F27" i="1056"/>
  <c r="C26" i="1056"/>
  <c r="F26" i="1056" s="1"/>
  <c r="F25" i="1056"/>
  <c r="F24" i="1056"/>
  <c r="F23" i="1056"/>
  <c r="F22" i="1056"/>
  <c r="F21" i="1056"/>
  <c r="C20" i="1056"/>
  <c r="F19" i="1056"/>
  <c r="F18" i="1056"/>
  <c r="F17" i="1056"/>
  <c r="F16" i="1056"/>
  <c r="F15" i="1056"/>
  <c r="F14" i="1056"/>
  <c r="F13" i="1056"/>
  <c r="F12" i="1056"/>
  <c r="F11" i="1056"/>
  <c r="F10" i="1056"/>
  <c r="F9" i="1056"/>
  <c r="C8" i="1056"/>
  <c r="C37" i="1056" s="1"/>
  <c r="C146" i="1055"/>
  <c r="C140" i="1055"/>
  <c r="C133" i="1055"/>
  <c r="C129" i="1055"/>
  <c r="C154" i="1055" s="1"/>
  <c r="C114" i="1055"/>
  <c r="C93" i="1055"/>
  <c r="C82" i="1055"/>
  <c r="C78" i="1055"/>
  <c r="C75" i="1055"/>
  <c r="C70" i="1055"/>
  <c r="C66" i="1055"/>
  <c r="C89" i="1055" s="1"/>
  <c r="C60" i="1055"/>
  <c r="C55" i="1055"/>
  <c r="C49" i="1055"/>
  <c r="C37" i="1055"/>
  <c r="C30" i="1055"/>
  <c r="C29" i="1055" s="1"/>
  <c r="C22" i="1055"/>
  <c r="C15" i="1055"/>
  <c r="C8" i="1055"/>
  <c r="C146" i="1054"/>
  <c r="C140" i="1054"/>
  <c r="E140" i="1053" s="1"/>
  <c r="C133" i="1054"/>
  <c r="C129" i="1054"/>
  <c r="C154" i="1054" s="1"/>
  <c r="C114" i="1054"/>
  <c r="C111" i="1054"/>
  <c r="C93" i="1054" s="1"/>
  <c r="C82" i="1054"/>
  <c r="C78" i="1054"/>
  <c r="C75" i="1054"/>
  <c r="C70" i="1054"/>
  <c r="C66" i="1054"/>
  <c r="C89" i="1054" s="1"/>
  <c r="C60" i="1054"/>
  <c r="C55" i="1054"/>
  <c r="C49" i="1054"/>
  <c r="C37" i="1054"/>
  <c r="C30" i="1054"/>
  <c r="C29" i="1054" s="1"/>
  <c r="C22" i="1054"/>
  <c r="E22" i="1053" s="1"/>
  <c r="C15" i="1054"/>
  <c r="C8" i="1054"/>
  <c r="F8" i="1053" s="1"/>
  <c r="F158" i="1053"/>
  <c r="E158" i="1053"/>
  <c r="D158" i="1053"/>
  <c r="H158" i="1053" s="1"/>
  <c r="E157" i="1053"/>
  <c r="F157" i="1053" s="1"/>
  <c r="D157" i="1053"/>
  <c r="H157" i="1053" s="1"/>
  <c r="E156" i="1053"/>
  <c r="D156" i="1053"/>
  <c r="H156" i="1053" s="1"/>
  <c r="F153" i="1053"/>
  <c r="G153" i="1053" s="1"/>
  <c r="E153" i="1053"/>
  <c r="D153" i="1053"/>
  <c r="H153" i="1053" s="1"/>
  <c r="G152" i="1053"/>
  <c r="F152" i="1053"/>
  <c r="E152" i="1053"/>
  <c r="D152" i="1053"/>
  <c r="H152" i="1053" s="1"/>
  <c r="F151" i="1053"/>
  <c r="G151" i="1053" s="1"/>
  <c r="E151" i="1053"/>
  <c r="D151" i="1053"/>
  <c r="H151" i="1053" s="1"/>
  <c r="G150" i="1053"/>
  <c r="F150" i="1053"/>
  <c r="E150" i="1053"/>
  <c r="D150" i="1053"/>
  <c r="H150" i="1053" s="1"/>
  <c r="F149" i="1053"/>
  <c r="G149" i="1053" s="1"/>
  <c r="E149" i="1053"/>
  <c r="D149" i="1053"/>
  <c r="H149" i="1053" s="1"/>
  <c r="G148" i="1053"/>
  <c r="F148" i="1053"/>
  <c r="E148" i="1053"/>
  <c r="D148" i="1053"/>
  <c r="H148" i="1053" s="1"/>
  <c r="F147" i="1053"/>
  <c r="G147" i="1053" s="1"/>
  <c r="E147" i="1053"/>
  <c r="D147" i="1053"/>
  <c r="H147" i="1053" s="1"/>
  <c r="F146" i="1053"/>
  <c r="E146" i="1053"/>
  <c r="D146" i="1053"/>
  <c r="C146" i="1053"/>
  <c r="G146" i="1053" s="1"/>
  <c r="G145" i="1053"/>
  <c r="F145" i="1053"/>
  <c r="E145" i="1053"/>
  <c r="D145" i="1053"/>
  <c r="H145" i="1053" s="1"/>
  <c r="F144" i="1053"/>
  <c r="G144" i="1053" s="1"/>
  <c r="E144" i="1053"/>
  <c r="D144" i="1053"/>
  <c r="H144" i="1053" s="1"/>
  <c r="G143" i="1053"/>
  <c r="F143" i="1053"/>
  <c r="E143" i="1053"/>
  <c r="D143" i="1053"/>
  <c r="H143" i="1053" s="1"/>
  <c r="F142" i="1053"/>
  <c r="G142" i="1053" s="1"/>
  <c r="E142" i="1053"/>
  <c r="D142" i="1053"/>
  <c r="H142" i="1053" s="1"/>
  <c r="F141" i="1053"/>
  <c r="G141" i="1053" s="1"/>
  <c r="E141" i="1053"/>
  <c r="D141" i="1053"/>
  <c r="H141" i="1053" s="1"/>
  <c r="F140" i="1053"/>
  <c r="D140" i="1053"/>
  <c r="C140" i="1053"/>
  <c r="G139" i="1053"/>
  <c r="F139" i="1053"/>
  <c r="E139" i="1053"/>
  <c r="D139" i="1053"/>
  <c r="H139" i="1053" s="1"/>
  <c r="F138" i="1053"/>
  <c r="G138" i="1053" s="1"/>
  <c r="E138" i="1053"/>
  <c r="D138" i="1053"/>
  <c r="H138" i="1053" s="1"/>
  <c r="G137" i="1053"/>
  <c r="F137" i="1053"/>
  <c r="E137" i="1053"/>
  <c r="D137" i="1053"/>
  <c r="H137" i="1053" s="1"/>
  <c r="F136" i="1053"/>
  <c r="G136" i="1053" s="1"/>
  <c r="E136" i="1053"/>
  <c r="D136" i="1053"/>
  <c r="H136" i="1053" s="1"/>
  <c r="G135" i="1053"/>
  <c r="F135" i="1053"/>
  <c r="E135" i="1053"/>
  <c r="D135" i="1053"/>
  <c r="H135" i="1053" s="1"/>
  <c r="F134" i="1053"/>
  <c r="G134" i="1053" s="1"/>
  <c r="E134" i="1053"/>
  <c r="D134" i="1053"/>
  <c r="H134" i="1053" s="1"/>
  <c r="F133" i="1053"/>
  <c r="E133" i="1053"/>
  <c r="D133" i="1053"/>
  <c r="C133" i="1053"/>
  <c r="G133" i="1053" s="1"/>
  <c r="G132" i="1053"/>
  <c r="F132" i="1053"/>
  <c r="E132" i="1053"/>
  <c r="D132" i="1053"/>
  <c r="H132" i="1053" s="1"/>
  <c r="F131" i="1053"/>
  <c r="G131" i="1053" s="1"/>
  <c r="E131" i="1053"/>
  <c r="D131" i="1053"/>
  <c r="H131" i="1053" s="1"/>
  <c r="F130" i="1053"/>
  <c r="G130" i="1053" s="1"/>
  <c r="E130" i="1053"/>
  <c r="D130" i="1053"/>
  <c r="H130" i="1053" s="1"/>
  <c r="F129" i="1053"/>
  <c r="E129" i="1053"/>
  <c r="D129" i="1053"/>
  <c r="H129" i="1053" s="1"/>
  <c r="C129" i="1053"/>
  <c r="C154" i="1053" s="1"/>
  <c r="F127" i="1053"/>
  <c r="G127" i="1053" s="1"/>
  <c r="E127" i="1053"/>
  <c r="D127" i="1053"/>
  <c r="H127" i="1053" s="1"/>
  <c r="F126" i="1053"/>
  <c r="G126" i="1053" s="1"/>
  <c r="E126" i="1053"/>
  <c r="D126" i="1053"/>
  <c r="H126" i="1053" s="1"/>
  <c r="F125" i="1053"/>
  <c r="G125" i="1053" s="1"/>
  <c r="E125" i="1053"/>
  <c r="D125" i="1053"/>
  <c r="H125" i="1053" s="1"/>
  <c r="F124" i="1053"/>
  <c r="G124" i="1053" s="1"/>
  <c r="E124" i="1053"/>
  <c r="D124" i="1053"/>
  <c r="H124" i="1053" s="1"/>
  <c r="F123" i="1053"/>
  <c r="G123" i="1053" s="1"/>
  <c r="E123" i="1053"/>
  <c r="D123" i="1053"/>
  <c r="H123" i="1053" s="1"/>
  <c r="F122" i="1053"/>
  <c r="G122" i="1053" s="1"/>
  <c r="E122" i="1053"/>
  <c r="D122" i="1053"/>
  <c r="H122" i="1053" s="1"/>
  <c r="G121" i="1053"/>
  <c r="F121" i="1053"/>
  <c r="E121" i="1053"/>
  <c r="D121" i="1053"/>
  <c r="H121" i="1053" s="1"/>
  <c r="F120" i="1053"/>
  <c r="G120" i="1053" s="1"/>
  <c r="E120" i="1053"/>
  <c r="D120" i="1053"/>
  <c r="H120" i="1053" s="1"/>
  <c r="F119" i="1053"/>
  <c r="E119" i="1053"/>
  <c r="D119" i="1053"/>
  <c r="G119" i="1053"/>
  <c r="F118" i="1053"/>
  <c r="E118" i="1053"/>
  <c r="D118" i="1053"/>
  <c r="G118" i="1053"/>
  <c r="F117" i="1053"/>
  <c r="E117" i="1053"/>
  <c r="D117" i="1053"/>
  <c r="G117" i="1053"/>
  <c r="F116" i="1053"/>
  <c r="E116" i="1053"/>
  <c r="D116" i="1053"/>
  <c r="G116" i="1053"/>
  <c r="F115" i="1053"/>
  <c r="G115" i="1053" s="1"/>
  <c r="E115" i="1053"/>
  <c r="D115" i="1053"/>
  <c r="C114" i="1053"/>
  <c r="F113" i="1053"/>
  <c r="G113" i="1053" s="1"/>
  <c r="E113" i="1053"/>
  <c r="D113" i="1053"/>
  <c r="F112" i="1053"/>
  <c r="G112" i="1053" s="1"/>
  <c r="E112" i="1053"/>
  <c r="D112" i="1053"/>
  <c r="F111" i="1053"/>
  <c r="E111" i="1053"/>
  <c r="D111" i="1053"/>
  <c r="C111" i="1053"/>
  <c r="F110" i="1053"/>
  <c r="G110" i="1053" s="1"/>
  <c r="E110" i="1053"/>
  <c r="D110" i="1053"/>
  <c r="F109" i="1053"/>
  <c r="G109" i="1053" s="1"/>
  <c r="E109" i="1053"/>
  <c r="D109" i="1053"/>
  <c r="H109" i="1053" s="1"/>
  <c r="F108" i="1053"/>
  <c r="G108" i="1053" s="1"/>
  <c r="E108" i="1053"/>
  <c r="D108" i="1053"/>
  <c r="H108" i="1053" s="1"/>
  <c r="G107" i="1053"/>
  <c r="F107" i="1053"/>
  <c r="E107" i="1053"/>
  <c r="D107" i="1053"/>
  <c r="H107" i="1053" s="1"/>
  <c r="F106" i="1053"/>
  <c r="G106" i="1053" s="1"/>
  <c r="E106" i="1053"/>
  <c r="D106" i="1053"/>
  <c r="H106" i="1053" s="1"/>
  <c r="F105" i="1053"/>
  <c r="G105" i="1053" s="1"/>
  <c r="E105" i="1053"/>
  <c r="D105" i="1053"/>
  <c r="F104" i="1053"/>
  <c r="G104" i="1053" s="1"/>
  <c r="E104" i="1053"/>
  <c r="D104" i="1053"/>
  <c r="H104" i="1053" s="1"/>
  <c r="F103" i="1053"/>
  <c r="G103" i="1053" s="1"/>
  <c r="E103" i="1053"/>
  <c r="D103" i="1053"/>
  <c r="H103" i="1053" s="1"/>
  <c r="F102" i="1053"/>
  <c r="G102" i="1053" s="1"/>
  <c r="E102" i="1053"/>
  <c r="D102" i="1053"/>
  <c r="H102" i="1053" s="1"/>
  <c r="F101" i="1053"/>
  <c r="G101" i="1053" s="1"/>
  <c r="E101" i="1053"/>
  <c r="D101" i="1053"/>
  <c r="H101" i="1053" s="1"/>
  <c r="F100" i="1053"/>
  <c r="G100" i="1053" s="1"/>
  <c r="E100" i="1053"/>
  <c r="D100" i="1053"/>
  <c r="H100" i="1053" s="1"/>
  <c r="F99" i="1053"/>
  <c r="G99" i="1053" s="1"/>
  <c r="E99" i="1053"/>
  <c r="D99" i="1053"/>
  <c r="H99" i="1053" s="1"/>
  <c r="F98" i="1053"/>
  <c r="E98" i="1053"/>
  <c r="D98" i="1053"/>
  <c r="F97" i="1053"/>
  <c r="G97" i="1053" s="1"/>
  <c r="E97" i="1053"/>
  <c r="D97" i="1053"/>
  <c r="H97" i="1053" s="1"/>
  <c r="F96" i="1053"/>
  <c r="G96" i="1053" s="1"/>
  <c r="E96" i="1053"/>
  <c r="D96" i="1053"/>
  <c r="H96" i="1053" s="1"/>
  <c r="F95" i="1053"/>
  <c r="G95" i="1053" s="1"/>
  <c r="E95" i="1053"/>
  <c r="D95" i="1053"/>
  <c r="H95" i="1053" s="1"/>
  <c r="F94" i="1053"/>
  <c r="G94" i="1053" s="1"/>
  <c r="E94" i="1053"/>
  <c r="D94" i="1053"/>
  <c r="H94" i="1053" s="1"/>
  <c r="E92" i="1053"/>
  <c r="D92" i="1053"/>
  <c r="H92" i="1053" s="1"/>
  <c r="E91" i="1053"/>
  <c r="D91" i="1053"/>
  <c r="H91" i="1053" s="1"/>
  <c r="F88" i="1053"/>
  <c r="G88" i="1053" s="1"/>
  <c r="E88" i="1053"/>
  <c r="D88" i="1053"/>
  <c r="H88" i="1053" s="1"/>
  <c r="G87" i="1053"/>
  <c r="F87" i="1053"/>
  <c r="E87" i="1053"/>
  <c r="D87" i="1053"/>
  <c r="H87" i="1053" s="1"/>
  <c r="F86" i="1053"/>
  <c r="G86" i="1053" s="1"/>
  <c r="E86" i="1053"/>
  <c r="D86" i="1053"/>
  <c r="H86" i="1053" s="1"/>
  <c r="G85" i="1053"/>
  <c r="F85" i="1053"/>
  <c r="E85" i="1053"/>
  <c r="D85" i="1053"/>
  <c r="H85" i="1053" s="1"/>
  <c r="F84" i="1053"/>
  <c r="G84" i="1053" s="1"/>
  <c r="E84" i="1053"/>
  <c r="D84" i="1053"/>
  <c r="H84" i="1053" s="1"/>
  <c r="G83" i="1053"/>
  <c r="F83" i="1053"/>
  <c r="E83" i="1053"/>
  <c r="D83" i="1053"/>
  <c r="H83" i="1053" s="1"/>
  <c r="F82" i="1053"/>
  <c r="E82" i="1053"/>
  <c r="D82" i="1053"/>
  <c r="H82" i="1053" s="1"/>
  <c r="C82" i="1053"/>
  <c r="G82" i="1053" s="1"/>
  <c r="F81" i="1053"/>
  <c r="G81" i="1053" s="1"/>
  <c r="E81" i="1053"/>
  <c r="D81" i="1053"/>
  <c r="H81" i="1053" s="1"/>
  <c r="G80" i="1053"/>
  <c r="F80" i="1053"/>
  <c r="E80" i="1053"/>
  <c r="D80" i="1053"/>
  <c r="H80" i="1053" s="1"/>
  <c r="F79" i="1053"/>
  <c r="G79" i="1053" s="1"/>
  <c r="E79" i="1053"/>
  <c r="D79" i="1053"/>
  <c r="H79" i="1053" s="1"/>
  <c r="F78" i="1053"/>
  <c r="E78" i="1053"/>
  <c r="D78" i="1053"/>
  <c r="C78" i="1053"/>
  <c r="G78" i="1053" s="1"/>
  <c r="G77" i="1053"/>
  <c r="F77" i="1053"/>
  <c r="E77" i="1053"/>
  <c r="D77" i="1053"/>
  <c r="H77" i="1053" s="1"/>
  <c r="F76" i="1053"/>
  <c r="G76" i="1053" s="1"/>
  <c r="E76" i="1053"/>
  <c r="D76" i="1053"/>
  <c r="H76" i="1053" s="1"/>
  <c r="F75" i="1053"/>
  <c r="E75" i="1053"/>
  <c r="D75" i="1053"/>
  <c r="C75" i="1053"/>
  <c r="G74" i="1053"/>
  <c r="F74" i="1053"/>
  <c r="E74" i="1053"/>
  <c r="D74" i="1053"/>
  <c r="H74" i="1053" s="1"/>
  <c r="F73" i="1053"/>
  <c r="G73" i="1053" s="1"/>
  <c r="E73" i="1053"/>
  <c r="D73" i="1053"/>
  <c r="H73" i="1053" s="1"/>
  <c r="G72" i="1053"/>
  <c r="F72" i="1053"/>
  <c r="E72" i="1053"/>
  <c r="D72" i="1053"/>
  <c r="H72" i="1053" s="1"/>
  <c r="F71" i="1053"/>
  <c r="G71" i="1053" s="1"/>
  <c r="E71" i="1053"/>
  <c r="D71" i="1053"/>
  <c r="H71" i="1053" s="1"/>
  <c r="F70" i="1053"/>
  <c r="E70" i="1053"/>
  <c r="D70" i="1053"/>
  <c r="C70" i="1053"/>
  <c r="G70" i="1053" s="1"/>
  <c r="G69" i="1053"/>
  <c r="F69" i="1053"/>
  <c r="E69" i="1053"/>
  <c r="D69" i="1053"/>
  <c r="H69" i="1053" s="1"/>
  <c r="F68" i="1053"/>
  <c r="G68" i="1053" s="1"/>
  <c r="E68" i="1053"/>
  <c r="D68" i="1053"/>
  <c r="H68" i="1053" s="1"/>
  <c r="F67" i="1053"/>
  <c r="E67" i="1053"/>
  <c r="D67" i="1053"/>
  <c r="G67" i="1053"/>
  <c r="F66" i="1053"/>
  <c r="E66" i="1053"/>
  <c r="D66" i="1053"/>
  <c r="C66" i="1053"/>
  <c r="G66" i="1053" s="1"/>
  <c r="G64" i="1053"/>
  <c r="F64" i="1053"/>
  <c r="E64" i="1053"/>
  <c r="D64" i="1053"/>
  <c r="H64" i="1053" s="1"/>
  <c r="F63" i="1053"/>
  <c r="G63" i="1053" s="1"/>
  <c r="E63" i="1053"/>
  <c r="D63" i="1053"/>
  <c r="H63" i="1053" s="1"/>
  <c r="G62" i="1053"/>
  <c r="F62" i="1053"/>
  <c r="E62" i="1053"/>
  <c r="D62" i="1053"/>
  <c r="H62" i="1053" s="1"/>
  <c r="F61" i="1053"/>
  <c r="G61" i="1053" s="1"/>
  <c r="E61" i="1053"/>
  <c r="D61" i="1053"/>
  <c r="H61" i="1053" s="1"/>
  <c r="F60" i="1053"/>
  <c r="E60" i="1053"/>
  <c r="D60" i="1053"/>
  <c r="C60" i="1053"/>
  <c r="G60" i="1053" s="1"/>
  <c r="G59" i="1053"/>
  <c r="F59" i="1053"/>
  <c r="E59" i="1053"/>
  <c r="D59" i="1053"/>
  <c r="H59" i="1053" s="1"/>
  <c r="F58" i="1053"/>
  <c r="E58" i="1053"/>
  <c r="D58" i="1053"/>
  <c r="H58" i="1053" s="1"/>
  <c r="F57" i="1053"/>
  <c r="E57" i="1053"/>
  <c r="D57" i="1053"/>
  <c r="H57" i="1053" s="1"/>
  <c r="G57" i="1053"/>
  <c r="F56" i="1053"/>
  <c r="G56" i="1053" s="1"/>
  <c r="E56" i="1053"/>
  <c r="D56" i="1053"/>
  <c r="H56" i="1053" s="1"/>
  <c r="F55" i="1053"/>
  <c r="E55" i="1053"/>
  <c r="D55" i="1053"/>
  <c r="C55" i="1053"/>
  <c r="G54" i="1053"/>
  <c r="F54" i="1053"/>
  <c r="E54" i="1053"/>
  <c r="D54" i="1053"/>
  <c r="H54" i="1053" s="1"/>
  <c r="F53" i="1053"/>
  <c r="G53" i="1053" s="1"/>
  <c r="E53" i="1053"/>
  <c r="D53" i="1053"/>
  <c r="H53" i="1053" s="1"/>
  <c r="G52" i="1053"/>
  <c r="F52" i="1053"/>
  <c r="E52" i="1053"/>
  <c r="D52" i="1053"/>
  <c r="H52" i="1053" s="1"/>
  <c r="F51" i="1053"/>
  <c r="G51" i="1053" s="1"/>
  <c r="E51" i="1053"/>
  <c r="D51" i="1053"/>
  <c r="H51" i="1053" s="1"/>
  <c r="F50" i="1053"/>
  <c r="G50" i="1053" s="1"/>
  <c r="E50" i="1053"/>
  <c r="D50" i="1053"/>
  <c r="H50" i="1053" s="1"/>
  <c r="F49" i="1053"/>
  <c r="E49" i="1053"/>
  <c r="D49" i="1053"/>
  <c r="C49" i="1053"/>
  <c r="G49" i="1053" s="1"/>
  <c r="F48" i="1053"/>
  <c r="G48" i="1053" s="1"/>
  <c r="E48" i="1053"/>
  <c r="D48" i="1053"/>
  <c r="F47" i="1053"/>
  <c r="G47" i="1053" s="1"/>
  <c r="E47" i="1053"/>
  <c r="D47" i="1053"/>
  <c r="F46" i="1053"/>
  <c r="G46" i="1053" s="1"/>
  <c r="E46" i="1053"/>
  <c r="D46" i="1053"/>
  <c r="H46" i="1053" s="1"/>
  <c r="F45" i="1053"/>
  <c r="G45" i="1053" s="1"/>
  <c r="E45" i="1053"/>
  <c r="D45" i="1053"/>
  <c r="H45" i="1053" s="1"/>
  <c r="F44" i="1053"/>
  <c r="G44" i="1053" s="1"/>
  <c r="E44" i="1053"/>
  <c r="D44" i="1053"/>
  <c r="H44" i="1053" s="1"/>
  <c r="F43" i="1053"/>
  <c r="G43" i="1053" s="1"/>
  <c r="E43" i="1053"/>
  <c r="D43" i="1053"/>
  <c r="H43" i="1053" s="1"/>
  <c r="F42" i="1053"/>
  <c r="G42" i="1053" s="1"/>
  <c r="E42" i="1053"/>
  <c r="D42" i="1053"/>
  <c r="H42" i="1053" s="1"/>
  <c r="F41" i="1053"/>
  <c r="G41" i="1053" s="1"/>
  <c r="E41" i="1053"/>
  <c r="D41" i="1053"/>
  <c r="F40" i="1053"/>
  <c r="G40" i="1053" s="1"/>
  <c r="E40" i="1053"/>
  <c r="D40" i="1053"/>
  <c r="F39" i="1053"/>
  <c r="G39" i="1053" s="1"/>
  <c r="E39" i="1053"/>
  <c r="D39" i="1053"/>
  <c r="F38" i="1053"/>
  <c r="G38" i="1053" s="1"/>
  <c r="E38" i="1053"/>
  <c r="D38" i="1053"/>
  <c r="F37" i="1053"/>
  <c r="E37" i="1053"/>
  <c r="D37" i="1053"/>
  <c r="C37" i="1053"/>
  <c r="F36" i="1053"/>
  <c r="G36" i="1053" s="1"/>
  <c r="E36" i="1053"/>
  <c r="D36" i="1053"/>
  <c r="F35" i="1053"/>
  <c r="G35" i="1053" s="1"/>
  <c r="E35" i="1053"/>
  <c r="D35" i="1053"/>
  <c r="F34" i="1053"/>
  <c r="G34" i="1053" s="1"/>
  <c r="E34" i="1053"/>
  <c r="D34" i="1053"/>
  <c r="G33" i="1053"/>
  <c r="F33" i="1053"/>
  <c r="E33" i="1053"/>
  <c r="D33" i="1053"/>
  <c r="H33" i="1053" s="1"/>
  <c r="F32" i="1053"/>
  <c r="G32" i="1053" s="1"/>
  <c r="E32" i="1053"/>
  <c r="D32" i="1053"/>
  <c r="H32" i="1053" s="1"/>
  <c r="F31" i="1053"/>
  <c r="G31" i="1053" s="1"/>
  <c r="E31" i="1053"/>
  <c r="D31" i="1053"/>
  <c r="H31" i="1053" s="1"/>
  <c r="F30" i="1053"/>
  <c r="E30" i="1053"/>
  <c r="D30" i="1053"/>
  <c r="C30" i="1053"/>
  <c r="F29" i="1053"/>
  <c r="E29" i="1053"/>
  <c r="D29" i="1053"/>
  <c r="C29" i="1053"/>
  <c r="F28" i="1053"/>
  <c r="G28" i="1053" s="1"/>
  <c r="E28" i="1053"/>
  <c r="D28" i="1053"/>
  <c r="H28" i="1053" s="1"/>
  <c r="F27" i="1053"/>
  <c r="G27" i="1053" s="1"/>
  <c r="E27" i="1053"/>
  <c r="D27" i="1053"/>
  <c r="H27" i="1053" s="1"/>
  <c r="F26" i="1053"/>
  <c r="G26" i="1053" s="1"/>
  <c r="E26" i="1053"/>
  <c r="D26" i="1053"/>
  <c r="H26" i="1053" s="1"/>
  <c r="G25" i="1053"/>
  <c r="F25" i="1053"/>
  <c r="E25" i="1053"/>
  <c r="D25" i="1053"/>
  <c r="H25" i="1053" s="1"/>
  <c r="F24" i="1053"/>
  <c r="G24" i="1053" s="1"/>
  <c r="E24" i="1053"/>
  <c r="D24" i="1053"/>
  <c r="H24" i="1053" s="1"/>
  <c r="F23" i="1053"/>
  <c r="G23" i="1053" s="1"/>
  <c r="E23" i="1053"/>
  <c r="D23" i="1053"/>
  <c r="H23" i="1053" s="1"/>
  <c r="F22" i="1053"/>
  <c r="D22" i="1053"/>
  <c r="C22" i="1053"/>
  <c r="F21" i="1053"/>
  <c r="G21" i="1053" s="1"/>
  <c r="E21" i="1053"/>
  <c r="D21" i="1053"/>
  <c r="H21" i="1053" s="1"/>
  <c r="F20" i="1053"/>
  <c r="G20" i="1053" s="1"/>
  <c r="E20" i="1053"/>
  <c r="D20" i="1053"/>
  <c r="G19" i="1053"/>
  <c r="F19" i="1053"/>
  <c r="E19" i="1053"/>
  <c r="D19" i="1053"/>
  <c r="H19" i="1053" s="1"/>
  <c r="F18" i="1053"/>
  <c r="G18" i="1053" s="1"/>
  <c r="E18" i="1053"/>
  <c r="D18" i="1053"/>
  <c r="H18" i="1053" s="1"/>
  <c r="G17" i="1053"/>
  <c r="F17" i="1053"/>
  <c r="E17" i="1053"/>
  <c r="D17" i="1053"/>
  <c r="H17" i="1053" s="1"/>
  <c r="F16" i="1053"/>
  <c r="G16" i="1053" s="1"/>
  <c r="E16" i="1053"/>
  <c r="D16" i="1053"/>
  <c r="H16" i="1053" s="1"/>
  <c r="F15" i="1053"/>
  <c r="E15" i="1053"/>
  <c r="D15" i="1053"/>
  <c r="C15" i="1053"/>
  <c r="F14" i="1053"/>
  <c r="G14" i="1053" s="1"/>
  <c r="E14" i="1053"/>
  <c r="D14" i="1053"/>
  <c r="H14" i="1053" s="1"/>
  <c r="F13" i="1053"/>
  <c r="E13" i="1053"/>
  <c r="D13" i="1053"/>
  <c r="H13" i="1053" s="1"/>
  <c r="F12" i="1053"/>
  <c r="E12" i="1053"/>
  <c r="D12" i="1053"/>
  <c r="H12" i="1053" s="1"/>
  <c r="F11" i="1053"/>
  <c r="E11" i="1053"/>
  <c r="D11" i="1053"/>
  <c r="H11" i="1053" s="1"/>
  <c r="F10" i="1053"/>
  <c r="E10" i="1053"/>
  <c r="D10" i="1053"/>
  <c r="H10" i="1053" s="1"/>
  <c r="F9" i="1053"/>
  <c r="E9" i="1053"/>
  <c r="D9" i="1053"/>
  <c r="H9" i="1053" s="1"/>
  <c r="C8" i="1053"/>
  <c r="F26" i="1050"/>
  <c r="F25" i="1050"/>
  <c r="F24" i="1050"/>
  <c r="F23" i="1050"/>
  <c r="F22" i="1050"/>
  <c r="F21" i="1050"/>
  <c r="F20" i="1050"/>
  <c r="F19" i="1050"/>
  <c r="F18" i="1050"/>
  <c r="F17" i="1050"/>
  <c r="F79" i="1050" s="1"/>
  <c r="F16" i="1050"/>
  <c r="F15" i="1050"/>
  <c r="F14" i="1050"/>
  <c r="F13" i="1050"/>
  <c r="F12" i="1050"/>
  <c r="F11" i="1050"/>
  <c r="F10" i="1050"/>
  <c r="F9" i="1050"/>
  <c r="F8" i="1050"/>
  <c r="F7" i="1050"/>
  <c r="F6" i="1050"/>
  <c r="C24" i="1048"/>
  <c r="C18" i="1048"/>
  <c r="E17" i="1048"/>
  <c r="C17" i="1048"/>
  <c r="C24" i="1047"/>
  <c r="C19" i="1047"/>
  <c r="E18" i="1047"/>
  <c r="E30" i="1047" s="1"/>
  <c r="C18" i="1047"/>
  <c r="E4" i="1047"/>
  <c r="C145" i="1046"/>
  <c r="C140" i="1046"/>
  <c r="C133" i="1046"/>
  <c r="C129" i="1046"/>
  <c r="C153" i="1046" s="1"/>
  <c r="C114" i="1046"/>
  <c r="C93" i="1046"/>
  <c r="C128" i="1046" s="1"/>
  <c r="C154" i="1046" s="1"/>
  <c r="C91" i="1046"/>
  <c r="C79" i="1046"/>
  <c r="C75" i="1046"/>
  <c r="C72" i="1046"/>
  <c r="C67" i="1046"/>
  <c r="C63" i="1046"/>
  <c r="C57" i="1046"/>
  <c r="C52" i="1046"/>
  <c r="C46" i="1046"/>
  <c r="C34" i="1046"/>
  <c r="C27" i="1046"/>
  <c r="C26" i="1046"/>
  <c r="C19" i="1046"/>
  <c r="C12" i="1046"/>
  <c r="C5" i="1046"/>
  <c r="C152" i="1045"/>
  <c r="C151" i="1045"/>
  <c r="C150" i="1045"/>
  <c r="C149" i="1045"/>
  <c r="C148" i="1045"/>
  <c r="C147" i="1045"/>
  <c r="C146" i="1045"/>
  <c r="F145" i="1045"/>
  <c r="E145" i="1045"/>
  <c r="D145" i="1045"/>
  <c r="C145" i="1045"/>
  <c r="C144" i="1045"/>
  <c r="C143" i="1045"/>
  <c r="C142" i="1045"/>
  <c r="C141" i="1045"/>
  <c r="F140" i="1045"/>
  <c r="E140" i="1045"/>
  <c r="D140" i="1045"/>
  <c r="C140" i="1045"/>
  <c r="C139" i="1045"/>
  <c r="C138" i="1045"/>
  <c r="C137" i="1045"/>
  <c r="C136" i="1045"/>
  <c r="C135" i="1045"/>
  <c r="C134" i="1045"/>
  <c r="F133" i="1045"/>
  <c r="E133" i="1045"/>
  <c r="D133" i="1045"/>
  <c r="C133" i="1045"/>
  <c r="C132" i="1045"/>
  <c r="C131" i="1045"/>
  <c r="C130" i="1045"/>
  <c r="F129" i="1045"/>
  <c r="F153" i="1045" s="1"/>
  <c r="E129" i="1045"/>
  <c r="E153" i="1045" s="1"/>
  <c r="D129" i="1045"/>
  <c r="D153" i="1045" s="1"/>
  <c r="C153" i="1045" s="1"/>
  <c r="C127" i="1045"/>
  <c r="C126" i="1045"/>
  <c r="C125" i="1045"/>
  <c r="C124" i="1045"/>
  <c r="C123" i="1045"/>
  <c r="C122" i="1045"/>
  <c r="C121" i="1045"/>
  <c r="C120" i="1045"/>
  <c r="C119" i="1045"/>
  <c r="C118" i="1045"/>
  <c r="C117" i="1045"/>
  <c r="C116" i="1045"/>
  <c r="C115" i="1045"/>
  <c r="F114" i="1045"/>
  <c r="E114" i="1045"/>
  <c r="D114" i="1045"/>
  <c r="C114" i="1045" s="1"/>
  <c r="C113" i="1045"/>
  <c r="C112" i="1045"/>
  <c r="C111" i="1045"/>
  <c r="C110" i="1045"/>
  <c r="C109" i="1045"/>
  <c r="C108" i="1045"/>
  <c r="C107" i="1045"/>
  <c r="C106" i="1045"/>
  <c r="C105" i="1045"/>
  <c r="C104" i="1045"/>
  <c r="C103" i="1045"/>
  <c r="C102" i="1045"/>
  <c r="C101" i="1045"/>
  <c r="C100" i="1045"/>
  <c r="C99" i="1045"/>
  <c r="C98" i="1045"/>
  <c r="C97" i="1045"/>
  <c r="C96" i="1045"/>
  <c r="C95" i="1045"/>
  <c r="H95" i="1043" s="1"/>
  <c r="I95" i="1043" s="1"/>
  <c r="C94" i="1045"/>
  <c r="F93" i="1045"/>
  <c r="F128" i="1045" s="1"/>
  <c r="F154" i="1045" s="1"/>
  <c r="E93" i="1045"/>
  <c r="E128" i="1045" s="1"/>
  <c r="E154" i="1045" s="1"/>
  <c r="D93" i="1045"/>
  <c r="D128" i="1045" s="1"/>
  <c r="C91" i="1045"/>
  <c r="C85" i="1045"/>
  <c r="C84" i="1045"/>
  <c r="C83" i="1045"/>
  <c r="C82" i="1045"/>
  <c r="C81" i="1045"/>
  <c r="C80" i="1045"/>
  <c r="F79" i="1045"/>
  <c r="E79" i="1045"/>
  <c r="D79" i="1045"/>
  <c r="C79" i="1045"/>
  <c r="C78" i="1045"/>
  <c r="C77" i="1045"/>
  <c r="C76" i="1045"/>
  <c r="F75" i="1045"/>
  <c r="E75" i="1045"/>
  <c r="D75" i="1045"/>
  <c r="C75" i="1045" s="1"/>
  <c r="C74" i="1045"/>
  <c r="C73" i="1045"/>
  <c r="F72" i="1045"/>
  <c r="E72" i="1045"/>
  <c r="D72" i="1045"/>
  <c r="C72" i="1045" s="1"/>
  <c r="C71" i="1045"/>
  <c r="C70" i="1045"/>
  <c r="C69" i="1045"/>
  <c r="C68" i="1045"/>
  <c r="F67" i="1045"/>
  <c r="E67" i="1045"/>
  <c r="D67" i="1045"/>
  <c r="C67" i="1045" s="1"/>
  <c r="C66" i="1045"/>
  <c r="C65" i="1045"/>
  <c r="C64" i="1045"/>
  <c r="F63" i="1045"/>
  <c r="E63" i="1045"/>
  <c r="E86" i="1045" s="1"/>
  <c r="D63" i="1045"/>
  <c r="D86" i="1045" s="1"/>
  <c r="C61" i="1045"/>
  <c r="C60" i="1045"/>
  <c r="C59" i="1045"/>
  <c r="C58" i="1045"/>
  <c r="F57" i="1045"/>
  <c r="E57" i="1045"/>
  <c r="D57" i="1045"/>
  <c r="C57" i="1045" s="1"/>
  <c r="C56" i="1045"/>
  <c r="C55" i="1045"/>
  <c r="C54" i="1045"/>
  <c r="C53" i="1045"/>
  <c r="F52" i="1045"/>
  <c r="E52" i="1045"/>
  <c r="D52" i="1045"/>
  <c r="C52" i="1045" s="1"/>
  <c r="C51" i="1045"/>
  <c r="C50" i="1045"/>
  <c r="C49" i="1045"/>
  <c r="C48" i="1045"/>
  <c r="C47" i="1045"/>
  <c r="F46" i="1045"/>
  <c r="E46" i="1045"/>
  <c r="D46" i="1045"/>
  <c r="C46" i="1045"/>
  <c r="C45" i="1045"/>
  <c r="C44" i="1045"/>
  <c r="C43" i="1045"/>
  <c r="C42" i="1045"/>
  <c r="C41" i="1045"/>
  <c r="C40" i="1045"/>
  <c r="C39" i="1045"/>
  <c r="C38" i="1045"/>
  <c r="C37" i="1045"/>
  <c r="C36" i="1045"/>
  <c r="C35" i="1045"/>
  <c r="F34" i="1045"/>
  <c r="E34" i="1045"/>
  <c r="D34" i="1045"/>
  <c r="C33" i="1045"/>
  <c r="C32" i="1045"/>
  <c r="C31" i="1045"/>
  <c r="C30" i="1045"/>
  <c r="C29" i="1045"/>
  <c r="C28" i="1045"/>
  <c r="F27" i="1045"/>
  <c r="D27" i="1045"/>
  <c r="C27" i="1045"/>
  <c r="F26" i="1045"/>
  <c r="E26" i="1045"/>
  <c r="D26" i="1045"/>
  <c r="C26" i="1045"/>
  <c r="C25" i="1045"/>
  <c r="C24" i="1045"/>
  <c r="C23" i="1045"/>
  <c r="C22" i="1045"/>
  <c r="C21" i="1045"/>
  <c r="C20" i="1045"/>
  <c r="F19" i="1045"/>
  <c r="E19" i="1045"/>
  <c r="D19" i="1045"/>
  <c r="C19" i="1045" s="1"/>
  <c r="C18" i="1045"/>
  <c r="C17" i="1045"/>
  <c r="C16" i="1045"/>
  <c r="C15" i="1045"/>
  <c r="C14" i="1045"/>
  <c r="C13" i="1045"/>
  <c r="F12" i="1045"/>
  <c r="E12" i="1045"/>
  <c r="D12" i="1045"/>
  <c r="C12" i="1045" s="1"/>
  <c r="C11" i="1045"/>
  <c r="C10" i="1045"/>
  <c r="C9" i="1045"/>
  <c r="C8" i="1045"/>
  <c r="C7" i="1045"/>
  <c r="C6" i="1045"/>
  <c r="F5" i="1045"/>
  <c r="F62" i="1045" s="1"/>
  <c r="E5" i="1045"/>
  <c r="E62" i="1045" s="1"/>
  <c r="D5" i="1045"/>
  <c r="C152" i="1044"/>
  <c r="C151" i="1044"/>
  <c r="C150" i="1044"/>
  <c r="C149" i="1044"/>
  <c r="C148" i="1044"/>
  <c r="C147" i="1044"/>
  <c r="C146" i="1044"/>
  <c r="F145" i="1044"/>
  <c r="E145" i="1044"/>
  <c r="D145" i="1044"/>
  <c r="C145" i="1044"/>
  <c r="C144" i="1044"/>
  <c r="C143" i="1044"/>
  <c r="C142" i="1044"/>
  <c r="C141" i="1044"/>
  <c r="F140" i="1044"/>
  <c r="E140" i="1044"/>
  <c r="D140" i="1044"/>
  <c r="C140" i="1044" s="1"/>
  <c r="H140" i="1043" s="1"/>
  <c r="C139" i="1044"/>
  <c r="C138" i="1044"/>
  <c r="C137" i="1044"/>
  <c r="C136" i="1044"/>
  <c r="C135" i="1044"/>
  <c r="C134" i="1044"/>
  <c r="F133" i="1044"/>
  <c r="E133" i="1044"/>
  <c r="D133" i="1044"/>
  <c r="C133" i="1044" s="1"/>
  <c r="H133" i="1043" s="1"/>
  <c r="C132" i="1044"/>
  <c r="C131" i="1044"/>
  <c r="C130" i="1044"/>
  <c r="H130" i="1043" s="1"/>
  <c r="I130" i="1043" s="1"/>
  <c r="F129" i="1044"/>
  <c r="F153" i="1044" s="1"/>
  <c r="E129" i="1044"/>
  <c r="E153" i="1044" s="1"/>
  <c r="D129" i="1044"/>
  <c r="D153" i="1044" s="1"/>
  <c r="C153" i="1044" s="1"/>
  <c r="C127" i="1044"/>
  <c r="H127" i="1043" s="1"/>
  <c r="I127" i="1043" s="1"/>
  <c r="C126" i="1044"/>
  <c r="C125" i="1044"/>
  <c r="C124" i="1044"/>
  <c r="C123" i="1044"/>
  <c r="C122" i="1044"/>
  <c r="C121" i="1044"/>
  <c r="C120" i="1044"/>
  <c r="C119" i="1044"/>
  <c r="H117" i="1043"/>
  <c r="C115" i="1044"/>
  <c r="F114" i="1044"/>
  <c r="E114" i="1044"/>
  <c r="D114" i="1044"/>
  <c r="C113" i="1044"/>
  <c r="C112" i="1044"/>
  <c r="H112" i="1043" s="1"/>
  <c r="F111" i="1044"/>
  <c r="C110" i="1044"/>
  <c r="C109" i="1044"/>
  <c r="C108" i="1044"/>
  <c r="C107" i="1044"/>
  <c r="C106" i="1044"/>
  <c r="C105" i="1044"/>
  <c r="H105" i="1043" s="1"/>
  <c r="I105" i="1043" s="1"/>
  <c r="C104" i="1044"/>
  <c r="C103" i="1044"/>
  <c r="C102" i="1044"/>
  <c r="C101" i="1044"/>
  <c r="C100" i="1044"/>
  <c r="C99" i="1044"/>
  <c r="C97" i="1044"/>
  <c r="H97" i="1043" s="1"/>
  <c r="I97" i="1043" s="1"/>
  <c r="C96" i="1044"/>
  <c r="C95" i="1044"/>
  <c r="C94" i="1044"/>
  <c r="F93" i="1044"/>
  <c r="F128" i="1044" s="1"/>
  <c r="E93" i="1044"/>
  <c r="C91" i="1044"/>
  <c r="C85" i="1044"/>
  <c r="C84" i="1044"/>
  <c r="C83" i="1044"/>
  <c r="C82" i="1044"/>
  <c r="C81" i="1044"/>
  <c r="C80" i="1044"/>
  <c r="F79" i="1044"/>
  <c r="E79" i="1044"/>
  <c r="D79" i="1044"/>
  <c r="C79" i="1044"/>
  <c r="C78" i="1044"/>
  <c r="C77" i="1044"/>
  <c r="C76" i="1044"/>
  <c r="F75" i="1044"/>
  <c r="E75" i="1044"/>
  <c r="D75" i="1044"/>
  <c r="C75" i="1044" s="1"/>
  <c r="C74" i="1044"/>
  <c r="C73" i="1044"/>
  <c r="H73" i="1043" s="1"/>
  <c r="I73" i="1043" s="1"/>
  <c r="F72" i="1044"/>
  <c r="E72" i="1044"/>
  <c r="D72" i="1044"/>
  <c r="C71" i="1044"/>
  <c r="C70" i="1044"/>
  <c r="C69" i="1044"/>
  <c r="C68" i="1044"/>
  <c r="F67" i="1044"/>
  <c r="E67" i="1044"/>
  <c r="D67" i="1044"/>
  <c r="C67" i="1044" s="1"/>
  <c r="C66" i="1044"/>
  <c r="C65" i="1044"/>
  <c r="H65" i="1043" s="1"/>
  <c r="I65" i="1043" s="1"/>
  <c r="C64" i="1044"/>
  <c r="F63" i="1044"/>
  <c r="E63" i="1044"/>
  <c r="D63" i="1044"/>
  <c r="C61" i="1044"/>
  <c r="C60" i="1044"/>
  <c r="C59" i="1044"/>
  <c r="C58" i="1044"/>
  <c r="F57" i="1044"/>
  <c r="E57" i="1044"/>
  <c r="D57" i="1044"/>
  <c r="C57" i="1044"/>
  <c r="C56" i="1044"/>
  <c r="C55" i="1044"/>
  <c r="C54" i="1044"/>
  <c r="C53" i="1044"/>
  <c r="F52" i="1044"/>
  <c r="E52" i="1044"/>
  <c r="C51" i="1044"/>
  <c r="C50" i="1044"/>
  <c r="C49" i="1044"/>
  <c r="C47" i="1044"/>
  <c r="F46" i="1044"/>
  <c r="E46" i="1044"/>
  <c r="C45" i="1044"/>
  <c r="C44" i="1044"/>
  <c r="C43" i="1044"/>
  <c r="C42" i="1044"/>
  <c r="C41" i="1044"/>
  <c r="H41" i="1043" s="1"/>
  <c r="I41" i="1043" s="1"/>
  <c r="C40" i="1044"/>
  <c r="C39" i="1044"/>
  <c r="C38" i="1044"/>
  <c r="C37" i="1044"/>
  <c r="C36" i="1044"/>
  <c r="C35" i="1044"/>
  <c r="F34" i="1044"/>
  <c r="E34" i="1044"/>
  <c r="D34" i="1044"/>
  <c r="C34" i="1044" s="1"/>
  <c r="C33" i="1044"/>
  <c r="C32" i="1044"/>
  <c r="C31" i="1044"/>
  <c r="C30" i="1044"/>
  <c r="C29" i="1044"/>
  <c r="C28" i="1044"/>
  <c r="C27" i="1044"/>
  <c r="F26" i="1044"/>
  <c r="E26" i="1044"/>
  <c r="C25" i="1044"/>
  <c r="C24" i="1044"/>
  <c r="H24" i="1043" s="1"/>
  <c r="C23" i="1044"/>
  <c r="C22" i="1044"/>
  <c r="C21" i="1044"/>
  <c r="C20" i="1044"/>
  <c r="F19" i="1044"/>
  <c r="E19" i="1044"/>
  <c r="D19" i="1044"/>
  <c r="C19" i="1044" s="1"/>
  <c r="H19" i="1043" s="1"/>
  <c r="C18" i="1044"/>
  <c r="C17" i="1044"/>
  <c r="C16" i="1044"/>
  <c r="H16" i="1043" s="1"/>
  <c r="I16" i="1043" s="1"/>
  <c r="C15" i="1044"/>
  <c r="C14" i="1044"/>
  <c r="C13" i="1044"/>
  <c r="F12" i="1044"/>
  <c r="E12" i="1044"/>
  <c r="D12" i="1044"/>
  <c r="C12" i="1044" s="1"/>
  <c r="H12" i="1043" s="1"/>
  <c r="C11" i="1044"/>
  <c r="C10" i="1044"/>
  <c r="C9" i="1044"/>
  <c r="C8" i="1044"/>
  <c r="C7" i="1044"/>
  <c r="H7" i="1043" s="1"/>
  <c r="I7" i="1043" s="1"/>
  <c r="C6" i="1044"/>
  <c r="F5" i="1044"/>
  <c r="F62" i="1044" s="1"/>
  <c r="E5" i="1044"/>
  <c r="E62" i="1044" s="1"/>
  <c r="D5" i="1044"/>
  <c r="C5" i="1044" s="1"/>
  <c r="H152" i="1043"/>
  <c r="H151" i="1043"/>
  <c r="I151" i="1043"/>
  <c r="H150" i="1043"/>
  <c r="I150" i="1043"/>
  <c r="H149" i="1043"/>
  <c r="I149" i="1043"/>
  <c r="H148" i="1043"/>
  <c r="I148" i="1043"/>
  <c r="H147" i="1043"/>
  <c r="I147" i="1043"/>
  <c r="H146" i="1043"/>
  <c r="I146" i="1043"/>
  <c r="H145" i="1043"/>
  <c r="F145" i="1043"/>
  <c r="E145" i="1043"/>
  <c r="D145" i="1043"/>
  <c r="I145" i="1043"/>
  <c r="H144" i="1043"/>
  <c r="I144" i="1043"/>
  <c r="H143" i="1043"/>
  <c r="I143" i="1043"/>
  <c r="H142" i="1043"/>
  <c r="I142" i="1043" s="1"/>
  <c r="H141" i="1043"/>
  <c r="I141" i="1043"/>
  <c r="F140" i="1043"/>
  <c r="E140" i="1043"/>
  <c r="D140" i="1043"/>
  <c r="C140" i="1043" s="1"/>
  <c r="H139" i="1043"/>
  <c r="I139" i="1043"/>
  <c r="H138" i="1043"/>
  <c r="I138" i="1043"/>
  <c r="H137" i="1043"/>
  <c r="I137" i="1043"/>
  <c r="H136" i="1043"/>
  <c r="I136" i="1043"/>
  <c r="H135" i="1043"/>
  <c r="I135" i="1043"/>
  <c r="H134" i="1043"/>
  <c r="I134" i="1043"/>
  <c r="F133" i="1043"/>
  <c r="E133" i="1043"/>
  <c r="D133" i="1043"/>
  <c r="I133" i="1043"/>
  <c r="H132" i="1043"/>
  <c r="I132" i="1043"/>
  <c r="H131" i="1043"/>
  <c r="I131" i="1043" s="1"/>
  <c r="F129" i="1043"/>
  <c r="F153" i="1043" s="1"/>
  <c r="E129" i="1043"/>
  <c r="E153" i="1043" s="1"/>
  <c r="D129" i="1043"/>
  <c r="H126" i="1043"/>
  <c r="I126" i="1043"/>
  <c r="H125" i="1043"/>
  <c r="I125" i="1043"/>
  <c r="H124" i="1043"/>
  <c r="I124" i="1043"/>
  <c r="H123" i="1043"/>
  <c r="I123" i="1043"/>
  <c r="H122" i="1043"/>
  <c r="I122" i="1043" s="1"/>
  <c r="H121" i="1043"/>
  <c r="I121" i="1043"/>
  <c r="H120" i="1043"/>
  <c r="I120" i="1043" s="1"/>
  <c r="H119" i="1043"/>
  <c r="I119" i="1043"/>
  <c r="H118" i="1043"/>
  <c r="I118" i="1043" s="1"/>
  <c r="I117" i="1043"/>
  <c r="H116" i="1043"/>
  <c r="F114" i="1043"/>
  <c r="E114" i="1043"/>
  <c r="D114" i="1043"/>
  <c r="C114" i="1043" s="1"/>
  <c r="H113" i="1043"/>
  <c r="F111" i="1043"/>
  <c r="F93" i="1043" s="1"/>
  <c r="F128" i="1043" s="1"/>
  <c r="F154" i="1043" s="1"/>
  <c r="H110" i="1043"/>
  <c r="I110" i="1043" s="1"/>
  <c r="H109" i="1043"/>
  <c r="I109" i="1043"/>
  <c r="H108" i="1043"/>
  <c r="I108" i="1043"/>
  <c r="H107" i="1043"/>
  <c r="I107" i="1043"/>
  <c r="H106" i="1043"/>
  <c r="I106" i="1043"/>
  <c r="H104" i="1043"/>
  <c r="I104" i="1043"/>
  <c r="H103" i="1043"/>
  <c r="I103" i="1043"/>
  <c r="H102" i="1043"/>
  <c r="I102" i="1043"/>
  <c r="H101" i="1043"/>
  <c r="I101" i="1043"/>
  <c r="H100" i="1043"/>
  <c r="I100" i="1043"/>
  <c r="H99" i="1043"/>
  <c r="I99" i="1043" s="1"/>
  <c r="E93" i="1043"/>
  <c r="E128" i="1043" s="1"/>
  <c r="E154" i="1043" s="1"/>
  <c r="C91" i="1043"/>
  <c r="H85" i="1043"/>
  <c r="I85" i="1043"/>
  <c r="H84" i="1043"/>
  <c r="I84" i="1043"/>
  <c r="H83" i="1043"/>
  <c r="I83" i="1043"/>
  <c r="H82" i="1043"/>
  <c r="I82" i="1043"/>
  <c r="H81" i="1043"/>
  <c r="I81" i="1043"/>
  <c r="H80" i="1043"/>
  <c r="I80" i="1043"/>
  <c r="H79" i="1043"/>
  <c r="E79" i="1043"/>
  <c r="D79" i="1043"/>
  <c r="H78" i="1043"/>
  <c r="I78" i="1043"/>
  <c r="H77" i="1043"/>
  <c r="I77" i="1043"/>
  <c r="H76" i="1043"/>
  <c r="I76" i="1043"/>
  <c r="H75" i="1043"/>
  <c r="E75" i="1043"/>
  <c r="D75" i="1043"/>
  <c r="I75" i="1043"/>
  <c r="H74" i="1043"/>
  <c r="I74" i="1043"/>
  <c r="E72" i="1043"/>
  <c r="D72" i="1043"/>
  <c r="H71" i="1043"/>
  <c r="I71" i="1043"/>
  <c r="H70" i="1043"/>
  <c r="I70" i="1043"/>
  <c r="H69" i="1043"/>
  <c r="I69" i="1043"/>
  <c r="H68" i="1043"/>
  <c r="I68" i="1043"/>
  <c r="H67" i="1043"/>
  <c r="E67" i="1043"/>
  <c r="D67" i="1043"/>
  <c r="I67" i="1043"/>
  <c r="H66" i="1043"/>
  <c r="I66" i="1043"/>
  <c r="H64" i="1043"/>
  <c r="I64" i="1043" s="1"/>
  <c r="E63" i="1043"/>
  <c r="D63" i="1043"/>
  <c r="C63" i="1043" s="1"/>
  <c r="H61" i="1043"/>
  <c r="I61" i="1043"/>
  <c r="H60" i="1043"/>
  <c r="I60" i="1043" s="1"/>
  <c r="H59" i="1043"/>
  <c r="I59" i="1043"/>
  <c r="H58" i="1043"/>
  <c r="I58" i="1043"/>
  <c r="H57" i="1043"/>
  <c r="E57" i="1043"/>
  <c r="D57" i="1043"/>
  <c r="H56" i="1043"/>
  <c r="I56" i="1043"/>
  <c r="H55" i="1043"/>
  <c r="I55" i="1043" s="1"/>
  <c r="H54" i="1043"/>
  <c r="I54" i="1043" s="1"/>
  <c r="H53" i="1043"/>
  <c r="I53" i="1043"/>
  <c r="E52" i="1043"/>
  <c r="D52" i="1043"/>
  <c r="C52" i="1043" s="1"/>
  <c r="H51" i="1043"/>
  <c r="I51" i="1043"/>
  <c r="H50" i="1043"/>
  <c r="I50" i="1043"/>
  <c r="H49" i="1043"/>
  <c r="I49" i="1043" s="1"/>
  <c r="H48" i="1043"/>
  <c r="H47" i="1043"/>
  <c r="I47" i="1043"/>
  <c r="E46" i="1043"/>
  <c r="H45" i="1043"/>
  <c r="I45" i="1043" s="1"/>
  <c r="H44" i="1043"/>
  <c r="I44" i="1043" s="1"/>
  <c r="H43" i="1043"/>
  <c r="I43" i="1043" s="1"/>
  <c r="H42" i="1043"/>
  <c r="I42" i="1043" s="1"/>
  <c r="H39" i="1043"/>
  <c r="H38" i="1043"/>
  <c r="H37" i="1043"/>
  <c r="H36" i="1043"/>
  <c r="H35" i="1043"/>
  <c r="E34" i="1043"/>
  <c r="D34" i="1043"/>
  <c r="H33" i="1043"/>
  <c r="I33" i="1043" s="1"/>
  <c r="H32" i="1043"/>
  <c r="I32" i="1043" s="1"/>
  <c r="H31" i="1043"/>
  <c r="H30" i="1043"/>
  <c r="I30" i="1043" s="1"/>
  <c r="H29" i="1043"/>
  <c r="I29" i="1043" s="1"/>
  <c r="H28" i="1043"/>
  <c r="I28" i="1043" s="1"/>
  <c r="H27" i="1043"/>
  <c r="D27" i="1043"/>
  <c r="C27" i="1043" s="1"/>
  <c r="E26" i="1043"/>
  <c r="H25" i="1043"/>
  <c r="I25" i="1043" s="1"/>
  <c r="H23" i="1043"/>
  <c r="H22" i="1043"/>
  <c r="H21" i="1043"/>
  <c r="H20" i="1043"/>
  <c r="I20" i="1043" s="1"/>
  <c r="E19" i="1043"/>
  <c r="D19" i="1043"/>
  <c r="C19" i="1043" s="1"/>
  <c r="H18" i="1043"/>
  <c r="I18" i="1043" s="1"/>
  <c r="H17" i="1043"/>
  <c r="I17" i="1043" s="1"/>
  <c r="H15" i="1043"/>
  <c r="I15" i="1043"/>
  <c r="H14" i="1043"/>
  <c r="I14" i="1043"/>
  <c r="H13" i="1043"/>
  <c r="I13" i="1043"/>
  <c r="E12" i="1043"/>
  <c r="D12" i="1043"/>
  <c r="H11" i="1043"/>
  <c r="H10" i="1043"/>
  <c r="H9" i="1043"/>
  <c r="H8" i="1043"/>
  <c r="H6" i="1043"/>
  <c r="I6" i="1043" s="1"/>
  <c r="E5" i="1043"/>
  <c r="D5" i="1043"/>
  <c r="C58" i="1057" l="1"/>
  <c r="E46" i="1056"/>
  <c r="F46" i="1056" s="1"/>
  <c r="G111" i="1053"/>
  <c r="E8" i="1053"/>
  <c r="D86" i="1044"/>
  <c r="E31" i="1047"/>
  <c r="K27" i="1073"/>
  <c r="I27" i="1073"/>
  <c r="D8" i="1053"/>
  <c r="H8" i="1053" s="1"/>
  <c r="C30" i="1048"/>
  <c r="C31" i="1048" s="1"/>
  <c r="G28" i="1075"/>
  <c r="G52" i="1075" s="1"/>
  <c r="G54" i="1075" s="1"/>
  <c r="C128" i="1055"/>
  <c r="C155" i="1055" s="1"/>
  <c r="G140" i="1053"/>
  <c r="G75" i="1053"/>
  <c r="F86" i="1045"/>
  <c r="F87" i="1045" s="1"/>
  <c r="H115" i="1043"/>
  <c r="I115" i="1043" s="1"/>
  <c r="F86" i="1044"/>
  <c r="F87" i="1044" s="1"/>
  <c r="H40" i="1043"/>
  <c r="C63" i="1044"/>
  <c r="I140" i="1043"/>
  <c r="H96" i="1043"/>
  <c r="I96" i="1043" s="1"/>
  <c r="C72" i="1043"/>
  <c r="E62" i="1043"/>
  <c r="I27" i="1043"/>
  <c r="C34" i="1043"/>
  <c r="C12" i="1043"/>
  <c r="I12" i="1043" s="1"/>
  <c r="C37" i="1057"/>
  <c r="F20" i="1056"/>
  <c r="C34" i="1045"/>
  <c r="H34" i="1043" s="1"/>
  <c r="H94" i="1043"/>
  <c r="I94" i="1043" s="1"/>
  <c r="E87" i="1044"/>
  <c r="E86" i="1044"/>
  <c r="C72" i="1044"/>
  <c r="H72" i="1043" s="1"/>
  <c r="D153" i="1043"/>
  <c r="C153" i="1043" s="1"/>
  <c r="C129" i="1043"/>
  <c r="E86" i="1043"/>
  <c r="D86" i="1043"/>
  <c r="N28" i="1075"/>
  <c r="C52" i="1075"/>
  <c r="C54" i="1075" s="1"/>
  <c r="J27" i="1073"/>
  <c r="L27" i="1073"/>
  <c r="F38" i="1056"/>
  <c r="H55" i="1053"/>
  <c r="G37" i="1053"/>
  <c r="G29" i="1053"/>
  <c r="G30" i="1053"/>
  <c r="G15" i="1053"/>
  <c r="H22" i="1053"/>
  <c r="H29" i="1053"/>
  <c r="H30" i="1053"/>
  <c r="C65" i="1053"/>
  <c r="E31" i="1048"/>
  <c r="E32" i="1048"/>
  <c r="C29" i="1047"/>
  <c r="C86" i="1046"/>
  <c r="C62" i="1046"/>
  <c r="C158" i="1046" s="1"/>
  <c r="H153" i="1043"/>
  <c r="D62" i="1045"/>
  <c r="C62" i="1045" s="1"/>
  <c r="I116" i="1043"/>
  <c r="E128" i="1044"/>
  <c r="E154" i="1044" s="1"/>
  <c r="C114" i="1044"/>
  <c r="H114" i="1043" s="1"/>
  <c r="I113" i="1043"/>
  <c r="I36" i="1043"/>
  <c r="I37" i="1043"/>
  <c r="I38" i="1043"/>
  <c r="I39" i="1043"/>
  <c r="I40" i="1043"/>
  <c r="I19" i="1043"/>
  <c r="I22" i="1043"/>
  <c r="I23" i="1043"/>
  <c r="I24" i="1043"/>
  <c r="I8" i="1043"/>
  <c r="I9" i="1043"/>
  <c r="I10" i="1043"/>
  <c r="I31" i="1043"/>
  <c r="I35" i="1043"/>
  <c r="I48" i="1043"/>
  <c r="I112" i="1043"/>
  <c r="I21" i="1043"/>
  <c r="D26" i="1043"/>
  <c r="C26" i="1043" s="1"/>
  <c r="D46" i="1043"/>
  <c r="C46" i="1043" s="1"/>
  <c r="I79" i="1043"/>
  <c r="D93" i="1043"/>
  <c r="F154" i="1044"/>
  <c r="E87" i="1045"/>
  <c r="C159" i="1046"/>
  <c r="D154" i="1045"/>
  <c r="C154" i="1045" s="1"/>
  <c r="C128" i="1045"/>
  <c r="I152" i="1043"/>
  <c r="C129" i="1044"/>
  <c r="C5" i="1045"/>
  <c r="H5" i="1043" s="1"/>
  <c r="C129" i="1045"/>
  <c r="C30" i="1047"/>
  <c r="C31" i="1047"/>
  <c r="C32" i="1048"/>
  <c r="F5" i="1050"/>
  <c r="G8" i="1053"/>
  <c r="G9" i="1053"/>
  <c r="G10" i="1053"/>
  <c r="G11" i="1053"/>
  <c r="G12" i="1053"/>
  <c r="G13" i="1053"/>
  <c r="H15" i="1053"/>
  <c r="H20" i="1053"/>
  <c r="G22" i="1053"/>
  <c r="H34" i="1053"/>
  <c r="H35" i="1053"/>
  <c r="H36" i="1053"/>
  <c r="H37" i="1053"/>
  <c r="H38" i="1053"/>
  <c r="H39" i="1053"/>
  <c r="H40" i="1053"/>
  <c r="H41" i="1053"/>
  <c r="H47" i="1053"/>
  <c r="H48" i="1053"/>
  <c r="H49" i="1053"/>
  <c r="G55" i="1053"/>
  <c r="G58" i="1053"/>
  <c r="C65" i="1054"/>
  <c r="F89" i="1053"/>
  <c r="D89" i="1053"/>
  <c r="E89" i="1053"/>
  <c r="E114" i="1053"/>
  <c r="F114" i="1053"/>
  <c r="D114" i="1053"/>
  <c r="H114" i="1053" s="1"/>
  <c r="F154" i="1053"/>
  <c r="G154" i="1053" s="1"/>
  <c r="D154" i="1053"/>
  <c r="H154" i="1053" s="1"/>
  <c r="E154" i="1053"/>
  <c r="C65" i="1055"/>
  <c r="C90" i="1055" s="1"/>
  <c r="D26" i="1044"/>
  <c r="C26" i="1044" s="1"/>
  <c r="H26" i="1043" s="1"/>
  <c r="D46" i="1044"/>
  <c r="C46" i="1044" s="1"/>
  <c r="H46" i="1043" s="1"/>
  <c r="D52" i="1044"/>
  <c r="C52" i="1044" s="1"/>
  <c r="H52" i="1043" s="1"/>
  <c r="D111" i="1044"/>
  <c r="C111" i="1044" s="1"/>
  <c r="H111" i="1043" s="1"/>
  <c r="C63" i="1045"/>
  <c r="C93" i="1045"/>
  <c r="G114" i="1053"/>
  <c r="C128" i="1054"/>
  <c r="F93" i="1053"/>
  <c r="D93" i="1053"/>
  <c r="E93" i="1053"/>
  <c r="C42" i="1056"/>
  <c r="H60" i="1053"/>
  <c r="H66" i="1053"/>
  <c r="H67" i="1053"/>
  <c r="H70" i="1053"/>
  <c r="H75" i="1053"/>
  <c r="H78" i="1053"/>
  <c r="C89" i="1053"/>
  <c r="H105" i="1053"/>
  <c r="H110" i="1053"/>
  <c r="H111" i="1053"/>
  <c r="H112" i="1053"/>
  <c r="H113" i="1053"/>
  <c r="H115" i="1053"/>
  <c r="H116" i="1053"/>
  <c r="H117" i="1053"/>
  <c r="H118" i="1053"/>
  <c r="H119" i="1053"/>
  <c r="G129" i="1053"/>
  <c r="H133" i="1053"/>
  <c r="H140" i="1053"/>
  <c r="H146" i="1053"/>
  <c r="C52" i="1056"/>
  <c r="F52" i="1056" s="1"/>
  <c r="C58" i="1058"/>
  <c r="F8" i="1056"/>
  <c r="O6" i="1073"/>
  <c r="S6" i="1073" s="1"/>
  <c r="O26" i="1073"/>
  <c r="S26" i="1073" s="1"/>
  <c r="O14" i="1073"/>
  <c r="O8" i="1073"/>
  <c r="S8" i="1073" s="1"/>
  <c r="O11" i="1073"/>
  <c r="S11" i="1073" s="1"/>
  <c r="D27" i="1073"/>
  <c r="C27" i="1073"/>
  <c r="J52" i="1075"/>
  <c r="J54" i="1075" s="1"/>
  <c r="N9" i="1075"/>
  <c r="O5" i="1073"/>
  <c r="S5" i="1073" s="1"/>
  <c r="O16" i="1073"/>
  <c r="S16" i="1073" s="1"/>
  <c r="O17" i="1073"/>
  <c r="S17" i="1073" s="1"/>
  <c r="B52" i="1075"/>
  <c r="B54" i="1075" s="1"/>
  <c r="E58" i="1056" l="1"/>
  <c r="C90" i="1053"/>
  <c r="C42" i="1057"/>
  <c r="E42" i="1056" s="1"/>
  <c r="F42" i="1056" s="1"/>
  <c r="E37" i="1056"/>
  <c r="F37" i="1056" s="1"/>
  <c r="N52" i="1075"/>
  <c r="N54" i="1075" s="1"/>
  <c r="C86" i="1045"/>
  <c r="C159" i="1045" s="1"/>
  <c r="C86" i="1044"/>
  <c r="H86" i="1043" s="1"/>
  <c r="I86" i="1043" s="1"/>
  <c r="I72" i="1043"/>
  <c r="H63" i="1043"/>
  <c r="I63" i="1043" s="1"/>
  <c r="I153" i="1043"/>
  <c r="I34" i="1043"/>
  <c r="C58" i="1056"/>
  <c r="E87" i="1043"/>
  <c r="C86" i="1043"/>
  <c r="D128" i="1043"/>
  <c r="C93" i="1043"/>
  <c r="D62" i="1043"/>
  <c r="C87" i="1046"/>
  <c r="D87" i="1045"/>
  <c r="C87" i="1045" s="1"/>
  <c r="S14" i="1073"/>
  <c r="O27" i="1073"/>
  <c r="H98" i="1053"/>
  <c r="G98" i="1053"/>
  <c r="C93" i="1053"/>
  <c r="C98" i="1044"/>
  <c r="H98" i="1043" s="1"/>
  <c r="I98" i="1043" s="1"/>
  <c r="D93" i="1044"/>
  <c r="C90" i="1054"/>
  <c r="E65" i="1053"/>
  <c r="F65" i="1053"/>
  <c r="G65" i="1053" s="1"/>
  <c r="D65" i="1053"/>
  <c r="H65" i="1053" s="1"/>
  <c r="H129" i="1043"/>
  <c r="I129" i="1043" s="1"/>
  <c r="C158" i="1045"/>
  <c r="C159" i="1044"/>
  <c r="I57" i="1043"/>
  <c r="I114" i="1043"/>
  <c r="I111" i="1043"/>
  <c r="I46" i="1043"/>
  <c r="I26" i="1043"/>
  <c r="F58" i="1056"/>
  <c r="H89" i="1053"/>
  <c r="G89" i="1053"/>
  <c r="C155" i="1054"/>
  <c r="F128" i="1053"/>
  <c r="D128" i="1053"/>
  <c r="E128" i="1053"/>
  <c r="E33" i="1048"/>
  <c r="C33" i="1048"/>
  <c r="E32" i="1047"/>
  <c r="C32" i="1047"/>
  <c r="D62" i="1044"/>
  <c r="C159" i="1043"/>
  <c r="I52" i="1043"/>
  <c r="O52" i="1075" l="1"/>
  <c r="D87" i="1043"/>
  <c r="D154" i="1043"/>
  <c r="C154" i="1043" s="1"/>
  <c r="C128" i="1043"/>
  <c r="D87" i="1044"/>
  <c r="C87" i="1044" s="1"/>
  <c r="H87" i="1043" s="1"/>
  <c r="C62" i="1044"/>
  <c r="F155" i="1053"/>
  <c r="D155" i="1053"/>
  <c r="E155" i="1053"/>
  <c r="D128" i="1044"/>
  <c r="C93" i="1044"/>
  <c r="H93" i="1043" s="1"/>
  <c r="I93" i="1043" s="1"/>
  <c r="H93" i="1053"/>
  <c r="C128" i="1053"/>
  <c r="G93" i="1053"/>
  <c r="F90" i="1053"/>
  <c r="G90" i="1053" s="1"/>
  <c r="D90" i="1053"/>
  <c r="H90" i="1053" s="1"/>
  <c r="E90" i="1053"/>
  <c r="D154" i="1044" l="1"/>
  <c r="C154" i="1044" s="1"/>
  <c r="H154" i="1043" s="1"/>
  <c r="C128" i="1044"/>
  <c r="H128" i="1043" s="1"/>
  <c r="I128" i="1043" s="1"/>
  <c r="H62" i="1043"/>
  <c r="H128" i="1053"/>
  <c r="C155" i="1053"/>
  <c r="G128" i="1053"/>
  <c r="C158" i="1044" l="1"/>
  <c r="H155" i="1053"/>
  <c r="G155" i="1053"/>
  <c r="H159" i="1043"/>
  <c r="I154" i="1043"/>
  <c r="C62" i="1043" l="1"/>
  <c r="C158" i="1043" s="1"/>
  <c r="C5" i="1043"/>
  <c r="I5" i="1043" s="1"/>
  <c r="C11" i="1043"/>
  <c r="I11" i="1043" s="1"/>
  <c r="C87" i="1043"/>
  <c r="I87" i="1043" s="1"/>
  <c r="I62" i="1043" l="1"/>
</calcChain>
</file>

<file path=xl/sharedStrings.xml><?xml version="1.0" encoding="utf-8"?>
<sst xmlns="http://schemas.openxmlformats.org/spreadsheetml/2006/main" count="3987" uniqueCount="711">
  <si>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</si>
  <si>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</si>
  <si>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</si>
  <si>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</si>
  <si>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</si>
  <si>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Pályázati önerő: közművelődés: 200 eFt, könyvtári: 200 eFt</t>
  </si>
  <si>
    <t>Helyi adók</t>
  </si>
  <si>
    <t>Jövedelem adó</t>
  </si>
  <si>
    <t>Vagyoni típusú adók</t>
  </si>
  <si>
    <t xml:space="preserve">Hosszabb id. közfogl. </t>
  </si>
  <si>
    <t>Beruházási (felhalmozási) kiadások előirányzata beruházásonként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</si>
  <si>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</si>
  <si>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</si>
  <si>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</si>
  <si>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</si>
  <si>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</si>
  <si>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</si>
  <si>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</si>
  <si>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</si>
  <si>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</si>
  <si>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</si>
  <si>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</si>
  <si>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</si>
  <si>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</si>
  <si>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</si>
  <si>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</si>
  <si>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</si>
  <si>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</si>
  <si>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</si>
  <si>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</si>
  <si>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</si>
  <si>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</si>
  <si>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</si>
  <si>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</si>
  <si>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</si>
  <si>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</si>
  <si>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</si>
  <si>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</si>
  <si>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</si>
  <si>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</si>
  <si>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</si>
  <si>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</si>
  <si>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</si>
  <si>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</si>
  <si>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</si>
  <si>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</si>
  <si>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</si>
  <si>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</si>
  <si>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</si>
  <si>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</si>
  <si>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</si>
  <si>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</si>
  <si>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</si>
  <si>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</si>
  <si>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</si>
  <si>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</si>
  <si>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</si>
  <si>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</si>
  <si>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</si>
  <si>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</si>
  <si>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</si>
  <si>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</si>
  <si>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</si>
  <si>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</si>
  <si>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</si>
  <si>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</si>
  <si>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</si>
  <si>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</si>
  <si>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</si>
  <si>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</si>
  <si>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</si>
  <si>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</si>
  <si>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</si>
  <si>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</si>
  <si>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</si>
  <si>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</si>
  <si>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</si>
  <si>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</si>
  <si>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</si>
  <si>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</si>
  <si>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</si>
  <si>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</si>
  <si>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</si>
  <si>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</si>
  <si>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</si>
  <si>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</si>
  <si>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</si>
  <si>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</si>
  <si>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</si>
  <si>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</si>
  <si>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</si>
  <si>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</si>
  <si>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</si>
  <si>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</si>
  <si>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</si>
  <si>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</si>
  <si>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</si>
  <si>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</si>
  <si>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</si>
  <si>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</si>
  <si>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</si>
  <si>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</si>
  <si>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</si>
  <si>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</si>
  <si>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</si>
  <si>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</si>
  <si>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</si>
  <si>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</si>
  <si>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</si>
  <si>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</si>
  <si>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</si>
  <si>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</si>
  <si>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</si>
  <si>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</si>
  <si>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</si>
  <si>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</si>
  <si>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</si>
  <si>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</si>
  <si>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</si>
  <si>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</si>
  <si>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</si>
  <si>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</si>
  <si>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</si>
  <si>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</si>
  <si>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</si>
  <si>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</si>
  <si>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</si>
  <si>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</si>
  <si>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</si>
  <si>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</si>
  <si>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</si>
  <si>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</si>
  <si>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</si>
  <si>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</si>
  <si>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</si>
  <si>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</si>
  <si>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</si>
  <si>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</si>
  <si>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</si>
  <si>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</si>
  <si>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</si>
  <si>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</si>
  <si>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</si>
  <si>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</si>
  <si>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</si>
  <si>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</si>
  <si>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</si>
  <si>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</si>
  <si>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</si>
  <si>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</si>
  <si>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</si>
  <si>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</si>
  <si>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</si>
  <si>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</si>
  <si>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</si>
  <si>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</si>
  <si>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</si>
  <si>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</si>
  <si>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</si>
  <si>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</si>
  <si>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</si>
  <si>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</si>
  <si>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Feladat megnevezése</t>
  </si>
  <si>
    <t>Költségvetési szerv megnevezése</t>
  </si>
  <si>
    <t>Száma</t>
  </si>
  <si>
    <t>Közfoglalkoztatottak létszáma (fő)</t>
  </si>
  <si>
    <t>Egyéb (Pl.: garancia és kezességvállalás, stb.)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</si>
  <si>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</si>
  <si>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</si>
  <si>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</si>
  <si>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</si>
  <si>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</si>
  <si>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</si>
  <si>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</si>
  <si>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</si>
  <si>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</si>
  <si>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</si>
  <si>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</si>
  <si>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</si>
  <si>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</si>
  <si>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</si>
  <si>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</si>
  <si>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</si>
  <si>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</si>
  <si>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</si>
  <si>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</si>
  <si>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</si>
  <si>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</si>
  <si>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</si>
  <si>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</si>
  <si>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</si>
  <si>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</si>
  <si>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</si>
  <si>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</si>
  <si>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</si>
  <si>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</si>
  <si>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</si>
  <si>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</si>
  <si>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</si>
  <si>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</si>
  <si>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</si>
  <si>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</si>
  <si>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</si>
  <si>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</si>
  <si>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</si>
  <si>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</si>
  <si>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</si>
  <si>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</si>
  <si>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</si>
  <si>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</si>
  <si>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</si>
  <si>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</si>
  <si>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</si>
  <si>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</si>
  <si>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</si>
  <si>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</si>
  <si>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</si>
  <si>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</si>
  <si>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</si>
  <si>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</si>
  <si>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</si>
  <si>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</si>
  <si>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</si>
  <si>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</si>
  <si>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</si>
  <si>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</si>
  <si>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</si>
  <si>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</si>
  <si>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</si>
  <si>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</si>
  <si>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</si>
  <si>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</si>
  <si>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</si>
  <si>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</si>
  <si>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</si>
  <si>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</si>
  <si>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</si>
  <si>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</si>
  <si>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</si>
  <si>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</si>
  <si>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</si>
  <si>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</si>
  <si>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</si>
  <si>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</si>
  <si>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</si>
  <si>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</si>
  <si>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</si>
  <si>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</si>
  <si>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</si>
  <si>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</si>
  <si>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</si>
  <si>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</si>
  <si>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</si>
  <si>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</si>
  <si>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</si>
  <si>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</si>
  <si>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</si>
  <si>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</si>
  <si>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</si>
  <si>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</si>
  <si>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</si>
  <si>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</si>
  <si>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</si>
  <si>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</si>
  <si>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</si>
  <si>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</si>
  <si>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</si>
  <si>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</si>
  <si>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</si>
  <si>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</si>
  <si>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</si>
  <si>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</si>
  <si>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</si>
  <si>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</si>
  <si>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</si>
  <si>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</si>
  <si>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</si>
  <si>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</si>
  <si>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</si>
  <si>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</si>
  <si>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</si>
  <si>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</si>
  <si>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</si>
  <si>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</si>
  <si>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</si>
  <si>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</si>
  <si>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</si>
  <si>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</si>
  <si>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</si>
  <si>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</si>
  <si>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</si>
  <si>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</si>
  <si>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</si>
  <si>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</si>
  <si>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</si>
  <si>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</si>
  <si>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</si>
  <si>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</si>
  <si>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</si>
  <si>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</si>
  <si>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</si>
  <si>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</si>
  <si>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</si>
  <si>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</si>
  <si>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</si>
  <si>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</si>
  <si>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</si>
  <si>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</si>
  <si>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</si>
  <si>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</si>
  <si>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</si>
  <si>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</si>
  <si>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</si>
  <si>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</si>
  <si>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</si>
  <si>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</si>
  <si>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</si>
  <si>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</si>
  <si>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</si>
  <si>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</si>
  <si>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</si>
  <si>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</si>
  <si>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</si>
  <si>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</si>
  <si>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</si>
  <si>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</si>
  <si>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</si>
  <si>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</si>
  <si>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</si>
  <si>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</si>
  <si>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</si>
  <si>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</si>
  <si>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</si>
  <si>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</si>
  <si>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</si>
  <si>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</si>
  <si>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</si>
  <si>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</si>
  <si>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</si>
  <si>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</si>
  <si>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</si>
  <si>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</si>
  <si>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</si>
  <si>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</si>
  <si>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</si>
  <si>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</si>
  <si>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</si>
  <si>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</si>
  <si>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</si>
  <si>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</si>
  <si>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</si>
  <si>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</si>
  <si>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</si>
  <si>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</si>
  <si>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</si>
  <si>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</si>
  <si>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</si>
  <si>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</si>
  <si>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</si>
  <si>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</si>
  <si>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</si>
  <si>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</si>
  <si>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</si>
  <si>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</si>
  <si>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</si>
  <si>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</si>
  <si>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</si>
  <si>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</si>
  <si>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</si>
  <si>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</si>
  <si>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</si>
  <si>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</si>
  <si>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</si>
  <si>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</si>
  <si>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</si>
  <si>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</si>
  <si>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</si>
  <si>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</si>
  <si>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</si>
  <si>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</si>
  <si>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</si>
  <si>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</si>
  <si>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</si>
  <si>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</si>
  <si>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</si>
  <si>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</si>
  <si>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</si>
  <si>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</si>
  <si>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</si>
  <si>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</si>
  <si>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</si>
  <si>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</si>
  <si>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</si>
  <si>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</si>
  <si>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</si>
  <si>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</si>
  <si>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</si>
  <si>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</si>
  <si>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</si>
  <si>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</si>
  <si>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</si>
  <si>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</si>
  <si>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</si>
  <si>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</si>
  <si>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</si>
  <si>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</si>
  <si>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</si>
  <si>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</si>
  <si>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</si>
  <si>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</si>
  <si>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</si>
  <si>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</si>
  <si>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</si>
  <si>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</si>
  <si>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</si>
  <si>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</si>
  <si>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</si>
  <si>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</si>
  <si>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</si>
  <si>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</si>
  <si>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</si>
  <si>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</si>
  <si>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</si>
  <si>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</si>
  <si>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</si>
  <si>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</si>
  <si>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</si>
  <si>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</si>
  <si>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</si>
  <si>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</si>
  <si>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</si>
  <si>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</si>
  <si>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</si>
  <si>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</si>
  <si>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</si>
  <si>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</si>
  <si>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</si>
  <si>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</si>
  <si>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</si>
  <si>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</si>
  <si>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</si>
  <si>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</si>
  <si>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</si>
  <si>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</si>
  <si>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</si>
  <si>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</si>
  <si>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</si>
  <si>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</si>
  <si>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</si>
  <si>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</si>
  <si>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</si>
  <si>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</si>
  <si>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</si>
  <si>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</si>
  <si>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</si>
  <si>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</si>
  <si>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</si>
  <si>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</si>
  <si>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</si>
  <si>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</si>
  <si>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</si>
  <si>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</si>
  <si>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</si>
  <si>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</si>
  <si>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</si>
  <si>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</si>
  <si>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</si>
  <si>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</si>
  <si>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</si>
  <si>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</si>
  <si>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</si>
  <si>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</si>
  <si>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</si>
  <si>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</si>
  <si>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</si>
  <si>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</si>
  <si>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</si>
  <si>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</si>
  <si>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</si>
  <si>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</si>
  <si>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</si>
  <si>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</si>
  <si>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</si>
  <si>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</si>
  <si>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</si>
  <si>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</si>
  <si>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</si>
  <si>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</si>
  <si>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</si>
  <si>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</si>
  <si>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</si>
  <si>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</si>
  <si>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</si>
  <si>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</si>
  <si>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</si>
  <si>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</si>
  <si>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</si>
  <si>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</si>
  <si>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</si>
  <si>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</si>
  <si>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</si>
  <si>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</si>
  <si>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</si>
  <si>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</si>
  <si>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</si>
  <si>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</si>
  <si>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</si>
  <si>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</si>
  <si>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</si>
  <si>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</si>
  <si>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</si>
  <si>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</si>
  <si>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</si>
  <si>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</si>
  <si>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</si>
  <si>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</si>
  <si>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</si>
  <si>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</si>
  <si>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</si>
  <si>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</si>
  <si>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</si>
  <si>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</si>
  <si>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</si>
  <si>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</si>
  <si>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</si>
  <si>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</si>
  <si>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</si>
  <si>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</si>
  <si>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</si>
  <si>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</si>
  <si>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</si>
  <si>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</si>
  <si>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</si>
  <si>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</si>
  <si>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</si>
  <si>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Folyószámla-hitel (keret: 100.000 eFt)*</t>
  </si>
  <si>
    <t>ÉAOP Óvodabővítés projekt saját erő hitel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</si>
  <si>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</si>
  <si>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</si>
  <si>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</si>
  <si>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</si>
  <si>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</si>
  <si>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</si>
  <si>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</si>
  <si>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</si>
  <si>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</si>
  <si>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</si>
  <si>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</si>
  <si>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</si>
  <si>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</si>
  <si>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</si>
  <si>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</si>
  <si>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</si>
  <si>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</si>
  <si>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</si>
  <si>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</si>
  <si>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</si>
  <si>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</si>
  <si>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</si>
  <si>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</si>
  <si>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</si>
  <si>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</si>
  <si>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</si>
  <si>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</si>
  <si>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</si>
  <si>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</si>
  <si>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</si>
  <si>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</si>
  <si>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</si>
  <si>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</si>
  <si>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</si>
  <si>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Forintban</t>
  </si>
  <si>
    <t>Forintban !</t>
  </si>
  <si>
    <t xml:space="preserve"> Forintban !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</si>
  <si>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</si>
  <si>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</si>
  <si>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</si>
  <si>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</si>
  <si>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</si>
  <si>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</si>
  <si>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</si>
  <si>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</si>
  <si>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</si>
  <si>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</si>
  <si>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</si>
  <si>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</si>
  <si>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</si>
  <si>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</si>
  <si>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</si>
  <si>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</si>
  <si>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*: A folyószámlahitel-keret: 100.000eFt, a 4. oszlopban azért nem került feltüntetésre, mert törleszteni csak az igénybevett hitelkeret erejéig kell.</t>
  </si>
  <si>
    <t>TSE TAO hitel 2017</t>
  </si>
  <si>
    <t>Belvíz pályázat tartalék</t>
  </si>
  <si>
    <t>Turizmus fejlesztési támogatások és tevékenységek</t>
  </si>
  <si>
    <t>Váci Mihály Gimnázium energetikai korszerűsítés</t>
  </si>
  <si>
    <t>- Felhalmozási támogatás</t>
  </si>
  <si>
    <t>Halgatói és oktatói ösztöndíjak</t>
  </si>
  <si>
    <t>Köztemető fenntartás és működtetés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</si>
  <si>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</si>
  <si>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</si>
  <si>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</si>
  <si>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</si>
  <si>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Tiszavasvári Egyesített Óvodai Intézmény Minimanó óvodájának részleges felújítása</t>
  </si>
  <si>
    <t>Felhasználás
2017. XII.31-ig</t>
  </si>
  <si>
    <t xml:space="preserve">
2018. év utáni szükséglet
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</si>
  <si>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</si>
  <si>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</si>
  <si>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</si>
  <si>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</si>
  <si>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2018. előtti kifizetés</t>
  </si>
  <si>
    <t>2020 után</t>
  </si>
  <si>
    <t>Előirányzat-felhasználási terv
2018. évre</t>
  </si>
  <si>
    <t>Az önkormányzat 2018. évi költségvetésének</t>
  </si>
  <si>
    <t>2018 év</t>
  </si>
  <si>
    <t>2018. év</t>
  </si>
  <si>
    <t>Szennyvízbekötés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</si>
  <si>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</si>
  <si>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</si>
  <si>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</si>
  <si>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</si>
  <si>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</si>
  <si>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</si>
  <si>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</si>
  <si>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</si>
  <si>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</si>
  <si>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</si>
  <si>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</si>
  <si>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</si>
  <si>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</si>
  <si>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</si>
  <si>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egyéb tárgyi eszköz beszerzés (festmény, függöny, klíma, bútor)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</si>
  <si>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</si>
  <si>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</si>
  <si>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</si>
  <si>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</si>
  <si>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</si>
  <si>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</si>
  <si>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</si>
  <si>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</si>
  <si>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</si>
  <si>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</si>
  <si>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</si>
  <si>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</si>
  <si>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</si>
  <si>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</si>
  <si>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</si>
  <si>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</si>
  <si>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- 2 db radiátor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</si>
  <si>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</si>
  <si>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</si>
  <si>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</si>
  <si>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</si>
  <si>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</si>
  <si>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</si>
  <si>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</si>
  <si>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</si>
  <si>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</si>
  <si>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</si>
  <si>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</si>
  <si>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</si>
  <si>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</si>
  <si>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</si>
  <si>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</si>
  <si>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</si>
  <si>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</si>
  <si>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</si>
  <si>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</si>
  <si>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</si>
  <si>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</si>
  <si>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</si>
  <si>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</si>
  <si>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</si>
  <si>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</si>
  <si>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1 db monitor (iroda)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</si>
  <si>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</si>
  <si>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</si>
  <si>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</si>
  <si>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</si>
  <si>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</si>
  <si>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</si>
  <si>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</si>
  <si>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</si>
  <si>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</si>
  <si>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</si>
  <si>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</si>
  <si>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</si>
  <si>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</si>
  <si>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</si>
  <si>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</si>
  <si>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</si>
  <si>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</si>
  <si>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Folyószámlahitel* (hitelkeret=100.000.000 Ft) 2018</t>
  </si>
  <si>
    <t>ÉAOP Óvodabővítés saját erő hitel 2013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</si>
  <si>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</si>
  <si>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</si>
  <si>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</si>
  <si>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 xml:space="preserve">Varázsceruza óvoda részl.felújítása III.ütem 2018. </t>
  </si>
  <si>
    <t>Minimanó óvoda elektr.fel.+kazán+festés miatt felveendő hitel 2018</t>
  </si>
  <si>
    <t>Gépállomás út 3. szám tetőszig.+nyílászáró csere miatti hitel 2018</t>
  </si>
  <si>
    <t>Magiszter Alapítványi iskola tetőfelújítása</t>
  </si>
  <si>
    <t>Kornisné Központ végleges engedély miatti felújításhoz felveendő hitel 2018</t>
  </si>
  <si>
    <t>TSK TAO felhalmozási célú hitel 2018</t>
  </si>
  <si>
    <t>TSE TAO felhalmozási célú hitel 2018</t>
  </si>
  <si>
    <t xml:space="preserve">TSE TAO hitel </t>
  </si>
  <si>
    <t xml:space="preserve">Varázsceruza óvoda részl.felújítása III.ütem  </t>
  </si>
  <si>
    <t xml:space="preserve">Minimanó óvoda elektr.fel.+kazán+festés miatt felveendő hitel </t>
  </si>
  <si>
    <t>Kornisné Központ végleges engedély miatti felújításhoz felveendő hitel</t>
  </si>
  <si>
    <t xml:space="preserve">TSK TAO felhalmozási célú hitel </t>
  </si>
  <si>
    <t xml:space="preserve">TSE TAO felhalmozási célú hitel </t>
  </si>
  <si>
    <t xml:space="preserve">Gépállomás út 3. szám tetőszigetelés miatti hitel </t>
  </si>
  <si>
    <t xml:space="preserve">"
Tiszavasvári Város Önkormányzata
2018. ÉVI KÖLTSÉGVETÉSÉNEK PÉNZÜGYI MÉRLEGE"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</si>
</sst>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</numFmts>
  <fonts count="9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u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indexed="1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u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b/>
      <u/>
      <sz val="10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41" fillId="0" borderId="0"/>
    <xf numFmtId="0" fontId="59" fillId="0" borderId="0"/>
    <xf numFmtId="0" fontId="41" fillId="0" borderId="0"/>
    <xf numFmtId="0" fontId="41" fillId="0" borderId="0"/>
    <xf numFmtId="0" fontId="41" fillId="0" borderId="0"/>
    <xf numFmtId="0" fontId="12" fillId="0" borderId="0"/>
    <xf numFmtId="0" fontId="41" fillId="0" borderId="0"/>
    <xf numFmtId="0" fontId="12" fillId="0" borderId="0"/>
    <xf numFmtId="0" fontId="46" fillId="0" borderId="0"/>
    <xf numFmtId="0" fontId="4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20" applyFont="1" applyFill="1" applyBorder="1" applyAlignment="1" applyProtection="1">
      <alignment horizontal="center" vertical="center" wrapText="1"/>
    </xf>
    <xf numFmtId="0" fontId="7" fillId="0" borderId="0" xfId="20" applyFont="1" applyFill="1" applyBorder="1" applyAlignment="1" applyProtection="1">
      <alignment vertical="center" wrapText="1"/>
    </xf>
    <xf numFmtId="0" fontId="21" fillId="0" borderId="1" xfId="20" applyFont="1" applyFill="1" applyBorder="1" applyAlignment="1" applyProtection="1">
      <alignment horizontal="left" vertical="center" wrapText="1" indent="1"/>
    </xf>
    <xf numFmtId="0" fontId="21" fillId="0" borderId="2" xfId="20" applyFont="1" applyFill="1" applyBorder="1" applyAlignment="1" applyProtection="1">
      <alignment horizontal="left" vertical="center" wrapText="1" indent="1"/>
    </xf>
    <xf numFmtId="0" fontId="21" fillId="0" borderId="3" xfId="20" applyFont="1" applyFill="1" applyBorder="1" applyAlignment="1" applyProtection="1">
      <alignment horizontal="left" vertical="center" wrapText="1" indent="1"/>
    </xf>
    <xf numFmtId="0" fontId="21" fillId="0" borderId="4" xfId="20" applyFont="1" applyFill="1" applyBorder="1" applyAlignment="1" applyProtection="1">
      <alignment horizontal="left" vertical="center" wrapText="1" indent="1"/>
    </xf>
    <xf numFmtId="0" fontId="21" fillId="0" borderId="5" xfId="20" applyFont="1" applyFill="1" applyBorder="1" applyAlignment="1" applyProtection="1">
      <alignment horizontal="left" vertical="center" wrapText="1" indent="1"/>
    </xf>
    <xf numFmtId="0" fontId="21" fillId="0" borderId="6" xfId="20" applyFont="1" applyFill="1" applyBorder="1" applyAlignment="1" applyProtection="1">
      <alignment horizontal="left" vertical="center" wrapText="1" indent="1"/>
    </xf>
    <xf numFmtId="49" fontId="21" fillId="0" borderId="7" xfId="20" applyNumberFormat="1" applyFont="1" applyFill="1" applyBorder="1" applyAlignment="1" applyProtection="1">
      <alignment horizontal="left" vertical="center" wrapText="1" indent="1"/>
    </xf>
    <xf numFmtId="49" fontId="21" fillId="0" borderId="8" xfId="20" applyNumberFormat="1" applyFont="1" applyFill="1" applyBorder="1" applyAlignment="1" applyProtection="1">
      <alignment horizontal="left" vertical="center" wrapText="1" indent="1"/>
    </xf>
    <xf numFmtId="49" fontId="21" fillId="0" borderId="9" xfId="20" applyNumberFormat="1" applyFont="1" applyFill="1" applyBorder="1" applyAlignment="1" applyProtection="1">
      <alignment horizontal="left" vertical="center" wrapText="1" indent="1"/>
    </xf>
    <xf numFmtId="49" fontId="21" fillId="0" borderId="10" xfId="20" applyNumberFormat="1" applyFont="1" applyFill="1" applyBorder="1" applyAlignment="1" applyProtection="1">
      <alignment horizontal="left" vertical="center" wrapText="1" indent="1"/>
    </xf>
    <xf numFmtId="49" fontId="21" fillId="0" borderId="11" xfId="20" applyNumberFormat="1" applyFont="1" applyFill="1" applyBorder="1" applyAlignment="1" applyProtection="1">
      <alignment horizontal="left" vertical="center" wrapText="1" indent="1"/>
    </xf>
    <xf numFmtId="49" fontId="21" fillId="0" borderId="12" xfId="20" applyNumberFormat="1" applyFont="1" applyFill="1" applyBorder="1" applyAlignment="1" applyProtection="1">
      <alignment horizontal="left" vertical="center" wrapText="1" indent="1"/>
    </xf>
    <xf numFmtId="0" fontId="21" fillId="0" borderId="0" xfId="20" applyFont="1" applyFill="1" applyBorder="1" applyAlignment="1" applyProtection="1">
      <alignment horizontal="left" vertical="center" wrapText="1" indent="1"/>
    </xf>
    <xf numFmtId="0" fontId="19" fillId="0" borderId="13" xfId="20" applyFont="1" applyFill="1" applyBorder="1" applyAlignment="1" applyProtection="1">
      <alignment horizontal="left" vertical="center" wrapText="1" indent="1"/>
    </xf>
    <xf numFmtId="0" fontId="19" fillId="0" borderId="14" xfId="20" applyFont="1" applyFill="1" applyBorder="1" applyAlignment="1" applyProtection="1">
      <alignment horizontal="left" vertical="center" wrapText="1" indent="1"/>
    </xf>
    <xf numFmtId="0" fontId="19" fillId="0" borderId="15" xfId="20" applyFont="1" applyFill="1" applyBorder="1" applyAlignment="1" applyProtection="1">
      <alignment horizontal="left" vertical="center" wrapText="1" indent="1"/>
    </xf>
    <xf numFmtId="0" fontId="8" fillId="0" borderId="13" xfId="20" applyFont="1" applyFill="1" applyBorder="1" applyAlignment="1" applyProtection="1">
      <alignment horizontal="center" vertical="center" wrapText="1"/>
    </xf>
    <xf numFmtId="0" fontId="8" fillId="0" borderId="14" xfId="20" applyFont="1" applyFill="1" applyBorder="1" applyAlignment="1" applyProtection="1">
      <alignment horizontal="center" vertical="center" wrapText="1"/>
    </xf>
    <xf numFmtId="0" fontId="19" fillId="0" borderId="14" xfId="20" applyFont="1" applyFill="1" applyBorder="1" applyAlignment="1" applyProtection="1">
      <alignment vertical="center" wrapText="1"/>
    </xf>
    <xf numFmtId="0" fontId="19" fillId="0" borderId="16" xfId="20" applyFont="1" applyFill="1" applyBorder="1" applyAlignment="1" applyProtection="1">
      <alignment vertical="center" wrapText="1"/>
    </xf>
    <xf numFmtId="0" fontId="19" fillId="0" borderId="13" xfId="20" applyFont="1" applyFill="1" applyBorder="1" applyAlignment="1" applyProtection="1">
      <alignment horizontal="center" vertical="center" wrapText="1"/>
    </xf>
    <xf numFmtId="0" fontId="19" fillId="0" borderId="14" xfId="20" applyFont="1" applyFill="1" applyBorder="1" applyAlignment="1" applyProtection="1">
      <alignment horizontal="center" vertical="center" wrapText="1"/>
    </xf>
    <xf numFmtId="0" fontId="19" fillId="0" borderId="19" xfId="20" applyFont="1" applyFill="1" applyBorder="1" applyAlignment="1" applyProtection="1">
      <alignment horizontal="center" vertical="center" wrapText="1"/>
    </xf>
    <xf numFmtId="0" fontId="8" fillId="0" borderId="14" xfId="22" applyFont="1" applyFill="1" applyBorder="1" applyAlignment="1" applyProtection="1">
      <alignment horizontal="left" vertical="center" indent="1"/>
    </xf>
    <xf numFmtId="0" fontId="8" fillId="0" borderId="19" xfId="2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2" applyFill="1" applyProtection="1"/>
    <xf numFmtId="0" fontId="21" fillId="0" borderId="13" xfId="22" applyFont="1" applyFill="1" applyBorder="1" applyAlignment="1" applyProtection="1">
      <alignment horizontal="left" vertical="center" indent="1"/>
    </xf>
    <xf numFmtId="0" fontId="12" fillId="0" borderId="0" xfId="22" applyFill="1" applyAlignment="1" applyProtection="1">
      <alignment vertical="center"/>
    </xf>
    <xf numFmtId="0" fontId="21" fillId="0" borderId="7" xfId="22" applyFont="1" applyFill="1" applyBorder="1" applyAlignment="1" applyProtection="1">
      <alignment horizontal="left" vertical="center" indent="1"/>
    </xf>
    <xf numFmtId="0" fontId="21" fillId="0" borderId="8" xfId="22" applyFont="1" applyFill="1" applyBorder="1" applyAlignment="1" applyProtection="1">
      <alignment horizontal="left" vertical="center" indent="1"/>
    </xf>
    <xf numFmtId="164" fontId="21" fillId="0" borderId="2" xfId="22" applyNumberFormat="1" applyFont="1" applyFill="1" applyBorder="1" applyAlignment="1" applyProtection="1">
      <alignment vertical="center"/>
      <protection locked="0"/>
    </xf>
    <xf numFmtId="0" fontId="12" fillId="0" borderId="0" xfId="22" applyFill="1" applyAlignment="1" applyProtection="1">
      <alignment vertical="center"/>
      <protection locked="0"/>
    </xf>
    <xf numFmtId="164" fontId="19" fillId="0" borderId="14" xfId="22" applyNumberFormat="1" applyFont="1" applyFill="1" applyBorder="1" applyAlignment="1" applyProtection="1">
      <alignment vertical="center"/>
    </xf>
    <xf numFmtId="164" fontId="19" fillId="0" borderId="19" xfId="22" applyNumberFormat="1" applyFont="1" applyFill="1" applyBorder="1" applyAlignment="1" applyProtection="1">
      <alignment vertical="center"/>
    </xf>
    <xf numFmtId="0" fontId="19" fillId="0" borderId="13" xfId="22" applyFont="1" applyFill="1" applyBorder="1" applyAlignment="1" applyProtection="1">
      <alignment horizontal="left" vertical="center" indent="1"/>
    </xf>
    <xf numFmtId="164" fontId="19" fillId="0" borderId="14" xfId="22" applyNumberFormat="1" applyFont="1" applyFill="1" applyBorder="1" applyProtection="1"/>
    <xf numFmtId="164" fontId="19" fillId="0" borderId="19" xfId="22" applyNumberFormat="1" applyFont="1" applyFill="1" applyBorder="1" applyProtection="1"/>
    <xf numFmtId="0" fontId="12" fillId="0" borderId="0" xfId="22" applyFill="1" applyProtection="1">
      <protection locked="0"/>
    </xf>
    <xf numFmtId="0" fontId="15" fillId="0" borderId="0" xfId="22" applyFont="1" applyFill="1" applyProtection="1"/>
    <xf numFmtId="0" fontId="31" fillId="0" borderId="0" xfId="22" applyFont="1" applyFill="1" applyProtection="1">
      <protection locked="0"/>
    </xf>
    <xf numFmtId="0" fontId="22" fillId="0" borderId="0" xfId="22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0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7" fillId="0" borderId="25" xfId="20" applyFont="1" applyFill="1" applyBorder="1" applyAlignment="1" applyProtection="1">
      <alignment horizontal="left" vertical="center" wrapText="1" indent="1"/>
    </xf>
    <xf numFmtId="0" fontId="21" fillId="0" borderId="2" xfId="20" applyFont="1" applyFill="1" applyBorder="1" applyAlignment="1" applyProtection="1">
      <alignment horizontal="left" indent="6"/>
    </xf>
    <xf numFmtId="0" fontId="21" fillId="0" borderId="2" xfId="20" applyFont="1" applyFill="1" applyBorder="1" applyAlignment="1" applyProtection="1">
      <alignment horizontal="left" vertical="center" wrapText="1" indent="6"/>
    </xf>
    <xf numFmtId="0" fontId="21" fillId="0" borderId="6" xfId="20" applyFont="1" applyFill="1" applyBorder="1" applyAlignment="1" applyProtection="1">
      <alignment horizontal="left" vertical="center" wrapText="1" indent="6"/>
    </xf>
    <xf numFmtId="0" fontId="21" fillId="0" borderId="21" xfId="20" applyFont="1" applyFill="1" applyBorder="1" applyAlignment="1" applyProtection="1">
      <alignment horizontal="left" vertical="center" wrapText="1" indent="6"/>
    </xf>
    <xf numFmtId="0" fontId="2" fillId="0" borderId="0" xfId="20" applyFont="1" applyFill="1"/>
    <xf numFmtId="164" fontId="5" fillId="0" borderId="0" xfId="20" applyNumberFormat="1" applyFont="1" applyFill="1" applyBorder="1" applyAlignment="1" applyProtection="1">
      <alignment horizontal="centerContinuous" vertical="center"/>
    </xf>
    <xf numFmtId="0" fontId="15" fillId="0" borderId="14" xfId="20" applyFont="1" applyFill="1" applyBorder="1" applyAlignment="1">
      <alignment horizontal="center" vertical="center"/>
    </xf>
    <xf numFmtId="0" fontId="15" fillId="0" borderId="19" xfId="2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0" applyNumberFormat="1" applyFont="1" applyFill="1" applyBorder="1" applyAlignment="1" applyProtection="1">
      <alignment horizontal="center" vertical="center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38" xfId="0" applyNumberFormat="1" applyFont="1" applyFill="1" applyBorder="1" applyAlignment="1" applyProtection="1">
      <alignment horizontal="center" vertical="center" wrapText="1"/>
    </xf>
    <xf numFmtId="0" fontId="21" fillId="0" borderId="2" xfId="22" applyFont="1" applyFill="1" applyBorder="1" applyAlignment="1" applyProtection="1">
      <alignment horizontal="left" vertical="center" indent="1"/>
    </xf>
    <xf numFmtId="0" fontId="21" fillId="0" borderId="3" xfId="22" applyFont="1" applyFill="1" applyBorder="1" applyAlignment="1" applyProtection="1">
      <alignment horizontal="left" vertical="center" wrapText="1" indent="1"/>
    </xf>
    <xf numFmtId="0" fontId="21" fillId="0" borderId="2" xfId="22" applyFont="1" applyFill="1" applyBorder="1" applyAlignment="1" applyProtection="1">
      <alignment horizontal="left" vertical="center" wrapText="1" indent="1"/>
    </xf>
    <xf numFmtId="0" fontId="8" fillId="0" borderId="14" xfId="22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4" fontId="19" fillId="0" borderId="28" xfId="20" applyNumberFormat="1" applyFont="1" applyFill="1" applyBorder="1" applyAlignment="1" applyProtection="1">
      <alignment horizontal="right" vertical="center" wrapText="1" indent="1"/>
    </xf>
    <xf numFmtId="164" fontId="19" fillId="0" borderId="19" xfId="20" applyNumberFormat="1" applyFont="1" applyFill="1" applyBorder="1" applyAlignment="1" applyProtection="1">
      <alignment horizontal="right" vertical="center" wrapText="1" indent="1"/>
    </xf>
    <xf numFmtId="164" fontId="21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0" applyNumberFormat="1" applyFont="1" applyFill="1" applyBorder="1" applyAlignment="1" applyProtection="1">
      <alignment horizontal="right" vertical="center" wrapText="1" indent="1"/>
    </xf>
    <xf numFmtId="164" fontId="7" fillId="0" borderId="0" xfId="20" applyNumberFormat="1" applyFont="1" applyFill="1" applyBorder="1" applyAlignment="1" applyProtection="1">
      <alignment horizontal="right" vertical="center" wrapText="1" indent="1"/>
    </xf>
    <xf numFmtId="164" fontId="21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7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27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3" fillId="0" borderId="25" xfId="0" applyFont="1" applyBorder="1" applyAlignment="1" applyProtection="1">
      <alignment horizontal="left" vertical="center" wrapText="1" indent="1"/>
    </xf>
    <xf numFmtId="0" fontId="12" fillId="0" borderId="0" xfId="20" applyFont="1" applyFill="1" applyProtection="1"/>
    <xf numFmtId="0" fontId="12" fillId="0" borderId="0" xfId="20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20" applyFont="1" applyFill="1" applyBorder="1" applyAlignment="1" applyProtection="1">
      <alignment horizontal="center" vertical="center" wrapText="1"/>
    </xf>
    <xf numFmtId="0" fontId="19" fillId="0" borderId="16" xfId="20" applyFont="1" applyFill="1" applyBorder="1" applyAlignment="1" applyProtection="1">
      <alignment horizontal="center" vertical="center" wrapText="1"/>
    </xf>
    <xf numFmtId="0" fontId="19" fillId="0" borderId="28" xfId="20" applyFont="1" applyFill="1" applyBorder="1" applyAlignment="1" applyProtection="1">
      <alignment horizontal="center" vertical="center" wrapText="1"/>
    </xf>
    <xf numFmtId="164" fontId="21" fillId="0" borderId="20" xfId="20" applyNumberFormat="1" applyFont="1" applyFill="1" applyBorder="1" applyAlignment="1" applyProtection="1">
      <alignment horizontal="right" vertical="center" wrapText="1" indent="1"/>
    </xf>
    <xf numFmtId="0" fontId="21" fillId="0" borderId="3" xfId="20" applyFont="1" applyFill="1" applyBorder="1" applyAlignment="1" applyProtection="1">
      <alignment horizontal="left" vertical="center" wrapText="1" indent="6"/>
    </xf>
    <xf numFmtId="0" fontId="12" fillId="0" borderId="0" xfId="20" applyFill="1" applyProtection="1"/>
    <xf numFmtId="0" fontId="21" fillId="0" borderId="0" xfId="20" applyFont="1" applyFill="1" applyProtection="1"/>
    <xf numFmtId="0" fontId="15" fillId="0" borderId="0" xfId="20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2" fillId="0" borderId="0" xfId="20" applyFill="1" applyAlignment="1" applyProtection="1"/>
    <xf numFmtId="164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0" applyFont="1" applyFill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20" applyNumberFormat="1" applyFont="1" applyFill="1" applyBorder="1" applyAlignment="1" applyProtection="1">
      <alignment horizontal="center" vertical="center" wrapText="1"/>
    </xf>
    <xf numFmtId="49" fontId="21" fillId="0" borderId="8" xfId="20" applyNumberFormat="1" applyFont="1" applyFill="1" applyBorder="1" applyAlignment="1" applyProtection="1">
      <alignment horizontal="center" vertical="center" wrapText="1"/>
    </xf>
    <xf numFmtId="49" fontId="21" fillId="0" borderId="10" xfId="20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1" fillId="0" borderId="11" xfId="20" applyNumberFormat="1" applyFont="1" applyFill="1" applyBorder="1" applyAlignment="1" applyProtection="1">
      <alignment horizontal="center" vertical="center" wrapText="1"/>
    </xf>
    <xf numFmtId="49" fontId="21" fillId="0" borderId="7" xfId="20" applyNumberFormat="1" applyFont="1" applyFill="1" applyBorder="1" applyAlignment="1" applyProtection="1">
      <alignment horizontal="center" vertical="center" wrapText="1"/>
    </xf>
    <xf numFmtId="49" fontId="21" fillId="0" borderId="12" xfId="20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0" applyFont="1" applyFill="1" applyBorder="1" applyAlignment="1" applyProtection="1">
      <alignment horizontal="left" vertical="center" wrapText="1" indent="1"/>
    </xf>
    <xf numFmtId="0" fontId="27" fillId="0" borderId="2" xfId="20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22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4" fillId="0" borderId="0" xfId="20" applyNumberFormat="1" applyFont="1" applyFill="1" applyBorder="1" applyAlignment="1" applyProtection="1">
      <alignment horizontal="centerContinuous" vertical="center"/>
    </xf>
    <xf numFmtId="164" fontId="31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9" fillId="0" borderId="0" xfId="0" applyNumberFormat="1" applyFont="1" applyFill="1" applyAlignment="1">
      <alignment vertical="center" wrapText="1"/>
    </xf>
    <xf numFmtId="164" fontId="29" fillId="0" borderId="0" xfId="0" applyNumberFormat="1" applyFont="1" applyFill="1" applyAlignment="1">
      <alignment vertical="center" wrapText="1"/>
    </xf>
    <xf numFmtId="164" fontId="29" fillId="0" borderId="0" xfId="0" applyNumberFormat="1" applyFont="1" applyFill="1" applyAlignment="1">
      <alignment horizontal="center" vertical="center" wrapText="1"/>
    </xf>
    <xf numFmtId="164" fontId="22" fillId="0" borderId="0" xfId="0" applyNumberFormat="1" applyFont="1" applyFill="1" applyAlignment="1">
      <alignment vertical="center" wrapText="1"/>
    </xf>
    <xf numFmtId="164" fontId="29" fillId="0" borderId="0" xfId="0" applyNumberFormat="1" applyFont="1" applyFill="1" applyAlignment="1">
      <alignment horizontal="left" vertical="center" wrapText="1"/>
    </xf>
    <xf numFmtId="164" fontId="33" fillId="0" borderId="2" xfId="0" applyNumberFormat="1" applyFont="1" applyFill="1" applyBorder="1" applyAlignment="1" applyProtection="1">
      <alignment vertical="center" wrapText="1"/>
      <protection locked="0"/>
    </xf>
    <xf numFmtId="164" fontId="27" fillId="0" borderId="2" xfId="22" applyNumberFormat="1" applyFont="1" applyFill="1" applyBorder="1" applyAlignment="1" applyProtection="1">
      <alignment vertical="center"/>
      <protection locked="0"/>
    </xf>
    <xf numFmtId="164" fontId="27" fillId="0" borderId="3" xfId="22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9" fillId="0" borderId="13" xfId="20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1" fillId="0" borderId="21" xfId="20" applyFont="1" applyFill="1" applyBorder="1" applyAlignment="1" applyProtection="1">
      <alignment horizontal="left" vertical="center" wrapText="1" indent="7"/>
    </xf>
    <xf numFmtId="0" fontId="19" fillId="0" borderId="39" xfId="20" applyFont="1" applyFill="1" applyBorder="1" applyAlignment="1" applyProtection="1">
      <alignment horizontal="left" vertical="center" wrapText="1" indent="1"/>
    </xf>
    <xf numFmtId="0" fontId="19" fillId="0" borderId="25" xfId="20" applyFont="1" applyFill="1" applyBorder="1" applyAlignment="1" applyProtection="1">
      <alignment vertical="center" wrapText="1"/>
    </xf>
    <xf numFmtId="164" fontId="19" fillId="0" borderId="26" xfId="2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20" applyNumberFormat="1" applyFont="1" applyFill="1" applyBorder="1" applyAlignment="1" applyProtection="1">
      <alignment horizontal="right" vertical="center" wrapText="1" indent="1"/>
    </xf>
    <xf numFmtId="164" fontId="5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" xfId="22" applyNumberFormat="1" applyFont="1" applyFill="1" applyBorder="1" applyAlignment="1" applyProtection="1">
      <alignment vertical="center"/>
      <protection locked="0"/>
    </xf>
    <xf numFmtId="164" fontId="2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vertical="center" wrapText="1"/>
      <protection locked="0"/>
    </xf>
    <xf numFmtId="0" fontId="55" fillId="0" borderId="0" xfId="0" applyFont="1" applyFill="1" applyAlignment="1">
      <alignment vertical="center" wrapText="1"/>
    </xf>
    <xf numFmtId="164" fontId="2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0" xfId="0" applyFont="1" applyFill="1" applyAlignment="1" applyProtection="1">
      <alignment vertical="center" wrapText="1"/>
    </xf>
    <xf numFmtId="164" fontId="5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5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4" fontId="29" fillId="0" borderId="4" xfId="20" applyNumberFormat="1" applyFont="1" applyFill="1" applyBorder="1" applyAlignment="1">
      <alignment horizontal="center" vertical="center" wrapText="1"/>
    </xf>
    <xf numFmtId="0" fontId="12" fillId="0" borderId="0" xfId="20" applyFill="1"/>
    <xf numFmtId="0" fontId="21" fillId="0" borderId="0" xfId="20" applyFont="1" applyFill="1"/>
    <xf numFmtId="164" fontId="19" fillId="0" borderId="44" xfId="20" applyNumberFormat="1" applyFont="1" applyFill="1" applyBorder="1" applyAlignment="1" applyProtection="1">
      <alignment horizontal="right" vertical="center" wrapText="1" indent="1"/>
    </xf>
    <xf numFmtId="0" fontId="15" fillId="0" borderId="0" xfId="20" applyFont="1" applyFill="1"/>
    <xf numFmtId="164" fontId="21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20" applyNumberFormat="1" applyFont="1" applyFill="1" applyBorder="1" applyAlignment="1" applyProtection="1">
      <alignment horizontal="right" vertical="center" wrapText="1" indent="1"/>
    </xf>
    <xf numFmtId="164" fontId="27" fillId="0" borderId="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0" applyFont="1" applyFill="1" applyBorder="1" applyAlignment="1" applyProtection="1">
      <alignment horizontal="center" vertical="center" wrapText="1"/>
    </xf>
    <xf numFmtId="0" fontId="7" fillId="0" borderId="51" xfId="20" applyFont="1" applyFill="1" applyBorder="1" applyAlignment="1" applyProtection="1">
      <alignment vertical="center" wrapText="1"/>
    </xf>
    <xf numFmtId="164" fontId="19" fillId="0" borderId="52" xfId="20" applyNumberFormat="1" applyFont="1" applyFill="1" applyBorder="1" applyAlignment="1" applyProtection="1">
      <alignment horizontal="right" vertical="center" wrapText="1" indent="1"/>
    </xf>
    <xf numFmtId="164" fontId="21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Border="1" applyAlignment="1" applyProtection="1">
      <alignment horizontal="right" vertical="center" wrapText="1" indent="1"/>
    </xf>
    <xf numFmtId="164" fontId="23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0" applyFont="1" applyFill="1"/>
    <xf numFmtId="164" fontId="27" fillId="0" borderId="3" xfId="0" applyNumberFormat="1" applyFont="1" applyFill="1" applyBorder="1" applyAlignment="1" applyProtection="1">
      <alignment vertical="center" wrapText="1"/>
      <protection locked="0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19" fillId="0" borderId="14" xfId="0" applyNumberFormat="1" applyFont="1" applyFill="1" applyBorder="1" applyAlignment="1" applyProtection="1">
      <alignment horizontal="center" vertical="center" wrapText="1"/>
    </xf>
    <xf numFmtId="164" fontId="55" fillId="0" borderId="0" xfId="0" applyNumberFormat="1" applyFont="1" applyFill="1" applyAlignment="1">
      <alignment horizontal="center" vertical="center" wrapText="1"/>
    </xf>
    <xf numFmtId="164" fontId="15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60" xfId="0" applyNumberFormat="1" applyFont="1" applyFill="1" applyBorder="1" applyAlignment="1" applyProtection="1">
      <alignment horizontal="center" vertical="center" wrapText="1"/>
    </xf>
    <xf numFmtId="164" fontId="19" fillId="0" borderId="61" xfId="0" applyNumberFormat="1" applyFont="1" applyFill="1" applyBorder="1" applyAlignment="1" applyProtection="1">
      <alignment horizontal="center" vertical="center" wrapText="1"/>
    </xf>
    <xf numFmtId="164" fontId="19" fillId="0" borderId="62" xfId="0" applyNumberFormat="1" applyFont="1" applyFill="1" applyBorder="1" applyAlignment="1" applyProtection="1">
      <alignment horizontal="center" vertical="center" wrapText="1"/>
    </xf>
    <xf numFmtId="164" fontId="19" fillId="0" borderId="63" xfId="0" applyNumberFormat="1" applyFont="1" applyFill="1" applyBorder="1" applyAlignment="1" applyProtection="1">
      <alignment horizontal="center" vertical="center" wrapText="1"/>
    </xf>
    <xf numFmtId="164" fontId="19" fillId="0" borderId="28" xfId="0" applyNumberFormat="1" applyFont="1" applyFill="1" applyBorder="1" applyAlignment="1" applyProtection="1">
      <alignment horizontal="center" vertical="center" wrapText="1"/>
    </xf>
    <xf numFmtId="3" fontId="26" fillId="0" borderId="26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20" applyFont="1" applyFill="1" applyBorder="1" applyAlignment="1" applyProtection="1">
      <alignment wrapText="1"/>
      <protection locked="0"/>
    </xf>
    <xf numFmtId="3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4" xfId="0" applyNumberFormat="1" applyFont="1" applyFill="1" applyBorder="1" applyAlignment="1" applyProtection="1">
      <alignment horizontal="center" vertical="center"/>
      <protection locked="0"/>
    </xf>
    <xf numFmtId="3" fontId="26" fillId="0" borderId="17" xfId="0" applyNumberFormat="1" applyFont="1" applyFill="1" applyBorder="1" applyAlignment="1" applyProtection="1">
      <alignment horizontal="center" vertical="center" wrapText="1"/>
    </xf>
    <xf numFmtId="3" fontId="26" fillId="0" borderId="18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22" xfId="0" applyNumberFormat="1" applyFont="1" applyFill="1" applyBorder="1" applyAlignment="1" applyProtection="1">
      <alignment horizontal="center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21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1" fillId="0" borderId="17" xfId="0" applyNumberFormat="1" applyFont="1" applyFill="1" applyBorder="1" applyAlignment="1" applyProtection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" fontId="21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27" xfId="20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4" fontId="54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20" applyNumberFormat="1" applyFont="1" applyFill="1" applyBorder="1" applyAlignment="1" applyProtection="1">
      <alignment horizontal="right" vertical="center" wrapText="1" indent="1"/>
    </xf>
    <xf numFmtId="164" fontId="27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0" applyNumberFormat="1" applyFont="1" applyFill="1" applyBorder="1" applyAlignment="1" applyProtection="1">
      <alignment horizontal="right"/>
      <protection locked="0"/>
    </xf>
    <xf numFmtId="3" fontId="15" fillId="0" borderId="1" xfId="20" applyNumberFormat="1" applyFont="1" applyFill="1" applyBorder="1" applyAlignment="1" applyProtection="1">
      <alignment horizontal="right"/>
      <protection locked="0"/>
    </xf>
    <xf numFmtId="164" fontId="54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20" applyNumberFormat="1" applyFont="1" applyFill="1" applyBorder="1" applyAlignment="1" applyProtection="1">
      <alignment horizontal="right" vertical="center" wrapText="1" indent="1"/>
    </xf>
    <xf numFmtId="164" fontId="27" fillId="0" borderId="18" xfId="20" applyNumberFormat="1" applyFont="1" applyFill="1" applyBorder="1" applyAlignment="1" applyProtection="1">
      <alignment horizontal="right" vertical="center" wrapText="1" indent="1"/>
    </xf>
    <xf numFmtId="164" fontId="27" fillId="0" borderId="23" xfId="20" applyNumberFormat="1" applyFont="1" applyFill="1" applyBorder="1" applyAlignment="1" applyProtection="1">
      <alignment horizontal="right" vertical="center" wrapText="1" indent="1"/>
    </xf>
    <xf numFmtId="0" fontId="27" fillId="0" borderId="8" xfId="23" applyFont="1" applyBorder="1" applyAlignment="1">
      <alignment horizontal="left"/>
    </xf>
    <xf numFmtId="0" fontId="19" fillId="0" borderId="68" xfId="20" applyFont="1" applyFill="1" applyBorder="1" applyAlignment="1" applyProtection="1">
      <alignment horizontal="center" vertical="center" wrapTex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18" xfId="20" applyNumberFormat="1" applyFont="1" applyFill="1" applyBorder="1" applyAlignment="1" applyProtection="1">
      <alignment horizontal="right" vertical="center" wrapText="1" indent="1"/>
    </xf>
    <xf numFmtId="164" fontId="21" fillId="0" borderId="23" xfId="20" applyNumberFormat="1" applyFont="1" applyFill="1" applyBorder="1" applyAlignment="1" applyProtection="1">
      <alignment horizontal="right" vertical="center" wrapText="1" indent="1"/>
    </xf>
    <xf numFmtId="164" fontId="21" fillId="0" borderId="19" xfId="20" applyNumberFormat="1" applyFont="1" applyFill="1" applyBorder="1" applyAlignment="1" applyProtection="1">
      <alignment horizontal="right" vertical="center" wrapText="1" indent="1"/>
    </xf>
    <xf numFmtId="164" fontId="19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4" fontId="12" fillId="0" borderId="0" xfId="20" applyNumberFormat="1" applyFill="1" applyProtection="1"/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24" applyFont="1"/>
    <xf numFmtId="0" fontId="41" fillId="0" borderId="0" xfId="24"/>
    <xf numFmtId="0" fontId="48" fillId="0" borderId="0" xfId="24" applyFont="1" applyAlignment="1">
      <alignment horizontal="centerContinuous"/>
    </xf>
    <xf numFmtId="0" fontId="48" fillId="0" borderId="0" xfId="21" applyFont="1" applyAlignment="1">
      <alignment horizontal="centerContinuous"/>
    </xf>
    <xf numFmtId="0" fontId="47" fillId="0" borderId="0" xfId="24" applyFont="1" applyAlignment="1">
      <alignment horizontal="centerContinuous"/>
    </xf>
    <xf numFmtId="0" fontId="47" fillId="0" borderId="0" xfId="21" applyFont="1" applyFill="1" applyAlignment="1">
      <alignment horizontal="centerContinuous"/>
    </xf>
    <xf numFmtId="0" fontId="43" fillId="0" borderId="0" xfId="24" applyFont="1" applyAlignment="1">
      <alignment horizontal="centerContinuous"/>
    </xf>
    <xf numFmtId="0" fontId="53" fillId="0" borderId="0" xfId="24" applyFont="1" applyAlignment="1">
      <alignment horizontal="right"/>
    </xf>
    <xf numFmtId="0" fontId="19" fillId="0" borderId="2" xfId="24" applyFont="1" applyBorder="1" applyAlignment="1">
      <alignment horizontal="center"/>
    </xf>
    <xf numFmtId="0" fontId="19" fillId="0" borderId="18" xfId="24" applyFont="1" applyBorder="1" applyAlignment="1">
      <alignment horizontal="center"/>
    </xf>
    <xf numFmtId="0" fontId="27" fillId="0" borderId="8" xfId="24" applyFont="1" applyBorder="1" applyAlignment="1">
      <alignment horizontal="left"/>
    </xf>
    <xf numFmtId="0" fontId="41" fillId="0" borderId="0" xfId="24" applyFont="1"/>
    <xf numFmtId="3" fontId="41" fillId="0" borderId="0" xfId="24" applyNumberFormat="1"/>
    <xf numFmtId="0" fontId="56" fillId="0" borderId="0" xfId="24" applyFont="1"/>
    <xf numFmtId="0" fontId="3" fillId="0" borderId="0" xfId="19" applyFont="1"/>
    <xf numFmtId="0" fontId="41" fillId="0" borderId="0" xfId="19"/>
    <xf numFmtId="0" fontId="9" fillId="0" borderId="0" xfId="19" applyFont="1" applyAlignment="1">
      <alignment horizontal="center"/>
    </xf>
    <xf numFmtId="0" fontId="43" fillId="0" borderId="0" xfId="19" applyFont="1" applyAlignment="1">
      <alignment horizontal="centerContinuous"/>
    </xf>
    <xf numFmtId="0" fontId="7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41" fillId="0" borderId="0" xfId="19" applyAlignment="1">
      <alignment vertical="center"/>
    </xf>
    <xf numFmtId="0" fontId="41" fillId="0" borderId="0" xfId="19" applyFill="1" applyBorder="1"/>
    <xf numFmtId="0" fontId="41" fillId="0" borderId="0" xfId="19" applyBorder="1"/>
    <xf numFmtId="164" fontId="19" fillId="0" borderId="9" xfId="0" applyNumberFormat="1" applyFont="1" applyFill="1" applyBorder="1" applyAlignment="1" applyProtection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0" fontId="41" fillId="0" borderId="0" xfId="18"/>
    <xf numFmtId="0" fontId="21" fillId="0" borderId="0" xfId="18" applyFont="1"/>
    <xf numFmtId="0" fontId="19" fillId="0" borderId="0" xfId="18" applyFont="1"/>
    <xf numFmtId="0" fontId="60" fillId="0" borderId="0" xfId="18" applyFont="1"/>
    <xf numFmtId="0" fontId="15" fillId="0" borderId="0" xfId="18" applyFont="1"/>
    <xf numFmtId="0" fontId="27" fillId="0" borderId="0" xfId="18" applyFont="1"/>
    <xf numFmtId="0" fontId="20" fillId="0" borderId="0" xfId="18" applyFont="1" applyAlignment="1">
      <alignment horizontal="right"/>
    </xf>
    <xf numFmtId="49" fontId="43" fillId="0" borderId="0" xfId="18" applyNumberFormat="1" applyFont="1" applyAlignment="1">
      <alignment horizontal="centerContinuous"/>
    </xf>
    <xf numFmtId="0" fontId="21" fillId="0" borderId="0" xfId="18" applyFont="1" applyAlignment="1">
      <alignment horizontal="centerContinuous"/>
    </xf>
    <xf numFmtId="0" fontId="19" fillId="0" borderId="0" xfId="18" applyFont="1" applyAlignment="1">
      <alignment horizontal="centerContinuous"/>
    </xf>
    <xf numFmtId="0" fontId="15" fillId="0" borderId="0" xfId="18" applyFont="1" applyAlignment="1">
      <alignment horizontal="centerContinuous"/>
    </xf>
    <xf numFmtId="0" fontId="4" fillId="0" borderId="0" xfId="18" applyFont="1" applyAlignment="1">
      <alignment horizontal="centerContinuous"/>
    </xf>
    <xf numFmtId="0" fontId="43" fillId="0" borderId="0" xfId="18" applyFont="1" applyAlignment="1">
      <alignment horizontal="centerContinuous"/>
    </xf>
    <xf numFmtId="0" fontId="50" fillId="0" borderId="0" xfId="18" applyFont="1" applyAlignment="1">
      <alignment horizontal="centerContinuous"/>
    </xf>
    <xf numFmtId="0" fontId="7" fillId="0" borderId="63" xfId="18" applyFont="1" applyBorder="1"/>
    <xf numFmtId="0" fontId="7" fillId="0" borderId="51" xfId="18" applyFont="1" applyBorder="1" applyAlignment="1">
      <alignment horizontal="center"/>
    </xf>
    <xf numFmtId="0" fontId="32" fillId="0" borderId="43" xfId="18" applyFont="1" applyBorder="1" applyAlignment="1">
      <alignment horizontal="center"/>
    </xf>
    <xf numFmtId="0" fontId="8" fillId="0" borderId="10" xfId="18" applyFont="1" applyBorder="1" applyAlignment="1">
      <alignment horizontal="center"/>
    </xf>
    <xf numFmtId="0" fontId="8" fillId="0" borderId="6" xfId="18" applyFont="1" applyBorder="1" applyAlignment="1">
      <alignment horizontal="center"/>
    </xf>
    <xf numFmtId="0" fontId="8" fillId="0" borderId="23" xfId="18" applyFont="1" applyBorder="1" applyAlignment="1">
      <alignment horizontal="center"/>
    </xf>
    <xf numFmtId="0" fontId="8" fillId="0" borderId="38" xfId="18" applyFont="1" applyBorder="1" applyAlignment="1">
      <alignment horizontal="center"/>
    </xf>
    <xf numFmtId="0" fontId="18" fillId="0" borderId="60" xfId="18" applyFont="1" applyBorder="1"/>
    <xf numFmtId="0" fontId="8" fillId="0" borderId="7" xfId="18" applyFont="1" applyBorder="1" applyAlignment="1">
      <alignment horizontal="center"/>
    </xf>
    <xf numFmtId="0" fontId="8" fillId="0" borderId="1" xfId="18" applyFont="1" applyBorder="1" applyAlignment="1">
      <alignment horizontal="center"/>
    </xf>
    <xf numFmtId="0" fontId="8" fillId="0" borderId="40" xfId="18" applyFont="1" applyBorder="1" applyAlignment="1">
      <alignment horizontal="center"/>
    </xf>
    <xf numFmtId="0" fontId="8" fillId="0" borderId="0" xfId="18" applyFont="1" applyBorder="1" applyAlignment="1">
      <alignment horizontal="center"/>
    </xf>
    <xf numFmtId="3" fontId="33" fillId="0" borderId="55" xfId="18" applyNumberFormat="1" applyFont="1" applyBorder="1" applyAlignment="1">
      <alignment horizontal="center"/>
    </xf>
    <xf numFmtId="3" fontId="33" fillId="0" borderId="4" xfId="18" applyNumberFormat="1" applyFont="1" applyBorder="1" applyAlignment="1">
      <alignment horizontal="center"/>
    </xf>
    <xf numFmtId="3" fontId="33" fillId="0" borderId="4" xfId="18" applyNumberFormat="1" applyFont="1" applyBorder="1" applyAlignment="1">
      <alignment horizontal="right"/>
    </xf>
    <xf numFmtId="3" fontId="8" fillId="0" borderId="17" xfId="18" applyNumberFormat="1" applyFont="1" applyBorder="1"/>
    <xf numFmtId="3" fontId="8" fillId="0" borderId="51" xfId="18" applyNumberFormat="1" applyFont="1" applyBorder="1"/>
    <xf numFmtId="3" fontId="33" fillId="0" borderId="11" xfId="18" applyNumberFormat="1" applyFont="1" applyBorder="1" applyAlignment="1">
      <alignment horizontal="right"/>
    </xf>
    <xf numFmtId="3" fontId="33" fillId="0" borderId="4" xfId="18" applyNumberFormat="1" applyFont="1" applyBorder="1" applyAlignment="1"/>
    <xf numFmtId="3" fontId="28" fillId="0" borderId="17" xfId="18" applyNumberFormat="1" applyFont="1" applyBorder="1"/>
    <xf numFmtId="0" fontId="42" fillId="0" borderId="0" xfId="18" applyFont="1"/>
    <xf numFmtId="3" fontId="33" fillId="0" borderId="5" xfId="18" applyNumberFormat="1" applyFont="1" applyBorder="1"/>
    <xf numFmtId="3" fontId="33" fillId="0" borderId="2" xfId="18" applyNumberFormat="1" applyFont="1" applyBorder="1"/>
    <xf numFmtId="3" fontId="8" fillId="0" borderId="18" xfId="18" applyNumberFormat="1" applyFont="1" applyBorder="1"/>
    <xf numFmtId="3" fontId="8" fillId="0" borderId="38" xfId="18" applyNumberFormat="1" applyFont="1" applyBorder="1"/>
    <xf numFmtId="3" fontId="33" fillId="0" borderId="8" xfId="18" applyNumberFormat="1" applyFont="1" applyBorder="1"/>
    <xf numFmtId="3" fontId="28" fillId="0" borderId="18" xfId="18" applyNumberFormat="1" applyFont="1" applyBorder="1"/>
    <xf numFmtId="0" fontId="33" fillId="0" borderId="42" xfId="18" applyFont="1" applyBorder="1"/>
    <xf numFmtId="3" fontId="8" fillId="0" borderId="0" xfId="18" applyNumberFormat="1" applyFont="1" applyBorder="1"/>
    <xf numFmtId="3" fontId="33" fillId="0" borderId="2" xfId="18" applyNumberFormat="1" applyFont="1" applyFill="1" applyBorder="1"/>
    <xf numFmtId="3" fontId="8" fillId="0" borderId="49" xfId="18" applyNumberFormat="1" applyFont="1" applyBorder="1"/>
    <xf numFmtId="49" fontId="33" fillId="0" borderId="42" xfId="18" applyNumberFormat="1" applyFont="1" applyBorder="1"/>
    <xf numFmtId="3" fontId="53" fillId="0" borderId="2" xfId="18" applyNumberFormat="1" applyFont="1" applyBorder="1"/>
    <xf numFmtId="3" fontId="53" fillId="0" borderId="5" xfId="18" applyNumberFormat="1" applyFont="1" applyBorder="1"/>
    <xf numFmtId="3" fontId="20" fillId="0" borderId="38" xfId="18" applyNumberFormat="1" applyFont="1" applyBorder="1"/>
    <xf numFmtId="3" fontId="53" fillId="0" borderId="8" xfId="18" applyNumberFormat="1" applyFont="1" applyBorder="1"/>
    <xf numFmtId="49" fontId="53" fillId="0" borderId="42" xfId="18" applyNumberFormat="1" applyFont="1" applyBorder="1"/>
    <xf numFmtId="3" fontId="20" fillId="0" borderId="18" xfId="18" applyNumberFormat="1" applyFont="1" applyBorder="1"/>
    <xf numFmtId="3" fontId="32" fillId="0" borderId="18" xfId="18" applyNumberFormat="1" applyFont="1" applyBorder="1"/>
    <xf numFmtId="3" fontId="33" fillId="0" borderId="74" xfId="18" applyNumberFormat="1" applyFont="1" applyBorder="1"/>
    <xf numFmtId="3" fontId="33" fillId="0" borderId="6" xfId="18" applyNumberFormat="1" applyFont="1" applyBorder="1"/>
    <xf numFmtId="3" fontId="53" fillId="0" borderId="6" xfId="18" applyNumberFormat="1" applyFont="1" applyBorder="1"/>
    <xf numFmtId="3" fontId="28" fillId="0" borderId="23" xfId="18" applyNumberFormat="1" applyFont="1" applyBorder="1"/>
    <xf numFmtId="3" fontId="20" fillId="0" borderId="56" xfId="18" applyNumberFormat="1" applyFont="1" applyBorder="1"/>
    <xf numFmtId="3" fontId="33" fillId="0" borderId="10" xfId="18" applyNumberFormat="1" applyFont="1" applyBorder="1"/>
    <xf numFmtId="3" fontId="33" fillId="0" borderId="74" xfId="18" applyNumberFormat="1" applyFont="1" applyFill="1" applyBorder="1"/>
    <xf numFmtId="3" fontId="33" fillId="0" borderId="6" xfId="18" applyNumberFormat="1" applyFont="1" applyFill="1" applyBorder="1"/>
    <xf numFmtId="0" fontId="8" fillId="0" borderId="41" xfId="18" applyFont="1" applyBorder="1"/>
    <xf numFmtId="3" fontId="8" fillId="0" borderId="55" xfId="18" applyNumberFormat="1" applyFont="1" applyBorder="1"/>
    <xf numFmtId="3" fontId="8" fillId="0" borderId="11" xfId="18" applyNumberFormat="1" applyFont="1" applyBorder="1"/>
    <xf numFmtId="3" fontId="8" fillId="0" borderId="58" xfId="18" applyNumberFormat="1" applyFont="1" applyBorder="1"/>
    <xf numFmtId="3" fontId="41" fillId="0" borderId="0" xfId="18" applyNumberFormat="1"/>
    <xf numFmtId="0" fontId="18" fillId="0" borderId="42" xfId="18" quotePrefix="1" applyFont="1" applyBorder="1"/>
    <xf numFmtId="3" fontId="18" fillId="0" borderId="5" xfId="18" applyNumberFormat="1" applyFont="1" applyBorder="1"/>
    <xf numFmtId="3" fontId="18" fillId="0" borderId="2" xfId="18" applyNumberFormat="1" applyFont="1" applyBorder="1"/>
    <xf numFmtId="3" fontId="8" fillId="0" borderId="8" xfId="18" applyNumberFormat="1" applyFont="1" applyBorder="1"/>
    <xf numFmtId="3" fontId="28" fillId="0" borderId="2" xfId="18" applyNumberFormat="1" applyFont="1" applyBorder="1"/>
    <xf numFmtId="3" fontId="18" fillId="0" borderId="18" xfId="18" applyNumberFormat="1" applyFont="1" applyBorder="1"/>
    <xf numFmtId="0" fontId="8" fillId="0" borderId="75" xfId="18" applyFont="1" applyBorder="1"/>
    <xf numFmtId="3" fontId="8" fillId="0" borderId="54" xfId="18" applyNumberFormat="1" applyFont="1" applyBorder="1"/>
    <xf numFmtId="3" fontId="8" fillId="0" borderId="21" xfId="18" applyNumberFormat="1" applyFont="1" applyBorder="1"/>
    <xf numFmtId="3" fontId="8" fillId="0" borderId="75" xfId="18" applyNumberFormat="1" applyFont="1" applyBorder="1"/>
    <xf numFmtId="3" fontId="8" fillId="0" borderId="22" xfId="18" applyNumberFormat="1" applyFont="1" applyBorder="1"/>
    <xf numFmtId="0" fontId="51" fillId="0" borderId="0" xfId="18" quotePrefix="1" applyFont="1" applyBorder="1"/>
    <xf numFmtId="3" fontId="18" fillId="0" borderId="0" xfId="18" applyNumberFormat="1" applyFont="1" applyBorder="1"/>
    <xf numFmtId="3" fontId="20" fillId="0" borderId="0" xfId="18" applyNumberFormat="1" applyFont="1" applyBorder="1"/>
    <xf numFmtId="3" fontId="18" fillId="0" borderId="0" xfId="18" applyNumberFormat="1" applyFont="1" applyFill="1" applyBorder="1"/>
    <xf numFmtId="3" fontId="51" fillId="0" borderId="0" xfId="18" applyNumberFormat="1" applyFont="1" applyFill="1" applyBorder="1"/>
    <xf numFmtId="3" fontId="51" fillId="0" borderId="0" xfId="18" applyNumberFormat="1" applyFont="1" applyBorder="1"/>
    <xf numFmtId="3" fontId="52" fillId="0" borderId="0" xfId="18" applyNumberFormat="1" applyFont="1" applyBorder="1"/>
    <xf numFmtId="0" fontId="27" fillId="0" borderId="8" xfId="2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5" fillId="0" borderId="0" xfId="0" applyFont="1" applyFill="1" applyAlignment="1" applyProtection="1">
      <alignment vertical="center" wrapText="1"/>
    </xf>
    <xf numFmtId="0" fontId="28" fillId="0" borderId="15" xfId="22" applyFont="1" applyFill="1" applyBorder="1" applyAlignment="1" applyProtection="1">
      <alignment horizontal="center" vertical="center" wrapText="1"/>
      <protection locked="0"/>
    </xf>
    <xf numFmtId="0" fontId="28" fillId="0" borderId="16" xfId="22" applyFont="1" applyFill="1" applyBorder="1" applyAlignment="1" applyProtection="1">
      <alignment horizontal="center" vertical="center"/>
      <protection locked="0"/>
    </xf>
    <xf numFmtId="0" fontId="28" fillId="0" borderId="28" xfId="22" applyFont="1" applyFill="1" applyBorder="1" applyAlignment="1" applyProtection="1">
      <alignment horizontal="center" vertical="center"/>
      <protection locked="0"/>
    </xf>
    <xf numFmtId="164" fontId="27" fillId="0" borderId="18" xfId="22" applyNumberFormat="1" applyFont="1" applyFill="1" applyBorder="1" applyAlignment="1" applyProtection="1">
      <alignment vertical="center"/>
    </xf>
    <xf numFmtId="0" fontId="8" fillId="0" borderId="39" xfId="18" applyFont="1" applyBorder="1" applyAlignment="1">
      <alignment horizontal="center"/>
    </xf>
    <xf numFmtId="0" fontId="8" fillId="0" borderId="25" xfId="18" applyFont="1" applyBorder="1" applyAlignment="1">
      <alignment horizontal="center"/>
    </xf>
    <xf numFmtId="0" fontId="8" fillId="0" borderId="26" xfId="18" applyFont="1" applyBorder="1" applyAlignment="1">
      <alignment horizontal="center"/>
    </xf>
    <xf numFmtId="0" fontId="33" fillId="0" borderId="58" xfId="18" applyFont="1" applyBorder="1"/>
    <xf numFmtId="0" fontId="33" fillId="0" borderId="56" xfId="18" applyFont="1" applyBorder="1"/>
    <xf numFmtId="0" fontId="33" fillId="0" borderId="38" xfId="18" applyFont="1" applyBorder="1"/>
    <xf numFmtId="164" fontId="61" fillId="0" borderId="18" xfId="20" applyNumberFormat="1" applyFont="1" applyFill="1" applyBorder="1" applyAlignment="1" applyProtection="1">
      <alignment horizontal="right" vertical="center" wrapText="1" indent="1"/>
    </xf>
    <xf numFmtId="164" fontId="61" fillId="0" borderId="20" xfId="20" applyNumberFormat="1" applyFont="1" applyFill="1" applyBorder="1" applyAlignment="1" applyProtection="1">
      <alignment horizontal="right" vertical="center" wrapText="1" indent="1"/>
    </xf>
    <xf numFmtId="164" fontId="21" fillId="0" borderId="28" xfId="20" applyNumberFormat="1" applyFont="1" applyFill="1" applyBorder="1" applyAlignment="1" applyProtection="1">
      <alignment horizontal="right" vertical="center" wrapText="1" indent="1"/>
    </xf>
    <xf numFmtId="164" fontId="65" fillId="0" borderId="20" xfId="0" applyNumberFormat="1" applyFont="1" applyFill="1" applyBorder="1" applyAlignment="1" applyProtection="1">
      <alignment vertical="center" wrapText="1"/>
    </xf>
    <xf numFmtId="164" fontId="66" fillId="0" borderId="0" xfId="0" applyNumberFormat="1" applyFont="1" applyFill="1" applyAlignment="1">
      <alignment vertical="center" wrapText="1"/>
    </xf>
    <xf numFmtId="164" fontId="67" fillId="0" borderId="18" xfId="0" applyNumberFormat="1" applyFont="1" applyFill="1" applyBorder="1" applyAlignment="1" applyProtection="1">
      <alignment vertical="center" wrapText="1"/>
    </xf>
    <xf numFmtId="164" fontId="61" fillId="0" borderId="2" xfId="0" applyNumberFormat="1" applyFont="1" applyFill="1" applyBorder="1" applyAlignment="1" applyProtection="1">
      <alignment vertical="center" wrapText="1"/>
      <protection locked="0"/>
    </xf>
    <xf numFmtId="164" fontId="61" fillId="0" borderId="18" xfId="0" applyNumberFormat="1" applyFont="1" applyFill="1" applyBorder="1" applyAlignment="1" applyProtection="1">
      <alignment vertical="center" wrapText="1"/>
    </xf>
    <xf numFmtId="164" fontId="64" fillId="0" borderId="18" xfId="0" applyNumberFormat="1" applyFont="1" applyFill="1" applyBorder="1" applyAlignment="1" applyProtection="1">
      <alignment vertical="center" wrapText="1"/>
    </xf>
    <xf numFmtId="164" fontId="68" fillId="0" borderId="0" xfId="0" applyNumberFormat="1" applyFont="1" applyFill="1" applyAlignment="1">
      <alignment vertical="center" wrapText="1"/>
    </xf>
    <xf numFmtId="164" fontId="69" fillId="0" borderId="18" xfId="0" applyNumberFormat="1" applyFont="1" applyFill="1" applyBorder="1" applyAlignment="1" applyProtection="1">
      <alignment vertical="center" wrapText="1"/>
    </xf>
    <xf numFmtId="164" fontId="70" fillId="0" borderId="2" xfId="0" applyNumberFormat="1" applyFont="1" applyFill="1" applyBorder="1" applyAlignment="1" applyProtection="1">
      <alignment vertical="center" wrapText="1"/>
      <protection locked="0"/>
    </xf>
    <xf numFmtId="164" fontId="70" fillId="0" borderId="18" xfId="0" applyNumberFormat="1" applyFont="1" applyFill="1" applyBorder="1" applyAlignment="1" applyProtection="1">
      <alignment vertical="center" wrapText="1"/>
    </xf>
    <xf numFmtId="164" fontId="67" fillId="0" borderId="23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164" fontId="74" fillId="0" borderId="0" xfId="0" applyNumberFormat="1" applyFont="1" applyFill="1" applyAlignment="1">
      <alignment vertical="center" wrapText="1"/>
    </xf>
    <xf numFmtId="164" fontId="62" fillId="0" borderId="0" xfId="0" applyNumberFormat="1" applyFont="1" applyFill="1" applyAlignment="1">
      <alignment vertical="center" wrapText="1"/>
    </xf>
    <xf numFmtId="0" fontId="75" fillId="0" borderId="0" xfId="0" applyFont="1" applyAlignment="1" applyProtection="1">
      <alignment horizontal="right" vertical="top"/>
    </xf>
    <xf numFmtId="49" fontId="76" fillId="0" borderId="17" xfId="0" applyNumberFormat="1" applyFont="1" applyFill="1" applyBorder="1" applyAlignment="1" applyProtection="1">
      <alignment horizontal="right" vertical="center"/>
    </xf>
    <xf numFmtId="49" fontId="76" fillId="0" borderId="45" xfId="0" applyNumberFormat="1" applyFont="1" applyFill="1" applyBorder="1" applyAlignment="1" applyProtection="1">
      <alignment horizontal="right" vertical="center"/>
    </xf>
    <xf numFmtId="0" fontId="77" fillId="0" borderId="0" xfId="0" applyFont="1" applyFill="1" applyAlignment="1" applyProtection="1">
      <alignment horizontal="right"/>
    </xf>
    <xf numFmtId="0" fontId="76" fillId="0" borderId="28" xfId="0" applyFont="1" applyFill="1" applyBorder="1" applyAlignment="1" applyProtection="1">
      <alignment horizontal="center" vertical="center" wrapText="1"/>
    </xf>
    <xf numFmtId="0" fontId="69" fillId="0" borderId="19" xfId="0" applyFont="1" applyFill="1" applyBorder="1" applyAlignment="1" applyProtection="1">
      <alignment horizontal="center" vertical="center" wrapText="1"/>
    </xf>
    <xf numFmtId="164" fontId="76" fillId="0" borderId="32" xfId="0" applyNumberFormat="1" applyFont="1" applyFill="1" applyBorder="1" applyAlignment="1" applyProtection="1">
      <alignment horizontal="center" vertical="center" wrapText="1"/>
    </xf>
    <xf numFmtId="164" fontId="65" fillId="0" borderId="19" xfId="0" applyNumberFormat="1" applyFont="1" applyFill="1" applyBorder="1" applyAlignment="1" applyProtection="1">
      <alignment horizontal="right" vertical="center" wrapText="1" indent="1"/>
    </xf>
    <xf numFmtId="164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</xf>
    <xf numFmtId="164" fontId="69" fillId="0" borderId="0" xfId="0" applyNumberFormat="1" applyFont="1" applyFill="1" applyBorder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horizontal="right" vertical="center" wrapText="1" indent="1"/>
    </xf>
    <xf numFmtId="164" fontId="69" fillId="0" borderId="44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3" fontId="7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0" applyFont="1" applyFill="1" applyAlignment="1" applyProtection="1">
      <alignment vertical="center" wrapText="1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vertical="center" wrapText="1"/>
    </xf>
    <xf numFmtId="164" fontId="69" fillId="0" borderId="19" xfId="0" applyNumberFormat="1" applyFont="1" applyFill="1" applyBorder="1" applyAlignment="1" applyProtection="1">
      <alignment horizontal="right" vertical="center" wrapText="1" indent="1"/>
    </xf>
    <xf numFmtId="16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5" xfId="18" applyNumberFormat="1" applyFont="1" applyFill="1" applyBorder="1"/>
    <xf numFmtId="3" fontId="73" fillId="0" borderId="2" xfId="18" applyNumberFormat="1" applyFont="1" applyBorder="1"/>
    <xf numFmtId="0" fontId="22" fillId="0" borderId="0" xfId="22" applyFont="1" applyFill="1" applyAlignment="1" applyProtection="1">
      <alignment horizontal="center"/>
    </xf>
    <xf numFmtId="3" fontId="27" fillId="0" borderId="0" xfId="20" applyNumberFormat="1" applyFont="1" applyFill="1" applyProtection="1"/>
    <xf numFmtId="0" fontId="27" fillId="0" borderId="0" xfId="20" applyFont="1" applyFill="1" applyProtection="1"/>
    <xf numFmtId="3" fontId="26" fillId="0" borderId="27" xfId="20" applyNumberFormat="1" applyFont="1" applyFill="1" applyBorder="1" applyProtection="1"/>
    <xf numFmtId="3" fontId="27" fillId="0" borderId="9" xfId="20" applyNumberFormat="1" applyFont="1" applyFill="1" applyBorder="1" applyProtection="1"/>
    <xf numFmtId="3" fontId="27" fillId="0" borderId="20" xfId="20" applyNumberFormat="1" applyFont="1" applyFill="1" applyBorder="1" applyProtection="1"/>
    <xf numFmtId="3" fontId="27" fillId="0" borderId="8" xfId="20" applyNumberFormat="1" applyFont="1" applyFill="1" applyBorder="1" applyProtection="1"/>
    <xf numFmtId="3" fontId="27" fillId="0" borderId="18" xfId="20" applyNumberFormat="1" applyFont="1" applyFill="1" applyBorder="1" applyProtection="1"/>
    <xf numFmtId="3" fontId="27" fillId="0" borderId="10" xfId="20" applyNumberFormat="1" applyFont="1" applyFill="1" applyBorder="1" applyProtection="1"/>
    <xf numFmtId="3" fontId="27" fillId="0" borderId="23" xfId="20" applyNumberFormat="1" applyFont="1" applyFill="1" applyBorder="1" applyProtection="1"/>
    <xf numFmtId="164" fontId="61" fillId="0" borderId="20" xfId="20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0" xfId="0" applyNumberFormat="1" applyFont="1" applyFill="1" applyAlignment="1">
      <alignment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80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3" fontId="21" fillId="0" borderId="9" xfId="0" applyNumberFormat="1" applyFont="1" applyFill="1" applyBorder="1" applyAlignment="1">
      <alignment horizontal="right" vertical="center" wrapText="1"/>
    </xf>
    <xf numFmtId="3" fontId="21" fillId="0" borderId="20" xfId="0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right" vertic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3" fontId="21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horizontal="center" vertical="center" wrapText="1"/>
    </xf>
    <xf numFmtId="3" fontId="47" fillId="0" borderId="2" xfId="0" applyNumberFormat="1" applyFont="1" applyFill="1" applyBorder="1" applyAlignment="1" applyProtection="1">
      <alignment vertical="center" wrapText="1"/>
    </xf>
    <xf numFmtId="3" fontId="47" fillId="0" borderId="0" xfId="0" applyNumberFormat="1" applyFont="1" applyFill="1" applyAlignment="1" applyProtection="1">
      <alignment vertical="center" wrapText="1"/>
    </xf>
    <xf numFmtId="3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22" xfId="25" applyNumberFormat="1" applyFont="1" applyFill="1" applyBorder="1" applyAlignment="1" applyProtection="1">
      <alignment horizontal="right" vertical="center" wrapText="1" indent="1"/>
    </xf>
    <xf numFmtId="0" fontId="1" fillId="0" borderId="12" xfId="23" applyFont="1" applyBorder="1"/>
    <xf numFmtId="3" fontId="65" fillId="0" borderId="21" xfId="25" applyNumberFormat="1" applyFont="1" applyBorder="1" applyAlignment="1">
      <alignment horizontal="right"/>
    </xf>
    <xf numFmtId="3" fontId="65" fillId="0" borderId="22" xfId="25" applyNumberFormat="1" applyFont="1" applyBorder="1" applyAlignment="1">
      <alignment horizontal="right"/>
    </xf>
    <xf numFmtId="166" fontId="9" fillId="0" borderId="0" xfId="25" applyNumberFormat="1" applyFont="1" applyAlignment="1">
      <alignment horizontal="center"/>
    </xf>
    <xf numFmtId="166" fontId="15" fillId="0" borderId="0" xfId="25" applyNumberFormat="1" applyFont="1"/>
    <xf numFmtId="166" fontId="3" fillId="0" borderId="0" xfId="25" applyNumberFormat="1" applyFont="1"/>
    <xf numFmtId="166" fontId="43" fillId="0" borderId="0" xfId="25" applyNumberFormat="1" applyFont="1" applyAlignment="1">
      <alignment horizontal="centerContinuous"/>
    </xf>
    <xf numFmtId="166" fontId="9" fillId="0" borderId="0" xfId="25" applyNumberFormat="1" applyFont="1" applyAlignment="1">
      <alignment horizontal="right"/>
    </xf>
    <xf numFmtId="166" fontId="7" fillId="0" borderId="27" xfId="25" applyNumberFormat="1" applyFont="1" applyBorder="1" applyAlignment="1">
      <alignment horizontal="center" vertical="center"/>
    </xf>
    <xf numFmtId="166" fontId="1" fillId="0" borderId="36" xfId="25" applyNumberFormat="1" applyFont="1" applyBorder="1" applyAlignment="1"/>
    <xf numFmtId="166" fontId="15" fillId="0" borderId="0" xfId="25" applyNumberFormat="1" applyFont="1" applyBorder="1" applyAlignment="1"/>
    <xf numFmtId="0" fontId="1" fillId="0" borderId="47" xfId="19" quotePrefix="1" applyFont="1" applyBorder="1"/>
    <xf numFmtId="0" fontId="1" fillId="0" borderId="72" xfId="19" applyFont="1" applyBorder="1"/>
    <xf numFmtId="166" fontId="15" fillId="0" borderId="0" xfId="25" applyNumberFormat="1" applyFont="1" applyBorder="1"/>
    <xf numFmtId="0" fontId="1" fillId="0" borderId="47" xfId="19" applyFont="1" applyBorder="1"/>
    <xf numFmtId="166" fontId="44" fillId="0" borderId="0" xfId="25" applyNumberFormat="1" applyFont="1" applyBorder="1" applyAlignment="1"/>
    <xf numFmtId="0" fontId="22" fillId="0" borderId="0" xfId="22" applyFont="1" applyFill="1" applyBorder="1" applyAlignment="1" applyProtection="1">
      <alignment horizontal="center"/>
    </xf>
    <xf numFmtId="3" fontId="27" fillId="0" borderId="0" xfId="22" applyNumberFormat="1" applyFont="1" applyFill="1" applyProtection="1">
      <protection locked="0"/>
    </xf>
    <xf numFmtId="0" fontId="6" fillId="0" borderId="0" xfId="0" applyFont="1" applyFill="1" applyBorder="1" applyAlignment="1">
      <alignment horizontal="right"/>
    </xf>
    <xf numFmtId="0" fontId="28" fillId="0" borderId="0" xfId="22" applyFont="1" applyFill="1" applyBorder="1" applyAlignment="1" applyProtection="1">
      <alignment horizontal="center" vertical="center"/>
      <protection locked="0"/>
    </xf>
    <xf numFmtId="0" fontId="20" fillId="0" borderId="0" xfId="22" applyFont="1" applyFill="1" applyBorder="1" applyAlignment="1" applyProtection="1">
      <alignment horizontal="left" vertical="center" indent="1"/>
    </xf>
    <xf numFmtId="3" fontId="27" fillId="0" borderId="0" xfId="22" applyNumberFormat="1" applyFont="1" applyFill="1" applyAlignment="1" applyProtection="1">
      <alignment vertical="center"/>
    </xf>
    <xf numFmtId="164" fontId="26" fillId="0" borderId="40" xfId="22" applyNumberFormat="1" applyFont="1" applyFill="1" applyBorder="1" applyAlignment="1" applyProtection="1">
      <alignment vertical="center"/>
    </xf>
    <xf numFmtId="164" fontId="61" fillId="0" borderId="0" xfId="22" applyNumberFormat="1" applyFont="1" applyFill="1" applyBorder="1" applyAlignment="1" applyProtection="1">
      <alignment vertical="center"/>
    </xf>
    <xf numFmtId="3" fontId="27" fillId="0" borderId="11" xfId="22" applyNumberFormat="1" applyFont="1" applyFill="1" applyBorder="1" applyAlignment="1" applyProtection="1">
      <alignment vertical="center"/>
    </xf>
    <xf numFmtId="3" fontId="27" fillId="0" borderId="17" xfId="22" applyNumberFormat="1" applyFont="1" applyFill="1" applyBorder="1" applyAlignment="1" applyProtection="1">
      <alignment vertical="center"/>
      <protection locked="0"/>
    </xf>
    <xf numFmtId="164" fontId="26" fillId="0" borderId="18" xfId="22" applyNumberFormat="1" applyFont="1" applyFill="1" applyBorder="1" applyAlignment="1" applyProtection="1">
      <alignment vertical="center"/>
    </xf>
    <xf numFmtId="3" fontId="27" fillId="0" borderId="8" xfId="22" applyNumberFormat="1" applyFont="1" applyFill="1" applyBorder="1" applyAlignment="1" applyProtection="1">
      <alignment vertical="center"/>
      <protection locked="0"/>
    </xf>
    <xf numFmtId="3" fontId="27" fillId="0" borderId="18" xfId="22" applyNumberFormat="1" applyFont="1" applyFill="1" applyBorder="1" applyAlignment="1" applyProtection="1">
      <alignment vertical="center"/>
      <protection locked="0"/>
    </xf>
    <xf numFmtId="164" fontId="26" fillId="0" borderId="0" xfId="22" applyNumberFormat="1" applyFont="1" applyFill="1" applyBorder="1" applyAlignment="1" applyProtection="1">
      <alignment vertical="center"/>
    </xf>
    <xf numFmtId="164" fontId="27" fillId="0" borderId="0" xfId="22" applyNumberFormat="1" applyFont="1" applyFill="1" applyBorder="1" applyAlignment="1" applyProtection="1">
      <alignment vertical="center"/>
    </xf>
    <xf numFmtId="3" fontId="27" fillId="0" borderId="10" xfId="22" applyNumberFormat="1" applyFont="1" applyFill="1" applyBorder="1" applyAlignment="1" applyProtection="1">
      <alignment vertical="center"/>
      <protection locked="0"/>
    </xf>
    <xf numFmtId="3" fontId="27" fillId="0" borderId="23" xfId="22" applyNumberFormat="1" applyFont="1" applyFill="1" applyBorder="1" applyAlignment="1" applyProtection="1">
      <alignment vertical="center"/>
      <protection locked="0"/>
    </xf>
    <xf numFmtId="164" fontId="19" fillId="0" borderId="0" xfId="22" applyNumberFormat="1" applyFont="1" applyFill="1" applyBorder="1" applyAlignment="1" applyProtection="1">
      <alignment vertical="center"/>
    </xf>
    <xf numFmtId="3" fontId="27" fillId="0" borderId="27" xfId="22" applyNumberFormat="1" applyFont="1" applyFill="1" applyBorder="1" applyAlignment="1" applyProtection="1">
      <alignment vertical="center"/>
    </xf>
    <xf numFmtId="3" fontId="27" fillId="0" borderId="27" xfId="22" applyNumberFormat="1" applyFont="1" applyFill="1" applyBorder="1" applyAlignment="1" applyProtection="1">
      <alignment vertical="center"/>
      <protection locked="0"/>
    </xf>
    <xf numFmtId="3" fontId="27" fillId="0" borderId="0" xfId="22" applyNumberFormat="1" applyFont="1" applyFill="1" applyAlignment="1" applyProtection="1">
      <alignment vertical="center"/>
      <protection locked="0"/>
    </xf>
    <xf numFmtId="0" fontId="21" fillId="0" borderId="11" xfId="22" applyFont="1" applyFill="1" applyBorder="1" applyAlignment="1" applyProtection="1">
      <alignment horizontal="left" vertical="center" indent="1"/>
    </xf>
    <xf numFmtId="0" fontId="21" fillId="0" borderId="4" xfId="22" applyFont="1" applyFill="1" applyBorder="1" applyAlignment="1" applyProtection="1">
      <alignment horizontal="left" vertical="center" indent="1"/>
    </xf>
    <xf numFmtId="164" fontId="27" fillId="0" borderId="4" xfId="22" applyNumberFormat="1" applyFont="1" applyFill="1" applyBorder="1" applyAlignment="1" applyProtection="1">
      <alignment vertical="center"/>
      <protection locked="0"/>
    </xf>
    <xf numFmtId="164" fontId="26" fillId="0" borderId="17" xfId="22" applyNumberFormat="1" applyFont="1" applyFill="1" applyBorder="1" applyAlignment="1" applyProtection="1">
      <alignment vertical="center"/>
    </xf>
    <xf numFmtId="3" fontId="27" fillId="0" borderId="11" xfId="22" applyNumberFormat="1" applyFont="1" applyFill="1" applyBorder="1" applyAlignment="1" applyProtection="1">
      <alignment vertical="center"/>
      <protection locked="0"/>
    </xf>
    <xf numFmtId="3" fontId="26" fillId="0" borderId="8" xfId="22" applyNumberFormat="1" applyFont="1" applyFill="1" applyBorder="1" applyAlignment="1" applyProtection="1">
      <alignment vertical="center"/>
      <protection locked="0"/>
    </xf>
    <xf numFmtId="164" fontId="19" fillId="0" borderId="0" xfId="22" applyNumberFormat="1" applyFont="1" applyFill="1" applyBorder="1" applyProtection="1"/>
    <xf numFmtId="0" fontId="12" fillId="0" borderId="0" xfId="22" applyFill="1" applyBorder="1" applyProtection="1"/>
    <xf numFmtId="0" fontId="12" fillId="0" borderId="0" xfId="22" applyFill="1" applyBorder="1" applyProtection="1">
      <protection locked="0"/>
    </xf>
    <xf numFmtId="0" fontId="1" fillId="0" borderId="42" xfId="18" applyFont="1" applyBorder="1"/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2" xfId="20" applyFont="1" applyFill="1" applyBorder="1" applyProtection="1">
      <protection locked="0"/>
    </xf>
    <xf numFmtId="16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2" fillId="0" borderId="0" xfId="0" applyFont="1" applyFill="1" applyAlignment="1" applyProtection="1">
      <alignment horizontal="right" vertical="center" wrapText="1" indent="1"/>
    </xf>
    <xf numFmtId="164" fontId="65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3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66" fillId="0" borderId="22" xfId="25" applyNumberFormat="1" applyFont="1" applyFill="1" applyBorder="1" applyAlignment="1" applyProtection="1">
      <alignment horizontal="right" vertical="center" wrapText="1" indent="1"/>
    </xf>
    <xf numFmtId="3" fontId="64" fillId="0" borderId="2" xfId="24" applyNumberFormat="1" applyFont="1" applyBorder="1" applyAlignment="1">
      <alignment horizontal="right"/>
    </xf>
    <xf numFmtId="3" fontId="64" fillId="0" borderId="2" xfId="25" quotePrefix="1" applyNumberFormat="1" applyFont="1" applyBorder="1" applyAlignment="1">
      <alignment horizontal="right"/>
    </xf>
    <xf numFmtId="3" fontId="64" fillId="0" borderId="2" xfId="25" applyNumberFormat="1" applyFont="1" applyBorder="1" applyAlignment="1">
      <alignment horizontal="right"/>
    </xf>
    <xf numFmtId="3" fontId="15" fillId="0" borderId="2" xfId="26" applyNumberFormat="1" applyFont="1" applyFill="1" applyBorder="1" applyAlignment="1" applyProtection="1">
      <alignment horizontal="right"/>
      <protection locked="0"/>
    </xf>
    <xf numFmtId="3" fontId="15" fillId="0" borderId="20" xfId="26" applyNumberFormat="1" applyFont="1" applyFill="1" applyBorder="1" applyAlignment="1">
      <alignment horizontal="right"/>
    </xf>
    <xf numFmtId="3" fontId="15" fillId="0" borderId="5" xfId="26" applyNumberFormat="1" applyFont="1" applyFill="1" applyBorder="1" applyAlignment="1" applyProtection="1">
      <alignment horizontal="right"/>
      <protection locked="0"/>
    </xf>
    <xf numFmtId="0" fontId="15" fillId="0" borderId="8" xfId="20" applyFont="1" applyFill="1" applyBorder="1" applyAlignment="1" applyProtection="1">
      <alignment wrapText="1"/>
      <protection locked="0"/>
    </xf>
    <xf numFmtId="3" fontId="15" fillId="0" borderId="67" xfId="26" applyNumberFormat="1" applyFont="1" applyFill="1" applyBorder="1" applyAlignment="1" applyProtection="1">
      <alignment horizontal="right"/>
      <protection locked="0"/>
    </xf>
    <xf numFmtId="3" fontId="15" fillId="0" borderId="1" xfId="26" applyNumberFormat="1" applyFont="1" applyFill="1" applyBorder="1" applyAlignment="1" applyProtection="1">
      <alignment horizontal="right"/>
      <protection locked="0"/>
    </xf>
    <xf numFmtId="3" fontId="29" fillId="0" borderId="14" xfId="20" applyNumberFormat="1" applyFont="1" applyFill="1" applyBorder="1" applyAlignment="1">
      <alignment horizontal="right"/>
    </xf>
    <xf numFmtId="3" fontId="65" fillId="0" borderId="2" xfId="24" applyNumberFormat="1" applyFont="1" applyBorder="1" applyAlignment="1">
      <alignment horizontal="right"/>
    </xf>
    <xf numFmtId="3" fontId="65" fillId="0" borderId="18" xfId="24" applyNumberFormat="1" applyFont="1" applyBorder="1" applyAlignment="1">
      <alignment horizontal="right"/>
    </xf>
    <xf numFmtId="3" fontId="24" fillId="0" borderId="0" xfId="24" applyNumberFormat="1" applyFont="1"/>
    <xf numFmtId="3" fontId="79" fillId="0" borderId="0" xfId="24" applyNumberFormat="1" applyFont="1"/>
    <xf numFmtId="164" fontId="19" fillId="0" borderId="4" xfId="0" applyNumberFormat="1" applyFont="1" applyFill="1" applyBorder="1" applyAlignment="1" applyProtection="1">
      <alignment horizontal="left" vertical="center" wrapText="1" indent="1"/>
    </xf>
    <xf numFmtId="164" fontId="27" fillId="0" borderId="21" xfId="0" applyNumberFormat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left" vertical="center" wrapText="1" indent="1"/>
    </xf>
    <xf numFmtId="164" fontId="2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4" xfId="26" applyNumberFormat="1" applyFont="1" applyFill="1" applyBorder="1" applyAlignment="1" applyProtection="1">
      <alignment horizontal="center" vertical="center"/>
      <protection locked="0"/>
    </xf>
    <xf numFmtId="3" fontId="15" fillId="0" borderId="2" xfId="26" applyNumberFormat="1" applyFont="1" applyFill="1" applyBorder="1" applyAlignment="1" applyProtection="1">
      <alignment horizontal="center" vertical="center"/>
      <protection locked="0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  <protection locked="0"/>
    </xf>
    <xf numFmtId="164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1" xfId="0" applyNumberFormat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7" borderId="70" xfId="0" applyNumberFormat="1" applyFont="1" applyFill="1" applyBorder="1" applyAlignment="1" applyProtection="1">
      <alignment horizontal="left" vertical="center" wrapText="1" indent="2"/>
    </xf>
    <xf numFmtId="3" fontId="26" fillId="0" borderId="39" xfId="0" applyNumberFormat="1" applyFont="1" applyFill="1" applyBorder="1" applyAlignment="1" applyProtection="1">
      <alignment horizontal="center" vertical="center" wrapText="1"/>
    </xf>
    <xf numFmtId="3" fontId="26" fillId="0" borderId="25" xfId="0" applyNumberFormat="1" applyFont="1" applyFill="1" applyBorder="1" applyAlignment="1" applyProtection="1">
      <alignment horizontal="center" vertical="center" wrapText="1"/>
    </xf>
    <xf numFmtId="3" fontId="26" fillId="0" borderId="59" xfId="0" applyNumberFormat="1" applyFont="1" applyFill="1" applyBorder="1" applyAlignment="1" applyProtection="1">
      <alignment horizontal="center" vertical="center" wrapText="1"/>
    </xf>
    <xf numFmtId="164" fontId="27" fillId="0" borderId="41" xfId="14" applyNumberFormat="1" applyFont="1" applyFill="1" applyBorder="1" applyAlignment="1" applyProtection="1">
      <alignment horizontal="left" vertical="center" wrapText="1"/>
      <protection locked="0"/>
    </xf>
    <xf numFmtId="164" fontId="27" fillId="0" borderId="9" xfId="14" applyNumberFormat="1" applyFont="1" applyFill="1" applyBorder="1" applyAlignment="1" applyProtection="1">
      <alignment vertical="center" wrapText="1"/>
      <protection locked="0"/>
    </xf>
    <xf numFmtId="164" fontId="27" fillId="0" borderId="42" xfId="14" applyNumberFormat="1" applyFont="1" applyFill="1" applyBorder="1" applyAlignment="1" applyProtection="1">
      <alignment horizontal="left" vertical="center" wrapText="1"/>
      <protection locked="0"/>
    </xf>
    <xf numFmtId="164" fontId="27" fillId="0" borderId="8" xfId="14" applyNumberFormat="1" applyFont="1" applyFill="1" applyBorder="1" applyAlignment="1" applyProtection="1">
      <alignment vertical="center" wrapText="1"/>
      <protection locked="0"/>
    </xf>
    <xf numFmtId="164" fontId="27" fillId="0" borderId="38" xfId="14" applyNumberFormat="1" applyFont="1" applyFill="1" applyBorder="1" applyAlignment="1" applyProtection="1">
      <alignment horizontal="left" vertical="center" wrapText="1"/>
      <protection locked="0"/>
    </xf>
    <xf numFmtId="164" fontId="21" fillId="0" borderId="42" xfId="14" applyNumberFormat="1" applyFont="1" applyFill="1" applyBorder="1" applyAlignment="1" applyProtection="1">
      <alignment horizontal="left" vertical="center" wrapText="1"/>
      <protection locked="0"/>
    </xf>
    <xf numFmtId="164" fontId="21" fillId="0" borderId="8" xfId="14" applyNumberFormat="1" applyFont="1" applyFill="1" applyBorder="1" applyAlignment="1" applyProtection="1">
      <alignment vertical="center" wrapText="1"/>
      <protection locked="0"/>
    </xf>
    <xf numFmtId="0" fontId="24" fillId="0" borderId="42" xfId="14" applyFont="1" applyFill="1" applyBorder="1" applyAlignment="1">
      <alignment vertical="center"/>
    </xf>
    <xf numFmtId="164" fontId="21" fillId="0" borderId="5" xfId="14" applyNumberFormat="1" applyFont="1" applyFill="1" applyBorder="1" applyAlignment="1" applyProtection="1">
      <alignment vertical="center" wrapText="1"/>
      <protection locked="0"/>
    </xf>
    <xf numFmtId="164" fontId="21" fillId="0" borderId="76" xfId="14" applyNumberFormat="1" applyFont="1" applyFill="1" applyBorder="1" applyAlignment="1" applyProtection="1">
      <alignment vertical="center" wrapText="1"/>
      <protection locked="0"/>
    </xf>
    <xf numFmtId="0" fontId="79" fillId="0" borderId="41" xfId="14" applyFont="1" applyFill="1" applyBorder="1" applyAlignment="1">
      <alignment vertical="center"/>
    </xf>
    <xf numFmtId="0" fontId="37" fillId="0" borderId="41" xfId="14" applyFont="1" applyFill="1" applyBorder="1" applyAlignment="1">
      <alignment vertical="center"/>
    </xf>
    <xf numFmtId="164" fontId="27" fillId="8" borderId="8" xfId="14" applyNumberFormat="1" applyFont="1" applyFill="1" applyBorder="1" applyAlignment="1" applyProtection="1">
      <alignment vertical="center" wrapText="1"/>
      <protection locked="0"/>
    </xf>
    <xf numFmtId="164" fontId="21" fillId="8" borderId="8" xfId="14" applyNumberFormat="1" applyFont="1" applyFill="1" applyBorder="1" applyAlignment="1" applyProtection="1">
      <alignment vertical="center" wrapText="1"/>
      <protection locked="0"/>
    </xf>
    <xf numFmtId="164" fontId="27" fillId="0" borderId="18" xfId="0" applyNumberFormat="1" applyFont="1" applyFill="1" applyBorder="1" applyAlignment="1" applyProtection="1">
      <alignment vertical="center" wrapText="1"/>
    </xf>
    <xf numFmtId="0" fontId="1" fillId="0" borderId="47" xfId="19" applyFont="1" applyBorder="1" applyAlignment="1">
      <alignment horizontal="left"/>
    </xf>
    <xf numFmtId="0" fontId="1" fillId="0" borderId="72" xfId="19" quotePrefix="1" applyFont="1" applyBorder="1" applyAlignment="1">
      <alignment horizontal="left"/>
    </xf>
    <xf numFmtId="0" fontId="74" fillId="0" borderId="0" xfId="0" applyFont="1" applyFill="1" applyAlignment="1" applyProtection="1">
      <alignment vertical="center" wrapText="1"/>
    </xf>
    <xf numFmtId="0" fontId="0" fillId="9" borderId="0" xfId="0" applyFill="1" applyAlignment="1" applyProtection="1">
      <alignment vertical="center" wrapText="1"/>
    </xf>
    <xf numFmtId="164" fontId="27" fillId="0" borderId="20" xfId="20" applyNumberFormat="1" applyFont="1" applyFill="1" applyBorder="1" applyAlignment="1" applyProtection="1">
      <alignment horizontal="center" vertical="center" wrapText="1"/>
    </xf>
    <xf numFmtId="164" fontId="27" fillId="8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8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0" applyNumberFormat="1" applyFont="1" applyFill="1" applyBorder="1" applyAlignment="1" applyProtection="1">
      <alignment horizontal="center" vertical="center" wrapText="1"/>
    </xf>
    <xf numFmtId="0" fontId="19" fillId="0" borderId="70" xfId="20" applyFont="1" applyFill="1" applyBorder="1" applyAlignment="1" applyProtection="1">
      <alignment vertical="center" wrapText="1"/>
    </xf>
    <xf numFmtId="0" fontId="26" fillId="0" borderId="68" xfId="20" applyFont="1" applyFill="1" applyBorder="1" applyAlignment="1" applyProtection="1">
      <alignment horizontal="left" vertical="center" wrapText="1" indent="1"/>
    </xf>
    <xf numFmtId="164" fontId="27" fillId="0" borderId="40" xfId="20" applyNumberFormat="1" applyFont="1" applyFill="1" applyBorder="1" applyAlignment="1" applyProtection="1">
      <alignment horizontal="center" vertical="center" wrapText="1"/>
    </xf>
    <xf numFmtId="164" fontId="26" fillId="0" borderId="40" xfId="20" applyNumberFormat="1" applyFont="1" applyFill="1" applyBorder="1" applyAlignment="1" applyProtection="1">
      <alignment horizontal="center" vertical="center" wrapText="1"/>
    </xf>
    <xf numFmtId="164" fontId="26" fillId="0" borderId="27" xfId="20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83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66" fillId="0" borderId="11" xfId="0" applyNumberFormat="1" applyFont="1" applyFill="1" applyBorder="1" applyAlignment="1" applyProtection="1">
      <alignment vertical="center" wrapText="1"/>
      <protection locked="0"/>
    </xf>
    <xf numFmtId="49" fontId="6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4" xfId="0" applyNumberFormat="1" applyFont="1" applyFill="1" applyBorder="1" applyAlignment="1" applyProtection="1">
      <alignment vertical="center" wrapText="1"/>
      <protection locked="0"/>
    </xf>
    <xf numFmtId="164" fontId="65" fillId="0" borderId="17" xfId="0" applyNumberFormat="1" applyFont="1" applyFill="1" applyBorder="1" applyAlignment="1" applyProtection="1">
      <alignment vertical="center" wrapText="1"/>
    </xf>
    <xf numFmtId="164" fontId="66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6" fillId="0" borderId="8" xfId="0" applyNumberFormat="1" applyFont="1" applyFill="1" applyBorder="1" applyAlignment="1" applyProtection="1">
      <alignment vertical="center" wrapText="1"/>
      <protection locked="0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82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4" fontId="82" fillId="0" borderId="8" xfId="0" applyNumberFormat="1" applyFont="1" applyFill="1" applyBorder="1" applyAlignment="1" applyProtection="1">
      <alignment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2" fillId="0" borderId="2" xfId="0" applyNumberFormat="1" applyFont="1" applyFill="1" applyBorder="1" applyAlignment="1" applyProtection="1">
      <alignment vertical="center" wrapText="1"/>
      <protection locked="0"/>
    </xf>
    <xf numFmtId="0" fontId="66" fillId="0" borderId="42" xfId="20" quotePrefix="1" applyFont="1" applyFill="1" applyBorder="1" applyAlignment="1" applyProtection="1">
      <alignment horizontal="left"/>
      <protection locked="0"/>
    </xf>
    <xf numFmtId="164" fontId="66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82" fillId="0" borderId="42" xfId="20" quotePrefix="1" applyFont="1" applyFill="1" applyBorder="1" applyProtection="1">
      <protection locked="0"/>
    </xf>
    <xf numFmtId="164" fontId="83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2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42" xfId="0" quotePrefix="1" applyFont="1" applyFill="1" applyBorder="1" applyAlignment="1">
      <alignment vertical="center" wrapText="1"/>
    </xf>
    <xf numFmtId="0" fontId="84" fillId="0" borderId="42" xfId="0" quotePrefix="1" applyFont="1" applyFill="1" applyBorder="1" applyAlignment="1">
      <alignment vertical="center"/>
    </xf>
    <xf numFmtId="0" fontId="85" fillId="0" borderId="42" xfId="0" applyFont="1" applyFill="1" applyBorder="1" applyAlignment="1">
      <alignment vertical="center"/>
    </xf>
    <xf numFmtId="0" fontId="84" fillId="0" borderId="41" xfId="0" quotePrefix="1" applyFont="1" applyFill="1" applyBorder="1" applyAlignment="1">
      <alignment vertical="center"/>
    </xf>
    <xf numFmtId="0" fontId="86" fillId="0" borderId="41" xfId="0" applyFont="1" applyFill="1" applyBorder="1" applyAlignment="1">
      <alignment vertical="center"/>
    </xf>
    <xf numFmtId="0" fontId="87" fillId="0" borderId="42" xfId="0" applyFont="1" applyFill="1" applyBorder="1" applyAlignment="1">
      <alignment vertical="center"/>
    </xf>
    <xf numFmtId="0" fontId="88" fillId="0" borderId="42" xfId="0" quotePrefix="1" applyFont="1" applyFill="1" applyBorder="1" applyAlignment="1">
      <alignment vertical="center" wrapText="1"/>
    </xf>
    <xf numFmtId="3" fontId="88" fillId="0" borderId="8" xfId="26" applyNumberFormat="1" applyFont="1" applyFill="1" applyBorder="1" applyAlignment="1">
      <alignment vertical="center"/>
    </xf>
    <xf numFmtId="3" fontId="88" fillId="0" borderId="2" xfId="26" applyNumberFormat="1" applyFont="1" applyFill="1" applyBorder="1" applyAlignment="1">
      <alignment vertical="center"/>
    </xf>
    <xf numFmtId="0" fontId="88" fillId="0" borderId="42" xfId="0" quotePrefix="1" applyFont="1" applyFill="1" applyBorder="1" applyAlignment="1">
      <alignment vertical="center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82" fillId="0" borderId="18" xfId="0" applyNumberFormat="1" applyFont="1" applyFill="1" applyBorder="1" applyAlignment="1" applyProtection="1">
      <alignment vertical="center" wrapText="1"/>
    </xf>
    <xf numFmtId="0" fontId="88" fillId="0" borderId="42" xfId="0" applyFont="1" applyFill="1" applyBorder="1" applyAlignment="1">
      <alignment vertical="center"/>
    </xf>
    <xf numFmtId="0" fontId="88" fillId="0" borderId="4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164" fontId="89" fillId="0" borderId="18" xfId="0" applyNumberFormat="1" applyFont="1" applyFill="1" applyBorder="1" applyAlignment="1" applyProtection="1">
      <alignment vertical="center" wrapText="1"/>
    </xf>
    <xf numFmtId="164" fontId="36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1" fillId="0" borderId="18" xfId="0" applyNumberFormat="1" applyFont="1" applyFill="1" applyBorder="1" applyAlignment="1" applyProtection="1">
      <alignment vertical="center" wrapText="1"/>
    </xf>
    <xf numFmtId="0" fontId="90" fillId="0" borderId="42" xfId="20" applyFont="1" applyFill="1" applyBorder="1" applyProtection="1">
      <protection locked="0"/>
    </xf>
    <xf numFmtId="0" fontId="0" fillId="0" borderId="42" xfId="20" quotePrefix="1" applyFont="1" applyFill="1" applyBorder="1" applyProtection="1">
      <protection locked="0"/>
    </xf>
    <xf numFmtId="0" fontId="79" fillId="0" borderId="42" xfId="0" quotePrefix="1" applyFont="1" applyFill="1" applyBorder="1" applyAlignment="1">
      <alignment vertical="center"/>
    </xf>
    <xf numFmtId="166" fontId="22" fillId="0" borderId="46" xfId="25" applyNumberFormat="1" applyFont="1" applyBorder="1"/>
    <xf numFmtId="0" fontId="1" fillId="0" borderId="36" xfId="19" applyFont="1" applyBorder="1"/>
    <xf numFmtId="166" fontId="22" fillId="0" borderId="29" xfId="25" applyNumberFormat="1" applyFont="1" applyBorder="1"/>
    <xf numFmtId="166" fontId="22" fillId="0" borderId="73" xfId="25" applyNumberFormat="1" applyFont="1" applyBorder="1"/>
    <xf numFmtId="166" fontId="22" fillId="0" borderId="53" xfId="25" applyNumberFormat="1" applyFont="1" applyBorder="1"/>
    <xf numFmtId="166" fontId="29" fillId="0" borderId="53" xfId="25" applyNumberFormat="1" applyFont="1" applyBorder="1"/>
    <xf numFmtId="166" fontId="22" fillId="0" borderId="34" xfId="25" applyNumberFormat="1" applyFont="1" applyBorder="1"/>
    <xf numFmtId="166" fontId="22" fillId="0" borderId="35" xfId="25" applyNumberFormat="1" applyFont="1" applyBorder="1"/>
    <xf numFmtId="166" fontId="22" fillId="0" borderId="44" xfId="25" applyNumberFormat="1" applyFont="1" applyBorder="1"/>
    <xf numFmtId="166" fontId="29" fillId="0" borderId="44" xfId="25" applyNumberFormat="1" applyFont="1" applyBorder="1"/>
    <xf numFmtId="166" fontId="12" fillId="0" borderId="71" xfId="25" quotePrefix="1" applyNumberFormat="1" applyFont="1" applyBorder="1"/>
    <xf numFmtId="166" fontId="12" fillId="0" borderId="57" xfId="25" quotePrefix="1" applyNumberFormat="1" applyFont="1" applyBorder="1"/>
    <xf numFmtId="166" fontId="12" fillId="0" borderId="57" xfId="25" applyNumberFormat="1" applyFont="1" applyBorder="1"/>
    <xf numFmtId="166" fontId="22" fillId="0" borderId="43" xfId="25" applyNumberFormat="1" applyFont="1" applyBorder="1"/>
    <xf numFmtId="166" fontId="22" fillId="0" borderId="0" xfId="25" applyNumberFormat="1" applyFont="1" applyBorder="1"/>
    <xf numFmtId="166" fontId="22" fillId="0" borderId="48" xfId="25" applyNumberFormat="1" applyFont="1" applyBorder="1"/>
    <xf numFmtId="0" fontId="19" fillId="0" borderId="68" xfId="20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8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8" xfId="0" applyFont="1" applyBorder="1" applyAlignment="1" applyProtection="1">
      <alignment wrapText="1"/>
    </xf>
    <xf numFmtId="0" fontId="25" fillId="0" borderId="70" xfId="0" applyFont="1" applyBorder="1" applyAlignment="1" applyProtection="1">
      <alignment wrapText="1"/>
    </xf>
    <xf numFmtId="0" fontId="19" fillId="0" borderId="62" xfId="20" applyFont="1" applyFill="1" applyBorder="1" applyAlignment="1" applyProtection="1">
      <alignment vertical="center" wrapText="1"/>
    </xf>
    <xf numFmtId="0" fontId="21" fillId="0" borderId="69" xfId="20" applyFont="1" applyFill="1" applyBorder="1" applyAlignment="1" applyProtection="1">
      <alignment horizontal="left" vertical="center" wrapText="1" indent="1"/>
    </xf>
    <xf numFmtId="0" fontId="21" fillId="0" borderId="49" xfId="20" applyFont="1" applyFill="1" applyBorder="1" applyAlignment="1" applyProtection="1">
      <alignment horizontal="left" vertical="center" wrapText="1" indent="1"/>
    </xf>
    <xf numFmtId="0" fontId="21" fillId="0" borderId="65" xfId="20" applyFont="1" applyFill="1" applyBorder="1" applyAlignment="1" applyProtection="1">
      <alignment horizontal="left" vertical="center" wrapText="1" indent="1"/>
    </xf>
    <xf numFmtId="0" fontId="21" fillId="0" borderId="65" xfId="20" applyFont="1" applyFill="1" applyBorder="1" applyAlignment="1" applyProtection="1">
      <alignment horizontal="left" vertical="center" wrapText="1" indent="6"/>
    </xf>
    <xf numFmtId="0" fontId="21" fillId="0" borderId="72" xfId="20" applyFont="1" applyFill="1" applyBorder="1" applyAlignment="1" applyProtection="1">
      <alignment horizontal="left" vertical="center" wrapText="1" indent="1"/>
    </xf>
    <xf numFmtId="0" fontId="21" fillId="0" borderId="37" xfId="20" applyFont="1" applyFill="1" applyBorder="1" applyAlignment="1" applyProtection="1">
      <alignment horizontal="left" vertical="center" wrapText="1" indent="7"/>
    </xf>
    <xf numFmtId="0" fontId="21" fillId="0" borderId="64" xfId="20" applyFont="1" applyFill="1" applyBorder="1" applyAlignment="1" applyProtection="1">
      <alignment horizontal="left" vertical="center" wrapText="1" indent="1"/>
    </xf>
    <xf numFmtId="0" fontId="21" fillId="0" borderId="66" xfId="20" applyFont="1" applyFill="1" applyBorder="1" applyAlignment="1" applyProtection="1">
      <alignment horizontal="left" vertical="center" wrapText="1" indent="1"/>
    </xf>
    <xf numFmtId="0" fontId="21" fillId="0" borderId="64" xfId="20" applyFont="1" applyFill="1" applyBorder="1" applyAlignment="1" applyProtection="1">
      <alignment horizontal="left" vertical="center" wrapText="1" indent="6"/>
    </xf>
    <xf numFmtId="0" fontId="21" fillId="0" borderId="49" xfId="20" applyFont="1" applyFill="1" applyBorder="1" applyAlignment="1" applyProtection="1">
      <alignment horizontal="left" vertical="center" wrapText="1" indent="6"/>
    </xf>
    <xf numFmtId="0" fontId="8" fillId="0" borderId="68" xfId="20" applyFont="1" applyFill="1" applyBorder="1" applyAlignment="1" applyProtection="1">
      <alignment horizontal="center" vertical="center" wrapText="1"/>
    </xf>
    <xf numFmtId="0" fontId="15" fillId="0" borderId="47" xfId="20" applyFont="1" applyFill="1" applyBorder="1" applyAlignment="1">
      <alignment horizontal="center" vertical="center"/>
    </xf>
    <xf numFmtId="14" fontId="2" fillId="0" borderId="0" xfId="20" applyNumberFormat="1" applyFont="1" applyFill="1" applyAlignment="1">
      <alignment horizontal="left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3" fontId="15" fillId="0" borderId="2" xfId="20" applyNumberFormat="1" applyFont="1" applyFill="1" applyBorder="1" applyAlignment="1" applyProtection="1">
      <alignment horizontal="center" vertical="center"/>
      <protection locked="0"/>
    </xf>
    <xf numFmtId="164" fontId="19" fillId="0" borderId="3" xfId="0" applyNumberFormat="1" applyFont="1" applyFill="1" applyBorder="1" applyAlignment="1" applyProtection="1">
      <alignment horizontal="left" vertical="center" wrapText="1" indent="1"/>
    </xf>
    <xf numFmtId="3" fontId="26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1" fillId="0" borderId="49" xfId="20" applyFont="1" applyFill="1" applyBorder="1" applyAlignment="1" applyProtection="1">
      <alignment horizontal="left" indent="6"/>
    </xf>
    <xf numFmtId="1" fontId="19" fillId="0" borderId="68" xfId="20" applyNumberFormat="1" applyFont="1" applyFill="1" applyBorder="1" applyAlignment="1" applyProtection="1">
      <alignment horizontal="right" vertical="center" wrapText="1" indent="1"/>
    </xf>
    <xf numFmtId="1" fontId="19" fillId="0" borderId="19" xfId="20" applyNumberFormat="1" applyFont="1" applyFill="1" applyBorder="1" applyAlignment="1" applyProtection="1">
      <alignment horizontal="right" vertical="center" wrapText="1" indent="1"/>
    </xf>
    <xf numFmtId="1" fontId="19" fillId="0" borderId="44" xfId="20" applyNumberFormat="1" applyFont="1" applyFill="1" applyBorder="1" applyAlignment="1" applyProtection="1">
      <alignment horizontal="right" vertical="center" wrapText="1" indent="1"/>
    </xf>
    <xf numFmtId="1" fontId="24" fillId="0" borderId="58" xfId="26" applyNumberFormat="1" applyFont="1" applyBorder="1" applyAlignment="1" applyProtection="1">
      <alignment horizontal="right" wrapText="1" indent="1"/>
    </xf>
    <xf numFmtId="1" fontId="21" fillId="0" borderId="50" xfId="20" applyNumberFormat="1" applyFont="1" applyFill="1" applyBorder="1" applyAlignment="1" applyProtection="1">
      <alignment horizontal="right" vertical="center" wrapText="1" indent="1"/>
    </xf>
    <xf numFmtId="1" fontId="27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41" xfId="26" applyNumberFormat="1" applyFont="1" applyBorder="1" applyAlignment="1" applyProtection="1">
      <alignment horizontal="right" wrapText="1" indent="1"/>
    </xf>
    <xf numFmtId="1" fontId="27" fillId="0" borderId="36" xfId="20" applyNumberFormat="1" applyFont="1" applyFill="1" applyBorder="1" applyAlignment="1" applyProtection="1">
      <alignment horizontal="right" vertical="center" wrapText="1" indent="1"/>
    </xf>
    <xf numFmtId="1" fontId="2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38" xfId="26" applyNumberFormat="1" applyFont="1" applyBorder="1" applyAlignment="1" applyProtection="1">
      <alignment horizontal="right" wrapText="1" indent="1"/>
    </xf>
    <xf numFmtId="1" fontId="27" fillId="0" borderId="32" xfId="20" applyNumberFormat="1" applyFont="1" applyFill="1" applyBorder="1" applyAlignment="1" applyProtection="1">
      <alignment horizontal="right" vertical="center" wrapText="1" indent="1"/>
    </xf>
    <xf numFmtId="1" fontId="21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7" xfId="26" applyNumberFormat="1" applyFont="1" applyBorder="1" applyAlignment="1" applyProtection="1">
      <alignment horizontal="right" wrapText="1" indent="1"/>
    </xf>
    <xf numFmtId="1" fontId="21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6" xfId="20" applyNumberFormat="1" applyFont="1" applyFill="1" applyBorder="1" applyAlignment="1" applyProtection="1">
      <alignment horizontal="right" vertical="center" wrapText="1" indent="1"/>
    </xf>
    <xf numFmtId="1" fontId="2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2" xfId="20" applyNumberFormat="1" applyFont="1" applyFill="1" applyBorder="1" applyAlignment="1" applyProtection="1">
      <alignment horizontal="right" vertical="center" wrapText="1" indent="1"/>
    </xf>
    <xf numFmtId="1" fontId="26" fillId="0" borderId="44" xfId="20" applyNumberFormat="1" applyFont="1" applyFill="1" applyBorder="1" applyAlignment="1" applyProtection="1">
      <alignment horizontal="right" vertical="center" wrapText="1" indent="1"/>
    </xf>
    <xf numFmtId="1" fontId="26" fillId="0" borderId="19" xfId="20" applyNumberFormat="1" applyFont="1" applyFill="1" applyBorder="1" applyAlignment="1" applyProtection="1">
      <alignment horizontal="right" vertical="center" wrapText="1" indent="1"/>
    </xf>
    <xf numFmtId="1" fontId="21" fillId="0" borderId="20" xfId="20" applyNumberFormat="1" applyFont="1" applyFill="1" applyBorder="1" applyAlignment="1" applyProtection="1">
      <alignment horizontal="right" vertical="center" wrapText="1" indent="1"/>
    </xf>
    <xf numFmtId="1" fontId="27" fillId="0" borderId="50" xfId="20" applyNumberFormat="1" applyFont="1" applyFill="1" applyBorder="1" applyAlignment="1" applyProtection="1">
      <alignment horizontal="right" vertical="center" wrapText="1" indent="1"/>
    </xf>
    <xf numFmtId="1" fontId="21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7" xfId="20" applyNumberFormat="1" applyFont="1" applyFill="1" applyBorder="1" applyAlignment="1" applyProtection="1">
      <alignment horizontal="right" vertical="center" wrapText="1" indent="1"/>
    </xf>
    <xf numFmtId="1" fontId="19" fillId="0" borderId="45" xfId="20" applyNumberFormat="1" applyFont="1" applyFill="1" applyBorder="1" applyAlignment="1" applyProtection="1">
      <alignment horizontal="right" vertical="center" wrapText="1" indent="1"/>
    </xf>
    <xf numFmtId="1" fontId="21" fillId="0" borderId="44" xfId="20" applyNumberFormat="1" applyFont="1" applyFill="1" applyBorder="1" applyAlignment="1" applyProtection="1">
      <alignment horizontal="right" vertical="center" wrapText="1" indent="1"/>
    </xf>
    <xf numFmtId="1" fontId="26" fillId="0" borderId="27" xfId="20" applyNumberFormat="1" applyFont="1" applyFill="1" applyBorder="1" applyAlignment="1" applyProtection="1">
      <alignment horizontal="right" vertical="center" wrapText="1" indent="1"/>
    </xf>
    <xf numFmtId="1" fontId="24" fillId="0" borderId="27" xfId="26" applyNumberFormat="1" applyFont="1" applyBorder="1" applyAlignment="1" applyProtection="1">
      <alignment horizontal="right" wrapText="1" indent="1"/>
    </xf>
    <xf numFmtId="1" fontId="19" fillId="0" borderId="52" xfId="20" applyNumberFormat="1" applyFont="1" applyFill="1" applyBorder="1" applyAlignment="1" applyProtection="1">
      <alignment horizontal="right" vertical="center" wrapText="1" indent="1"/>
    </xf>
    <xf numFmtId="1" fontId="19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8" xfId="20" applyNumberFormat="1" applyFont="1" applyFill="1" applyBorder="1" applyAlignment="1" applyProtection="1">
      <alignment horizontal="right" vertical="center" wrapText="1" indent="1"/>
    </xf>
    <xf numFmtId="1" fontId="21" fillId="0" borderId="58" xfId="26" applyNumberFormat="1" applyFont="1" applyFill="1" applyBorder="1" applyAlignment="1" applyProtection="1">
      <alignment horizontal="right" wrapText="1" indent="1"/>
    </xf>
    <xf numFmtId="1" fontId="27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2" xfId="26" applyNumberFormat="1" applyFont="1" applyFill="1" applyBorder="1" applyAlignment="1" applyProtection="1">
      <alignment horizontal="right" wrapText="1" indent="1"/>
    </xf>
    <xf numFmtId="1" fontId="21" fillId="0" borderId="56" xfId="26" applyNumberFormat="1" applyFont="1" applyFill="1" applyBorder="1" applyAlignment="1" applyProtection="1">
      <alignment horizontal="right" wrapText="1" indent="1"/>
    </xf>
    <xf numFmtId="1" fontId="21" fillId="0" borderId="56" xfId="26" applyNumberFormat="1" applyFont="1" applyFill="1" applyBorder="1" applyAlignment="1" applyProtection="1">
      <alignment horizontal="right" vertical="center" wrapText="1" indent="1"/>
    </xf>
    <xf numFmtId="1" fontId="21" fillId="0" borderId="42" xfId="26" applyNumberFormat="1" applyFont="1" applyFill="1" applyBorder="1" applyAlignment="1" applyProtection="1">
      <alignment horizontal="right" vertical="center" wrapText="1" indent="1"/>
    </xf>
    <xf numFmtId="1" fontId="27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6" xfId="20" applyNumberFormat="1" applyFont="1" applyFill="1" applyBorder="1" applyAlignment="1" applyProtection="1">
      <alignment horizontal="right" vertical="center" wrapText="1" indent="1"/>
    </xf>
    <xf numFmtId="1" fontId="21" fillId="0" borderId="41" xfId="26" applyNumberFormat="1" applyFont="1" applyFill="1" applyBorder="1" applyAlignment="1" applyProtection="1">
      <alignment horizontal="right" vertical="center" wrapText="1" indent="1"/>
    </xf>
    <xf numFmtId="1" fontId="21" fillId="0" borderId="38" xfId="26" applyNumberFormat="1" applyFont="1" applyFill="1" applyBorder="1" applyAlignment="1" applyProtection="1">
      <alignment horizontal="right" vertical="center" wrapText="1" indent="1"/>
    </xf>
    <xf numFmtId="1" fontId="21" fillId="0" borderId="56" xfId="20" applyNumberFormat="1" applyFont="1" applyFill="1" applyBorder="1" applyAlignment="1" applyProtection="1">
      <alignment horizontal="right" vertical="center" wrapText="1" indent="1"/>
    </xf>
    <xf numFmtId="1" fontId="2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56" xfId="0" applyNumberFormat="1" applyFont="1" applyBorder="1" applyAlignment="1" applyProtection="1">
      <alignment horizontal="right" vertical="center" wrapText="1" indent="1"/>
    </xf>
    <xf numFmtId="1" fontId="24" fillId="0" borderId="42" xfId="0" applyNumberFormat="1" applyFont="1" applyBorder="1" applyAlignment="1" applyProtection="1">
      <alignment horizontal="right" vertical="center" wrapText="1" indent="1"/>
    </xf>
    <xf numFmtId="1" fontId="21" fillId="0" borderId="41" xfId="20" applyNumberFormat="1" applyFont="1" applyFill="1" applyBorder="1" applyAlignment="1" applyProtection="1">
      <alignment horizontal="right" vertical="center" wrapText="1" indent="1"/>
    </xf>
    <xf numFmtId="1" fontId="21" fillId="0" borderId="38" xfId="20" applyNumberFormat="1" applyFont="1" applyFill="1" applyBorder="1" applyAlignment="1" applyProtection="1">
      <alignment horizontal="right" vertical="center" wrapText="1" indent="1"/>
    </xf>
    <xf numFmtId="1" fontId="25" fillId="0" borderId="44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" fontId="23" fillId="0" borderId="44" xfId="0" quotePrefix="1" applyNumberFormat="1" applyFont="1" applyBorder="1" applyAlignment="1" applyProtection="1">
      <alignment horizontal="right" vertical="center" wrapText="1" indent="1"/>
    </xf>
    <xf numFmtId="1" fontId="23" fillId="0" borderId="19" xfId="0" quotePrefix="1" applyNumberFormat="1" applyFont="1" applyBorder="1" applyAlignment="1" applyProtection="1">
      <alignment horizontal="right" vertical="center" wrapText="1" indent="1"/>
    </xf>
    <xf numFmtId="1" fontId="32" fillId="0" borderId="24" xfId="20" applyNumberFormat="1" applyFont="1" applyFill="1" applyBorder="1" applyAlignment="1" applyProtection="1">
      <alignment horizontal="right" vertical="center" indent="1"/>
    </xf>
    <xf numFmtId="1" fontId="32" fillId="0" borderId="0" xfId="20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0" applyNumberFormat="1" applyFont="1" applyFill="1" applyBorder="1" applyAlignment="1" applyProtection="1">
      <alignment horizontal="right" vertical="center" wrapText="1" indent="1"/>
    </xf>
    <xf numFmtId="1" fontId="8" fillId="0" borderId="68" xfId="20" applyNumberFormat="1" applyFont="1" applyFill="1" applyBorder="1" applyAlignment="1" applyProtection="1">
      <alignment horizontal="right" vertical="center" wrapText="1" indent="1"/>
    </xf>
    <xf numFmtId="1" fontId="8" fillId="0" borderId="19" xfId="20" applyNumberFormat="1" applyFont="1" applyFill="1" applyBorder="1" applyAlignment="1" applyProtection="1">
      <alignment horizontal="right" vertical="center" wrapText="1" indent="1"/>
    </xf>
    <xf numFmtId="1" fontId="19" fillId="0" borderId="62" xfId="20" applyNumberFormat="1" applyFont="1" applyFill="1" applyBorder="1" applyAlignment="1" applyProtection="1">
      <alignment horizontal="right" vertical="center" wrapText="1" indent="1"/>
    </xf>
    <xf numFmtId="1" fontId="7" fillId="0" borderId="51" xfId="20" applyNumberFormat="1" applyFont="1" applyFill="1" applyBorder="1" applyAlignment="1" applyProtection="1">
      <alignment horizontal="right" vertical="center" wrapText="1" indent="1"/>
    </xf>
    <xf numFmtId="1" fontId="32" fillId="0" borderId="24" xfId="20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0" applyNumberFormat="1" applyFont="1" applyFill="1" applyBorder="1" applyAlignment="1" applyProtection="1">
      <alignment horizontal="right" vertical="center" wrapText="1" indent="1"/>
    </xf>
    <xf numFmtId="1" fontId="8" fillId="0" borderId="33" xfId="20" applyNumberFormat="1" applyFont="1" applyFill="1" applyBorder="1" applyAlignment="1" applyProtection="1">
      <alignment horizontal="right" vertical="center" wrapText="1" indent="1"/>
    </xf>
    <xf numFmtId="1" fontId="19" fillId="0" borderId="33" xfId="20" applyNumberFormat="1" applyFont="1" applyFill="1" applyBorder="1" applyAlignment="1" applyProtection="1">
      <alignment horizontal="right" vertical="center" wrapText="1" indent="1"/>
    </xf>
    <xf numFmtId="1" fontId="21" fillId="0" borderId="56" xfId="26" applyNumberFormat="1" applyFont="1" applyFill="1" applyBorder="1" applyAlignment="1" applyProtection="1">
      <alignment horizontal="right" indent="1"/>
    </xf>
    <xf numFmtId="1" fontId="27" fillId="0" borderId="42" xfId="26" applyNumberFormat="1" applyFont="1" applyFill="1" applyBorder="1" applyAlignment="1" applyProtection="1">
      <alignment horizontal="right" vertical="center" wrapText="1" indent="1"/>
    </xf>
    <xf numFmtId="1" fontId="21" fillId="0" borderId="75" xfId="26" applyNumberFormat="1" applyFont="1" applyFill="1" applyBorder="1" applyAlignment="1" applyProtection="1">
      <alignment horizontal="right" vertical="center" wrapText="1" indent="1"/>
    </xf>
    <xf numFmtId="1" fontId="21" fillId="0" borderId="42" xfId="20" applyNumberFormat="1" applyFont="1" applyFill="1" applyBorder="1" applyAlignment="1" applyProtection="1">
      <alignment horizontal="right" vertical="center" wrapText="1" indent="1"/>
    </xf>
    <xf numFmtId="1" fontId="12" fillId="0" borderId="0" xfId="20" applyNumberFormat="1" applyFont="1" applyFill="1" applyAlignment="1">
      <alignment horizontal="right" indent="1"/>
    </xf>
    <xf numFmtId="1" fontId="21" fillId="0" borderId="27" xfId="2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0" fontId="29" fillId="0" borderId="6" xfId="20" applyFont="1" applyFill="1" applyBorder="1" applyAlignment="1">
      <alignment horizontal="center" vertical="center" wrapText="1"/>
    </xf>
    <xf numFmtId="164" fontId="19" fillId="0" borderId="17" xfId="20" applyNumberFormat="1" applyFont="1" applyFill="1" applyBorder="1" applyAlignment="1" applyProtection="1">
      <alignment horizontal="right" vertical="center" wrapText="1" indent="1"/>
    </xf>
    <xf numFmtId="164" fontId="19" fillId="0" borderId="18" xfId="20" applyNumberFormat="1" applyFont="1" applyFill="1" applyBorder="1" applyAlignment="1" applyProtection="1">
      <alignment horizontal="right" vertical="center" wrapText="1" indent="1"/>
    </xf>
    <xf numFmtId="164" fontId="19" fillId="0" borderId="22" xfId="20" applyNumberFormat="1" applyFont="1" applyFill="1" applyBorder="1" applyAlignment="1" applyProtection="1">
      <alignment horizontal="right" vertical="center" wrapText="1" indent="1"/>
    </xf>
    <xf numFmtId="164" fontId="19" fillId="0" borderId="20" xfId="20" applyNumberFormat="1" applyFont="1" applyFill="1" applyBorder="1" applyAlignment="1" applyProtection="1">
      <alignment horizontal="right" vertical="center" wrapText="1" indent="1"/>
    </xf>
    <xf numFmtId="164" fontId="27" fillId="0" borderId="17" xfId="20" applyNumberFormat="1" applyFont="1" applyFill="1" applyBorder="1" applyAlignment="1" applyProtection="1">
      <alignment horizontal="right" vertical="center" wrapText="1" indent="1"/>
    </xf>
    <xf numFmtId="164" fontId="27" fillId="0" borderId="22" xfId="20" applyNumberFormat="1" applyFont="1" applyFill="1" applyBorder="1" applyAlignment="1" applyProtection="1">
      <alignment horizontal="right" vertical="center" wrapText="1" indent="1"/>
    </xf>
    <xf numFmtId="164" fontId="61" fillId="0" borderId="22" xfId="20" applyNumberFormat="1" applyFont="1" applyFill="1" applyBorder="1" applyAlignment="1" applyProtection="1">
      <alignment horizontal="right" vertical="center" wrapText="1" indent="1"/>
    </xf>
    <xf numFmtId="164" fontId="61" fillId="0" borderId="17" xfId="20" applyNumberFormat="1" applyFont="1" applyFill="1" applyBorder="1" applyAlignment="1" applyProtection="1">
      <alignment horizontal="right" vertical="center" wrapText="1" indent="1"/>
    </xf>
    <xf numFmtId="164" fontId="6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44" xfId="0" applyNumberFormat="1" applyFont="1" applyFill="1" applyBorder="1" applyAlignment="1" applyProtection="1">
      <alignment horizontal="right" vertical="center" wrapText="1" indent="1"/>
    </xf>
    <xf numFmtId="164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9" xfId="0" applyNumberFormat="1" applyFont="1" applyFill="1" applyBorder="1" applyAlignment="1" applyProtection="1">
      <alignment horizontal="right" vertical="center" wrapText="1" indent="1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19" xfId="0" applyNumberFormat="1" applyFont="1" applyFill="1" applyBorder="1" applyAlignment="1" applyProtection="1">
      <alignment horizontal="right" vertical="center" wrapText="1" indent="1"/>
    </xf>
    <xf numFmtId="3" fontId="61" fillId="0" borderId="2" xfId="24" applyNumberFormat="1" applyFont="1" applyBorder="1" applyAlignment="1">
      <alignment horizontal="right"/>
    </xf>
    <xf numFmtId="3" fontId="61" fillId="0" borderId="18" xfId="24" applyNumberFormat="1" applyFont="1" applyBorder="1" applyAlignment="1">
      <alignment horizontal="right"/>
    </xf>
    <xf numFmtId="164" fontId="61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2" xfId="26" applyNumberFormat="1" applyFont="1" applyFill="1" applyBorder="1" applyAlignment="1" applyProtection="1">
      <alignment horizontal="right"/>
      <protection locked="0"/>
    </xf>
    <xf numFmtId="0" fontId="15" fillId="0" borderId="34" xfId="20" applyFont="1" applyFill="1" applyBorder="1" applyAlignment="1">
      <alignment horizontal="center" vertical="center"/>
    </xf>
    <xf numFmtId="0" fontId="15" fillId="0" borderId="77" xfId="20" applyFont="1" applyFill="1" applyBorder="1" applyAlignment="1">
      <alignment horizontal="center" vertical="center"/>
    </xf>
    <xf numFmtId="0" fontId="15" fillId="0" borderId="29" xfId="20" applyFont="1" applyFill="1" applyBorder="1" applyAlignment="1">
      <alignment horizontal="center" vertical="center"/>
    </xf>
    <xf numFmtId="0" fontId="15" fillId="0" borderId="13" xfId="20" applyFont="1" applyFill="1" applyBorder="1" applyAlignment="1">
      <alignment horizontal="center" vertical="center"/>
    </xf>
    <xf numFmtId="0" fontId="15" fillId="0" borderId="8" xfId="20" applyFont="1" applyFill="1" applyBorder="1" applyProtection="1">
      <protection locked="0"/>
    </xf>
    <xf numFmtId="0" fontId="15" fillId="0" borderId="7" xfId="20" applyFont="1" applyFill="1" applyBorder="1" applyAlignment="1" applyProtection="1">
      <alignment wrapText="1"/>
      <protection locked="0"/>
    </xf>
    <xf numFmtId="0" fontId="29" fillId="0" borderId="13" xfId="20" applyFont="1" applyFill="1" applyBorder="1"/>
    <xf numFmtId="3" fontId="29" fillId="0" borderId="19" xfId="20" applyNumberFormat="1" applyFont="1" applyFill="1" applyBorder="1" applyAlignment="1">
      <alignment horizontal="right"/>
    </xf>
    <xf numFmtId="0" fontId="31" fillId="0" borderId="0" xfId="20" applyFont="1" applyFill="1" applyBorder="1" applyAlignment="1">
      <alignment horizontal="center"/>
    </xf>
    <xf numFmtId="3" fontId="62" fillId="0" borderId="2" xfId="26" applyNumberFormat="1" applyFont="1" applyFill="1" applyBorder="1" applyAlignment="1" applyProtection="1">
      <alignment horizontal="center" vertical="center"/>
      <protection locked="0"/>
    </xf>
    <xf numFmtId="3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2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73" fillId="0" borderId="34" xfId="0" applyNumberFormat="1" applyFont="1" applyFill="1" applyBorder="1" applyAlignment="1" applyProtection="1">
      <alignment horizontal="left" vertical="center" wrapText="1"/>
    </xf>
    <xf numFmtId="164" fontId="61" fillId="0" borderId="27" xfId="0" applyNumberFormat="1" applyFont="1" applyFill="1" applyBorder="1" applyAlignment="1" applyProtection="1">
      <alignment vertical="center" wrapText="1"/>
    </xf>
    <xf numFmtId="164" fontId="61" fillId="7" borderId="33" xfId="0" applyNumberFormat="1" applyFont="1" applyFill="1" applyBorder="1" applyAlignment="1" applyProtection="1">
      <alignment vertical="center" wrapText="1"/>
    </xf>
    <xf numFmtId="164" fontId="61" fillId="0" borderId="14" xfId="0" applyNumberFormat="1" applyFont="1" applyFill="1" applyBorder="1" applyAlignment="1" applyProtection="1">
      <alignment vertical="center" wrapText="1"/>
    </xf>
    <xf numFmtId="164" fontId="61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7" fontId="6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2" xfId="25" quotePrefix="1" applyNumberFormat="1" applyFont="1" applyBorder="1" applyAlignment="1">
      <alignment horizontal="right"/>
    </xf>
    <xf numFmtId="3" fontId="61" fillId="0" borderId="2" xfId="25" applyNumberFormat="1" applyFont="1" applyBorder="1" applyAlignment="1">
      <alignment horizontal="right"/>
    </xf>
    <xf numFmtId="3" fontId="65" fillId="0" borderId="2" xfId="25" applyNumberFormat="1" applyFont="1" applyBorder="1" applyAlignment="1">
      <alignment horizontal="right"/>
    </xf>
    <xf numFmtId="166" fontId="62" fillId="0" borderId="44" xfId="25" applyNumberFormat="1" applyFont="1" applyBorder="1"/>
    <xf numFmtId="3" fontId="73" fillId="0" borderId="8" xfId="18" applyNumberFormat="1" applyFont="1" applyBorder="1"/>
    <xf numFmtId="3" fontId="73" fillId="0" borderId="5" xfId="18" applyNumberFormat="1" applyFont="1" applyFill="1" applyBorder="1"/>
    <xf numFmtId="3" fontId="73" fillId="0" borderId="10" xfId="18" applyNumberFormat="1" applyFont="1" applyFill="1" applyBorder="1"/>
    <xf numFmtId="3" fontId="73" fillId="0" borderId="10" xfId="18" applyNumberFormat="1" applyFont="1" applyBorder="1"/>
    <xf numFmtId="164" fontId="32" fillId="0" borderId="24" xfId="20" applyNumberFormat="1" applyFont="1" applyFill="1" applyBorder="1" applyAlignment="1" applyProtection="1">
      <alignment horizontal="left" vertical="center"/>
    </xf>
    <xf numFmtId="164" fontId="7" fillId="0" borderId="0" xfId="20" applyNumberFormat="1" applyFont="1" applyFill="1" applyBorder="1" applyAlignment="1" applyProtection="1">
      <alignment horizontal="center" vertical="center"/>
    </xf>
    <xf numFmtId="164" fontId="32" fillId="0" borderId="24" xfId="20" applyNumberFormat="1" applyFont="1" applyFill="1" applyBorder="1" applyAlignment="1" applyProtection="1">
      <alignment horizontal="left"/>
    </xf>
    <xf numFmtId="0" fontId="22" fillId="0" borderId="0" xfId="20" applyFont="1" applyFill="1" applyAlignment="1" applyProtection="1">
      <alignment horizontal="center"/>
    </xf>
    <xf numFmtId="164" fontId="28" fillId="0" borderId="24" xfId="2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8" fillId="0" borderId="61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39" fillId="0" borderId="51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75" xfId="0" applyNumberFormat="1" applyFont="1" applyFill="1" applyBorder="1" applyAlignment="1" applyProtection="1">
      <alignment horizontal="center" vertical="center" wrapText="1"/>
    </xf>
    <xf numFmtId="164" fontId="5" fillId="0" borderId="0" xfId="2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29" fillId="0" borderId="11" xfId="20" applyFont="1" applyFill="1" applyBorder="1" applyAlignment="1">
      <alignment horizontal="center" vertical="center" wrapText="1"/>
    </xf>
    <xf numFmtId="0" fontId="29" fillId="0" borderId="10" xfId="20" applyFont="1" applyFill="1" applyBorder="1" applyAlignment="1">
      <alignment horizontal="center" vertical="center" wrapText="1"/>
    </xf>
    <xf numFmtId="0" fontId="29" fillId="0" borderId="4" xfId="20" applyFont="1" applyFill="1" applyBorder="1" applyAlignment="1">
      <alignment horizontal="center" vertical="center" wrapText="1"/>
    </xf>
    <xf numFmtId="0" fontId="29" fillId="0" borderId="6" xfId="20" applyFont="1" applyFill="1" applyBorder="1" applyAlignment="1">
      <alignment horizontal="center" vertical="center" wrapText="1"/>
    </xf>
    <xf numFmtId="0" fontId="29" fillId="0" borderId="17" xfId="20" applyFont="1" applyFill="1" applyBorder="1" applyAlignment="1">
      <alignment horizontal="center" vertical="center" wrapText="1"/>
    </xf>
    <xf numFmtId="0" fontId="29" fillId="0" borderId="23" xfId="20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9" fillId="0" borderId="15" xfId="24" applyFont="1" applyBorder="1" applyAlignment="1">
      <alignment horizontal="center" vertical="center"/>
    </xf>
    <xf numFmtId="0" fontId="19" fillId="0" borderId="7" xfId="24" applyFont="1" applyBorder="1" applyAlignment="1">
      <alignment horizontal="center" vertical="center"/>
    </xf>
    <xf numFmtId="0" fontId="19" fillId="0" borderId="9" xfId="24" applyFont="1" applyBorder="1" applyAlignment="1">
      <alignment horizontal="center" vertical="center"/>
    </xf>
    <xf numFmtId="0" fontId="19" fillId="0" borderId="4" xfId="24" applyFont="1" applyBorder="1" applyAlignment="1">
      <alignment horizontal="left"/>
    </xf>
    <xf numFmtId="0" fontId="41" fillId="0" borderId="4" xfId="24" applyBorder="1" applyAlignment="1">
      <alignment horizontal="left"/>
    </xf>
    <xf numFmtId="0" fontId="19" fillId="0" borderId="4" xfId="24" applyFont="1" applyBorder="1" applyAlignment="1">
      <alignment horizontal="center"/>
    </xf>
    <xf numFmtId="0" fontId="41" fillId="0" borderId="4" xfId="24" applyBorder="1" applyAlignment="1">
      <alignment horizontal="center"/>
    </xf>
    <xf numFmtId="0" fontId="41" fillId="0" borderId="17" xfId="24" applyBorder="1" applyAlignment="1">
      <alignment horizontal="center"/>
    </xf>
    <xf numFmtId="0" fontId="22" fillId="0" borderId="0" xfId="20" applyFont="1" applyFill="1" applyAlignment="1">
      <alignment horizontal="center" wrapText="1"/>
    </xf>
    <xf numFmtId="0" fontId="22" fillId="0" borderId="0" xfId="20" applyFont="1" applyFill="1" applyAlignment="1">
      <alignment horizontal="center"/>
    </xf>
    <xf numFmtId="164" fontId="8" fillId="0" borderId="34" xfId="0" applyNumberFormat="1" applyFont="1" applyFill="1" applyBorder="1" applyAlignment="1" applyProtection="1">
      <alignment horizontal="left" vertical="center" wrapText="1" indent="2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0" fontId="22" fillId="0" borderId="0" xfId="22" applyFont="1" applyFill="1" applyAlignment="1" applyProtection="1">
      <alignment horizontal="center" wrapText="1"/>
    </xf>
    <xf numFmtId="0" fontId="22" fillId="0" borderId="0" xfId="22" applyFont="1" applyFill="1" applyAlignment="1" applyProtection="1">
      <alignment horizontal="center"/>
    </xf>
    <xf numFmtId="0" fontId="20" fillId="0" borderId="68" xfId="22" applyFont="1" applyFill="1" applyBorder="1" applyAlignment="1" applyProtection="1">
      <alignment horizontal="left" vertical="center" indent="1"/>
    </xf>
    <xf numFmtId="0" fontId="20" fillId="0" borderId="35" xfId="22" applyFont="1" applyFill="1" applyBorder="1" applyAlignment="1" applyProtection="1">
      <alignment horizontal="left" vertical="center" indent="1"/>
    </xf>
    <xf numFmtId="0" fontId="20" fillId="0" borderId="44" xfId="22" applyFont="1" applyFill="1" applyBorder="1" applyAlignment="1" applyProtection="1">
      <alignment horizontal="left" vertical="center" indent="1"/>
    </xf>
    <xf numFmtId="0" fontId="9" fillId="0" borderId="0" xfId="18" applyFont="1" applyAlignment="1">
      <alignment horizontal="center"/>
    </xf>
    <xf numFmtId="0" fontId="15" fillId="0" borderId="0" xfId="18" applyFont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17" xfId="18" applyFont="1" applyBorder="1" applyAlignment="1">
      <alignment horizontal="center"/>
    </xf>
  </cellXfs>
  <cellStyles count="27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3" xfId="8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zoomScaleNormal="100" zoomScaleSheetLayoutView="100" workbookViewId="0">
      <selection activeCell="J3" sqref="J3"/>
    </sheetView>
  </sheetViews>
  <sheetFormatPr defaultRowHeight="15.75" x14ac:dyDescent="0.25"/>
  <cols>
    <col min="1" max="1" width="9.5" style="197" customWidth="1"/>
    <col min="2" max="2" width="91.6640625" style="197" customWidth="1"/>
    <col min="3" max="3" width="21.6640625" style="372" customWidth="1"/>
    <col min="4" max="5" width="14.5" style="208" hidden="1" customWidth="1"/>
    <col min="6" max="6" width="15.33203125" style="208" hidden="1" customWidth="1"/>
    <col min="7" max="7" width="11.1640625" style="208" hidden="1" customWidth="1"/>
    <col min="8" max="8" width="13.5" style="552" hidden="1" customWidth="1"/>
    <col min="9" max="9" width="17.83203125" style="553" hidden="1" customWidth="1"/>
    <col min="10" max="10" width="9.33203125" style="208" customWidth="1"/>
    <col min="11" max="16384" width="9.33203125" style="208"/>
  </cols>
  <sheetData>
    <row r="1" spans="1:9" ht="15.95" customHeight="1" x14ac:dyDescent="0.25">
      <c r="A1" s="940" t="s">
        <v>19</v>
      </c>
      <c r="B1" s="940"/>
      <c r="C1" s="940"/>
    </row>
    <row r="2" spans="1:9" ht="15.95" customHeight="1" thickBot="1" x14ac:dyDescent="0.3">
      <c r="A2" s="939" t="s">
        <v>127</v>
      </c>
      <c r="B2" s="939"/>
      <c r="C2" s="139" t="s">
        <v>571</v>
      </c>
    </row>
    <row r="3" spans="1:9" ht="38.1" customHeight="1" thickBot="1" x14ac:dyDescent="0.3">
      <c r="A3" s="22" t="s">
        <v>72</v>
      </c>
      <c r="B3" s="23" t="s">
        <v>21</v>
      </c>
      <c r="C3" s="30" t="s">
        <v>600</v>
      </c>
      <c r="D3" s="197" t="s">
        <v>578</v>
      </c>
      <c r="E3" s="197" t="s">
        <v>579</v>
      </c>
      <c r="F3" s="197" t="s">
        <v>580</v>
      </c>
      <c r="G3" s="197"/>
    </row>
    <row r="4" spans="1:9" s="209" customFormat="1" ht="12" customHeight="1" thickBot="1" x14ac:dyDescent="0.25">
      <c r="A4" s="203" t="s">
        <v>446</v>
      </c>
      <c r="B4" s="204" t="s">
        <v>447</v>
      </c>
      <c r="C4" s="205" t="s">
        <v>448</v>
      </c>
      <c r="H4" s="552"/>
      <c r="I4" s="553"/>
    </row>
    <row r="5" spans="1:9" s="210" customFormat="1" ht="12" customHeight="1" thickBot="1" x14ac:dyDescent="0.25">
      <c r="A5" s="19" t="s">
        <v>22</v>
      </c>
      <c r="B5" s="20" t="s">
        <v>192</v>
      </c>
      <c r="C5" s="130">
        <f>SUM(D5:F5)</f>
        <v>1318891068</v>
      </c>
      <c r="D5" s="307">
        <f>+D6+D7+D8+D9+D10+D11</f>
        <v>1318891068</v>
      </c>
      <c r="E5" s="130">
        <f>+E6+E7+E8+E9+E10+E11</f>
        <v>0</v>
      </c>
      <c r="F5" s="130">
        <f>+F6+F7+F8+F9+F10+F11</f>
        <v>0</v>
      </c>
      <c r="H5" s="554">
        <f>'1.2.sz.mell. '!C5+'1.3.sz.mell.'!C5+'1.4.sz.mell. '!C5</f>
        <v>1318891068</v>
      </c>
      <c r="I5" s="554">
        <f t="shared" ref="I5:I68" si="0">C5-H5</f>
        <v>0</v>
      </c>
    </row>
    <row r="6" spans="1:9" s="210" customFormat="1" ht="12" customHeight="1" x14ac:dyDescent="0.2">
      <c r="A6" s="14" t="s">
        <v>100</v>
      </c>
      <c r="B6" s="211" t="s">
        <v>193</v>
      </c>
      <c r="C6" s="889">
        <f t="shared" ref="C6:C69" si="1">SUM(D6:F6)</f>
        <v>227855923</v>
      </c>
      <c r="D6" s="249">
        <v>227855923</v>
      </c>
      <c r="E6" s="249"/>
      <c r="F6" s="249"/>
      <c r="H6" s="555">
        <f>'1.2.sz.mell. '!C6+'1.3.sz.mell.'!C6+'1.4.sz.mell. '!C6</f>
        <v>227855923</v>
      </c>
      <c r="I6" s="556">
        <f t="shared" si="0"/>
        <v>0</v>
      </c>
    </row>
    <row r="7" spans="1:9" s="210" customFormat="1" ht="12" customHeight="1" x14ac:dyDescent="0.2">
      <c r="A7" s="13" t="s">
        <v>101</v>
      </c>
      <c r="B7" s="212" t="s">
        <v>194</v>
      </c>
      <c r="C7" s="363">
        <f t="shared" si="1"/>
        <v>224734134</v>
      </c>
      <c r="D7" s="134">
        <v>224734134</v>
      </c>
      <c r="E7" s="134"/>
      <c r="F7" s="134"/>
      <c r="H7" s="557">
        <f>'1.2.sz.mell. '!C7+'1.3.sz.mell.'!C7+'1.4.sz.mell. '!C7</f>
        <v>224734134</v>
      </c>
      <c r="I7" s="558">
        <f t="shared" si="0"/>
        <v>0</v>
      </c>
    </row>
    <row r="8" spans="1:9" s="210" customFormat="1" ht="12" customHeight="1" x14ac:dyDescent="0.2">
      <c r="A8" s="13" t="s">
        <v>102</v>
      </c>
      <c r="B8" s="212" t="s">
        <v>562</v>
      </c>
      <c r="C8" s="363">
        <f t="shared" si="1"/>
        <v>565964345</v>
      </c>
      <c r="D8" s="134">
        <f>126991000+65060600+119410000+192410145+62092600</f>
        <v>565964345</v>
      </c>
      <c r="E8" s="134"/>
      <c r="F8" s="134"/>
      <c r="H8" s="557">
        <f>'1.2.sz.mell. '!C8+'1.3.sz.mell.'!C8+'1.4.sz.mell. '!C8</f>
        <v>565964345</v>
      </c>
      <c r="I8" s="558">
        <f t="shared" si="0"/>
        <v>0</v>
      </c>
    </row>
    <row r="9" spans="1:9" s="210" customFormat="1" ht="12" customHeight="1" x14ac:dyDescent="0.2">
      <c r="A9" s="13" t="s">
        <v>103</v>
      </c>
      <c r="B9" s="212" t="s">
        <v>196</v>
      </c>
      <c r="C9" s="363">
        <f t="shared" si="1"/>
        <v>28744040</v>
      </c>
      <c r="D9" s="134">
        <f>16122040+12622000</f>
        <v>28744040</v>
      </c>
      <c r="E9" s="134"/>
      <c r="F9" s="134"/>
      <c r="H9" s="557">
        <f>'1.2.sz.mell. '!C9+'1.3.sz.mell.'!C9+'1.4.sz.mell. '!C9</f>
        <v>28744040</v>
      </c>
      <c r="I9" s="558">
        <f t="shared" si="0"/>
        <v>0</v>
      </c>
    </row>
    <row r="10" spans="1:9" s="210" customFormat="1" ht="12" customHeight="1" x14ac:dyDescent="0.2">
      <c r="A10" s="13" t="s">
        <v>124</v>
      </c>
      <c r="B10" s="126" t="s">
        <v>449</v>
      </c>
      <c r="C10" s="503">
        <f t="shared" si="1"/>
        <v>271592626</v>
      </c>
      <c r="D10" s="134">
        <f>16254886+63796813+190231327+1309600</f>
        <v>271592626</v>
      </c>
      <c r="E10" s="134"/>
      <c r="F10" s="134"/>
      <c r="H10" s="557">
        <f>'1.2.sz.mell. '!C10+'1.3.sz.mell.'!C10+'1.4.sz.mell. '!C10</f>
        <v>271592626</v>
      </c>
      <c r="I10" s="558">
        <f t="shared" si="0"/>
        <v>0</v>
      </c>
    </row>
    <row r="11" spans="1:9" s="210" customFormat="1" ht="12" customHeight="1" thickBot="1" x14ac:dyDescent="0.25">
      <c r="A11" s="15" t="s">
        <v>104</v>
      </c>
      <c r="B11" s="127" t="s">
        <v>450</v>
      </c>
      <c r="C11" s="890">
        <f t="shared" si="1"/>
        <v>0</v>
      </c>
      <c r="D11" s="115"/>
      <c r="E11" s="131"/>
      <c r="F11" s="131"/>
      <c r="H11" s="559">
        <f>'1.2.sz.mell. '!C11+'1.3.sz.mell.'!C11+'1.4.sz.mell. '!C11</f>
        <v>0</v>
      </c>
      <c r="I11" s="560">
        <f t="shared" si="0"/>
        <v>0</v>
      </c>
    </row>
    <row r="12" spans="1:9" s="210" customFormat="1" ht="12" customHeight="1" thickBot="1" x14ac:dyDescent="0.25">
      <c r="A12" s="19" t="s">
        <v>23</v>
      </c>
      <c r="B12" s="125" t="s">
        <v>197</v>
      </c>
      <c r="C12" s="130">
        <f t="shared" si="1"/>
        <v>180621440</v>
      </c>
      <c r="D12" s="307">
        <f>+D13+D14+D15+D16+D17</f>
        <v>158012668</v>
      </c>
      <c r="E12" s="130">
        <f>+E13+E14+E15+E16+E17</f>
        <v>3096237</v>
      </c>
      <c r="F12" s="130">
        <f>+F13+F14+F15+F16+F17</f>
        <v>19512535</v>
      </c>
      <c r="H12" s="554">
        <f>'1.2.sz.mell. '!C12+'1.3.sz.mell.'!C12+'1.4.sz.mell. '!C12</f>
        <v>180621440</v>
      </c>
      <c r="I12" s="554">
        <f t="shared" si="0"/>
        <v>0</v>
      </c>
    </row>
    <row r="13" spans="1:9" s="210" customFormat="1" ht="12" customHeight="1" x14ac:dyDescent="0.2">
      <c r="A13" s="14" t="s">
        <v>106</v>
      </c>
      <c r="B13" s="211" t="s">
        <v>198</v>
      </c>
      <c r="C13" s="885">
        <f t="shared" si="1"/>
        <v>0</v>
      </c>
      <c r="D13" s="309"/>
      <c r="E13" s="132"/>
      <c r="F13" s="132"/>
      <c r="H13" s="555">
        <f>'1.2.sz.mell. '!C13+'1.3.sz.mell.'!C13+'1.4.sz.mell. '!C13</f>
        <v>0</v>
      </c>
      <c r="I13" s="556">
        <f t="shared" si="0"/>
        <v>0</v>
      </c>
    </row>
    <row r="14" spans="1:9" s="210" customFormat="1" ht="12" customHeight="1" x14ac:dyDescent="0.2">
      <c r="A14" s="13" t="s">
        <v>107</v>
      </c>
      <c r="B14" s="212" t="s">
        <v>199</v>
      </c>
      <c r="C14" s="363">
        <f t="shared" si="1"/>
        <v>0</v>
      </c>
      <c r="D14" s="115"/>
      <c r="E14" s="131"/>
      <c r="F14" s="131"/>
      <c r="H14" s="557">
        <f>'1.2.sz.mell. '!C14+'1.3.sz.mell.'!C14+'1.4.sz.mell. '!C14</f>
        <v>0</v>
      </c>
      <c r="I14" s="558">
        <f t="shared" si="0"/>
        <v>0</v>
      </c>
    </row>
    <row r="15" spans="1:9" s="210" customFormat="1" ht="12" customHeight="1" x14ac:dyDescent="0.2">
      <c r="A15" s="13" t="s">
        <v>108</v>
      </c>
      <c r="B15" s="212" t="s">
        <v>368</v>
      </c>
      <c r="C15" s="363">
        <f t="shared" si="1"/>
        <v>0</v>
      </c>
      <c r="D15" s="115"/>
      <c r="E15" s="131"/>
      <c r="F15" s="131"/>
      <c r="H15" s="557">
        <f>'1.2.sz.mell. '!C15+'1.3.sz.mell.'!C15+'1.4.sz.mell. '!C15</f>
        <v>0</v>
      </c>
      <c r="I15" s="558">
        <f t="shared" si="0"/>
        <v>0</v>
      </c>
    </row>
    <row r="16" spans="1:9" s="210" customFormat="1" ht="12" customHeight="1" x14ac:dyDescent="0.2">
      <c r="A16" s="13" t="s">
        <v>109</v>
      </c>
      <c r="B16" s="212" t="s">
        <v>369</v>
      </c>
      <c r="C16" s="363">
        <f t="shared" si="1"/>
        <v>0</v>
      </c>
      <c r="D16" s="115"/>
      <c r="E16" s="131"/>
      <c r="F16" s="131"/>
      <c r="H16" s="557">
        <f>'1.2.sz.mell. '!C16+'1.3.sz.mell.'!C16+'1.4.sz.mell. '!C16</f>
        <v>0</v>
      </c>
      <c r="I16" s="558">
        <f t="shared" si="0"/>
        <v>0</v>
      </c>
    </row>
    <row r="17" spans="1:9" s="210" customFormat="1" ht="12" customHeight="1" x14ac:dyDescent="0.2">
      <c r="A17" s="13" t="s">
        <v>110</v>
      </c>
      <c r="B17" s="212" t="s">
        <v>200</v>
      </c>
      <c r="C17" s="503">
        <f t="shared" si="1"/>
        <v>180621440</v>
      </c>
      <c r="D17" s="290">
        <f>3900000+4320000+125887110+24250000-344442</f>
        <v>158012668</v>
      </c>
      <c r="E17" s="287">
        <v>3096237</v>
      </c>
      <c r="F17" s="134">
        <v>19512535</v>
      </c>
      <c r="H17" s="557">
        <f>'1.2.sz.mell. '!C17+'1.3.sz.mell.'!C17+'1.4.sz.mell. '!C17</f>
        <v>180621440</v>
      </c>
      <c r="I17" s="558">
        <f t="shared" si="0"/>
        <v>0</v>
      </c>
    </row>
    <row r="18" spans="1:9" s="210" customFormat="1" ht="12" customHeight="1" thickBot="1" x14ac:dyDescent="0.25">
      <c r="A18" s="15" t="s">
        <v>119</v>
      </c>
      <c r="B18" s="127" t="s">
        <v>201</v>
      </c>
      <c r="C18" s="890">
        <f t="shared" si="1"/>
        <v>399535</v>
      </c>
      <c r="D18" s="289"/>
      <c r="E18" s="200"/>
      <c r="F18" s="200">
        <v>399535</v>
      </c>
      <c r="H18" s="559">
        <f>'1.2.sz.mell. '!C18+'1.3.sz.mell.'!C18+'1.4.sz.mell. '!C18</f>
        <v>399535</v>
      </c>
      <c r="I18" s="560">
        <f t="shared" si="0"/>
        <v>0</v>
      </c>
    </row>
    <row r="19" spans="1:9" s="210" customFormat="1" ht="12" customHeight="1" thickBot="1" x14ac:dyDescent="0.25">
      <c r="A19" s="19" t="s">
        <v>24</v>
      </c>
      <c r="B19" s="20" t="s">
        <v>202</v>
      </c>
      <c r="C19" s="130">
        <f t="shared" si="1"/>
        <v>13442271</v>
      </c>
      <c r="D19" s="307">
        <f>+D20+D21+D22+D23+D24</f>
        <v>13442271</v>
      </c>
      <c r="E19" s="130">
        <f>+E20+E21+E22+E23+E24</f>
        <v>0</v>
      </c>
      <c r="F19" s="130">
        <f>+F20+F21+F22+F23+F24</f>
        <v>0</v>
      </c>
      <c r="H19" s="554">
        <f>'1.2.sz.mell. '!C19+'1.3.sz.mell.'!C19+'1.4.sz.mell. '!C19</f>
        <v>13442271</v>
      </c>
      <c r="I19" s="554">
        <f t="shared" si="0"/>
        <v>0</v>
      </c>
    </row>
    <row r="20" spans="1:9" s="210" customFormat="1" ht="12" customHeight="1" x14ac:dyDescent="0.2">
      <c r="A20" s="14" t="s">
        <v>89</v>
      </c>
      <c r="B20" s="211" t="s">
        <v>203</v>
      </c>
      <c r="C20" s="885">
        <f t="shared" si="1"/>
        <v>0</v>
      </c>
      <c r="D20" s="353"/>
      <c r="E20" s="284"/>
      <c r="F20" s="284"/>
      <c r="H20" s="555">
        <f>'1.2.sz.mell. '!C20+'1.3.sz.mell.'!C20+'1.4.sz.mell. '!C20</f>
        <v>0</v>
      </c>
      <c r="I20" s="556">
        <f t="shared" si="0"/>
        <v>0</v>
      </c>
    </row>
    <row r="21" spans="1:9" s="210" customFormat="1" ht="12" customHeight="1" x14ac:dyDescent="0.2">
      <c r="A21" s="13" t="s">
        <v>90</v>
      </c>
      <c r="B21" s="212" t="s">
        <v>204</v>
      </c>
      <c r="C21" s="886">
        <f t="shared" si="1"/>
        <v>0</v>
      </c>
      <c r="D21" s="285"/>
      <c r="E21" s="134"/>
      <c r="F21" s="134"/>
      <c r="H21" s="557">
        <f>'1.2.sz.mell. '!C21+'1.3.sz.mell.'!C21+'1.4.sz.mell. '!C21</f>
        <v>0</v>
      </c>
      <c r="I21" s="558">
        <f t="shared" si="0"/>
        <v>0</v>
      </c>
    </row>
    <row r="22" spans="1:9" s="210" customFormat="1" ht="12" customHeight="1" x14ac:dyDescent="0.2">
      <c r="A22" s="13" t="s">
        <v>91</v>
      </c>
      <c r="B22" s="212" t="s">
        <v>370</v>
      </c>
      <c r="C22" s="363">
        <f t="shared" si="1"/>
        <v>0</v>
      </c>
      <c r="D22" s="285"/>
      <c r="E22" s="134"/>
      <c r="F22" s="134"/>
      <c r="H22" s="557">
        <f>'1.2.sz.mell. '!C22+'1.3.sz.mell.'!C22+'1.4.sz.mell. '!C22</f>
        <v>0</v>
      </c>
      <c r="I22" s="558">
        <f t="shared" si="0"/>
        <v>0</v>
      </c>
    </row>
    <row r="23" spans="1:9" s="210" customFormat="1" ht="12" customHeight="1" x14ac:dyDescent="0.2">
      <c r="A23" s="13" t="s">
        <v>92</v>
      </c>
      <c r="B23" s="212" t="s">
        <v>371</v>
      </c>
      <c r="C23" s="363">
        <f t="shared" si="1"/>
        <v>0</v>
      </c>
      <c r="D23" s="285"/>
      <c r="E23" s="134"/>
      <c r="F23" s="134"/>
      <c r="H23" s="557">
        <f>'1.2.sz.mell. '!C23+'1.3.sz.mell.'!C23+'1.4.sz.mell. '!C23</f>
        <v>0</v>
      </c>
      <c r="I23" s="558">
        <f t="shared" si="0"/>
        <v>0</v>
      </c>
    </row>
    <row r="24" spans="1:9" s="210" customFormat="1" ht="12" customHeight="1" x14ac:dyDescent="0.2">
      <c r="A24" s="13" t="s">
        <v>135</v>
      </c>
      <c r="B24" s="212" t="s">
        <v>205</v>
      </c>
      <c r="C24" s="503">
        <f t="shared" si="1"/>
        <v>13442271</v>
      </c>
      <c r="D24" s="285">
        <f>5866130+3779393+3796748</f>
        <v>13442271</v>
      </c>
      <c r="E24" s="134"/>
      <c r="F24" s="134"/>
      <c r="H24" s="557">
        <f>'1.2.sz.mell. '!C24+'1.3.sz.mell.'!C24+'1.4.sz.mell. '!C24</f>
        <v>13442271</v>
      </c>
      <c r="I24" s="558">
        <f t="shared" si="0"/>
        <v>0</v>
      </c>
    </row>
    <row r="25" spans="1:9" s="210" customFormat="1" ht="12" customHeight="1" thickBot="1" x14ac:dyDescent="0.25">
      <c r="A25" s="15" t="s">
        <v>136</v>
      </c>
      <c r="B25" s="213" t="s">
        <v>206</v>
      </c>
      <c r="C25" s="891">
        <f t="shared" si="1"/>
        <v>13442271</v>
      </c>
      <c r="D25" s="289">
        <f>9645523+3796748</f>
        <v>13442271</v>
      </c>
      <c r="E25" s="200"/>
      <c r="F25" s="200"/>
      <c r="H25" s="559">
        <f>'1.2.sz.mell. '!C25+'1.3.sz.mell.'!C25+'1.4.sz.mell. '!C25</f>
        <v>13442271</v>
      </c>
      <c r="I25" s="560">
        <f t="shared" si="0"/>
        <v>0</v>
      </c>
    </row>
    <row r="26" spans="1:9" s="210" customFormat="1" ht="12" customHeight="1" thickBot="1" x14ac:dyDescent="0.25">
      <c r="A26" s="19" t="s">
        <v>137</v>
      </c>
      <c r="B26" s="20" t="s">
        <v>207</v>
      </c>
      <c r="C26" s="130">
        <f t="shared" si="1"/>
        <v>352658000</v>
      </c>
      <c r="D26" s="310">
        <f>+D27+D31+D32+D33</f>
        <v>352658000</v>
      </c>
      <c r="E26" s="135">
        <f>+E27+E31+E32+E33</f>
        <v>0</v>
      </c>
      <c r="F26" s="135">
        <f>+F27+F31+F32+F33</f>
        <v>0</v>
      </c>
      <c r="H26" s="554">
        <f>'1.2.sz.mell. '!C26+'1.3.sz.mell.'!C26+'1.4.sz.mell. '!C26</f>
        <v>352658000</v>
      </c>
      <c r="I26" s="554">
        <f t="shared" si="0"/>
        <v>0</v>
      </c>
    </row>
    <row r="27" spans="1:9" s="210" customFormat="1" ht="12" customHeight="1" x14ac:dyDescent="0.2">
      <c r="A27" s="14" t="s">
        <v>208</v>
      </c>
      <c r="B27" s="211" t="s">
        <v>451</v>
      </c>
      <c r="C27" s="889">
        <f t="shared" si="1"/>
        <v>308654000</v>
      </c>
      <c r="D27" s="354">
        <f>SUM(D28:D30)</f>
        <v>308654000</v>
      </c>
      <c r="E27" s="206"/>
      <c r="F27" s="206"/>
      <c r="H27" s="555">
        <f>'1.2.sz.mell. '!C27+'1.3.sz.mell.'!C27+'1.4.sz.mell. '!C27</f>
        <v>308654000</v>
      </c>
      <c r="I27" s="556">
        <f t="shared" si="0"/>
        <v>0</v>
      </c>
    </row>
    <row r="28" spans="1:9" s="210" customFormat="1" ht="12" customHeight="1" x14ac:dyDescent="0.2">
      <c r="A28" s="13" t="s">
        <v>209</v>
      </c>
      <c r="B28" s="212" t="s">
        <v>214</v>
      </c>
      <c r="C28" s="363">
        <f t="shared" si="1"/>
        <v>77500000</v>
      </c>
      <c r="D28" s="115">
        <f>7500000+70000000</f>
        <v>77500000</v>
      </c>
      <c r="E28" s="131"/>
      <c r="F28" s="131"/>
      <c r="H28" s="557">
        <f>'1.2.sz.mell. '!C28+'1.3.sz.mell.'!C28+'1.4.sz.mell. '!C28</f>
        <v>77500000</v>
      </c>
      <c r="I28" s="558">
        <f t="shared" si="0"/>
        <v>0</v>
      </c>
    </row>
    <row r="29" spans="1:9" s="210" customFormat="1" ht="12" customHeight="1" x14ac:dyDescent="0.2">
      <c r="A29" s="13" t="s">
        <v>210</v>
      </c>
      <c r="B29" s="212" t="s">
        <v>550</v>
      </c>
      <c r="C29" s="363">
        <f t="shared" si="1"/>
        <v>231154000</v>
      </c>
      <c r="D29" s="115">
        <v>231154000</v>
      </c>
      <c r="E29" s="131"/>
      <c r="F29" s="131"/>
      <c r="H29" s="557">
        <f>'1.2.sz.mell. '!C29+'1.3.sz.mell.'!C29+'1.4.sz.mell. '!C29</f>
        <v>231154000</v>
      </c>
      <c r="I29" s="558">
        <f t="shared" si="0"/>
        <v>0</v>
      </c>
    </row>
    <row r="30" spans="1:9" s="210" customFormat="1" ht="12" customHeight="1" x14ac:dyDescent="0.2">
      <c r="A30" s="13" t="s">
        <v>211</v>
      </c>
      <c r="B30" s="212" t="s">
        <v>551</v>
      </c>
      <c r="C30" s="363">
        <f t="shared" si="1"/>
        <v>0</v>
      </c>
      <c r="D30" s="285"/>
      <c r="E30" s="134"/>
      <c r="F30" s="134"/>
      <c r="H30" s="557">
        <f>'1.2.sz.mell. '!C30+'1.3.sz.mell.'!C30+'1.4.sz.mell. '!C30</f>
        <v>0</v>
      </c>
      <c r="I30" s="558">
        <f t="shared" si="0"/>
        <v>0</v>
      </c>
    </row>
    <row r="31" spans="1:9" s="210" customFormat="1" ht="12" customHeight="1" x14ac:dyDescent="0.2">
      <c r="A31" s="13" t="s">
        <v>552</v>
      </c>
      <c r="B31" s="212" t="s">
        <v>216</v>
      </c>
      <c r="C31" s="363">
        <f t="shared" si="1"/>
        <v>28000000</v>
      </c>
      <c r="D31" s="115">
        <v>28000000</v>
      </c>
      <c r="E31" s="131"/>
      <c r="F31" s="131"/>
      <c r="H31" s="557">
        <f>'1.2.sz.mell. '!C31+'1.3.sz.mell.'!C31+'1.4.sz.mell. '!C31</f>
        <v>28000000</v>
      </c>
      <c r="I31" s="558">
        <f t="shared" si="0"/>
        <v>0</v>
      </c>
    </row>
    <row r="32" spans="1:9" s="210" customFormat="1" ht="12" customHeight="1" x14ac:dyDescent="0.2">
      <c r="A32" s="13" t="s">
        <v>213</v>
      </c>
      <c r="B32" s="212" t="s">
        <v>217</v>
      </c>
      <c r="C32" s="363">
        <f t="shared" si="1"/>
        <v>4504000</v>
      </c>
      <c r="D32" s="115">
        <f>4000+4500000</f>
        <v>4504000</v>
      </c>
      <c r="E32" s="131"/>
      <c r="F32" s="131"/>
      <c r="H32" s="557">
        <f>'1.2.sz.mell. '!C32+'1.3.sz.mell.'!C32+'1.4.sz.mell. '!C32</f>
        <v>4504000</v>
      </c>
      <c r="I32" s="558">
        <f t="shared" si="0"/>
        <v>0</v>
      </c>
    </row>
    <row r="33" spans="1:9" s="210" customFormat="1" ht="12" customHeight="1" thickBot="1" x14ac:dyDescent="0.25">
      <c r="A33" s="15" t="s">
        <v>553</v>
      </c>
      <c r="B33" s="213" t="s">
        <v>218</v>
      </c>
      <c r="C33" s="890">
        <f t="shared" si="1"/>
        <v>11500000</v>
      </c>
      <c r="D33" s="289">
        <f>1500000+2000000+1000000+7000000</f>
        <v>11500000</v>
      </c>
      <c r="E33" s="200"/>
      <c r="F33" s="200"/>
      <c r="H33" s="559">
        <f>'1.2.sz.mell. '!C33+'1.3.sz.mell.'!C33+'1.4.sz.mell. '!C33</f>
        <v>11500000</v>
      </c>
      <c r="I33" s="560">
        <f t="shared" si="0"/>
        <v>0</v>
      </c>
    </row>
    <row r="34" spans="1:9" s="210" customFormat="1" ht="12" customHeight="1" thickBot="1" x14ac:dyDescent="0.25">
      <c r="A34" s="19" t="s">
        <v>26</v>
      </c>
      <c r="B34" s="20" t="s">
        <v>454</v>
      </c>
      <c r="C34" s="130">
        <f t="shared" si="1"/>
        <v>431892325</v>
      </c>
      <c r="D34" s="307">
        <f>SUM(D35:D45)</f>
        <v>40852127</v>
      </c>
      <c r="E34" s="130">
        <f>SUM(E35:E45)</f>
        <v>8419440</v>
      </c>
      <c r="F34" s="130">
        <f>SUM(F35:F45)</f>
        <v>382620758</v>
      </c>
      <c r="H34" s="554">
        <f>'1.2.sz.mell. '!C34+'1.3.sz.mell.'!C34+'1.4.sz.mell. '!C34</f>
        <v>431892325</v>
      </c>
      <c r="I34" s="554">
        <f t="shared" si="0"/>
        <v>0</v>
      </c>
    </row>
    <row r="35" spans="1:9" s="210" customFormat="1" ht="12" customHeight="1" x14ac:dyDescent="0.2">
      <c r="A35" s="14" t="s">
        <v>93</v>
      </c>
      <c r="B35" s="211" t="s">
        <v>221</v>
      </c>
      <c r="C35" s="889">
        <f t="shared" si="1"/>
        <v>12179000</v>
      </c>
      <c r="D35" s="313">
        <v>12159000</v>
      </c>
      <c r="E35" s="249"/>
      <c r="F35" s="249">
        <v>20000</v>
      </c>
      <c r="H35" s="555">
        <f>'1.2.sz.mell. '!C35+'1.3.sz.mell.'!C35+'1.4.sz.mell. '!C35</f>
        <v>12179000</v>
      </c>
      <c r="I35" s="556">
        <f t="shared" si="0"/>
        <v>0</v>
      </c>
    </row>
    <row r="36" spans="1:9" s="210" customFormat="1" ht="13.5" customHeight="1" x14ac:dyDescent="0.2">
      <c r="A36" s="13" t="s">
        <v>94</v>
      </c>
      <c r="B36" s="212" t="s">
        <v>222</v>
      </c>
      <c r="C36" s="363">
        <f t="shared" si="1"/>
        <v>72301925</v>
      </c>
      <c r="D36" s="285">
        <f>13910169+100000</f>
        <v>14010169</v>
      </c>
      <c r="E36" s="134">
        <f>500000+1198440+380000+4150000</f>
        <v>6228440</v>
      </c>
      <c r="F36" s="249">
        <v>52063316</v>
      </c>
      <c r="H36" s="557">
        <f>'1.2.sz.mell. '!C36+'1.3.sz.mell.'!C36+'1.4.sz.mell. '!C36</f>
        <v>72301925</v>
      </c>
      <c r="I36" s="558">
        <f t="shared" si="0"/>
        <v>0</v>
      </c>
    </row>
    <row r="37" spans="1:9" s="210" customFormat="1" ht="12" customHeight="1" x14ac:dyDescent="0.2">
      <c r="A37" s="13" t="s">
        <v>95</v>
      </c>
      <c r="B37" s="212" t="s">
        <v>223</v>
      </c>
      <c r="C37" s="503">
        <f t="shared" si="1"/>
        <v>103069200</v>
      </c>
      <c r="D37" s="285">
        <f>500000+300000+50000+1400000+947000+300000+52200</f>
        <v>3549200</v>
      </c>
      <c r="E37" s="134">
        <v>300000</v>
      </c>
      <c r="F37" s="249">
        <v>99220000</v>
      </c>
      <c r="H37" s="557">
        <f>'1.2.sz.mell. '!C37+'1.3.sz.mell.'!C37+'1.4.sz.mell. '!C37</f>
        <v>103069200</v>
      </c>
      <c r="I37" s="558">
        <f t="shared" si="0"/>
        <v>0</v>
      </c>
    </row>
    <row r="38" spans="1:9" s="210" customFormat="1" ht="12" customHeight="1" x14ac:dyDescent="0.2">
      <c r="A38" s="13" t="s">
        <v>139</v>
      </c>
      <c r="B38" s="212" t="s">
        <v>224</v>
      </c>
      <c r="C38" s="363">
        <f t="shared" si="1"/>
        <v>430000</v>
      </c>
      <c r="D38" s="285">
        <v>430000</v>
      </c>
      <c r="E38" s="134"/>
      <c r="F38" s="249"/>
      <c r="H38" s="557">
        <f>'1.2.sz.mell. '!C38+'1.3.sz.mell.'!C38+'1.4.sz.mell. '!C38</f>
        <v>430000</v>
      </c>
      <c r="I38" s="558">
        <f t="shared" si="0"/>
        <v>0</v>
      </c>
    </row>
    <row r="39" spans="1:9" s="210" customFormat="1" ht="12" customHeight="1" x14ac:dyDescent="0.2">
      <c r="A39" s="13" t="s">
        <v>140</v>
      </c>
      <c r="B39" s="212" t="s">
        <v>225</v>
      </c>
      <c r="C39" s="363">
        <f t="shared" si="1"/>
        <v>179085653</v>
      </c>
      <c r="D39" s="285"/>
      <c r="E39" s="134"/>
      <c r="F39" s="249">
        <v>179085653</v>
      </c>
      <c r="H39" s="557">
        <f>'1.2.sz.mell. '!C39+'1.3.sz.mell.'!C39+'1.4.sz.mell. '!C39</f>
        <v>179085653</v>
      </c>
      <c r="I39" s="558">
        <f t="shared" si="0"/>
        <v>0</v>
      </c>
    </row>
    <row r="40" spans="1:9" s="210" customFormat="1" ht="12" customHeight="1" x14ac:dyDescent="0.2">
      <c r="A40" s="13" t="s">
        <v>141</v>
      </c>
      <c r="B40" s="212" t="s">
        <v>226</v>
      </c>
      <c r="C40" s="503">
        <f t="shared" si="1"/>
        <v>44824383</v>
      </c>
      <c r="D40" s="285">
        <f>3283000+5162000+81000+13500+378000+81000+14094</f>
        <v>9012594</v>
      </c>
      <c r="E40" s="134">
        <f>135000+324000+103000+1229000</f>
        <v>1791000</v>
      </c>
      <c r="F40" s="249">
        <v>34020789</v>
      </c>
      <c r="H40" s="557">
        <f>'1.2.sz.mell. '!C40+'1.3.sz.mell.'!C40+'1.4.sz.mell. '!C40</f>
        <v>44824383</v>
      </c>
      <c r="I40" s="558">
        <f t="shared" si="0"/>
        <v>0</v>
      </c>
    </row>
    <row r="41" spans="1:9" s="210" customFormat="1" ht="12" customHeight="1" x14ac:dyDescent="0.2">
      <c r="A41" s="13" t="s">
        <v>142</v>
      </c>
      <c r="B41" s="212" t="s">
        <v>227</v>
      </c>
      <c r="C41" s="363">
        <f t="shared" si="1"/>
        <v>18210000</v>
      </c>
      <c r="D41" s="285"/>
      <c r="E41" s="134"/>
      <c r="F41" s="249">
        <v>18210000</v>
      </c>
      <c r="H41" s="557">
        <f>'1.2.sz.mell. '!C41+'1.3.sz.mell.'!C41+'1.4.sz.mell. '!C41</f>
        <v>18210000</v>
      </c>
      <c r="I41" s="558">
        <f t="shared" si="0"/>
        <v>0</v>
      </c>
    </row>
    <row r="42" spans="1:9" s="210" customFormat="1" ht="12" customHeight="1" x14ac:dyDescent="0.2">
      <c r="A42" s="13" t="s">
        <v>143</v>
      </c>
      <c r="B42" s="212" t="s">
        <v>559</v>
      </c>
      <c r="C42" s="363">
        <f t="shared" si="1"/>
        <v>31000</v>
      </c>
      <c r="D42" s="285">
        <v>30000</v>
      </c>
      <c r="E42" s="134"/>
      <c r="F42" s="249">
        <v>1000</v>
      </c>
      <c r="H42" s="557">
        <f>'1.2.sz.mell. '!C42+'1.3.sz.mell.'!C42+'1.4.sz.mell. '!C42</f>
        <v>31000</v>
      </c>
      <c r="I42" s="558">
        <f t="shared" si="0"/>
        <v>0</v>
      </c>
    </row>
    <row r="43" spans="1:9" s="210" customFormat="1" ht="12" customHeight="1" x14ac:dyDescent="0.2">
      <c r="A43" s="13" t="s">
        <v>219</v>
      </c>
      <c r="B43" s="212" t="s">
        <v>229</v>
      </c>
      <c r="C43" s="363">
        <f t="shared" si="1"/>
        <v>0</v>
      </c>
      <c r="D43" s="285"/>
      <c r="E43" s="134"/>
      <c r="F43" s="249"/>
      <c r="H43" s="557">
        <f>'1.2.sz.mell. '!C43+'1.3.sz.mell.'!C43+'1.4.sz.mell. '!C43</f>
        <v>0</v>
      </c>
      <c r="I43" s="558">
        <f t="shared" si="0"/>
        <v>0</v>
      </c>
    </row>
    <row r="44" spans="1:9" s="210" customFormat="1" ht="12" customHeight="1" x14ac:dyDescent="0.2">
      <c r="A44" s="15" t="s">
        <v>220</v>
      </c>
      <c r="B44" s="213" t="s">
        <v>455</v>
      </c>
      <c r="C44" s="363">
        <f t="shared" si="1"/>
        <v>500000</v>
      </c>
      <c r="D44" s="289">
        <v>500000</v>
      </c>
      <c r="E44" s="200"/>
      <c r="F44" s="249"/>
      <c r="H44" s="557">
        <f>'1.2.sz.mell. '!C44+'1.3.sz.mell.'!C44+'1.4.sz.mell. '!C44</f>
        <v>500000</v>
      </c>
      <c r="I44" s="558">
        <f t="shared" si="0"/>
        <v>0</v>
      </c>
    </row>
    <row r="45" spans="1:9" s="210" customFormat="1" ht="12" customHeight="1" thickBot="1" x14ac:dyDescent="0.25">
      <c r="A45" s="15" t="s">
        <v>456</v>
      </c>
      <c r="B45" s="127" t="s">
        <v>230</v>
      </c>
      <c r="C45" s="891">
        <f t="shared" si="1"/>
        <v>1261164</v>
      </c>
      <c r="D45" s="289">
        <f>60000+600000+501164</f>
        <v>1161164</v>
      </c>
      <c r="E45" s="200">
        <v>100000</v>
      </c>
      <c r="F45" s="249"/>
      <c r="H45" s="559">
        <f>'1.2.sz.mell. '!C45+'1.3.sz.mell.'!C45+'1.4.sz.mell. '!C45</f>
        <v>1261164</v>
      </c>
      <c r="I45" s="560">
        <f t="shared" si="0"/>
        <v>0</v>
      </c>
    </row>
    <row r="46" spans="1:9" s="210" customFormat="1" ht="12" customHeight="1" thickBot="1" x14ac:dyDescent="0.25">
      <c r="A46" s="19" t="s">
        <v>27</v>
      </c>
      <c r="B46" s="20" t="s">
        <v>231</v>
      </c>
      <c r="C46" s="130">
        <f t="shared" si="1"/>
        <v>30332500</v>
      </c>
      <c r="D46" s="307">
        <f>SUM(D47:D51)</f>
        <v>30332500</v>
      </c>
      <c r="E46" s="130">
        <f>SUM(E47:E51)</f>
        <v>0</v>
      </c>
      <c r="F46" s="130">
        <f>SUM(F47:F51)</f>
        <v>0</v>
      </c>
      <c r="H46" s="554">
        <f>'1.2.sz.mell. '!C46+'1.3.sz.mell.'!C46+'1.4.sz.mell. '!C46</f>
        <v>30332500</v>
      </c>
      <c r="I46" s="554">
        <f t="shared" si="0"/>
        <v>0</v>
      </c>
    </row>
    <row r="47" spans="1:9" s="210" customFormat="1" ht="12" customHeight="1" x14ac:dyDescent="0.2">
      <c r="A47" s="14" t="s">
        <v>96</v>
      </c>
      <c r="B47" s="211" t="s">
        <v>235</v>
      </c>
      <c r="C47" s="885">
        <f t="shared" si="1"/>
        <v>0</v>
      </c>
      <c r="D47" s="313"/>
      <c r="E47" s="249"/>
      <c r="F47" s="249"/>
      <c r="H47" s="555">
        <f>'1.2.sz.mell. '!C47+'1.3.sz.mell.'!C47+'1.4.sz.mell. '!C47</f>
        <v>0</v>
      </c>
      <c r="I47" s="556">
        <f t="shared" si="0"/>
        <v>0</v>
      </c>
    </row>
    <row r="48" spans="1:9" s="210" customFormat="1" ht="12" customHeight="1" x14ac:dyDescent="0.2">
      <c r="A48" s="13" t="s">
        <v>97</v>
      </c>
      <c r="B48" s="212" t="s">
        <v>236</v>
      </c>
      <c r="C48" s="363">
        <f t="shared" si="1"/>
        <v>30332500</v>
      </c>
      <c r="D48" s="285">
        <v>30332500</v>
      </c>
      <c r="E48" s="134"/>
      <c r="F48" s="134"/>
      <c r="H48" s="557">
        <f>'1.2.sz.mell. '!C48+'1.3.sz.mell.'!C48+'1.4.sz.mell. '!C48</f>
        <v>30332500</v>
      </c>
      <c r="I48" s="558">
        <f t="shared" si="0"/>
        <v>0</v>
      </c>
    </row>
    <row r="49" spans="1:9" s="210" customFormat="1" ht="12" customHeight="1" x14ac:dyDescent="0.2">
      <c r="A49" s="13" t="s">
        <v>232</v>
      </c>
      <c r="B49" s="212" t="s">
        <v>237</v>
      </c>
      <c r="C49" s="363">
        <f t="shared" si="1"/>
        <v>0</v>
      </c>
      <c r="D49" s="285"/>
      <c r="E49" s="134"/>
      <c r="F49" s="134"/>
      <c r="H49" s="557">
        <f>'1.2.sz.mell. '!C49+'1.3.sz.mell.'!C49+'1.4.sz.mell. '!C49</f>
        <v>0</v>
      </c>
      <c r="I49" s="558">
        <f t="shared" si="0"/>
        <v>0</v>
      </c>
    </row>
    <row r="50" spans="1:9" s="210" customFormat="1" ht="12" customHeight="1" x14ac:dyDescent="0.2">
      <c r="A50" s="13" t="s">
        <v>233</v>
      </c>
      <c r="B50" s="212" t="s">
        <v>238</v>
      </c>
      <c r="C50" s="363">
        <f t="shared" si="1"/>
        <v>0</v>
      </c>
      <c r="D50" s="285"/>
      <c r="E50" s="134"/>
      <c r="F50" s="134"/>
      <c r="H50" s="557">
        <f>'1.2.sz.mell. '!C50+'1.3.sz.mell.'!C50+'1.4.sz.mell. '!C50</f>
        <v>0</v>
      </c>
      <c r="I50" s="558">
        <f t="shared" si="0"/>
        <v>0</v>
      </c>
    </row>
    <row r="51" spans="1:9" s="210" customFormat="1" ht="12" customHeight="1" thickBot="1" x14ac:dyDescent="0.25">
      <c r="A51" s="15" t="s">
        <v>234</v>
      </c>
      <c r="B51" s="127" t="s">
        <v>239</v>
      </c>
      <c r="C51" s="887">
        <f t="shared" si="1"/>
        <v>0</v>
      </c>
      <c r="D51" s="289"/>
      <c r="E51" s="200"/>
      <c r="F51" s="200"/>
      <c r="H51" s="559">
        <f>'1.2.sz.mell. '!C51+'1.3.sz.mell.'!C51+'1.4.sz.mell. '!C51</f>
        <v>0</v>
      </c>
      <c r="I51" s="560">
        <f t="shared" si="0"/>
        <v>0</v>
      </c>
    </row>
    <row r="52" spans="1:9" s="210" customFormat="1" ht="12" customHeight="1" thickBot="1" x14ac:dyDescent="0.25">
      <c r="A52" s="19" t="s">
        <v>144</v>
      </c>
      <c r="B52" s="772" t="s">
        <v>240</v>
      </c>
      <c r="C52" s="349">
        <f t="shared" si="1"/>
        <v>4766000</v>
      </c>
      <c r="D52" s="307">
        <f>SUM(D53:D55)</f>
        <v>4766000</v>
      </c>
      <c r="E52" s="130">
        <f>SUM(E53:E55)</f>
        <v>0</v>
      </c>
      <c r="F52" s="130">
        <f>SUM(F53:F55)</f>
        <v>0</v>
      </c>
      <c r="H52" s="554">
        <f>'1.2.sz.mell. '!C52+'1.3.sz.mell.'!C52+'1.4.sz.mell. '!C52</f>
        <v>4766000</v>
      </c>
      <c r="I52" s="554">
        <f t="shared" si="0"/>
        <v>0</v>
      </c>
    </row>
    <row r="53" spans="1:9" s="210" customFormat="1" ht="12" customHeight="1" x14ac:dyDescent="0.2">
      <c r="A53" s="14" t="s">
        <v>98</v>
      </c>
      <c r="B53" s="211" t="s">
        <v>241</v>
      </c>
      <c r="C53" s="888">
        <f t="shared" si="1"/>
        <v>0</v>
      </c>
      <c r="D53" s="309"/>
      <c r="E53" s="132"/>
      <c r="F53" s="132"/>
      <c r="H53" s="555">
        <f>'1.2.sz.mell. '!C53+'1.3.sz.mell.'!C53+'1.4.sz.mell. '!C53</f>
        <v>0</v>
      </c>
      <c r="I53" s="556">
        <f t="shared" si="0"/>
        <v>0</v>
      </c>
    </row>
    <row r="54" spans="1:9" s="210" customFormat="1" ht="12" customHeight="1" x14ac:dyDescent="0.2">
      <c r="A54" s="13" t="s">
        <v>99</v>
      </c>
      <c r="B54" s="212" t="s">
        <v>372</v>
      </c>
      <c r="C54" s="363">
        <f t="shared" si="1"/>
        <v>1866000</v>
      </c>
      <c r="D54" s="285">
        <f>1566000+300000</f>
        <v>1866000</v>
      </c>
      <c r="E54" s="134"/>
      <c r="F54" s="134"/>
      <c r="H54" s="557">
        <f>'1.2.sz.mell. '!C54+'1.3.sz.mell.'!C54+'1.4.sz.mell. '!C54</f>
        <v>1866000</v>
      </c>
      <c r="I54" s="558">
        <f t="shared" si="0"/>
        <v>0</v>
      </c>
    </row>
    <row r="55" spans="1:9" s="210" customFormat="1" ht="12" customHeight="1" x14ac:dyDescent="0.2">
      <c r="A55" s="13" t="s">
        <v>244</v>
      </c>
      <c r="B55" s="212" t="s">
        <v>242</v>
      </c>
      <c r="C55" s="363">
        <f t="shared" si="1"/>
        <v>2900000</v>
      </c>
      <c r="D55" s="285">
        <v>2900000</v>
      </c>
      <c r="E55" s="134"/>
      <c r="F55" s="134"/>
      <c r="H55" s="557">
        <f>'1.2.sz.mell. '!C55+'1.3.sz.mell.'!C55+'1.4.sz.mell. '!C55</f>
        <v>2900000</v>
      </c>
      <c r="I55" s="558">
        <f t="shared" si="0"/>
        <v>0</v>
      </c>
    </row>
    <row r="56" spans="1:9" s="210" customFormat="1" ht="12" customHeight="1" thickBot="1" x14ac:dyDescent="0.25">
      <c r="A56" s="15" t="s">
        <v>245</v>
      </c>
      <c r="B56" s="127" t="s">
        <v>243</v>
      </c>
      <c r="C56" s="890">
        <f t="shared" si="1"/>
        <v>0</v>
      </c>
      <c r="D56" s="116"/>
      <c r="E56" s="133"/>
      <c r="F56" s="133"/>
      <c r="H56" s="559">
        <f>'1.2.sz.mell. '!C56+'1.3.sz.mell.'!C56+'1.4.sz.mell. '!C56</f>
        <v>0</v>
      </c>
      <c r="I56" s="560">
        <f t="shared" si="0"/>
        <v>0</v>
      </c>
    </row>
    <row r="57" spans="1:9" s="210" customFormat="1" ht="12" customHeight="1" thickBot="1" x14ac:dyDescent="0.25">
      <c r="A57" s="19" t="s">
        <v>29</v>
      </c>
      <c r="B57" s="125" t="s">
        <v>246</v>
      </c>
      <c r="C57" s="130">
        <f t="shared" si="1"/>
        <v>0</v>
      </c>
      <c r="D57" s="307">
        <f>SUM(D58:D60)</f>
        <v>0</v>
      </c>
      <c r="E57" s="130">
        <f>SUM(E58:E60)</f>
        <v>0</v>
      </c>
      <c r="F57" s="130">
        <f>SUM(F58:F60)</f>
        <v>0</v>
      </c>
      <c r="H57" s="554">
        <f>'1.2.sz.mell. '!C57+'1.3.sz.mell.'!C57+'1.4.sz.mell. '!C57</f>
        <v>0</v>
      </c>
      <c r="I57" s="554">
        <f t="shared" si="0"/>
        <v>0</v>
      </c>
    </row>
    <row r="58" spans="1:9" s="210" customFormat="1" ht="12" customHeight="1" x14ac:dyDescent="0.2">
      <c r="A58" s="14" t="s">
        <v>145</v>
      </c>
      <c r="B58" s="211" t="s">
        <v>248</v>
      </c>
      <c r="C58" s="885">
        <f t="shared" si="1"/>
        <v>0</v>
      </c>
      <c r="D58" s="285"/>
      <c r="E58" s="134"/>
      <c r="F58" s="134"/>
      <c r="H58" s="555">
        <f>'1.2.sz.mell. '!C58+'1.3.sz.mell.'!C58+'1.4.sz.mell. '!C58</f>
        <v>0</v>
      </c>
      <c r="I58" s="556">
        <f t="shared" si="0"/>
        <v>0</v>
      </c>
    </row>
    <row r="59" spans="1:9" s="210" customFormat="1" ht="12" customHeight="1" x14ac:dyDescent="0.2">
      <c r="A59" s="13" t="s">
        <v>146</v>
      </c>
      <c r="B59" s="212" t="s">
        <v>373</v>
      </c>
      <c r="C59" s="886">
        <f t="shared" si="1"/>
        <v>0</v>
      </c>
      <c r="D59" s="285"/>
      <c r="E59" s="134"/>
      <c r="F59" s="134"/>
      <c r="H59" s="557">
        <f>'1.2.sz.mell. '!C59+'1.3.sz.mell.'!C59+'1.4.sz.mell. '!C59</f>
        <v>0</v>
      </c>
      <c r="I59" s="558">
        <f t="shared" si="0"/>
        <v>0</v>
      </c>
    </row>
    <row r="60" spans="1:9" s="210" customFormat="1" ht="12" customHeight="1" x14ac:dyDescent="0.2">
      <c r="A60" s="13" t="s">
        <v>171</v>
      </c>
      <c r="B60" s="212" t="s">
        <v>249</v>
      </c>
      <c r="C60" s="886">
        <f t="shared" si="1"/>
        <v>0</v>
      </c>
      <c r="D60" s="285"/>
      <c r="E60" s="134"/>
      <c r="F60" s="134"/>
      <c r="H60" s="557">
        <f>'1.2.sz.mell. '!C60+'1.3.sz.mell.'!C60+'1.4.sz.mell. '!C60</f>
        <v>0</v>
      </c>
      <c r="I60" s="558">
        <f t="shared" si="0"/>
        <v>0</v>
      </c>
    </row>
    <row r="61" spans="1:9" s="210" customFormat="1" ht="12" customHeight="1" thickBot="1" x14ac:dyDescent="0.25">
      <c r="A61" s="15" t="s">
        <v>247</v>
      </c>
      <c r="B61" s="127" t="s">
        <v>250</v>
      </c>
      <c r="C61" s="887">
        <f t="shared" si="1"/>
        <v>0</v>
      </c>
      <c r="D61" s="285"/>
      <c r="E61" s="134"/>
      <c r="F61" s="134"/>
      <c r="H61" s="559">
        <f>'1.2.sz.mell. '!C61+'1.3.sz.mell.'!C61+'1.4.sz.mell. '!C61</f>
        <v>0</v>
      </c>
      <c r="I61" s="560">
        <f t="shared" si="0"/>
        <v>0</v>
      </c>
    </row>
    <row r="62" spans="1:9" s="210" customFormat="1" ht="12" customHeight="1" thickBot="1" x14ac:dyDescent="0.25">
      <c r="A62" s="270" t="s">
        <v>457</v>
      </c>
      <c r="B62" s="20" t="s">
        <v>251</v>
      </c>
      <c r="C62" s="130">
        <f t="shared" si="1"/>
        <v>2332603604</v>
      </c>
      <c r="D62" s="310">
        <f>+D5+D12+D19+D26+D34+D46+D52+D57</f>
        <v>1918954634</v>
      </c>
      <c r="E62" s="135">
        <f>+E5+E12+E19+E26+E34+E46+E52+E57</f>
        <v>11515677</v>
      </c>
      <c r="F62" s="135">
        <f>+F5+F12+F19+F26+F34+F46+F52+F57</f>
        <v>402133293</v>
      </c>
      <c r="H62" s="554">
        <f>'1.2.sz.mell. '!C62+'1.3.sz.mell.'!C62+'1.4.sz.mell. '!C62</f>
        <v>2332603604</v>
      </c>
      <c r="I62" s="554">
        <f t="shared" si="0"/>
        <v>0</v>
      </c>
    </row>
    <row r="63" spans="1:9" s="210" customFormat="1" ht="12" customHeight="1" thickBot="1" x14ac:dyDescent="0.25">
      <c r="A63" s="271" t="s">
        <v>252</v>
      </c>
      <c r="B63" s="125" t="s">
        <v>253</v>
      </c>
      <c r="C63" s="130">
        <f t="shared" si="1"/>
        <v>193478462</v>
      </c>
      <c r="D63" s="307">
        <f>SUM(D64:D66)</f>
        <v>193478462</v>
      </c>
      <c r="E63" s="130">
        <f>SUM(E64:E66)</f>
        <v>0</v>
      </c>
      <c r="F63" s="130">
        <f>SUM(F64:F66)</f>
        <v>0</v>
      </c>
      <c r="H63" s="554">
        <f>'1.2.sz.mell. '!C63+'1.3.sz.mell.'!C63+'1.4.sz.mell. '!C63</f>
        <v>193478462</v>
      </c>
      <c r="I63" s="554">
        <f t="shared" si="0"/>
        <v>0</v>
      </c>
    </row>
    <row r="64" spans="1:9" s="210" customFormat="1" ht="12" customHeight="1" x14ac:dyDescent="0.2">
      <c r="A64" s="14" t="s">
        <v>284</v>
      </c>
      <c r="B64" s="211" t="s">
        <v>254</v>
      </c>
      <c r="C64" s="889">
        <f t="shared" si="1"/>
        <v>93478462</v>
      </c>
      <c r="D64" s="285">
        <v>93478462</v>
      </c>
      <c r="E64" s="134"/>
      <c r="F64" s="134"/>
      <c r="H64" s="555">
        <f>'1.2.sz.mell. '!C64+'1.3.sz.mell.'!C64+'1.4.sz.mell. '!C64</f>
        <v>93478462</v>
      </c>
      <c r="I64" s="556">
        <f t="shared" si="0"/>
        <v>0</v>
      </c>
    </row>
    <row r="65" spans="1:9" s="210" customFormat="1" ht="12" customHeight="1" x14ac:dyDescent="0.2">
      <c r="A65" s="13" t="s">
        <v>293</v>
      </c>
      <c r="B65" s="212" t="s">
        <v>255</v>
      </c>
      <c r="C65" s="363">
        <f t="shared" si="1"/>
        <v>100000000</v>
      </c>
      <c r="D65" s="285">
        <v>100000000</v>
      </c>
      <c r="E65" s="134"/>
      <c r="F65" s="134"/>
      <c r="H65" s="557">
        <f>'1.2.sz.mell. '!C65+'1.3.sz.mell.'!C65+'1.4.sz.mell. '!C65</f>
        <v>100000000</v>
      </c>
      <c r="I65" s="558">
        <f t="shared" si="0"/>
        <v>0</v>
      </c>
    </row>
    <row r="66" spans="1:9" s="210" customFormat="1" ht="12" customHeight="1" thickBot="1" x14ac:dyDescent="0.25">
      <c r="A66" s="15" t="s">
        <v>294</v>
      </c>
      <c r="B66" s="272" t="s">
        <v>458</v>
      </c>
      <c r="C66" s="887">
        <f t="shared" si="1"/>
        <v>0</v>
      </c>
      <c r="D66" s="285"/>
      <c r="E66" s="134"/>
      <c r="F66" s="134"/>
      <c r="H66" s="559">
        <f>'1.2.sz.mell. '!C66+'1.3.sz.mell.'!C66+'1.4.sz.mell. '!C66</f>
        <v>0</v>
      </c>
      <c r="I66" s="560">
        <f t="shared" si="0"/>
        <v>0</v>
      </c>
    </row>
    <row r="67" spans="1:9" s="210" customFormat="1" ht="12" customHeight="1" thickBot="1" x14ac:dyDescent="0.25">
      <c r="A67" s="271" t="s">
        <v>257</v>
      </c>
      <c r="B67" s="125" t="s">
        <v>258</v>
      </c>
      <c r="C67" s="130">
        <f t="shared" si="1"/>
        <v>0</v>
      </c>
      <c r="D67" s="307">
        <f>SUM(D68:D71)</f>
        <v>0</v>
      </c>
      <c r="E67" s="130">
        <f>SUM(E68:E71)</f>
        <v>0</v>
      </c>
      <c r="F67" s="130">
        <f>SUM(F68:F71)</f>
        <v>0</v>
      </c>
      <c r="H67" s="554">
        <f>'1.2.sz.mell. '!C67+'1.3.sz.mell.'!C67+'1.4.sz.mell. '!C67</f>
        <v>0</v>
      </c>
      <c r="I67" s="554">
        <f t="shared" si="0"/>
        <v>0</v>
      </c>
    </row>
    <row r="68" spans="1:9" s="210" customFormat="1" ht="12" customHeight="1" x14ac:dyDescent="0.2">
      <c r="A68" s="14" t="s">
        <v>125</v>
      </c>
      <c r="B68" s="211" t="s">
        <v>259</v>
      </c>
      <c r="C68" s="885">
        <f t="shared" si="1"/>
        <v>0</v>
      </c>
      <c r="D68" s="285"/>
      <c r="E68" s="134"/>
      <c r="F68" s="134"/>
      <c r="H68" s="555">
        <f>'1.2.sz.mell. '!C68+'1.3.sz.mell.'!C68+'1.4.sz.mell. '!C68</f>
        <v>0</v>
      </c>
      <c r="I68" s="556">
        <f t="shared" si="0"/>
        <v>0</v>
      </c>
    </row>
    <row r="69" spans="1:9" s="210" customFormat="1" ht="12" customHeight="1" x14ac:dyDescent="0.2">
      <c r="A69" s="13" t="s">
        <v>126</v>
      </c>
      <c r="B69" s="212" t="s">
        <v>260</v>
      </c>
      <c r="C69" s="886">
        <f t="shared" si="1"/>
        <v>0</v>
      </c>
      <c r="D69" s="285"/>
      <c r="E69" s="134"/>
      <c r="F69" s="134"/>
      <c r="H69" s="557">
        <f>'1.2.sz.mell. '!C69+'1.3.sz.mell.'!C69+'1.4.sz.mell. '!C69</f>
        <v>0</v>
      </c>
      <c r="I69" s="558">
        <f t="shared" ref="I69:I87" si="2">C69-H69</f>
        <v>0</v>
      </c>
    </row>
    <row r="70" spans="1:9" s="210" customFormat="1" ht="12" customHeight="1" x14ac:dyDescent="0.2">
      <c r="A70" s="13" t="s">
        <v>285</v>
      </c>
      <c r="B70" s="212" t="s">
        <v>261</v>
      </c>
      <c r="C70" s="886">
        <f t="shared" ref="C70:C87" si="3">SUM(D70:F70)</f>
        <v>0</v>
      </c>
      <c r="D70" s="285"/>
      <c r="E70" s="134"/>
      <c r="F70" s="134"/>
      <c r="H70" s="557">
        <f>'1.2.sz.mell. '!C70+'1.3.sz.mell.'!C70+'1.4.sz.mell. '!C70</f>
        <v>0</v>
      </c>
      <c r="I70" s="558">
        <f t="shared" si="2"/>
        <v>0</v>
      </c>
    </row>
    <row r="71" spans="1:9" s="210" customFormat="1" ht="12" customHeight="1" thickBot="1" x14ac:dyDescent="0.25">
      <c r="A71" s="15" t="s">
        <v>286</v>
      </c>
      <c r="B71" s="127" t="s">
        <v>262</v>
      </c>
      <c r="C71" s="887">
        <f t="shared" si="3"/>
        <v>0</v>
      </c>
      <c r="D71" s="285"/>
      <c r="E71" s="134"/>
      <c r="F71" s="134"/>
      <c r="H71" s="559">
        <f>'1.2.sz.mell. '!C71+'1.3.sz.mell.'!C71+'1.4.sz.mell. '!C71</f>
        <v>0</v>
      </c>
      <c r="I71" s="560">
        <f t="shared" si="2"/>
        <v>0</v>
      </c>
    </row>
    <row r="72" spans="1:9" s="210" customFormat="1" ht="12" customHeight="1" thickBot="1" x14ac:dyDescent="0.25">
      <c r="A72" s="271" t="s">
        <v>263</v>
      </c>
      <c r="B72" s="125" t="s">
        <v>264</v>
      </c>
      <c r="C72" s="130">
        <f t="shared" si="3"/>
        <v>595229825</v>
      </c>
      <c r="D72" s="307">
        <f>SUM(D73:D74)</f>
        <v>569119676</v>
      </c>
      <c r="E72" s="130">
        <f>SUM(E73:E74)</f>
        <v>3148853</v>
      </c>
      <c r="F72" s="130">
        <f>SUM(F73:F74)</f>
        <v>22961296</v>
      </c>
      <c r="H72" s="554">
        <f>'1.2.sz.mell. '!C72+'1.3.sz.mell.'!C72+'1.4.sz.mell. '!C72</f>
        <v>595229825</v>
      </c>
      <c r="I72" s="554">
        <f t="shared" si="2"/>
        <v>0</v>
      </c>
    </row>
    <row r="73" spans="1:9" s="210" customFormat="1" ht="12" customHeight="1" x14ac:dyDescent="0.2">
      <c r="A73" s="14" t="s">
        <v>287</v>
      </c>
      <c r="B73" s="211" t="s">
        <v>265</v>
      </c>
      <c r="C73" s="892">
        <f t="shared" si="3"/>
        <v>595229825</v>
      </c>
      <c r="D73" s="285">
        <f>569119704-28</f>
        <v>569119676</v>
      </c>
      <c r="E73" s="134">
        <v>3148853</v>
      </c>
      <c r="F73" s="134">
        <f>22961296</f>
        <v>22961296</v>
      </c>
      <c r="H73" s="555">
        <f>'1.2.sz.mell. '!C73+'1.3.sz.mell.'!C73+'1.4.sz.mell. '!C73</f>
        <v>595229825</v>
      </c>
      <c r="I73" s="556">
        <f t="shared" si="2"/>
        <v>0</v>
      </c>
    </row>
    <row r="74" spans="1:9" s="210" customFormat="1" ht="12" customHeight="1" thickBot="1" x14ac:dyDescent="0.25">
      <c r="A74" s="15" t="s">
        <v>288</v>
      </c>
      <c r="B74" s="127" t="s">
        <v>266</v>
      </c>
      <c r="C74" s="887">
        <f t="shared" si="3"/>
        <v>0</v>
      </c>
      <c r="D74" s="285"/>
      <c r="E74" s="134"/>
      <c r="F74" s="134"/>
      <c r="H74" s="559">
        <f>'1.2.sz.mell. '!C74+'1.3.sz.mell.'!C74+'1.4.sz.mell. '!C74</f>
        <v>0</v>
      </c>
      <c r="I74" s="560">
        <f t="shared" si="2"/>
        <v>0</v>
      </c>
    </row>
    <row r="75" spans="1:9" s="210" customFormat="1" ht="12" customHeight="1" thickBot="1" x14ac:dyDescent="0.25">
      <c r="A75" s="271" t="s">
        <v>267</v>
      </c>
      <c r="B75" s="125" t="s">
        <v>268</v>
      </c>
      <c r="C75" s="130">
        <f t="shared" si="3"/>
        <v>0</v>
      </c>
      <c r="D75" s="307">
        <f>SUM(D76:D78)</f>
        <v>0</v>
      </c>
      <c r="E75" s="130">
        <f>SUM(E76:E78)</f>
        <v>0</v>
      </c>
      <c r="F75" s="130">
        <f>SUM(F76:F78)</f>
        <v>0</v>
      </c>
      <c r="H75" s="554">
        <f>'1.2.sz.mell. '!C75+'1.3.sz.mell.'!C75+'1.4.sz.mell. '!C75</f>
        <v>0</v>
      </c>
      <c r="I75" s="554">
        <f t="shared" si="2"/>
        <v>0</v>
      </c>
    </row>
    <row r="76" spans="1:9" s="210" customFormat="1" ht="12" customHeight="1" x14ac:dyDescent="0.2">
      <c r="A76" s="14" t="s">
        <v>289</v>
      </c>
      <c r="B76" s="211" t="s">
        <v>269</v>
      </c>
      <c r="C76" s="885">
        <f t="shared" si="3"/>
        <v>0</v>
      </c>
      <c r="D76" s="285"/>
      <c r="E76" s="134"/>
      <c r="F76" s="134"/>
      <c r="H76" s="555">
        <f>'1.2.sz.mell. '!C76+'1.3.sz.mell.'!C76+'1.4.sz.mell. '!C76</f>
        <v>0</v>
      </c>
      <c r="I76" s="556">
        <f t="shared" si="2"/>
        <v>0</v>
      </c>
    </row>
    <row r="77" spans="1:9" s="210" customFormat="1" ht="12" customHeight="1" x14ac:dyDescent="0.2">
      <c r="A77" s="13" t="s">
        <v>290</v>
      </c>
      <c r="B77" s="212" t="s">
        <v>270</v>
      </c>
      <c r="C77" s="886">
        <f t="shared" si="3"/>
        <v>0</v>
      </c>
      <c r="D77" s="285"/>
      <c r="E77" s="134"/>
      <c r="F77" s="134"/>
      <c r="H77" s="557">
        <f>'1.2.sz.mell. '!C77+'1.3.sz.mell.'!C77+'1.4.sz.mell. '!C77</f>
        <v>0</v>
      </c>
      <c r="I77" s="558">
        <f t="shared" si="2"/>
        <v>0</v>
      </c>
    </row>
    <row r="78" spans="1:9" s="210" customFormat="1" ht="12" customHeight="1" thickBot="1" x14ac:dyDescent="0.25">
      <c r="A78" s="15" t="s">
        <v>291</v>
      </c>
      <c r="B78" s="127" t="s">
        <v>271</v>
      </c>
      <c r="C78" s="887">
        <f t="shared" si="3"/>
        <v>0</v>
      </c>
      <c r="D78" s="285"/>
      <c r="E78" s="134"/>
      <c r="F78" s="134"/>
      <c r="H78" s="559">
        <f>'1.2.sz.mell. '!C78+'1.3.sz.mell.'!C78+'1.4.sz.mell. '!C78</f>
        <v>0</v>
      </c>
      <c r="I78" s="560">
        <f t="shared" si="2"/>
        <v>0</v>
      </c>
    </row>
    <row r="79" spans="1:9" s="210" customFormat="1" ht="12" customHeight="1" thickBot="1" x14ac:dyDescent="0.25">
      <c r="A79" s="271" t="s">
        <v>272</v>
      </c>
      <c r="B79" s="125" t="s">
        <v>292</v>
      </c>
      <c r="C79" s="130">
        <f t="shared" si="3"/>
        <v>0</v>
      </c>
      <c r="D79" s="307">
        <f>SUM(D80:D83)</f>
        <v>0</v>
      </c>
      <c r="E79" s="130">
        <f>SUM(E80:E83)</f>
        <v>0</v>
      </c>
      <c r="F79" s="130">
        <f>SUM(F80:F83)</f>
        <v>0</v>
      </c>
      <c r="H79" s="554">
        <f>'1.2.sz.mell. '!C79+'1.3.sz.mell.'!C79+'1.4.sz.mell. '!C79</f>
        <v>0</v>
      </c>
      <c r="I79" s="554">
        <f t="shared" si="2"/>
        <v>0</v>
      </c>
    </row>
    <row r="80" spans="1:9" s="210" customFormat="1" ht="12" customHeight="1" x14ac:dyDescent="0.2">
      <c r="A80" s="215" t="s">
        <v>273</v>
      </c>
      <c r="B80" s="211" t="s">
        <v>274</v>
      </c>
      <c r="C80" s="885">
        <f t="shared" si="3"/>
        <v>0</v>
      </c>
      <c r="D80" s="285"/>
      <c r="E80" s="134"/>
      <c r="F80" s="134"/>
      <c r="H80" s="555">
        <f>'1.2.sz.mell. '!C80+'1.3.sz.mell.'!C80+'1.4.sz.mell. '!C80</f>
        <v>0</v>
      </c>
      <c r="I80" s="556">
        <f t="shared" si="2"/>
        <v>0</v>
      </c>
    </row>
    <row r="81" spans="1:9" s="210" customFormat="1" ht="12" customHeight="1" x14ac:dyDescent="0.2">
      <c r="A81" s="216" t="s">
        <v>275</v>
      </c>
      <c r="B81" s="212" t="s">
        <v>276</v>
      </c>
      <c r="C81" s="886">
        <f t="shared" si="3"/>
        <v>0</v>
      </c>
      <c r="D81" s="285"/>
      <c r="E81" s="134"/>
      <c r="F81" s="134"/>
      <c r="H81" s="557">
        <f>'1.2.sz.mell. '!C81+'1.3.sz.mell.'!C81+'1.4.sz.mell. '!C81</f>
        <v>0</v>
      </c>
      <c r="I81" s="558">
        <f t="shared" si="2"/>
        <v>0</v>
      </c>
    </row>
    <row r="82" spans="1:9" s="210" customFormat="1" ht="12" customHeight="1" x14ac:dyDescent="0.2">
      <c r="A82" s="216" t="s">
        <v>277</v>
      </c>
      <c r="B82" s="212" t="s">
        <v>278</v>
      </c>
      <c r="C82" s="886">
        <f t="shared" si="3"/>
        <v>0</v>
      </c>
      <c r="D82" s="285"/>
      <c r="E82" s="134"/>
      <c r="F82" s="134"/>
      <c r="H82" s="557">
        <f>'1.2.sz.mell. '!C82+'1.3.sz.mell.'!C82+'1.4.sz.mell. '!C82</f>
        <v>0</v>
      </c>
      <c r="I82" s="558">
        <f t="shared" si="2"/>
        <v>0</v>
      </c>
    </row>
    <row r="83" spans="1:9" s="210" customFormat="1" ht="12" customHeight="1" thickBot="1" x14ac:dyDescent="0.25">
      <c r="A83" s="217" t="s">
        <v>279</v>
      </c>
      <c r="B83" s="127" t="s">
        <v>280</v>
      </c>
      <c r="C83" s="887">
        <f t="shared" si="3"/>
        <v>0</v>
      </c>
      <c r="D83" s="285"/>
      <c r="E83" s="134"/>
      <c r="F83" s="134"/>
      <c r="H83" s="559">
        <f>'1.2.sz.mell. '!C83+'1.3.sz.mell.'!C83+'1.4.sz.mell. '!C83</f>
        <v>0</v>
      </c>
      <c r="I83" s="560">
        <f t="shared" si="2"/>
        <v>0</v>
      </c>
    </row>
    <row r="84" spans="1:9" s="210" customFormat="1" ht="12" customHeight="1" thickBot="1" x14ac:dyDescent="0.25">
      <c r="A84" s="271" t="s">
        <v>281</v>
      </c>
      <c r="B84" s="125" t="s">
        <v>459</v>
      </c>
      <c r="C84" s="130">
        <f t="shared" si="3"/>
        <v>0</v>
      </c>
      <c r="D84" s="314"/>
      <c r="E84" s="250"/>
      <c r="F84" s="250"/>
      <c r="H84" s="554">
        <f>'1.2.sz.mell. '!C84+'1.3.sz.mell.'!C84+'1.4.sz.mell. '!C84</f>
        <v>0</v>
      </c>
      <c r="I84" s="554">
        <f t="shared" si="2"/>
        <v>0</v>
      </c>
    </row>
    <row r="85" spans="1:9" s="210" customFormat="1" ht="13.5" customHeight="1" thickBot="1" x14ac:dyDescent="0.25">
      <c r="A85" s="271" t="s">
        <v>283</v>
      </c>
      <c r="B85" s="125" t="s">
        <v>282</v>
      </c>
      <c r="C85" s="130">
        <f t="shared" si="3"/>
        <v>0</v>
      </c>
      <c r="D85" s="314"/>
      <c r="E85" s="250"/>
      <c r="F85" s="250"/>
      <c r="H85" s="554">
        <f>'1.2.sz.mell. '!C85+'1.3.sz.mell.'!C85+'1.4.sz.mell. '!C85</f>
        <v>0</v>
      </c>
      <c r="I85" s="554">
        <f t="shared" si="2"/>
        <v>0</v>
      </c>
    </row>
    <row r="86" spans="1:9" s="210" customFormat="1" ht="15.75" customHeight="1" thickBot="1" x14ac:dyDescent="0.25">
      <c r="A86" s="271" t="s">
        <v>295</v>
      </c>
      <c r="B86" s="218" t="s">
        <v>460</v>
      </c>
      <c r="C86" s="130">
        <f t="shared" si="3"/>
        <v>788708287</v>
      </c>
      <c r="D86" s="310">
        <f>+D63+D67+D72+D75+D79+D85+D84</f>
        <v>762598138</v>
      </c>
      <c r="E86" s="135">
        <f>+E63+E67+E72+E75+E79+E85+E84</f>
        <v>3148853</v>
      </c>
      <c r="F86" s="135">
        <f>+F63+F67+F72+F75+F79+F85+F84</f>
        <v>22961296</v>
      </c>
      <c r="H86" s="554">
        <f>'1.2.sz.mell. '!C86+'1.3.sz.mell.'!C86+'1.4.sz.mell. '!C86</f>
        <v>788708287</v>
      </c>
      <c r="I86" s="554">
        <f t="shared" si="2"/>
        <v>0</v>
      </c>
    </row>
    <row r="87" spans="1:9" s="210" customFormat="1" ht="16.5" customHeight="1" thickBot="1" x14ac:dyDescent="0.25">
      <c r="A87" s="273" t="s">
        <v>461</v>
      </c>
      <c r="B87" s="219" t="s">
        <v>462</v>
      </c>
      <c r="C87" s="130">
        <f t="shared" si="3"/>
        <v>3121311891</v>
      </c>
      <c r="D87" s="310">
        <f>+D62+D86</f>
        <v>2681552772</v>
      </c>
      <c r="E87" s="135">
        <f>+E62+E86</f>
        <v>14664530</v>
      </c>
      <c r="F87" s="135">
        <f>+F62+F86</f>
        <v>425094589</v>
      </c>
      <c r="H87" s="554">
        <f>'1.2.sz.mell. '!C87+'1.3.sz.mell.'!C87+'1.4.sz.mell. '!C87</f>
        <v>3121311891</v>
      </c>
      <c r="I87" s="554">
        <f t="shared" si="2"/>
        <v>0</v>
      </c>
    </row>
    <row r="88" spans="1:9" s="210" customFormat="1" ht="83.25" customHeight="1" x14ac:dyDescent="0.2">
      <c r="A88" s="4"/>
      <c r="B88" s="5"/>
      <c r="C88" s="136"/>
      <c r="H88" s="552"/>
      <c r="I88" s="552"/>
    </row>
    <row r="89" spans="1:9" ht="16.5" customHeight="1" x14ac:dyDescent="0.25">
      <c r="A89" s="940" t="s">
        <v>50</v>
      </c>
      <c r="B89" s="940"/>
      <c r="C89" s="940"/>
      <c r="I89" s="552"/>
    </row>
    <row r="90" spans="1:9" s="220" customFormat="1" ht="16.5" customHeight="1" thickBot="1" x14ac:dyDescent="0.3">
      <c r="A90" s="941" t="s">
        <v>128</v>
      </c>
      <c r="B90" s="941"/>
      <c r="C90" s="70" t="s">
        <v>571</v>
      </c>
      <c r="H90" s="552"/>
      <c r="I90" s="552"/>
    </row>
    <row r="91" spans="1:9" ht="38.1" customHeight="1" thickBot="1" x14ac:dyDescent="0.3">
      <c r="A91" s="22" t="s">
        <v>72</v>
      </c>
      <c r="B91" s="23" t="s">
        <v>51</v>
      </c>
      <c r="C91" s="30" t="str">
        <f>+C3</f>
        <v>2018. évi előirányzat</v>
      </c>
      <c r="I91" s="552"/>
    </row>
    <row r="92" spans="1:9" s="209" customFormat="1" ht="12" customHeight="1" thickBot="1" x14ac:dyDescent="0.25">
      <c r="A92" s="26" t="s">
        <v>446</v>
      </c>
      <c r="B92" s="27" t="s">
        <v>447</v>
      </c>
      <c r="C92" s="205" t="s">
        <v>448</v>
      </c>
      <c r="H92" s="552"/>
      <c r="I92" s="552"/>
    </row>
    <row r="93" spans="1:9" ht="12" customHeight="1" thickBot="1" x14ac:dyDescent="0.3">
      <c r="A93" s="21" t="s">
        <v>22</v>
      </c>
      <c r="B93" s="25" t="s">
        <v>500</v>
      </c>
      <c r="C93" s="371">
        <f>SUM(D93:F93)</f>
        <v>2419714310</v>
      </c>
      <c r="D93" s="317">
        <f>+D94+D95+D96+D97+D98+D111</f>
        <v>684130573</v>
      </c>
      <c r="E93" s="129">
        <f>+E94+E95+E96+E97+E98+E111</f>
        <v>239347795</v>
      </c>
      <c r="F93" s="349">
        <f>F94+F95+F96+F97+F98+F111</f>
        <v>1496235942</v>
      </c>
      <c r="H93" s="554">
        <f>'1.2.sz.mell. '!C93+'1.3.sz.mell.'!C93+'1.4.sz.mell. '!C93</f>
        <v>2419714310</v>
      </c>
      <c r="I93" s="554">
        <f>C93-H93</f>
        <v>0</v>
      </c>
    </row>
    <row r="94" spans="1:9" ht="12" customHeight="1" x14ac:dyDescent="0.25">
      <c r="A94" s="16" t="s">
        <v>100</v>
      </c>
      <c r="B94" s="9" t="s">
        <v>52</v>
      </c>
      <c r="C94" s="561">
        <f>SUM(D94:F94)</f>
        <v>973206020</v>
      </c>
      <c r="D94" s="355">
        <f>2854500+25097896+75000+16116992+1182990+2491000+1016699</f>
        <v>48835077</v>
      </c>
      <c r="E94" s="294">
        <f>2528076+481000+134654515+2215000</f>
        <v>139878591</v>
      </c>
      <c r="F94" s="300">
        <v>784492352</v>
      </c>
      <c r="H94" s="555">
        <f>'1.2.sz.mell. '!C94+'1.3.sz.mell.'!C94+'1.4.sz.mell. '!C94</f>
        <v>973206020</v>
      </c>
      <c r="I94" s="556">
        <f t="shared" ref="I94:I154" si="4">C94-H94</f>
        <v>0</v>
      </c>
    </row>
    <row r="95" spans="1:9" ht="12" customHeight="1" x14ac:dyDescent="0.25">
      <c r="A95" s="13" t="s">
        <v>101</v>
      </c>
      <c r="B95" s="7" t="s">
        <v>147</v>
      </c>
      <c r="C95" s="561">
        <f t="shared" ref="C95:C154" si="5">SUM(D95:F95)</f>
        <v>205386585</v>
      </c>
      <c r="D95" s="285">
        <f>500965+4771305+13275+17258+2940000+14000+207615+1015000+283238</f>
        <v>9762656</v>
      </c>
      <c r="E95" s="134">
        <f>443678+114000+28757160+461687</f>
        <v>29776525</v>
      </c>
      <c r="F95" s="287">
        <v>165847404</v>
      </c>
      <c r="H95" s="557">
        <f>'1.2.sz.mell. '!C95+'1.3.sz.mell.'!C95+'1.4.sz.mell. '!C95</f>
        <v>205386585</v>
      </c>
      <c r="I95" s="558">
        <f t="shared" si="4"/>
        <v>0</v>
      </c>
    </row>
    <row r="96" spans="1:9" ht="12" customHeight="1" x14ac:dyDescent="0.25">
      <c r="A96" s="13" t="s">
        <v>102</v>
      </c>
      <c r="B96" s="7" t="s">
        <v>123</v>
      </c>
      <c r="C96" s="561">
        <f t="shared" si="5"/>
        <v>914785804</v>
      </c>
      <c r="D96" s="289">
        <f>13447475+835000+16099000+50000+52909601+3082677+6787092+2456000+4504030+871220+397000+194467+34163000+50473064+34200000+3285067+156511+9000000+563000+17207888+2681000+3300000+17042731+48545760+500000+381000+314356</f>
        <v>323446939</v>
      </c>
      <c r="E96" s="200">
        <f>4096000+324000+352000+40114003+137126+419550</f>
        <v>45442679</v>
      </c>
      <c r="F96" s="287">
        <v>545896186</v>
      </c>
      <c r="H96" s="557">
        <f>'1.2.sz.mell. '!C96+'1.3.sz.mell.'!C96+'1.4.sz.mell. '!C96</f>
        <v>914785804</v>
      </c>
      <c r="I96" s="558">
        <f t="shared" si="4"/>
        <v>0</v>
      </c>
    </row>
    <row r="97" spans="1:9" ht="12" customHeight="1" x14ac:dyDescent="0.25">
      <c r="A97" s="13" t="s">
        <v>103</v>
      </c>
      <c r="B97" s="7" t="s">
        <v>148</v>
      </c>
      <c r="C97" s="699">
        <f t="shared" si="5"/>
        <v>97250000</v>
      </c>
      <c r="D97" s="289">
        <f>69500000+3500000</f>
        <v>73000000</v>
      </c>
      <c r="E97" s="200">
        <v>24250000</v>
      </c>
      <c r="F97" s="299"/>
      <c r="H97" s="557">
        <f>'1.2.sz.mell. '!C97+'1.3.sz.mell.'!C97+'1.4.sz.mell. '!C97</f>
        <v>97250000</v>
      </c>
      <c r="I97" s="558">
        <f t="shared" si="4"/>
        <v>0</v>
      </c>
    </row>
    <row r="98" spans="1:9" ht="12" customHeight="1" x14ac:dyDescent="0.25">
      <c r="A98" s="13" t="s">
        <v>114</v>
      </c>
      <c r="B98" s="6" t="s">
        <v>149</v>
      </c>
      <c r="C98" s="699">
        <f t="shared" si="5"/>
        <v>148261084</v>
      </c>
      <c r="D98" s="289">
        <f>45183973+52959801+660000+100000+49357310</f>
        <v>148261084</v>
      </c>
      <c r="E98" s="200"/>
      <c r="F98" s="299"/>
      <c r="H98" s="557">
        <f>'1.2.sz.mell. '!C98+'1.3.sz.mell.'!C98+'1.4.sz.mell. '!C98</f>
        <v>148261084</v>
      </c>
      <c r="I98" s="558">
        <f t="shared" si="4"/>
        <v>0</v>
      </c>
    </row>
    <row r="99" spans="1:9" ht="12" customHeight="1" x14ac:dyDescent="0.25">
      <c r="A99" s="13" t="s">
        <v>104</v>
      </c>
      <c r="B99" s="7" t="s">
        <v>463</v>
      </c>
      <c r="C99" s="699">
        <f t="shared" si="5"/>
        <v>100000</v>
      </c>
      <c r="D99" s="289">
        <v>100000</v>
      </c>
      <c r="E99" s="200"/>
      <c r="F99" s="299"/>
      <c r="H99" s="557">
        <f>'1.2.sz.mell. '!C99+'1.3.sz.mell.'!C99+'1.4.sz.mell. '!C99</f>
        <v>100000</v>
      </c>
      <c r="I99" s="558">
        <f t="shared" si="4"/>
        <v>0</v>
      </c>
    </row>
    <row r="100" spans="1:9" ht="12" customHeight="1" x14ac:dyDescent="0.25">
      <c r="A100" s="13" t="s">
        <v>105</v>
      </c>
      <c r="B100" s="74" t="s">
        <v>464</v>
      </c>
      <c r="C100" s="561">
        <f t="shared" si="5"/>
        <v>0</v>
      </c>
      <c r="D100" s="289"/>
      <c r="E100" s="200"/>
      <c r="F100" s="299"/>
      <c r="H100" s="557">
        <f>'1.2.sz.mell. '!C100+'1.3.sz.mell.'!C100+'1.4.sz.mell. '!C100</f>
        <v>0</v>
      </c>
      <c r="I100" s="558">
        <f t="shared" si="4"/>
        <v>0</v>
      </c>
    </row>
    <row r="101" spans="1:9" ht="12" customHeight="1" x14ac:dyDescent="0.25">
      <c r="A101" s="13" t="s">
        <v>115</v>
      </c>
      <c r="B101" s="74" t="s">
        <v>465</v>
      </c>
      <c r="C101" s="561">
        <f t="shared" si="5"/>
        <v>0</v>
      </c>
      <c r="D101" s="289"/>
      <c r="E101" s="200"/>
      <c r="F101" s="299"/>
      <c r="H101" s="557">
        <f>'1.2.sz.mell. '!C101+'1.3.sz.mell.'!C101+'1.4.sz.mell. '!C101</f>
        <v>0</v>
      </c>
      <c r="I101" s="558">
        <f t="shared" si="4"/>
        <v>0</v>
      </c>
    </row>
    <row r="102" spans="1:9" ht="12" customHeight="1" x14ac:dyDescent="0.25">
      <c r="A102" s="13" t="s">
        <v>116</v>
      </c>
      <c r="B102" s="72" t="s">
        <v>298</v>
      </c>
      <c r="C102" s="561">
        <f t="shared" si="5"/>
        <v>0</v>
      </c>
      <c r="D102" s="289"/>
      <c r="E102" s="200"/>
      <c r="F102" s="299"/>
      <c r="H102" s="557">
        <f>'1.2.sz.mell. '!C102+'1.3.sz.mell.'!C102+'1.4.sz.mell. '!C102</f>
        <v>0</v>
      </c>
      <c r="I102" s="558">
        <f t="shared" si="4"/>
        <v>0</v>
      </c>
    </row>
    <row r="103" spans="1:9" ht="12" customHeight="1" x14ac:dyDescent="0.25">
      <c r="A103" s="13" t="s">
        <v>117</v>
      </c>
      <c r="B103" s="73" t="s">
        <v>299</v>
      </c>
      <c r="C103" s="561">
        <f t="shared" si="5"/>
        <v>0</v>
      </c>
      <c r="D103" s="289"/>
      <c r="E103" s="200"/>
      <c r="F103" s="299"/>
      <c r="H103" s="557">
        <f>'1.2.sz.mell. '!C103+'1.3.sz.mell.'!C103+'1.4.sz.mell. '!C103</f>
        <v>0</v>
      </c>
      <c r="I103" s="558">
        <f t="shared" si="4"/>
        <v>0</v>
      </c>
    </row>
    <row r="104" spans="1:9" ht="12" customHeight="1" x14ac:dyDescent="0.25">
      <c r="A104" s="13" t="s">
        <v>118</v>
      </c>
      <c r="B104" s="73" t="s">
        <v>300</v>
      </c>
      <c r="C104" s="561">
        <f t="shared" si="5"/>
        <v>0</v>
      </c>
      <c r="D104" s="289"/>
      <c r="E104" s="200"/>
      <c r="F104" s="299"/>
      <c r="H104" s="557">
        <f>'1.2.sz.mell. '!C104+'1.3.sz.mell.'!C104+'1.4.sz.mell. '!C104</f>
        <v>0</v>
      </c>
      <c r="I104" s="558">
        <f t="shared" si="4"/>
        <v>0</v>
      </c>
    </row>
    <row r="105" spans="1:9" ht="12" customHeight="1" x14ac:dyDescent="0.25">
      <c r="A105" s="13" t="s">
        <v>120</v>
      </c>
      <c r="B105" s="72" t="s">
        <v>301</v>
      </c>
      <c r="C105" s="561">
        <f t="shared" si="5"/>
        <v>660000</v>
      </c>
      <c r="D105" s="289">
        <v>660000</v>
      </c>
      <c r="E105" s="200"/>
      <c r="F105" s="299"/>
      <c r="H105" s="557">
        <f>'1.2.sz.mell. '!C105+'1.3.sz.mell.'!C105+'1.4.sz.mell. '!C105</f>
        <v>660000</v>
      </c>
      <c r="I105" s="558">
        <f t="shared" si="4"/>
        <v>0</v>
      </c>
    </row>
    <row r="106" spans="1:9" ht="12" customHeight="1" x14ac:dyDescent="0.25">
      <c r="A106" s="13" t="s">
        <v>150</v>
      </c>
      <c r="B106" s="72" t="s">
        <v>302</v>
      </c>
      <c r="C106" s="561">
        <f t="shared" si="5"/>
        <v>0</v>
      </c>
      <c r="D106" s="289"/>
      <c r="E106" s="200"/>
      <c r="F106" s="299"/>
      <c r="H106" s="557">
        <f>'1.2.sz.mell. '!C106+'1.3.sz.mell.'!C106+'1.4.sz.mell. '!C106</f>
        <v>0</v>
      </c>
      <c r="I106" s="558">
        <f t="shared" si="4"/>
        <v>0</v>
      </c>
    </row>
    <row r="107" spans="1:9" ht="12" customHeight="1" x14ac:dyDescent="0.25">
      <c r="A107" s="13" t="s">
        <v>296</v>
      </c>
      <c r="B107" s="73" t="s">
        <v>303</v>
      </c>
      <c r="C107" s="561">
        <f t="shared" si="5"/>
        <v>0</v>
      </c>
      <c r="D107" s="289"/>
      <c r="E107" s="200"/>
      <c r="F107" s="299"/>
      <c r="H107" s="557">
        <f>'1.2.sz.mell. '!C107+'1.3.sz.mell.'!C107+'1.4.sz.mell. '!C107</f>
        <v>0</v>
      </c>
      <c r="I107" s="558">
        <f t="shared" si="4"/>
        <v>0</v>
      </c>
    </row>
    <row r="108" spans="1:9" ht="12" customHeight="1" x14ac:dyDescent="0.25">
      <c r="A108" s="12" t="s">
        <v>297</v>
      </c>
      <c r="B108" s="74" t="s">
        <v>304</v>
      </c>
      <c r="C108" s="561">
        <f t="shared" si="5"/>
        <v>0</v>
      </c>
      <c r="D108" s="289"/>
      <c r="E108" s="200"/>
      <c r="F108" s="299"/>
      <c r="H108" s="557">
        <f>'1.2.sz.mell. '!C108+'1.3.sz.mell.'!C108+'1.4.sz.mell. '!C108</f>
        <v>0</v>
      </c>
      <c r="I108" s="558">
        <f t="shared" si="4"/>
        <v>0</v>
      </c>
    </row>
    <row r="109" spans="1:9" ht="12" customHeight="1" x14ac:dyDescent="0.25">
      <c r="A109" s="13" t="s">
        <v>466</v>
      </c>
      <c r="B109" s="74" t="s">
        <v>305</v>
      </c>
      <c r="C109" s="561">
        <f t="shared" si="5"/>
        <v>0</v>
      </c>
      <c r="D109" s="289"/>
      <c r="E109" s="200"/>
      <c r="F109" s="299"/>
      <c r="H109" s="557">
        <f>'1.2.sz.mell. '!C109+'1.3.sz.mell.'!C109+'1.4.sz.mell. '!C109</f>
        <v>0</v>
      </c>
      <c r="I109" s="558">
        <f t="shared" si="4"/>
        <v>0</v>
      </c>
    </row>
    <row r="110" spans="1:9" ht="12" customHeight="1" x14ac:dyDescent="0.25">
      <c r="A110" s="15" t="s">
        <v>467</v>
      </c>
      <c r="B110" s="74" t="s">
        <v>306</v>
      </c>
      <c r="C110" s="561">
        <f t="shared" si="5"/>
        <v>147501084</v>
      </c>
      <c r="D110" s="285">
        <f>5697126+16985629+22501218+52959801+660000+49357310-660000</f>
        <v>147501084</v>
      </c>
      <c r="E110" s="134"/>
      <c r="F110" s="299"/>
      <c r="H110" s="557">
        <f>'1.2.sz.mell. '!C110+'1.3.sz.mell.'!C110+'1.4.sz.mell. '!C110</f>
        <v>147501084</v>
      </c>
      <c r="I110" s="558">
        <f t="shared" si="4"/>
        <v>0</v>
      </c>
    </row>
    <row r="111" spans="1:9" ht="12" customHeight="1" x14ac:dyDescent="0.25">
      <c r="A111" s="13" t="s">
        <v>468</v>
      </c>
      <c r="B111" s="7" t="s">
        <v>53</v>
      </c>
      <c r="C111" s="561">
        <f t="shared" si="5"/>
        <v>80824817</v>
      </c>
      <c r="D111" s="285">
        <f>SUM(D112:D113)</f>
        <v>80824817</v>
      </c>
      <c r="E111" s="134"/>
      <c r="F111" s="287">
        <f>F112+F113</f>
        <v>0</v>
      </c>
      <c r="H111" s="557">
        <f>'1.2.sz.mell. '!C111+'1.3.sz.mell.'!C111+'1.4.sz.mell. '!C111</f>
        <v>80824817</v>
      </c>
      <c r="I111" s="558">
        <f t="shared" si="4"/>
        <v>0</v>
      </c>
    </row>
    <row r="112" spans="1:9" ht="12" customHeight="1" x14ac:dyDescent="0.25">
      <c r="A112" s="13" t="s">
        <v>469</v>
      </c>
      <c r="B112" s="7" t="s">
        <v>470</v>
      </c>
      <c r="C112" s="561">
        <f t="shared" si="5"/>
        <v>14978295</v>
      </c>
      <c r="D112" s="289">
        <f>15000000-21705</f>
        <v>14978295</v>
      </c>
      <c r="E112" s="200"/>
      <c r="F112" s="287"/>
      <c r="H112" s="557">
        <f>'1.2.sz.mell. '!C112+'1.3.sz.mell.'!C112+'1.4.sz.mell. '!C112</f>
        <v>14978295</v>
      </c>
      <c r="I112" s="558">
        <f t="shared" si="4"/>
        <v>0</v>
      </c>
    </row>
    <row r="113" spans="1:9" ht="12" customHeight="1" thickBot="1" x14ac:dyDescent="0.3">
      <c r="A113" s="17" t="s">
        <v>471</v>
      </c>
      <c r="B113" s="274" t="s">
        <v>472</v>
      </c>
      <c r="C113" s="705">
        <f t="shared" si="5"/>
        <v>65846522</v>
      </c>
      <c r="D113" s="356">
        <v>65846522</v>
      </c>
      <c r="E113" s="303"/>
      <c r="F113" s="301"/>
      <c r="H113" s="559">
        <f>'1.2.sz.mell. '!C113+'1.3.sz.mell.'!C113+'1.4.sz.mell. '!C113</f>
        <v>65846522</v>
      </c>
      <c r="I113" s="560">
        <f t="shared" si="4"/>
        <v>0</v>
      </c>
    </row>
    <row r="114" spans="1:9" ht="12" customHeight="1" thickBot="1" x14ac:dyDescent="0.3">
      <c r="A114" s="275" t="s">
        <v>23</v>
      </c>
      <c r="B114" s="703" t="s">
        <v>307</v>
      </c>
      <c r="C114" s="707">
        <f t="shared" si="5"/>
        <v>554943286</v>
      </c>
      <c r="D114" s="307">
        <f>+D115+D117+D119</f>
        <v>529019194</v>
      </c>
      <c r="E114" s="130">
        <f>+E115+E117+E119</f>
        <v>4919980</v>
      </c>
      <c r="F114" s="277">
        <f>+F115+F117+F119</f>
        <v>21004112</v>
      </c>
      <c r="H114" s="554">
        <f>'1.2.sz.mell. '!C114+'1.3.sz.mell.'!C114+'1.4.sz.mell. '!C114</f>
        <v>554943286</v>
      </c>
      <c r="I114" s="554">
        <f t="shared" si="4"/>
        <v>0</v>
      </c>
    </row>
    <row r="115" spans="1:9" ht="12" customHeight="1" x14ac:dyDescent="0.25">
      <c r="A115" s="14" t="s">
        <v>106</v>
      </c>
      <c r="B115" s="7" t="s">
        <v>170</v>
      </c>
      <c r="C115" s="561">
        <f t="shared" si="5"/>
        <v>306421603</v>
      </c>
      <c r="D115" s="313">
        <f>359410+2345001+219008101+12873483+381000+1500000+3139585+33894811+377190+2338070+4950460-60000</f>
        <v>281107111</v>
      </c>
      <c r="E115" s="249">
        <v>4919980</v>
      </c>
      <c r="F115" s="302">
        <v>20394512</v>
      </c>
      <c r="H115" s="555">
        <f>'1.2.sz.mell. '!C115+'1.3.sz.mell.'!C115+'1.4.sz.mell. '!C115</f>
        <v>306421603</v>
      </c>
      <c r="I115" s="556">
        <f t="shared" si="4"/>
        <v>0</v>
      </c>
    </row>
    <row r="116" spans="1:9" ht="12" customHeight="1" x14ac:dyDescent="0.25">
      <c r="A116" s="14" t="s">
        <v>107</v>
      </c>
      <c r="B116" s="11" t="s">
        <v>311</v>
      </c>
      <c r="C116" s="561">
        <f t="shared" si="5"/>
        <v>266452313</v>
      </c>
      <c r="D116" s="701">
        <f>12873483+33259811+218246101</f>
        <v>264379395</v>
      </c>
      <c r="E116" s="249"/>
      <c r="F116" s="302">
        <v>2072918</v>
      </c>
      <c r="H116" s="557">
        <f>'1.2.sz.mell. '!C116+'1.3.sz.mell.'!C116+'1.4.sz.mell. '!C116</f>
        <v>266452313</v>
      </c>
      <c r="I116" s="558">
        <f t="shared" si="4"/>
        <v>0</v>
      </c>
    </row>
    <row r="117" spans="1:9" ht="12" customHeight="1" x14ac:dyDescent="0.25">
      <c r="A117" s="14" t="s">
        <v>108</v>
      </c>
      <c r="B117" s="11" t="s">
        <v>151</v>
      </c>
      <c r="C117" s="699">
        <f t="shared" si="5"/>
        <v>182810962</v>
      </c>
      <c r="D117" s="285">
        <f>180701362+1500000</f>
        <v>182201362</v>
      </c>
      <c r="E117" s="134"/>
      <c r="F117" s="287">
        <v>609600</v>
      </c>
      <c r="H117" s="557">
        <f>'1.2.sz.mell. '!C117+'1.3.sz.mell.'!C117+'1.4.sz.mell. '!C117</f>
        <v>182810962</v>
      </c>
      <c r="I117" s="558">
        <f t="shared" si="4"/>
        <v>0</v>
      </c>
    </row>
    <row r="118" spans="1:9" ht="12" customHeight="1" x14ac:dyDescent="0.25">
      <c r="A118" s="14" t="s">
        <v>109</v>
      </c>
      <c r="B118" s="11" t="s">
        <v>312</v>
      </c>
      <c r="C118" s="561">
        <f t="shared" si="5"/>
        <v>146098020</v>
      </c>
      <c r="D118" s="700">
        <v>146098020</v>
      </c>
      <c r="E118" s="297"/>
      <c r="F118" s="285"/>
      <c r="H118" s="557">
        <f>'1.2.sz.mell. '!C118+'1.3.sz.mell.'!C118+'1.4.sz.mell. '!C118</f>
        <v>146098020</v>
      </c>
      <c r="I118" s="558">
        <f t="shared" si="4"/>
        <v>0</v>
      </c>
    </row>
    <row r="119" spans="1:9" ht="12" customHeight="1" x14ac:dyDescent="0.25">
      <c r="A119" s="14" t="s">
        <v>110</v>
      </c>
      <c r="B119" s="127" t="s">
        <v>172</v>
      </c>
      <c r="C119" s="699">
        <f t="shared" si="5"/>
        <v>65710721</v>
      </c>
      <c r="D119" s="285">
        <v>65710721</v>
      </c>
      <c r="E119" s="285"/>
      <c r="F119" s="285"/>
      <c r="H119" s="557">
        <f>'1.2.sz.mell. '!C119+'1.3.sz.mell.'!C119+'1.4.sz.mell. '!C119</f>
        <v>65710721</v>
      </c>
      <c r="I119" s="558">
        <f t="shared" si="4"/>
        <v>0</v>
      </c>
    </row>
    <row r="120" spans="1:9" ht="12" customHeight="1" x14ac:dyDescent="0.25">
      <c r="A120" s="14" t="s">
        <v>119</v>
      </c>
      <c r="B120" s="126" t="s">
        <v>374</v>
      </c>
      <c r="C120" s="561">
        <f t="shared" si="5"/>
        <v>0</v>
      </c>
      <c r="D120" s="115"/>
      <c r="E120" s="115"/>
      <c r="F120" s="285"/>
      <c r="H120" s="557">
        <f>'1.2.sz.mell. '!C120+'1.3.sz.mell.'!C120+'1.4.sz.mell. '!C120</f>
        <v>0</v>
      </c>
      <c r="I120" s="558">
        <f t="shared" si="4"/>
        <v>0</v>
      </c>
    </row>
    <row r="121" spans="1:9" ht="12" customHeight="1" x14ac:dyDescent="0.25">
      <c r="A121" s="14" t="s">
        <v>121</v>
      </c>
      <c r="B121" s="207" t="s">
        <v>317</v>
      </c>
      <c r="C121" s="561">
        <f t="shared" si="5"/>
        <v>0</v>
      </c>
      <c r="D121" s="115"/>
      <c r="E121" s="115"/>
      <c r="F121" s="285"/>
      <c r="H121" s="557">
        <f>'1.2.sz.mell. '!C121+'1.3.sz.mell.'!C121+'1.4.sz.mell. '!C121</f>
        <v>0</v>
      </c>
      <c r="I121" s="558">
        <f t="shared" si="4"/>
        <v>0</v>
      </c>
    </row>
    <row r="122" spans="1:9" x14ac:dyDescent="0.25">
      <c r="A122" s="14" t="s">
        <v>152</v>
      </c>
      <c r="B122" s="73" t="s">
        <v>300</v>
      </c>
      <c r="C122" s="561">
        <f t="shared" si="5"/>
        <v>0</v>
      </c>
      <c r="D122" s="115"/>
      <c r="E122" s="115"/>
      <c r="F122" s="285"/>
      <c r="H122" s="557">
        <f>'1.2.sz.mell. '!C122+'1.3.sz.mell.'!C122+'1.4.sz.mell. '!C122</f>
        <v>0</v>
      </c>
      <c r="I122" s="558">
        <f t="shared" si="4"/>
        <v>0</v>
      </c>
    </row>
    <row r="123" spans="1:9" ht="12" customHeight="1" x14ac:dyDescent="0.25">
      <c r="A123" s="14" t="s">
        <v>153</v>
      </c>
      <c r="B123" s="73" t="s">
        <v>316</v>
      </c>
      <c r="C123" s="561">
        <f t="shared" si="5"/>
        <v>0</v>
      </c>
      <c r="D123" s="115"/>
      <c r="E123" s="115"/>
      <c r="F123" s="285"/>
      <c r="H123" s="557">
        <f>'1.2.sz.mell. '!C123+'1.3.sz.mell.'!C123+'1.4.sz.mell. '!C123</f>
        <v>0</v>
      </c>
      <c r="I123" s="558">
        <f t="shared" si="4"/>
        <v>0</v>
      </c>
    </row>
    <row r="124" spans="1:9" ht="12" customHeight="1" x14ac:dyDescent="0.25">
      <c r="A124" s="14" t="s">
        <v>154</v>
      </c>
      <c r="B124" s="73" t="s">
        <v>315</v>
      </c>
      <c r="C124" s="561">
        <f t="shared" si="5"/>
        <v>0</v>
      </c>
      <c r="D124" s="115"/>
      <c r="E124" s="115"/>
      <c r="F124" s="285"/>
      <c r="H124" s="557">
        <f>'1.2.sz.mell. '!C124+'1.3.sz.mell.'!C124+'1.4.sz.mell. '!C124</f>
        <v>0</v>
      </c>
      <c r="I124" s="558">
        <f t="shared" si="4"/>
        <v>0</v>
      </c>
    </row>
    <row r="125" spans="1:9" ht="12" customHeight="1" x14ac:dyDescent="0.25">
      <c r="A125" s="14" t="s">
        <v>308</v>
      </c>
      <c r="B125" s="73" t="s">
        <v>303</v>
      </c>
      <c r="C125" s="561">
        <f t="shared" si="5"/>
        <v>0</v>
      </c>
      <c r="D125" s="115"/>
      <c r="E125" s="115"/>
      <c r="F125" s="285"/>
      <c r="H125" s="557">
        <f>'1.2.sz.mell. '!C125+'1.3.sz.mell.'!C125+'1.4.sz.mell. '!C125</f>
        <v>0</v>
      </c>
      <c r="I125" s="558">
        <f t="shared" si="4"/>
        <v>0</v>
      </c>
    </row>
    <row r="126" spans="1:9" ht="12" customHeight="1" x14ac:dyDescent="0.25">
      <c r="A126" s="14" t="s">
        <v>309</v>
      </c>
      <c r="B126" s="73" t="s">
        <v>314</v>
      </c>
      <c r="C126" s="561">
        <f t="shared" si="5"/>
        <v>0</v>
      </c>
      <c r="D126" s="115"/>
      <c r="E126" s="115"/>
      <c r="F126" s="285"/>
      <c r="H126" s="557">
        <f>'1.2.sz.mell. '!C126+'1.3.sz.mell.'!C126+'1.4.sz.mell. '!C126</f>
        <v>0</v>
      </c>
      <c r="I126" s="558">
        <f t="shared" si="4"/>
        <v>0</v>
      </c>
    </row>
    <row r="127" spans="1:9" ht="16.5" thickBot="1" x14ac:dyDescent="0.3">
      <c r="A127" s="12" t="s">
        <v>310</v>
      </c>
      <c r="B127" s="73" t="s">
        <v>313</v>
      </c>
      <c r="C127" s="705">
        <f t="shared" si="5"/>
        <v>65710721</v>
      </c>
      <c r="D127" s="289">
        <v>65710721</v>
      </c>
      <c r="E127" s="289"/>
      <c r="F127" s="289"/>
      <c r="H127" s="559">
        <f>'1.2.sz.mell. '!C127+'1.3.sz.mell.'!C127+'1.4.sz.mell. '!C127</f>
        <v>65710721</v>
      </c>
      <c r="I127" s="560">
        <f t="shared" si="4"/>
        <v>0</v>
      </c>
    </row>
    <row r="128" spans="1:9" ht="12" customHeight="1" thickBot="1" x14ac:dyDescent="0.3">
      <c r="A128" s="19" t="s">
        <v>24</v>
      </c>
      <c r="B128" s="704" t="s">
        <v>473</v>
      </c>
      <c r="C128" s="707">
        <f t="shared" si="5"/>
        <v>2974657596</v>
      </c>
      <c r="D128" s="307">
        <f>+D93+D114</f>
        <v>1213149767</v>
      </c>
      <c r="E128" s="130">
        <f>+E93+E114</f>
        <v>244267775</v>
      </c>
      <c r="F128" s="130">
        <f>+F93+F114</f>
        <v>1517240054</v>
      </c>
      <c r="H128" s="554">
        <f>'1.2.sz.mell. '!C128+'1.3.sz.mell.'!C128+'1.4.sz.mell. '!C128</f>
        <v>2974657596</v>
      </c>
      <c r="I128" s="554">
        <f t="shared" si="4"/>
        <v>0</v>
      </c>
    </row>
    <row r="129" spans="1:9" ht="12" customHeight="1" thickBot="1" x14ac:dyDescent="0.3">
      <c r="A129" s="19" t="s">
        <v>25</v>
      </c>
      <c r="B129" s="704" t="s">
        <v>474</v>
      </c>
      <c r="C129" s="707">
        <f t="shared" si="5"/>
        <v>108486704</v>
      </c>
      <c r="D129" s="307">
        <f>+D130+D131+D132</f>
        <v>108486704</v>
      </c>
      <c r="E129" s="130">
        <f>+E130+E131+E132</f>
        <v>0</v>
      </c>
      <c r="F129" s="130">
        <f>+F130+F131+F132</f>
        <v>0</v>
      </c>
      <c r="H129" s="554">
        <f>'1.2.sz.mell. '!C129+'1.3.sz.mell.'!C129+'1.4.sz.mell. '!C129</f>
        <v>108486704</v>
      </c>
      <c r="I129" s="554">
        <f t="shared" si="4"/>
        <v>0</v>
      </c>
    </row>
    <row r="130" spans="1:9" ht="12" customHeight="1" x14ac:dyDescent="0.25">
      <c r="A130" s="14" t="s">
        <v>208</v>
      </c>
      <c r="B130" s="11" t="s">
        <v>475</v>
      </c>
      <c r="C130" s="699">
        <f t="shared" si="5"/>
        <v>8486704</v>
      </c>
      <c r="D130" s="285">
        <f>4042704+4444000</f>
        <v>8486704</v>
      </c>
      <c r="E130" s="285"/>
      <c r="F130" s="285"/>
      <c r="H130" s="555">
        <f>'1.2.sz.mell. '!C130+'1.3.sz.mell.'!C130+'1.4.sz.mell. '!C130</f>
        <v>8486704</v>
      </c>
      <c r="I130" s="556">
        <f t="shared" si="4"/>
        <v>0</v>
      </c>
    </row>
    <row r="131" spans="1:9" ht="12" customHeight="1" x14ac:dyDescent="0.25">
      <c r="A131" s="14" t="s">
        <v>211</v>
      </c>
      <c r="B131" s="11" t="s">
        <v>476</v>
      </c>
      <c r="C131" s="699">
        <f t="shared" si="5"/>
        <v>100000000</v>
      </c>
      <c r="D131" s="115">
        <v>100000000</v>
      </c>
      <c r="E131" s="115"/>
      <c r="F131" s="115"/>
      <c r="H131" s="557">
        <f>'1.2.sz.mell. '!C131+'1.3.sz.mell.'!C131+'1.4.sz.mell. '!C131</f>
        <v>100000000</v>
      </c>
      <c r="I131" s="558">
        <f t="shared" si="4"/>
        <v>0</v>
      </c>
    </row>
    <row r="132" spans="1:9" ht="12" customHeight="1" thickBot="1" x14ac:dyDescent="0.3">
      <c r="A132" s="12" t="s">
        <v>212</v>
      </c>
      <c r="B132" s="11" t="s">
        <v>477</v>
      </c>
      <c r="C132" s="706">
        <f t="shared" si="5"/>
        <v>0</v>
      </c>
      <c r="D132" s="115"/>
      <c r="E132" s="115"/>
      <c r="F132" s="115"/>
      <c r="H132" s="559">
        <f>'1.2.sz.mell. '!C132+'1.3.sz.mell.'!C132+'1.4.sz.mell. '!C132</f>
        <v>0</v>
      </c>
      <c r="I132" s="560">
        <f t="shared" si="4"/>
        <v>0</v>
      </c>
    </row>
    <row r="133" spans="1:9" ht="12" customHeight="1" thickBot="1" x14ac:dyDescent="0.3">
      <c r="A133" s="19" t="s">
        <v>26</v>
      </c>
      <c r="B133" s="704" t="s">
        <v>478</v>
      </c>
      <c r="C133" s="707">
        <f t="shared" si="5"/>
        <v>0</v>
      </c>
      <c r="D133" s="307">
        <f>+D134+D135+D136+D137+D138+D139</f>
        <v>0</v>
      </c>
      <c r="E133" s="130">
        <f>+E134+E135+E136+E137+E138+E139</f>
        <v>0</v>
      </c>
      <c r="F133" s="130">
        <f>SUM(F134:F139)</f>
        <v>0</v>
      </c>
      <c r="H133" s="554">
        <f>'1.2.sz.mell. '!C133+'1.3.sz.mell.'!C133+'1.4.sz.mell. '!C133</f>
        <v>0</v>
      </c>
      <c r="I133" s="554">
        <f t="shared" si="4"/>
        <v>0</v>
      </c>
    </row>
    <row r="134" spans="1:9" ht="12" customHeight="1" x14ac:dyDescent="0.25">
      <c r="A134" s="14" t="s">
        <v>93</v>
      </c>
      <c r="B134" s="8" t="s">
        <v>479</v>
      </c>
      <c r="C134" s="702">
        <f t="shared" si="5"/>
        <v>0</v>
      </c>
      <c r="D134" s="115"/>
      <c r="E134" s="115"/>
      <c r="F134" s="115"/>
      <c r="H134" s="555">
        <f>'1.2.sz.mell. '!C134+'1.3.sz.mell.'!C134+'1.4.sz.mell. '!C134</f>
        <v>0</v>
      </c>
      <c r="I134" s="556">
        <f t="shared" si="4"/>
        <v>0</v>
      </c>
    </row>
    <row r="135" spans="1:9" ht="12" customHeight="1" x14ac:dyDescent="0.25">
      <c r="A135" s="14" t="s">
        <v>94</v>
      </c>
      <c r="B135" s="8" t="s">
        <v>480</v>
      </c>
      <c r="C135" s="702">
        <f t="shared" si="5"/>
        <v>0</v>
      </c>
      <c r="D135" s="115"/>
      <c r="E135" s="115"/>
      <c r="F135" s="115"/>
      <c r="H135" s="557">
        <f>'1.2.sz.mell. '!C135+'1.3.sz.mell.'!C135+'1.4.sz.mell. '!C135</f>
        <v>0</v>
      </c>
      <c r="I135" s="558">
        <f t="shared" si="4"/>
        <v>0</v>
      </c>
    </row>
    <row r="136" spans="1:9" ht="12" customHeight="1" x14ac:dyDescent="0.25">
      <c r="A136" s="14" t="s">
        <v>95</v>
      </c>
      <c r="B136" s="8" t="s">
        <v>481</v>
      </c>
      <c r="C136" s="702">
        <f t="shared" si="5"/>
        <v>0</v>
      </c>
      <c r="D136" s="115"/>
      <c r="E136" s="115"/>
      <c r="F136" s="115"/>
      <c r="H136" s="557">
        <f>'1.2.sz.mell. '!C136+'1.3.sz.mell.'!C136+'1.4.sz.mell. '!C136</f>
        <v>0</v>
      </c>
      <c r="I136" s="558">
        <f t="shared" si="4"/>
        <v>0</v>
      </c>
    </row>
    <row r="137" spans="1:9" ht="12" customHeight="1" x14ac:dyDescent="0.25">
      <c r="A137" s="14" t="s">
        <v>139</v>
      </c>
      <c r="B137" s="8" t="s">
        <v>482</v>
      </c>
      <c r="C137" s="702">
        <f t="shared" si="5"/>
        <v>0</v>
      </c>
      <c r="D137" s="115"/>
      <c r="E137" s="115"/>
      <c r="F137" s="115"/>
      <c r="H137" s="557">
        <f>'1.2.sz.mell. '!C137+'1.3.sz.mell.'!C137+'1.4.sz.mell. '!C137</f>
        <v>0</v>
      </c>
      <c r="I137" s="558">
        <f t="shared" si="4"/>
        <v>0</v>
      </c>
    </row>
    <row r="138" spans="1:9" ht="12" customHeight="1" x14ac:dyDescent="0.25">
      <c r="A138" s="14" t="s">
        <v>140</v>
      </c>
      <c r="B138" s="8" t="s">
        <v>483</v>
      </c>
      <c r="C138" s="702">
        <f t="shared" si="5"/>
        <v>0</v>
      </c>
      <c r="D138" s="115"/>
      <c r="E138" s="115"/>
      <c r="F138" s="115"/>
      <c r="H138" s="557">
        <f>'1.2.sz.mell. '!C138+'1.3.sz.mell.'!C138+'1.4.sz.mell. '!C138</f>
        <v>0</v>
      </c>
      <c r="I138" s="558">
        <f t="shared" si="4"/>
        <v>0</v>
      </c>
    </row>
    <row r="139" spans="1:9" ht="12" customHeight="1" thickBot="1" x14ac:dyDescent="0.3">
      <c r="A139" s="12" t="s">
        <v>141</v>
      </c>
      <c r="B139" s="8" t="s">
        <v>484</v>
      </c>
      <c r="C139" s="706">
        <f t="shared" si="5"/>
        <v>0</v>
      </c>
      <c r="D139" s="115"/>
      <c r="E139" s="115"/>
      <c r="F139" s="115"/>
      <c r="H139" s="559">
        <f>'1.2.sz.mell. '!C139+'1.3.sz.mell.'!C139+'1.4.sz.mell. '!C139</f>
        <v>0</v>
      </c>
      <c r="I139" s="560">
        <f t="shared" si="4"/>
        <v>0</v>
      </c>
    </row>
    <row r="140" spans="1:9" ht="12" customHeight="1" thickBot="1" x14ac:dyDescent="0.3">
      <c r="A140" s="19" t="s">
        <v>27</v>
      </c>
      <c r="B140" s="704" t="s">
        <v>485</v>
      </c>
      <c r="C140" s="707">
        <f t="shared" si="5"/>
        <v>38167591</v>
      </c>
      <c r="D140" s="310">
        <f>+D141+D142+D143+D144</f>
        <v>38167591</v>
      </c>
      <c r="E140" s="135">
        <f>+E141+E142+E143+E144</f>
        <v>0</v>
      </c>
      <c r="F140" s="135">
        <f>+F141+F142+F143+F144</f>
        <v>0</v>
      </c>
      <c r="H140" s="554">
        <f>'1.2.sz.mell. '!C140+'1.3.sz.mell.'!C140+'1.4.sz.mell. '!C140</f>
        <v>38167591</v>
      </c>
      <c r="I140" s="554">
        <f t="shared" si="4"/>
        <v>0</v>
      </c>
    </row>
    <row r="141" spans="1:9" ht="12" customHeight="1" x14ac:dyDescent="0.25">
      <c r="A141" s="14" t="s">
        <v>96</v>
      </c>
      <c r="B141" s="8" t="s">
        <v>318</v>
      </c>
      <c r="C141" s="702">
        <f t="shared" si="5"/>
        <v>0</v>
      </c>
      <c r="D141" s="115"/>
      <c r="E141" s="115"/>
      <c r="F141" s="115"/>
      <c r="H141" s="555">
        <f>'1.2.sz.mell. '!C141+'1.3.sz.mell.'!C141+'1.4.sz.mell. '!C141</f>
        <v>0</v>
      </c>
      <c r="I141" s="556">
        <f t="shared" si="4"/>
        <v>0</v>
      </c>
    </row>
    <row r="142" spans="1:9" ht="12" customHeight="1" x14ac:dyDescent="0.25">
      <c r="A142" s="14" t="s">
        <v>97</v>
      </c>
      <c r="B142" s="8" t="s">
        <v>319</v>
      </c>
      <c r="C142" s="699">
        <f t="shared" si="5"/>
        <v>38167591</v>
      </c>
      <c r="D142" s="115">
        <v>38167591</v>
      </c>
      <c r="E142" s="115"/>
      <c r="F142" s="115"/>
      <c r="H142" s="557">
        <f>'1.2.sz.mell. '!C142+'1.3.sz.mell.'!C142+'1.4.sz.mell. '!C142</f>
        <v>38167591</v>
      </c>
      <c r="I142" s="558">
        <f t="shared" si="4"/>
        <v>0</v>
      </c>
    </row>
    <row r="143" spans="1:9" ht="12" customHeight="1" x14ac:dyDescent="0.25">
      <c r="A143" s="14" t="s">
        <v>232</v>
      </c>
      <c r="B143" s="8" t="s">
        <v>486</v>
      </c>
      <c r="C143" s="702">
        <f t="shared" si="5"/>
        <v>0</v>
      </c>
      <c r="D143" s="115"/>
      <c r="E143" s="115"/>
      <c r="F143" s="115"/>
      <c r="H143" s="557">
        <f>'1.2.sz.mell. '!C143+'1.3.sz.mell.'!C143+'1.4.sz.mell. '!C143</f>
        <v>0</v>
      </c>
      <c r="I143" s="558">
        <f t="shared" si="4"/>
        <v>0</v>
      </c>
    </row>
    <row r="144" spans="1:9" ht="12" customHeight="1" thickBot="1" x14ac:dyDescent="0.3">
      <c r="A144" s="12" t="s">
        <v>233</v>
      </c>
      <c r="B144" s="6" t="s">
        <v>337</v>
      </c>
      <c r="C144" s="706">
        <f t="shared" si="5"/>
        <v>0</v>
      </c>
      <c r="D144" s="115"/>
      <c r="E144" s="115"/>
      <c r="F144" s="115"/>
      <c r="H144" s="559">
        <f>'1.2.sz.mell. '!C144+'1.3.sz.mell.'!C144+'1.4.sz.mell. '!C144</f>
        <v>0</v>
      </c>
      <c r="I144" s="560">
        <f t="shared" si="4"/>
        <v>0</v>
      </c>
    </row>
    <row r="145" spans="1:9" ht="12" customHeight="1" thickBot="1" x14ac:dyDescent="0.3">
      <c r="A145" s="19" t="s">
        <v>28</v>
      </c>
      <c r="B145" s="704" t="s">
        <v>487</v>
      </c>
      <c r="C145" s="707">
        <f t="shared" si="5"/>
        <v>0</v>
      </c>
      <c r="D145" s="319">
        <f>+D146+D147+D148+D149+D150</f>
        <v>0</v>
      </c>
      <c r="E145" s="138">
        <f>+E146+E147+E148+E149+E150</f>
        <v>0</v>
      </c>
      <c r="F145" s="138">
        <f>SUM(F146:F150)</f>
        <v>0</v>
      </c>
      <c r="H145" s="554">
        <f>'1.2.sz.mell. '!C145+'1.3.sz.mell.'!C145+'1.4.sz.mell. '!C145</f>
        <v>0</v>
      </c>
      <c r="I145" s="554">
        <f t="shared" si="4"/>
        <v>0</v>
      </c>
    </row>
    <row r="146" spans="1:9" ht="12" customHeight="1" x14ac:dyDescent="0.25">
      <c r="A146" s="14" t="s">
        <v>98</v>
      </c>
      <c r="B146" s="8" t="s">
        <v>488</v>
      </c>
      <c r="C146" s="702">
        <f t="shared" si="5"/>
        <v>0</v>
      </c>
      <c r="D146" s="115"/>
      <c r="E146" s="115"/>
      <c r="F146" s="115"/>
      <c r="H146" s="555">
        <f>'1.2.sz.mell. '!C146+'1.3.sz.mell.'!C146+'1.4.sz.mell. '!C146</f>
        <v>0</v>
      </c>
      <c r="I146" s="556">
        <f t="shared" si="4"/>
        <v>0</v>
      </c>
    </row>
    <row r="147" spans="1:9" ht="12" customHeight="1" x14ac:dyDescent="0.25">
      <c r="A147" s="14" t="s">
        <v>99</v>
      </c>
      <c r="B147" s="8" t="s">
        <v>489</v>
      </c>
      <c r="C147" s="702">
        <f t="shared" si="5"/>
        <v>0</v>
      </c>
      <c r="D147" s="115"/>
      <c r="E147" s="115"/>
      <c r="F147" s="115"/>
      <c r="H147" s="557">
        <f>'1.2.sz.mell. '!C147+'1.3.sz.mell.'!C147+'1.4.sz.mell. '!C147</f>
        <v>0</v>
      </c>
      <c r="I147" s="558">
        <f t="shared" si="4"/>
        <v>0</v>
      </c>
    </row>
    <row r="148" spans="1:9" ht="12" customHeight="1" x14ac:dyDescent="0.25">
      <c r="A148" s="14" t="s">
        <v>244</v>
      </c>
      <c r="B148" s="8" t="s">
        <v>490</v>
      </c>
      <c r="C148" s="702">
        <f t="shared" si="5"/>
        <v>0</v>
      </c>
      <c r="D148" s="115"/>
      <c r="E148" s="115"/>
      <c r="F148" s="115"/>
      <c r="H148" s="557">
        <f>'1.2.sz.mell. '!C148+'1.3.sz.mell.'!C148+'1.4.sz.mell. '!C148</f>
        <v>0</v>
      </c>
      <c r="I148" s="558">
        <f t="shared" si="4"/>
        <v>0</v>
      </c>
    </row>
    <row r="149" spans="1:9" ht="12" customHeight="1" x14ac:dyDescent="0.25">
      <c r="A149" s="14" t="s">
        <v>245</v>
      </c>
      <c r="B149" s="8" t="s">
        <v>491</v>
      </c>
      <c r="C149" s="702">
        <f t="shared" si="5"/>
        <v>0</v>
      </c>
      <c r="D149" s="115"/>
      <c r="E149" s="115"/>
      <c r="F149" s="115"/>
      <c r="H149" s="557">
        <f>'1.2.sz.mell. '!C149+'1.3.sz.mell.'!C149+'1.4.sz.mell. '!C149</f>
        <v>0</v>
      </c>
      <c r="I149" s="558">
        <f t="shared" si="4"/>
        <v>0</v>
      </c>
    </row>
    <row r="150" spans="1:9" ht="12" customHeight="1" thickBot="1" x14ac:dyDescent="0.3">
      <c r="A150" s="14" t="s">
        <v>492</v>
      </c>
      <c r="B150" s="8" t="s">
        <v>493</v>
      </c>
      <c r="C150" s="706">
        <f t="shared" si="5"/>
        <v>0</v>
      </c>
      <c r="D150" s="116"/>
      <c r="E150" s="116"/>
      <c r="F150" s="115"/>
      <c r="H150" s="559">
        <f>'1.2.sz.mell. '!C150+'1.3.sz.mell.'!C150+'1.4.sz.mell. '!C150</f>
        <v>0</v>
      </c>
      <c r="I150" s="560">
        <f t="shared" si="4"/>
        <v>0</v>
      </c>
    </row>
    <row r="151" spans="1:9" ht="12" customHeight="1" thickBot="1" x14ac:dyDescent="0.3">
      <c r="A151" s="19" t="s">
        <v>29</v>
      </c>
      <c r="B151" s="704" t="s">
        <v>494</v>
      </c>
      <c r="C151" s="707">
        <f t="shared" si="5"/>
        <v>0</v>
      </c>
      <c r="D151" s="319"/>
      <c r="E151" s="138"/>
      <c r="F151" s="278"/>
      <c r="H151" s="554">
        <f>'1.2.sz.mell. '!C151+'1.3.sz.mell.'!C151+'1.4.sz.mell. '!C151</f>
        <v>0</v>
      </c>
      <c r="I151" s="554">
        <f t="shared" si="4"/>
        <v>0</v>
      </c>
    </row>
    <row r="152" spans="1:9" ht="12" customHeight="1" thickBot="1" x14ac:dyDescent="0.3">
      <c r="A152" s="19" t="s">
        <v>30</v>
      </c>
      <c r="B152" s="704" t="s">
        <v>495</v>
      </c>
      <c r="C152" s="707">
        <f t="shared" si="5"/>
        <v>0</v>
      </c>
      <c r="D152" s="319"/>
      <c r="E152" s="138"/>
      <c r="F152" s="278"/>
      <c r="H152" s="554">
        <f>'1.2.sz.mell. '!C152+'1.3.sz.mell.'!C152+'1.4.sz.mell. '!C152</f>
        <v>0</v>
      </c>
      <c r="I152" s="554">
        <f t="shared" si="4"/>
        <v>0</v>
      </c>
    </row>
    <row r="153" spans="1:9" ht="15" customHeight="1" thickBot="1" x14ac:dyDescent="0.3">
      <c r="A153" s="19" t="s">
        <v>31</v>
      </c>
      <c r="B153" s="704" t="s">
        <v>496</v>
      </c>
      <c r="C153" s="707">
        <f t="shared" si="5"/>
        <v>146654295</v>
      </c>
      <c r="D153" s="320">
        <f>+D129+D133+D140+D145+D151+D152</f>
        <v>146654295</v>
      </c>
      <c r="E153" s="221">
        <f>+E129+E133+E140+E145+E151+E152</f>
        <v>0</v>
      </c>
      <c r="F153" s="221">
        <f>+F129+F133+F140+F145+F151+F152</f>
        <v>0</v>
      </c>
      <c r="G153" s="222"/>
      <c r="H153" s="554">
        <f>'1.2.sz.mell. '!C153+'1.3.sz.mell.'!C153+'1.4.sz.mell. '!C153</f>
        <v>146654295</v>
      </c>
      <c r="I153" s="554">
        <f t="shared" si="4"/>
        <v>0</v>
      </c>
    </row>
    <row r="154" spans="1:9" s="210" customFormat="1" ht="12.95" customHeight="1" thickBot="1" x14ac:dyDescent="0.25">
      <c r="A154" s="128" t="s">
        <v>32</v>
      </c>
      <c r="B154" s="708" t="s">
        <v>497</v>
      </c>
      <c r="C154" s="707">
        <f t="shared" si="5"/>
        <v>3121311891</v>
      </c>
      <c r="D154" s="320">
        <f>+D128+D153</f>
        <v>1359804062</v>
      </c>
      <c r="E154" s="221">
        <f>+E128+E153</f>
        <v>244267775</v>
      </c>
      <c r="F154" s="221">
        <f>+F128+F153</f>
        <v>1517240054</v>
      </c>
      <c r="H154" s="554">
        <f>'1.2.sz.mell. '!C154+'1.3.sz.mell.'!C154+'1.4.sz.mell. '!C154</f>
        <v>3121311891</v>
      </c>
      <c r="I154" s="554">
        <f t="shared" si="4"/>
        <v>0</v>
      </c>
    </row>
    <row r="155" spans="1:9" ht="7.5" customHeight="1" x14ac:dyDescent="0.25">
      <c r="C155" s="198"/>
    </row>
    <row r="156" spans="1:9" x14ac:dyDescent="0.25">
      <c r="A156" s="942" t="s">
        <v>320</v>
      </c>
      <c r="B156" s="942"/>
      <c r="C156" s="942"/>
    </row>
    <row r="157" spans="1:9" ht="15" customHeight="1" thickBot="1" x14ac:dyDescent="0.3">
      <c r="A157" s="939" t="s">
        <v>129</v>
      </c>
      <c r="B157" s="939"/>
      <c r="C157" s="139" t="s">
        <v>571</v>
      </c>
    </row>
    <row r="158" spans="1:9" ht="13.5" customHeight="1" thickBot="1" x14ac:dyDescent="0.3">
      <c r="A158" s="19">
        <v>1</v>
      </c>
      <c r="B158" s="24" t="s">
        <v>498</v>
      </c>
      <c r="C158" s="130">
        <f>+C62-C128</f>
        <v>-642053992</v>
      </c>
    </row>
    <row r="159" spans="1:9" ht="27.75" customHeight="1" thickBot="1" x14ac:dyDescent="0.3">
      <c r="A159" s="19" t="s">
        <v>23</v>
      </c>
      <c r="B159" s="24" t="s">
        <v>499</v>
      </c>
      <c r="C159" s="130">
        <f>+C86-C153</f>
        <v>642053992</v>
      </c>
      <c r="H159" s="552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4/2018.(III.29.)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582" customWidth="1"/>
    <col min="2" max="2" width="72" style="583" customWidth="1"/>
    <col min="3" max="3" width="25" style="584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88"/>
      <c r="B1" s="90"/>
      <c r="C1" s="113"/>
    </row>
    <row r="2" spans="1:3" s="46" customFormat="1" ht="21" customHeight="1" x14ac:dyDescent="0.2">
      <c r="A2" s="201" t="s">
        <v>65</v>
      </c>
      <c r="B2" s="179" t="s">
        <v>167</v>
      </c>
      <c r="C2" s="181" t="s">
        <v>56</v>
      </c>
    </row>
    <row r="3" spans="1:3" s="46" customFormat="1" ht="16.5" thickBot="1" x14ac:dyDescent="0.25">
      <c r="A3" s="91" t="s">
        <v>162</v>
      </c>
      <c r="B3" s="180" t="s">
        <v>375</v>
      </c>
      <c r="C3" s="281" t="s">
        <v>63</v>
      </c>
    </row>
    <row r="4" spans="1:3" s="47" customFormat="1" ht="15.95" customHeight="1" thickBot="1" x14ac:dyDescent="0.3">
      <c r="A4" s="92"/>
      <c r="B4" s="92"/>
      <c r="C4" s="93" t="s">
        <v>572</v>
      </c>
    </row>
    <row r="5" spans="1:3" ht="13.5" thickBot="1" x14ac:dyDescent="0.25">
      <c r="A5" s="202" t="s">
        <v>164</v>
      </c>
      <c r="B5" s="94" t="s">
        <v>57</v>
      </c>
      <c r="C5" s="182" t="s">
        <v>58</v>
      </c>
    </row>
    <row r="6" spans="1:3" s="40" customFormat="1" ht="12.95" customHeight="1" thickBot="1" x14ac:dyDescent="0.25">
      <c r="A6" s="84" t="s">
        <v>446</v>
      </c>
      <c r="B6" s="85" t="s">
        <v>447</v>
      </c>
      <c r="C6" s="86" t="s">
        <v>448</v>
      </c>
    </row>
    <row r="7" spans="1:3" s="40" customFormat="1" ht="15.95" customHeight="1" thickBot="1" x14ac:dyDescent="0.25">
      <c r="A7" s="96"/>
      <c r="B7" s="97" t="s">
        <v>59</v>
      </c>
      <c r="C7" s="183"/>
    </row>
    <row r="8" spans="1:3" s="40" customFormat="1" ht="12" customHeight="1" thickBot="1" x14ac:dyDescent="0.25">
      <c r="A8" s="26" t="s">
        <v>22</v>
      </c>
      <c r="B8" s="20" t="s">
        <v>192</v>
      </c>
      <c r="C8" s="130">
        <f>+C9+C10+C11+C12+C13+C14</f>
        <v>1123062255</v>
      </c>
    </row>
    <row r="9" spans="1:3" s="48" customFormat="1" ht="12" customHeight="1" x14ac:dyDescent="0.2">
      <c r="A9" s="225" t="s">
        <v>100</v>
      </c>
      <c r="B9" s="211" t="s">
        <v>193</v>
      </c>
      <c r="C9" s="313">
        <v>227855923</v>
      </c>
    </row>
    <row r="10" spans="1:3" s="49" customFormat="1" ht="12" customHeight="1" x14ac:dyDescent="0.2">
      <c r="A10" s="226" t="s">
        <v>101</v>
      </c>
      <c r="B10" s="212" t="s">
        <v>194</v>
      </c>
      <c r="C10" s="285">
        <v>224734134</v>
      </c>
    </row>
    <row r="11" spans="1:3" s="49" customFormat="1" ht="12" customHeight="1" x14ac:dyDescent="0.2">
      <c r="A11" s="226" t="s">
        <v>102</v>
      </c>
      <c r="B11" s="212" t="s">
        <v>195</v>
      </c>
      <c r="C11" s="285">
        <f>126991000+65060600+192410145+62092600</f>
        <v>446554345</v>
      </c>
    </row>
    <row r="12" spans="1:3" s="49" customFormat="1" ht="12" customHeight="1" x14ac:dyDescent="0.2">
      <c r="A12" s="226" t="s">
        <v>103</v>
      </c>
      <c r="B12" s="212" t="s">
        <v>196</v>
      </c>
      <c r="C12" s="285">
        <v>16122040</v>
      </c>
    </row>
    <row r="13" spans="1:3" s="49" customFormat="1" ht="12" customHeight="1" x14ac:dyDescent="0.2">
      <c r="A13" s="226" t="s">
        <v>124</v>
      </c>
      <c r="B13" s="212" t="s">
        <v>510</v>
      </c>
      <c r="C13" s="926">
        <f>16254886+190231327+1309600</f>
        <v>207795813</v>
      </c>
    </row>
    <row r="14" spans="1:3" s="48" customFormat="1" ht="12" customHeight="1" thickBot="1" x14ac:dyDescent="0.25">
      <c r="A14" s="227" t="s">
        <v>104</v>
      </c>
      <c r="B14" s="213" t="s">
        <v>450</v>
      </c>
      <c r="C14" s="134"/>
    </row>
    <row r="15" spans="1:3" s="48" customFormat="1" ht="12" customHeight="1" thickBot="1" x14ac:dyDescent="0.25">
      <c r="A15" s="26" t="s">
        <v>23</v>
      </c>
      <c r="B15" s="125" t="s">
        <v>197</v>
      </c>
      <c r="C15" s="130">
        <f>+C16+C17+C18+C19+C20</f>
        <v>28570000</v>
      </c>
    </row>
    <row r="16" spans="1:3" s="48" customFormat="1" ht="12" customHeight="1" x14ac:dyDescent="0.2">
      <c r="A16" s="225" t="s">
        <v>106</v>
      </c>
      <c r="B16" s="211" t="s">
        <v>198</v>
      </c>
      <c r="C16" s="132"/>
    </row>
    <row r="17" spans="1:3" s="48" customFormat="1" ht="12" customHeight="1" x14ac:dyDescent="0.2">
      <c r="A17" s="226" t="s">
        <v>107</v>
      </c>
      <c r="B17" s="212" t="s">
        <v>199</v>
      </c>
      <c r="C17" s="131"/>
    </row>
    <row r="18" spans="1:3" s="48" customFormat="1" ht="12" customHeight="1" x14ac:dyDescent="0.2">
      <c r="A18" s="226" t="s">
        <v>108</v>
      </c>
      <c r="B18" s="212" t="s">
        <v>368</v>
      </c>
      <c r="C18" s="134"/>
    </row>
    <row r="19" spans="1:3" s="48" customFormat="1" ht="12" customHeight="1" x14ac:dyDescent="0.2">
      <c r="A19" s="226" t="s">
        <v>109</v>
      </c>
      <c r="B19" s="212" t="s">
        <v>369</v>
      </c>
      <c r="C19" s="134"/>
    </row>
    <row r="20" spans="1:3" s="48" customFormat="1" ht="12" customHeight="1" x14ac:dyDescent="0.2">
      <c r="A20" s="226" t="s">
        <v>110</v>
      </c>
      <c r="B20" s="212" t="s">
        <v>200</v>
      </c>
      <c r="C20" s="285">
        <f>4320000+24250000</f>
        <v>28570000</v>
      </c>
    </row>
    <row r="21" spans="1:3" s="49" customFormat="1" ht="12" customHeight="1" thickBot="1" x14ac:dyDescent="0.25">
      <c r="A21" s="227" t="s">
        <v>119</v>
      </c>
      <c r="B21" s="213" t="s">
        <v>201</v>
      </c>
      <c r="C21" s="200"/>
    </row>
    <row r="22" spans="1:3" s="49" customFormat="1" ht="12" customHeight="1" thickBot="1" x14ac:dyDescent="0.25">
      <c r="A22" s="26" t="s">
        <v>24</v>
      </c>
      <c r="B22" s="20" t="s">
        <v>202</v>
      </c>
      <c r="C22" s="130">
        <f>+C23+C24+C25+C26+C27</f>
        <v>13442271</v>
      </c>
    </row>
    <row r="23" spans="1:3" s="49" customFormat="1" ht="12" customHeight="1" x14ac:dyDescent="0.2">
      <c r="A23" s="225" t="s">
        <v>89</v>
      </c>
      <c r="B23" s="211" t="s">
        <v>203</v>
      </c>
      <c r="C23" s="249"/>
    </row>
    <row r="24" spans="1:3" s="48" customFormat="1" ht="12" customHeight="1" x14ac:dyDescent="0.2">
      <c r="A24" s="226" t="s">
        <v>90</v>
      </c>
      <c r="B24" s="212" t="s">
        <v>204</v>
      </c>
      <c r="C24" s="134"/>
    </row>
    <row r="25" spans="1:3" s="49" customFormat="1" ht="12" customHeight="1" x14ac:dyDescent="0.2">
      <c r="A25" s="226" t="s">
        <v>91</v>
      </c>
      <c r="B25" s="212" t="s">
        <v>370</v>
      </c>
      <c r="C25" s="134"/>
    </row>
    <row r="26" spans="1:3" s="49" customFormat="1" ht="12" customHeight="1" x14ac:dyDescent="0.2">
      <c r="A26" s="226" t="s">
        <v>92</v>
      </c>
      <c r="B26" s="212" t="s">
        <v>371</v>
      </c>
      <c r="C26" s="134"/>
    </row>
    <row r="27" spans="1:3" s="49" customFormat="1" ht="12" customHeight="1" x14ac:dyDescent="0.2">
      <c r="A27" s="226" t="s">
        <v>135</v>
      </c>
      <c r="B27" s="212" t="s">
        <v>205</v>
      </c>
      <c r="C27" s="285">
        <f>5866130+3779393+3796748</f>
        <v>13442271</v>
      </c>
    </row>
    <row r="28" spans="1:3" s="49" customFormat="1" ht="12" customHeight="1" thickBot="1" x14ac:dyDescent="0.25">
      <c r="A28" s="227" t="s">
        <v>136</v>
      </c>
      <c r="B28" s="213" t="s">
        <v>206</v>
      </c>
      <c r="C28" s="200">
        <v>13442271</v>
      </c>
    </row>
    <row r="29" spans="1:3" s="49" customFormat="1" ht="12" customHeight="1" thickBot="1" x14ac:dyDescent="0.25">
      <c r="A29" s="26" t="s">
        <v>137</v>
      </c>
      <c r="B29" s="20" t="s">
        <v>207</v>
      </c>
      <c r="C29" s="135">
        <f>+C30+C34+C35+C36</f>
        <v>352658000</v>
      </c>
    </row>
    <row r="30" spans="1:3" s="49" customFormat="1" ht="12" customHeight="1" x14ac:dyDescent="0.2">
      <c r="A30" s="225" t="s">
        <v>208</v>
      </c>
      <c r="B30" s="211" t="s">
        <v>511</v>
      </c>
      <c r="C30" s="206">
        <f>SUM(C31:C33)</f>
        <v>308654000</v>
      </c>
    </row>
    <row r="31" spans="1:3" s="49" customFormat="1" ht="12" customHeight="1" x14ac:dyDescent="0.2">
      <c r="A31" s="226" t="s">
        <v>209</v>
      </c>
      <c r="B31" s="212" t="s">
        <v>214</v>
      </c>
      <c r="C31" s="115">
        <v>77500000</v>
      </c>
    </row>
    <row r="32" spans="1:3" s="49" customFormat="1" ht="12" customHeight="1" x14ac:dyDescent="0.2">
      <c r="A32" s="226" t="s">
        <v>210</v>
      </c>
      <c r="B32" s="212" t="s">
        <v>554</v>
      </c>
      <c r="C32" s="115">
        <v>231154000</v>
      </c>
    </row>
    <row r="33" spans="1:3" s="49" customFormat="1" ht="12" customHeight="1" x14ac:dyDescent="0.2">
      <c r="A33" s="226" t="s">
        <v>452</v>
      </c>
      <c r="B33" s="212" t="s">
        <v>551</v>
      </c>
      <c r="C33" s="285"/>
    </row>
    <row r="34" spans="1:3" s="49" customFormat="1" ht="12" customHeight="1" x14ac:dyDescent="0.2">
      <c r="A34" s="226" t="s">
        <v>211</v>
      </c>
      <c r="B34" s="212" t="s">
        <v>216</v>
      </c>
      <c r="C34" s="115">
        <v>28000000</v>
      </c>
    </row>
    <row r="35" spans="1:3" s="49" customFormat="1" ht="12" customHeight="1" x14ac:dyDescent="0.2">
      <c r="A35" s="226" t="s">
        <v>212</v>
      </c>
      <c r="B35" s="212" t="s">
        <v>217</v>
      </c>
      <c r="C35" s="115">
        <v>4504000</v>
      </c>
    </row>
    <row r="36" spans="1:3" s="49" customFormat="1" ht="12" customHeight="1" thickBot="1" x14ac:dyDescent="0.25">
      <c r="A36" s="227" t="s">
        <v>213</v>
      </c>
      <c r="B36" s="213" t="s">
        <v>218</v>
      </c>
      <c r="C36" s="289">
        <v>11500000</v>
      </c>
    </row>
    <row r="37" spans="1:3" s="49" customFormat="1" ht="12" customHeight="1" thickBot="1" x14ac:dyDescent="0.25">
      <c r="A37" s="26" t="s">
        <v>26</v>
      </c>
      <c r="B37" s="20" t="s">
        <v>454</v>
      </c>
      <c r="C37" s="130">
        <f>SUM(C38:C48)</f>
        <v>24782669</v>
      </c>
    </row>
    <row r="38" spans="1:3" s="49" customFormat="1" ht="12" customHeight="1" x14ac:dyDescent="0.2">
      <c r="A38" s="225" t="s">
        <v>93</v>
      </c>
      <c r="B38" s="211" t="s">
        <v>221</v>
      </c>
      <c r="C38" s="313"/>
    </row>
    <row r="39" spans="1:3" s="49" customFormat="1" ht="12" customHeight="1" x14ac:dyDescent="0.2">
      <c r="A39" s="226" t="s">
        <v>94</v>
      </c>
      <c r="B39" s="212" t="s">
        <v>222</v>
      </c>
      <c r="C39" s="285">
        <f>13910169+100000</f>
        <v>14010169</v>
      </c>
    </row>
    <row r="40" spans="1:3" s="49" customFormat="1" ht="12" customHeight="1" x14ac:dyDescent="0.2">
      <c r="A40" s="226" t="s">
        <v>95</v>
      </c>
      <c r="B40" s="212" t="s">
        <v>223</v>
      </c>
      <c r="C40" s="285">
        <f>500000+300000+50000+1400000+947000+300000</f>
        <v>3497000</v>
      </c>
    </row>
    <row r="41" spans="1:3" s="49" customFormat="1" ht="12" customHeight="1" x14ac:dyDescent="0.2">
      <c r="A41" s="226" t="s">
        <v>139</v>
      </c>
      <c r="B41" s="212" t="s">
        <v>224</v>
      </c>
      <c r="C41" s="285">
        <v>430000</v>
      </c>
    </row>
    <row r="42" spans="1:3" s="49" customFormat="1" ht="12" customHeight="1" x14ac:dyDescent="0.2">
      <c r="A42" s="226" t="s">
        <v>140</v>
      </c>
      <c r="B42" s="212" t="s">
        <v>225</v>
      </c>
      <c r="C42" s="285"/>
    </row>
    <row r="43" spans="1:3" s="49" customFormat="1" ht="12" customHeight="1" x14ac:dyDescent="0.2">
      <c r="A43" s="226" t="s">
        <v>141</v>
      </c>
      <c r="B43" s="212" t="s">
        <v>226</v>
      </c>
      <c r="C43" s="285">
        <f>5162000+81000+13500+378000+81000</f>
        <v>5715500</v>
      </c>
    </row>
    <row r="44" spans="1:3" s="49" customFormat="1" ht="12" customHeight="1" x14ac:dyDescent="0.2">
      <c r="A44" s="226" t="s">
        <v>142</v>
      </c>
      <c r="B44" s="212" t="s">
        <v>227</v>
      </c>
      <c r="C44" s="285"/>
    </row>
    <row r="45" spans="1:3" s="49" customFormat="1" ht="12" customHeight="1" x14ac:dyDescent="0.2">
      <c r="A45" s="226" t="s">
        <v>143</v>
      </c>
      <c r="B45" s="212" t="s">
        <v>228</v>
      </c>
      <c r="C45" s="285">
        <v>30000</v>
      </c>
    </row>
    <row r="46" spans="1:3" s="49" customFormat="1" ht="12" customHeight="1" x14ac:dyDescent="0.2">
      <c r="A46" s="226" t="s">
        <v>219</v>
      </c>
      <c r="B46" s="212" t="s">
        <v>229</v>
      </c>
      <c r="C46" s="285"/>
    </row>
    <row r="47" spans="1:3" s="49" customFormat="1" ht="12" customHeight="1" x14ac:dyDescent="0.2">
      <c r="A47" s="227" t="s">
        <v>220</v>
      </c>
      <c r="B47" s="213" t="s">
        <v>455</v>
      </c>
      <c r="C47" s="289">
        <v>500000</v>
      </c>
    </row>
    <row r="48" spans="1:3" s="49" customFormat="1" ht="12" customHeight="1" thickBot="1" x14ac:dyDescent="0.25">
      <c r="A48" s="227" t="s">
        <v>456</v>
      </c>
      <c r="B48" s="213" t="s">
        <v>230</v>
      </c>
      <c r="C48" s="289">
        <v>600000</v>
      </c>
    </row>
    <row r="49" spans="1:3" s="49" customFormat="1" ht="12" customHeight="1" thickBot="1" x14ac:dyDescent="0.25">
      <c r="A49" s="26" t="s">
        <v>27</v>
      </c>
      <c r="B49" s="20" t="s">
        <v>231</v>
      </c>
      <c r="C49" s="130">
        <f>SUM(C50:C54)</f>
        <v>30332500</v>
      </c>
    </row>
    <row r="50" spans="1:3" s="49" customFormat="1" ht="12" customHeight="1" x14ac:dyDescent="0.2">
      <c r="A50" s="225" t="s">
        <v>96</v>
      </c>
      <c r="B50" s="211" t="s">
        <v>235</v>
      </c>
      <c r="C50" s="249"/>
    </row>
    <row r="51" spans="1:3" s="49" customFormat="1" ht="12" customHeight="1" x14ac:dyDescent="0.2">
      <c r="A51" s="226" t="s">
        <v>97</v>
      </c>
      <c r="B51" s="212" t="s">
        <v>236</v>
      </c>
      <c r="C51" s="285">
        <v>30332500</v>
      </c>
    </row>
    <row r="52" spans="1:3" s="49" customFormat="1" ht="12" customHeight="1" x14ac:dyDescent="0.2">
      <c r="A52" s="226" t="s">
        <v>232</v>
      </c>
      <c r="B52" s="212" t="s">
        <v>237</v>
      </c>
      <c r="C52" s="134"/>
    </row>
    <row r="53" spans="1:3" s="49" customFormat="1" ht="12" customHeight="1" x14ac:dyDescent="0.2">
      <c r="A53" s="226" t="s">
        <v>233</v>
      </c>
      <c r="B53" s="212" t="s">
        <v>238</v>
      </c>
      <c r="C53" s="134"/>
    </row>
    <row r="54" spans="1:3" s="49" customFormat="1" ht="12" customHeight="1" thickBot="1" x14ac:dyDescent="0.25">
      <c r="A54" s="227" t="s">
        <v>234</v>
      </c>
      <c r="B54" s="213" t="s">
        <v>239</v>
      </c>
      <c r="C54" s="200"/>
    </row>
    <row r="55" spans="1:3" s="49" customFormat="1" ht="12" customHeight="1" thickBot="1" x14ac:dyDescent="0.25">
      <c r="A55" s="26" t="s">
        <v>144</v>
      </c>
      <c r="B55" s="20" t="s">
        <v>240</v>
      </c>
      <c r="C55" s="130">
        <f>SUM(C56:C58)</f>
        <v>2900000</v>
      </c>
    </row>
    <row r="56" spans="1:3" s="49" customFormat="1" ht="12" customHeight="1" x14ac:dyDescent="0.2">
      <c r="A56" s="225" t="s">
        <v>98</v>
      </c>
      <c r="B56" s="211" t="s">
        <v>241</v>
      </c>
      <c r="C56" s="132"/>
    </row>
    <row r="57" spans="1:3" s="49" customFormat="1" ht="12" customHeight="1" x14ac:dyDescent="0.2">
      <c r="A57" s="226" t="s">
        <v>99</v>
      </c>
      <c r="B57" s="212" t="s">
        <v>372</v>
      </c>
      <c r="C57" s="134"/>
    </row>
    <row r="58" spans="1:3" s="49" customFormat="1" ht="12" customHeight="1" x14ac:dyDescent="0.2">
      <c r="A58" s="226" t="s">
        <v>244</v>
      </c>
      <c r="B58" s="212" t="s">
        <v>242</v>
      </c>
      <c r="C58" s="285">
        <v>2900000</v>
      </c>
    </row>
    <row r="59" spans="1:3" s="49" customFormat="1" ht="12" customHeight="1" thickBot="1" x14ac:dyDescent="0.25">
      <c r="A59" s="227" t="s">
        <v>245</v>
      </c>
      <c r="B59" s="213" t="s">
        <v>243</v>
      </c>
      <c r="C59" s="133"/>
    </row>
    <row r="60" spans="1:3" s="49" customFormat="1" ht="12" customHeight="1" thickBot="1" x14ac:dyDescent="0.25">
      <c r="A60" s="26" t="s">
        <v>29</v>
      </c>
      <c r="B60" s="125" t="s">
        <v>246</v>
      </c>
      <c r="C60" s="130">
        <f>SUM(C61:C63)</f>
        <v>0</v>
      </c>
    </row>
    <row r="61" spans="1:3" s="49" customFormat="1" ht="12" customHeight="1" x14ac:dyDescent="0.2">
      <c r="A61" s="225" t="s">
        <v>145</v>
      </c>
      <c r="B61" s="211" t="s">
        <v>248</v>
      </c>
      <c r="C61" s="134"/>
    </row>
    <row r="62" spans="1:3" s="49" customFormat="1" ht="12" customHeight="1" x14ac:dyDescent="0.2">
      <c r="A62" s="226" t="s">
        <v>146</v>
      </c>
      <c r="B62" s="212" t="s">
        <v>373</v>
      </c>
      <c r="C62" s="134"/>
    </row>
    <row r="63" spans="1:3" s="49" customFormat="1" ht="12" customHeight="1" x14ac:dyDescent="0.2">
      <c r="A63" s="226" t="s">
        <v>171</v>
      </c>
      <c r="B63" s="212" t="s">
        <v>249</v>
      </c>
      <c r="C63" s="134"/>
    </row>
    <row r="64" spans="1:3" s="49" customFormat="1" ht="12" customHeight="1" thickBot="1" x14ac:dyDescent="0.25">
      <c r="A64" s="227" t="s">
        <v>247</v>
      </c>
      <c r="B64" s="213" t="s">
        <v>250</v>
      </c>
      <c r="C64" s="134"/>
    </row>
    <row r="65" spans="1:3" s="49" customFormat="1" ht="12" customHeight="1" thickBot="1" x14ac:dyDescent="0.25">
      <c r="A65" s="26" t="s">
        <v>30</v>
      </c>
      <c r="B65" s="20" t="s">
        <v>251</v>
      </c>
      <c r="C65" s="135">
        <f>+C8+C15+C22+C29+C37+C49+C55+C60</f>
        <v>1575747695</v>
      </c>
    </row>
    <row r="66" spans="1:3" s="49" customFormat="1" ht="12" customHeight="1" thickBot="1" x14ac:dyDescent="0.2">
      <c r="A66" s="228" t="s">
        <v>341</v>
      </c>
      <c r="B66" s="125" t="s">
        <v>253</v>
      </c>
      <c r="C66" s="130">
        <f>SUM(C67:C69)</f>
        <v>193478462</v>
      </c>
    </row>
    <row r="67" spans="1:3" s="49" customFormat="1" ht="12" customHeight="1" x14ac:dyDescent="0.2">
      <c r="A67" s="225" t="s">
        <v>284</v>
      </c>
      <c r="B67" s="211" t="s">
        <v>254</v>
      </c>
      <c r="C67" s="285">
        <v>93478462</v>
      </c>
    </row>
    <row r="68" spans="1:3" s="49" customFormat="1" ht="12" customHeight="1" x14ac:dyDescent="0.2">
      <c r="A68" s="226" t="s">
        <v>293</v>
      </c>
      <c r="B68" s="212" t="s">
        <v>255</v>
      </c>
      <c r="C68" s="285">
        <v>100000000</v>
      </c>
    </row>
    <row r="69" spans="1:3" s="49" customFormat="1" ht="12" customHeight="1" thickBot="1" x14ac:dyDescent="0.25">
      <c r="A69" s="227" t="s">
        <v>294</v>
      </c>
      <c r="B69" s="214" t="s">
        <v>256</v>
      </c>
      <c r="C69" s="134"/>
    </row>
    <row r="70" spans="1:3" s="49" customFormat="1" ht="12" customHeight="1" thickBot="1" x14ac:dyDescent="0.2">
      <c r="A70" s="228" t="s">
        <v>257</v>
      </c>
      <c r="B70" s="125" t="s">
        <v>258</v>
      </c>
      <c r="C70" s="130">
        <f>SUM(C71:C74)</f>
        <v>0</v>
      </c>
    </row>
    <row r="71" spans="1:3" s="49" customFormat="1" ht="12" customHeight="1" x14ac:dyDescent="0.2">
      <c r="A71" s="225" t="s">
        <v>125</v>
      </c>
      <c r="B71" s="211" t="s">
        <v>259</v>
      </c>
      <c r="C71" s="134"/>
    </row>
    <row r="72" spans="1:3" s="49" customFormat="1" ht="12" customHeight="1" x14ac:dyDescent="0.2">
      <c r="A72" s="226" t="s">
        <v>126</v>
      </c>
      <c r="B72" s="212" t="s">
        <v>260</v>
      </c>
      <c r="C72" s="134"/>
    </row>
    <row r="73" spans="1:3" s="49" customFormat="1" ht="12" customHeight="1" x14ac:dyDescent="0.2">
      <c r="A73" s="226" t="s">
        <v>285</v>
      </c>
      <c r="B73" s="212" t="s">
        <v>261</v>
      </c>
      <c r="C73" s="134"/>
    </row>
    <row r="74" spans="1:3" s="49" customFormat="1" ht="12" customHeight="1" thickBot="1" x14ac:dyDescent="0.25">
      <c r="A74" s="227" t="s">
        <v>286</v>
      </c>
      <c r="B74" s="213" t="s">
        <v>262</v>
      </c>
      <c r="C74" s="134"/>
    </row>
    <row r="75" spans="1:3" s="49" customFormat="1" ht="12" customHeight="1" thickBot="1" x14ac:dyDescent="0.2">
      <c r="A75" s="228" t="s">
        <v>263</v>
      </c>
      <c r="B75" s="125" t="s">
        <v>264</v>
      </c>
      <c r="C75" s="130">
        <f>SUM(C76:C77)</f>
        <v>569119704</v>
      </c>
    </row>
    <row r="76" spans="1:3" s="49" customFormat="1" ht="12" customHeight="1" x14ac:dyDescent="0.2">
      <c r="A76" s="225" t="s">
        <v>287</v>
      </c>
      <c r="B76" s="211" t="s">
        <v>265</v>
      </c>
      <c r="C76" s="285">
        <v>569119704</v>
      </c>
    </row>
    <row r="77" spans="1:3" s="49" customFormat="1" ht="12" customHeight="1" thickBot="1" x14ac:dyDescent="0.25">
      <c r="A77" s="227" t="s">
        <v>288</v>
      </c>
      <c r="B77" s="213" t="s">
        <v>266</v>
      </c>
      <c r="C77" s="134"/>
    </row>
    <row r="78" spans="1:3" s="48" customFormat="1" ht="12" customHeight="1" thickBot="1" x14ac:dyDescent="0.2">
      <c r="A78" s="228" t="s">
        <v>267</v>
      </c>
      <c r="B78" s="125" t="s">
        <v>268</v>
      </c>
      <c r="C78" s="130">
        <f>SUM(C79:C81)</f>
        <v>0</v>
      </c>
    </row>
    <row r="79" spans="1:3" s="49" customFormat="1" ht="12" customHeight="1" x14ac:dyDescent="0.2">
      <c r="A79" s="225" t="s">
        <v>289</v>
      </c>
      <c r="B79" s="211" t="s">
        <v>269</v>
      </c>
      <c r="C79" s="134"/>
    </row>
    <row r="80" spans="1:3" s="49" customFormat="1" ht="12" customHeight="1" x14ac:dyDescent="0.2">
      <c r="A80" s="226" t="s">
        <v>290</v>
      </c>
      <c r="B80" s="212" t="s">
        <v>270</v>
      </c>
      <c r="C80" s="134"/>
    </row>
    <row r="81" spans="1:6" s="49" customFormat="1" ht="12" customHeight="1" thickBot="1" x14ac:dyDescent="0.25">
      <c r="A81" s="227" t="s">
        <v>291</v>
      </c>
      <c r="B81" s="213" t="s">
        <v>271</v>
      </c>
      <c r="C81" s="134"/>
    </row>
    <row r="82" spans="1:6" s="49" customFormat="1" ht="12" customHeight="1" thickBot="1" x14ac:dyDescent="0.2">
      <c r="A82" s="228" t="s">
        <v>272</v>
      </c>
      <c r="B82" s="125" t="s">
        <v>292</v>
      </c>
      <c r="C82" s="130">
        <f>SUM(C83:C86)</f>
        <v>0</v>
      </c>
    </row>
    <row r="83" spans="1:6" s="49" customFormat="1" ht="12" customHeight="1" x14ac:dyDescent="0.2">
      <c r="A83" s="229" t="s">
        <v>273</v>
      </c>
      <c r="B83" s="211" t="s">
        <v>274</v>
      </c>
      <c r="C83" s="134"/>
    </row>
    <row r="84" spans="1:6" s="49" customFormat="1" ht="12" customHeight="1" x14ac:dyDescent="0.2">
      <c r="A84" s="230" t="s">
        <v>275</v>
      </c>
      <c r="B84" s="212" t="s">
        <v>276</v>
      </c>
      <c r="C84" s="134"/>
    </row>
    <row r="85" spans="1:6" s="49" customFormat="1" ht="12" customHeight="1" x14ac:dyDescent="0.2">
      <c r="A85" s="230" t="s">
        <v>277</v>
      </c>
      <c r="B85" s="212" t="s">
        <v>278</v>
      </c>
      <c r="C85" s="134"/>
    </row>
    <row r="86" spans="1:6" s="48" customFormat="1" ht="12" customHeight="1" thickBot="1" x14ac:dyDescent="0.25">
      <c r="A86" s="231" t="s">
        <v>279</v>
      </c>
      <c r="B86" s="213" t="s">
        <v>280</v>
      </c>
      <c r="C86" s="134"/>
    </row>
    <row r="87" spans="1:6" s="48" customFormat="1" ht="12" customHeight="1" thickBot="1" x14ac:dyDescent="0.2">
      <c r="A87" s="228" t="s">
        <v>281</v>
      </c>
      <c r="B87" s="125" t="s">
        <v>459</v>
      </c>
      <c r="C87" s="250"/>
    </row>
    <row r="88" spans="1:6" s="48" customFormat="1" ht="12" customHeight="1" thickBot="1" x14ac:dyDescent="0.2">
      <c r="A88" s="228" t="s">
        <v>512</v>
      </c>
      <c r="B88" s="125" t="s">
        <v>282</v>
      </c>
      <c r="C88" s="250"/>
    </row>
    <row r="89" spans="1:6" s="48" customFormat="1" ht="12" customHeight="1" thickBot="1" x14ac:dyDescent="0.2">
      <c r="A89" s="228" t="s">
        <v>513</v>
      </c>
      <c r="B89" s="218" t="s">
        <v>460</v>
      </c>
      <c r="C89" s="135">
        <f>+C66+C70+C75+C78+C82+C88+C87</f>
        <v>762598166</v>
      </c>
    </row>
    <row r="90" spans="1:6" s="48" customFormat="1" ht="12" customHeight="1" thickBot="1" x14ac:dyDescent="0.2">
      <c r="A90" s="232" t="s">
        <v>514</v>
      </c>
      <c r="B90" s="219" t="s">
        <v>515</v>
      </c>
      <c r="C90" s="135">
        <f>+C65+C89</f>
        <v>2338345861</v>
      </c>
      <c r="F90" s="41"/>
    </row>
    <row r="91" spans="1:6" s="49" customFormat="1" ht="15" customHeight="1" thickBot="1" x14ac:dyDescent="0.25">
      <c r="A91" s="102"/>
      <c r="B91" s="103"/>
      <c r="C91" s="188"/>
    </row>
    <row r="92" spans="1:6" s="40" customFormat="1" ht="16.5" customHeight="1" thickBot="1" x14ac:dyDescent="0.25">
      <c r="A92" s="106"/>
      <c r="B92" s="107" t="s">
        <v>60</v>
      </c>
      <c r="C92" s="190"/>
    </row>
    <row r="93" spans="1:6" s="50" customFormat="1" ht="12" customHeight="1" thickBot="1" x14ac:dyDescent="0.25">
      <c r="A93" s="203" t="s">
        <v>22</v>
      </c>
      <c r="B93" s="25" t="s">
        <v>526</v>
      </c>
      <c r="C93" s="129">
        <f>+C94+C95+C96+C97+C98+C111</f>
        <v>588885801</v>
      </c>
    </row>
    <row r="94" spans="1:6" ht="12" customHeight="1" x14ac:dyDescent="0.2">
      <c r="A94" s="233" t="s">
        <v>100</v>
      </c>
      <c r="B94" s="9" t="s">
        <v>52</v>
      </c>
      <c r="C94" s="927">
        <f>2854500+25097896+11111000+584100+20000+1182990+1095900</f>
        <v>41946386</v>
      </c>
    </row>
    <row r="95" spans="1:6" ht="12" customHeight="1" x14ac:dyDescent="0.2">
      <c r="A95" s="226" t="s">
        <v>101</v>
      </c>
      <c r="B95" s="7" t="s">
        <v>147</v>
      </c>
      <c r="C95" s="926">
        <f>500965+4771305+2167000+14000+207615+213701</f>
        <v>7874586</v>
      </c>
    </row>
    <row r="96" spans="1:6" ht="12" customHeight="1" x14ac:dyDescent="0.2">
      <c r="A96" s="226" t="s">
        <v>102</v>
      </c>
      <c r="B96" s="7" t="s">
        <v>123</v>
      </c>
      <c r="C96" s="289">
        <f>13447475+835000+50000+52909601+6787092+2456000+4504030+871220+34163000+50473064+3285067+9000000+443000+120000+17207888+17042731+48545760+500000+381000</f>
        <v>263021928</v>
      </c>
    </row>
    <row r="97" spans="1:3" ht="12" customHeight="1" x14ac:dyDescent="0.2">
      <c r="A97" s="226" t="s">
        <v>103</v>
      </c>
      <c r="B97" s="10" t="s">
        <v>148</v>
      </c>
      <c r="C97" s="289">
        <f>69500000+3500000</f>
        <v>73000000</v>
      </c>
    </row>
    <row r="98" spans="1:3" ht="12" customHeight="1" x14ac:dyDescent="0.2">
      <c r="A98" s="226" t="s">
        <v>114</v>
      </c>
      <c r="B98" s="18" t="s">
        <v>149</v>
      </c>
      <c r="C98" s="289">
        <f>5697126+16985629+16551218+32866801+100000+660000+49357310</f>
        <v>122218084</v>
      </c>
    </row>
    <row r="99" spans="1:3" ht="12" customHeight="1" x14ac:dyDescent="0.2">
      <c r="A99" s="226" t="s">
        <v>104</v>
      </c>
      <c r="B99" s="7" t="s">
        <v>516</v>
      </c>
      <c r="C99" s="289">
        <v>100000</v>
      </c>
    </row>
    <row r="100" spans="1:3" ht="12" customHeight="1" x14ac:dyDescent="0.2">
      <c r="A100" s="226" t="s">
        <v>105</v>
      </c>
      <c r="B100" s="72" t="s">
        <v>464</v>
      </c>
      <c r="C100" s="289"/>
    </row>
    <row r="101" spans="1:3" ht="12" customHeight="1" x14ac:dyDescent="0.2">
      <c r="A101" s="226" t="s">
        <v>115</v>
      </c>
      <c r="B101" s="72" t="s">
        <v>465</v>
      </c>
      <c r="C101" s="289"/>
    </row>
    <row r="102" spans="1:3" ht="12" customHeight="1" x14ac:dyDescent="0.2">
      <c r="A102" s="226" t="s">
        <v>116</v>
      </c>
      <c r="B102" s="72" t="s">
        <v>298</v>
      </c>
      <c r="C102" s="289"/>
    </row>
    <row r="103" spans="1:3" ht="12" customHeight="1" x14ac:dyDescent="0.2">
      <c r="A103" s="226" t="s">
        <v>117</v>
      </c>
      <c r="B103" s="73" t="s">
        <v>299</v>
      </c>
      <c r="C103" s="289"/>
    </row>
    <row r="104" spans="1:3" ht="12" customHeight="1" x14ac:dyDescent="0.2">
      <c r="A104" s="226" t="s">
        <v>118</v>
      </c>
      <c r="B104" s="73" t="s">
        <v>300</v>
      </c>
      <c r="C104" s="289"/>
    </row>
    <row r="105" spans="1:3" ht="12" customHeight="1" x14ac:dyDescent="0.2">
      <c r="A105" s="226" t="s">
        <v>120</v>
      </c>
      <c r="B105" s="72" t="s">
        <v>301</v>
      </c>
      <c r="C105" s="928">
        <f>660000</f>
        <v>660000</v>
      </c>
    </row>
    <row r="106" spans="1:3" ht="12" customHeight="1" x14ac:dyDescent="0.2">
      <c r="A106" s="226" t="s">
        <v>150</v>
      </c>
      <c r="B106" s="72" t="s">
        <v>302</v>
      </c>
      <c r="C106" s="361"/>
    </row>
    <row r="107" spans="1:3" ht="12" customHeight="1" x14ac:dyDescent="0.2">
      <c r="A107" s="226" t="s">
        <v>296</v>
      </c>
      <c r="B107" s="73" t="s">
        <v>303</v>
      </c>
      <c r="C107" s="289"/>
    </row>
    <row r="108" spans="1:3" ht="12" customHeight="1" x14ac:dyDescent="0.2">
      <c r="A108" s="234" t="s">
        <v>297</v>
      </c>
      <c r="B108" s="74" t="s">
        <v>304</v>
      </c>
      <c r="C108" s="289"/>
    </row>
    <row r="109" spans="1:3" ht="12" customHeight="1" x14ac:dyDescent="0.2">
      <c r="A109" s="226" t="s">
        <v>466</v>
      </c>
      <c r="B109" s="74" t="s">
        <v>305</v>
      </c>
      <c r="C109" s="289"/>
    </row>
    <row r="110" spans="1:3" ht="12" customHeight="1" x14ac:dyDescent="0.2">
      <c r="A110" s="226" t="s">
        <v>467</v>
      </c>
      <c r="B110" s="73" t="s">
        <v>306</v>
      </c>
      <c r="C110" s="926">
        <f>5697126+16985629+16551218+32866801+660000+49357310-660000</f>
        <v>121458084</v>
      </c>
    </row>
    <row r="111" spans="1:3" ht="12" customHeight="1" x14ac:dyDescent="0.2">
      <c r="A111" s="226" t="s">
        <v>468</v>
      </c>
      <c r="B111" s="10" t="s">
        <v>53</v>
      </c>
      <c r="C111" s="134">
        <f>SUM(C112:C113)</f>
        <v>80824817</v>
      </c>
    </row>
    <row r="112" spans="1:3" ht="12" customHeight="1" x14ac:dyDescent="0.2">
      <c r="A112" s="227" t="s">
        <v>469</v>
      </c>
      <c r="B112" s="7" t="s">
        <v>517</v>
      </c>
      <c r="C112" s="928">
        <f>15000000-21705</f>
        <v>14978295</v>
      </c>
    </row>
    <row r="113" spans="1:6" ht="12" customHeight="1" thickBot="1" x14ac:dyDescent="0.25">
      <c r="A113" s="235" t="s">
        <v>471</v>
      </c>
      <c r="B113" s="75" t="s">
        <v>518</v>
      </c>
      <c r="C113" s="356">
        <v>65846522</v>
      </c>
    </row>
    <row r="114" spans="1:6" ht="12" customHeight="1" thickBot="1" x14ac:dyDescent="0.25">
      <c r="A114" s="26" t="s">
        <v>23</v>
      </c>
      <c r="B114" s="24" t="s">
        <v>307</v>
      </c>
      <c r="C114" s="130">
        <f>+C115+C117+C119</f>
        <v>515828521</v>
      </c>
    </row>
    <row r="115" spans="1:6" ht="12" customHeight="1" x14ac:dyDescent="0.2">
      <c r="A115" s="225" t="s">
        <v>106</v>
      </c>
      <c r="B115" s="7" t="s">
        <v>170</v>
      </c>
      <c r="C115" s="313">
        <f>359410+2345001+219008101+381000+1500000+3139585+33894811+2338070+4950460</f>
        <v>267916438</v>
      </c>
    </row>
    <row r="116" spans="1:6" ht="12" customHeight="1" x14ac:dyDescent="0.2">
      <c r="A116" s="225" t="s">
        <v>107</v>
      </c>
      <c r="B116" s="11" t="s">
        <v>311</v>
      </c>
      <c r="C116" s="313">
        <f>218246101+33259811</f>
        <v>251505912</v>
      </c>
    </row>
    <row r="117" spans="1:6" ht="12" customHeight="1" x14ac:dyDescent="0.2">
      <c r="A117" s="225" t="s">
        <v>108</v>
      </c>
      <c r="B117" s="11" t="s">
        <v>151</v>
      </c>
      <c r="C117" s="285">
        <f>180701362+1500000</f>
        <v>182201362</v>
      </c>
    </row>
    <row r="118" spans="1:6" ht="12" customHeight="1" x14ac:dyDescent="0.2">
      <c r="A118" s="225" t="s">
        <v>109</v>
      </c>
      <c r="B118" s="11" t="s">
        <v>312</v>
      </c>
      <c r="C118" s="285">
        <v>146098020</v>
      </c>
    </row>
    <row r="119" spans="1:6" ht="12" customHeight="1" x14ac:dyDescent="0.2">
      <c r="A119" s="225" t="s">
        <v>110</v>
      </c>
      <c r="B119" s="127" t="s">
        <v>172</v>
      </c>
      <c r="C119" s="289">
        <v>65710721</v>
      </c>
    </row>
    <row r="120" spans="1:6" ht="12" customHeight="1" x14ac:dyDescent="0.2">
      <c r="A120" s="225" t="s">
        <v>119</v>
      </c>
      <c r="B120" s="126" t="s">
        <v>374</v>
      </c>
      <c r="C120" s="115"/>
    </row>
    <row r="121" spans="1:6" ht="12" customHeight="1" x14ac:dyDescent="0.2">
      <c r="A121" s="225" t="s">
        <v>121</v>
      </c>
      <c r="B121" s="207" t="s">
        <v>317</v>
      </c>
      <c r="C121" s="115"/>
    </row>
    <row r="122" spans="1:6" ht="12" customHeight="1" x14ac:dyDescent="0.2">
      <c r="A122" s="225" t="s">
        <v>152</v>
      </c>
      <c r="B122" s="73" t="s">
        <v>300</v>
      </c>
      <c r="C122" s="115"/>
    </row>
    <row r="123" spans="1:6" ht="12" customHeight="1" x14ac:dyDescent="0.2">
      <c r="A123" s="225" t="s">
        <v>153</v>
      </c>
      <c r="B123" s="73" t="s">
        <v>316</v>
      </c>
      <c r="C123" s="115"/>
    </row>
    <row r="124" spans="1:6" ht="12" customHeight="1" x14ac:dyDescent="0.2">
      <c r="A124" s="225" t="s">
        <v>154</v>
      </c>
      <c r="B124" s="73" t="s">
        <v>315</v>
      </c>
      <c r="C124" s="115"/>
    </row>
    <row r="125" spans="1:6" ht="12" customHeight="1" x14ac:dyDescent="0.2">
      <c r="A125" s="225" t="s">
        <v>308</v>
      </c>
      <c r="B125" s="73" t="s">
        <v>303</v>
      </c>
      <c r="C125" s="115"/>
    </row>
    <row r="126" spans="1:6" ht="12" customHeight="1" x14ac:dyDescent="0.2">
      <c r="A126" s="225" t="s">
        <v>309</v>
      </c>
      <c r="B126" s="73" t="s">
        <v>314</v>
      </c>
      <c r="C126" s="115"/>
    </row>
    <row r="127" spans="1:6" ht="12" customHeight="1" thickBot="1" x14ac:dyDescent="0.25">
      <c r="A127" s="234" t="s">
        <v>310</v>
      </c>
      <c r="B127" s="73" t="s">
        <v>313</v>
      </c>
      <c r="C127" s="116">
        <v>65710721</v>
      </c>
    </row>
    <row r="128" spans="1:6" ht="12" customHeight="1" thickBot="1" x14ac:dyDescent="0.25">
      <c r="A128" s="26" t="s">
        <v>24</v>
      </c>
      <c r="B128" s="68" t="s">
        <v>473</v>
      </c>
      <c r="C128" s="130">
        <f>+C93+C114</f>
        <v>1104714322</v>
      </c>
      <c r="F128" s="293"/>
    </row>
    <row r="129" spans="1:11" ht="12" customHeight="1" thickBot="1" x14ac:dyDescent="0.25">
      <c r="A129" s="26" t="s">
        <v>25</v>
      </c>
      <c r="B129" s="68" t="s">
        <v>474</v>
      </c>
      <c r="C129" s="130">
        <f>+C130+C131+C132</f>
        <v>104042704</v>
      </c>
    </row>
    <row r="130" spans="1:11" s="50" customFormat="1" ht="12" customHeight="1" x14ac:dyDescent="0.2">
      <c r="A130" s="225" t="s">
        <v>208</v>
      </c>
      <c r="B130" s="8" t="s">
        <v>519</v>
      </c>
      <c r="C130" s="285">
        <v>4042704</v>
      </c>
    </row>
    <row r="131" spans="1:11" ht="12" customHeight="1" x14ac:dyDescent="0.2">
      <c r="A131" s="225" t="s">
        <v>211</v>
      </c>
      <c r="B131" s="8" t="s">
        <v>476</v>
      </c>
      <c r="C131" s="115">
        <v>100000000</v>
      </c>
    </row>
    <row r="132" spans="1:11" ht="12" customHeight="1" thickBot="1" x14ac:dyDescent="0.25">
      <c r="A132" s="234" t="s">
        <v>212</v>
      </c>
      <c r="B132" s="6" t="s">
        <v>520</v>
      </c>
      <c r="C132" s="115"/>
    </row>
    <row r="133" spans="1:11" ht="12" customHeight="1" thickBot="1" x14ac:dyDescent="0.25">
      <c r="A133" s="26" t="s">
        <v>26</v>
      </c>
      <c r="B133" s="68" t="s">
        <v>478</v>
      </c>
      <c r="C133" s="130">
        <f>+C134+C135+C136+C137+C138+C139</f>
        <v>0</v>
      </c>
    </row>
    <row r="134" spans="1:11" ht="12" customHeight="1" x14ac:dyDescent="0.2">
      <c r="A134" s="225" t="s">
        <v>93</v>
      </c>
      <c r="B134" s="8" t="s">
        <v>479</v>
      </c>
      <c r="C134" s="115"/>
    </row>
    <row r="135" spans="1:11" ht="12" customHeight="1" x14ac:dyDescent="0.2">
      <c r="A135" s="225" t="s">
        <v>94</v>
      </c>
      <c r="B135" s="8" t="s">
        <v>480</v>
      </c>
      <c r="C135" s="115"/>
    </row>
    <row r="136" spans="1:11" ht="12" customHeight="1" x14ac:dyDescent="0.2">
      <c r="A136" s="225" t="s">
        <v>95</v>
      </c>
      <c r="B136" s="8" t="s">
        <v>481</v>
      </c>
      <c r="C136" s="115"/>
    </row>
    <row r="137" spans="1:11" ht="12" customHeight="1" x14ac:dyDescent="0.2">
      <c r="A137" s="225" t="s">
        <v>139</v>
      </c>
      <c r="B137" s="8" t="s">
        <v>521</v>
      </c>
      <c r="C137" s="115"/>
    </row>
    <row r="138" spans="1:11" ht="12" customHeight="1" x14ac:dyDescent="0.2">
      <c r="A138" s="225" t="s">
        <v>140</v>
      </c>
      <c r="B138" s="8" t="s">
        <v>483</v>
      </c>
      <c r="C138" s="115"/>
    </row>
    <row r="139" spans="1:11" s="50" customFormat="1" ht="12" customHeight="1" thickBot="1" x14ac:dyDescent="0.25">
      <c r="A139" s="234" t="s">
        <v>141</v>
      </c>
      <c r="B139" s="6" t="s">
        <v>484</v>
      </c>
      <c r="C139" s="115"/>
    </row>
    <row r="140" spans="1:11" ht="12" customHeight="1" thickBot="1" x14ac:dyDescent="0.25">
      <c r="A140" s="26" t="s">
        <v>27</v>
      </c>
      <c r="B140" s="68" t="s">
        <v>522</v>
      </c>
      <c r="C140" s="135">
        <f>+C141+C142+C144+C145+C143</f>
        <v>38167591</v>
      </c>
      <c r="K140" s="114"/>
    </row>
    <row r="141" spans="1:11" x14ac:dyDescent="0.2">
      <c r="A141" s="225" t="s">
        <v>96</v>
      </c>
      <c r="B141" s="8" t="s">
        <v>318</v>
      </c>
      <c r="C141" s="115"/>
    </row>
    <row r="142" spans="1:11" ht="12" customHeight="1" x14ac:dyDescent="0.2">
      <c r="A142" s="225" t="s">
        <v>97</v>
      </c>
      <c r="B142" s="8" t="s">
        <v>319</v>
      </c>
      <c r="C142" s="115">
        <v>38167591</v>
      </c>
    </row>
    <row r="143" spans="1:11" s="50" customFormat="1" ht="12" customHeight="1" x14ac:dyDescent="0.2">
      <c r="A143" s="225" t="s">
        <v>232</v>
      </c>
      <c r="B143" s="8" t="s">
        <v>523</v>
      </c>
      <c r="C143" s="115"/>
    </row>
    <row r="144" spans="1:11" s="50" customFormat="1" ht="12" customHeight="1" x14ac:dyDescent="0.2">
      <c r="A144" s="225" t="s">
        <v>233</v>
      </c>
      <c r="B144" s="8" t="s">
        <v>486</v>
      </c>
      <c r="C144" s="115"/>
    </row>
    <row r="145" spans="1:6" s="50" customFormat="1" ht="12" customHeight="1" thickBot="1" x14ac:dyDescent="0.25">
      <c r="A145" s="234" t="s">
        <v>234</v>
      </c>
      <c r="B145" s="6" t="s">
        <v>337</v>
      </c>
      <c r="C145" s="115"/>
    </row>
    <row r="146" spans="1:6" s="50" customFormat="1" ht="12" customHeight="1" thickBot="1" x14ac:dyDescent="0.25">
      <c r="A146" s="26" t="s">
        <v>28</v>
      </c>
      <c r="B146" s="68" t="s">
        <v>487</v>
      </c>
      <c r="C146" s="138">
        <f>+C147+C148+C149+C150+C151</f>
        <v>0</v>
      </c>
    </row>
    <row r="147" spans="1:6" s="50" customFormat="1" ht="12" customHeight="1" x14ac:dyDescent="0.2">
      <c r="A147" s="225" t="s">
        <v>98</v>
      </c>
      <c r="B147" s="8" t="s">
        <v>488</v>
      </c>
      <c r="C147" s="115"/>
    </row>
    <row r="148" spans="1:6" s="50" customFormat="1" ht="12" customHeight="1" x14ac:dyDescent="0.2">
      <c r="A148" s="225" t="s">
        <v>99</v>
      </c>
      <c r="B148" s="8" t="s">
        <v>489</v>
      </c>
      <c r="C148" s="115"/>
    </row>
    <row r="149" spans="1:6" s="50" customFormat="1" ht="12" customHeight="1" x14ac:dyDescent="0.2">
      <c r="A149" s="225" t="s">
        <v>244</v>
      </c>
      <c r="B149" s="8" t="s">
        <v>490</v>
      </c>
      <c r="C149" s="115"/>
    </row>
    <row r="150" spans="1:6" ht="12.75" customHeight="1" x14ac:dyDescent="0.2">
      <c r="A150" s="225" t="s">
        <v>245</v>
      </c>
      <c r="B150" s="8" t="s">
        <v>524</v>
      </c>
      <c r="C150" s="115"/>
    </row>
    <row r="151" spans="1:6" ht="12.75" customHeight="1" thickBot="1" x14ac:dyDescent="0.25">
      <c r="A151" s="234" t="s">
        <v>492</v>
      </c>
      <c r="B151" s="6" t="s">
        <v>493</v>
      </c>
      <c r="C151" s="116"/>
    </row>
    <row r="152" spans="1:6" ht="12.75" customHeight="1" thickBot="1" x14ac:dyDescent="0.25">
      <c r="A152" s="282" t="s">
        <v>29</v>
      </c>
      <c r="B152" s="68" t="s">
        <v>494</v>
      </c>
      <c r="C152" s="138"/>
    </row>
    <row r="153" spans="1:6" ht="12" customHeight="1" thickBot="1" x14ac:dyDescent="0.25">
      <c r="A153" s="282" t="s">
        <v>30</v>
      </c>
      <c r="B153" s="68" t="s">
        <v>495</v>
      </c>
      <c r="C153" s="138"/>
    </row>
    <row r="154" spans="1:6" ht="15" customHeight="1" thickBot="1" x14ac:dyDescent="0.25">
      <c r="A154" s="26" t="s">
        <v>31</v>
      </c>
      <c r="B154" s="68" t="s">
        <v>496</v>
      </c>
      <c r="C154" s="221">
        <f>+C129+C133+C140+C146+C152+C153</f>
        <v>142210295</v>
      </c>
    </row>
    <row r="155" spans="1:6" ht="13.5" thickBot="1" x14ac:dyDescent="0.25">
      <c r="A155" s="236" t="s">
        <v>32</v>
      </c>
      <c r="B155" s="196" t="s">
        <v>497</v>
      </c>
      <c r="C155" s="221">
        <f>+C128+C154</f>
        <v>1246924617</v>
      </c>
      <c r="F155" s="31"/>
    </row>
    <row r="156" spans="1:6" ht="15" customHeight="1" thickBot="1" x14ac:dyDescent="0.25"/>
    <row r="157" spans="1:6" ht="14.25" customHeight="1" thickBot="1" x14ac:dyDescent="0.25">
      <c r="A157" s="111" t="s">
        <v>525</v>
      </c>
      <c r="B157" s="112"/>
      <c r="C157" s="67">
        <v>6</v>
      </c>
    </row>
    <row r="158" spans="1:6" ht="13.5" thickBot="1" x14ac:dyDescent="0.25">
      <c r="A158" s="111" t="s">
        <v>165</v>
      </c>
      <c r="B158" s="112"/>
      <c r="C158" s="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4/2018.(III.29.)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582" customWidth="1"/>
    <col min="2" max="2" width="72" style="583" customWidth="1"/>
    <col min="3" max="3" width="25" style="584" customWidth="1"/>
    <col min="4" max="16384" width="9.33203125" style="2"/>
  </cols>
  <sheetData>
    <row r="1" spans="1:3" s="1" customFormat="1" ht="16.5" customHeight="1" thickBot="1" x14ac:dyDescent="0.25">
      <c r="A1" s="88"/>
      <c r="B1" s="90"/>
      <c r="C1" s="113"/>
    </row>
    <row r="2" spans="1:3" s="46" customFormat="1" ht="21" customHeight="1" x14ac:dyDescent="0.2">
      <c r="A2" s="201" t="s">
        <v>65</v>
      </c>
      <c r="B2" s="179" t="s">
        <v>167</v>
      </c>
      <c r="C2" s="181" t="s">
        <v>56</v>
      </c>
    </row>
    <row r="3" spans="1:3" s="46" customFormat="1" ht="16.5" thickBot="1" x14ac:dyDescent="0.25">
      <c r="A3" s="91" t="s">
        <v>162</v>
      </c>
      <c r="B3" s="180" t="s">
        <v>376</v>
      </c>
      <c r="C3" s="281" t="s">
        <v>64</v>
      </c>
    </row>
    <row r="4" spans="1:3" s="47" customFormat="1" ht="15.95" customHeight="1" thickBot="1" x14ac:dyDescent="0.3">
      <c r="A4" s="92"/>
      <c r="B4" s="92"/>
      <c r="C4" s="93" t="s">
        <v>572</v>
      </c>
    </row>
    <row r="5" spans="1:3" ht="13.5" thickBot="1" x14ac:dyDescent="0.25">
      <c r="A5" s="202" t="s">
        <v>164</v>
      </c>
      <c r="B5" s="94" t="s">
        <v>57</v>
      </c>
      <c r="C5" s="182" t="s">
        <v>58</v>
      </c>
    </row>
    <row r="6" spans="1:3" s="40" customFormat="1" ht="12.95" customHeight="1" thickBot="1" x14ac:dyDescent="0.25">
      <c r="A6" s="84" t="s">
        <v>446</v>
      </c>
      <c r="B6" s="85" t="s">
        <v>447</v>
      </c>
      <c r="C6" s="86" t="s">
        <v>448</v>
      </c>
    </row>
    <row r="7" spans="1:3" s="40" customFormat="1" ht="15.95" customHeight="1" thickBot="1" x14ac:dyDescent="0.25">
      <c r="A7" s="96"/>
      <c r="B7" s="97" t="s">
        <v>59</v>
      </c>
      <c r="C7" s="183"/>
    </row>
    <row r="8" spans="1:3" s="40" customFormat="1" ht="12" customHeight="1" thickBot="1" x14ac:dyDescent="0.25">
      <c r="A8" s="26" t="s">
        <v>22</v>
      </c>
      <c r="B8" s="20" t="s">
        <v>192</v>
      </c>
      <c r="C8" s="130">
        <f>+C9+C10+C11+C12+C13+C14</f>
        <v>195828813</v>
      </c>
    </row>
    <row r="9" spans="1:3" s="48" customFormat="1" ht="12" customHeight="1" x14ac:dyDescent="0.2">
      <c r="A9" s="225" t="s">
        <v>100</v>
      </c>
      <c r="B9" s="211" t="s">
        <v>193</v>
      </c>
      <c r="C9" s="309"/>
    </row>
    <row r="10" spans="1:3" s="49" customFormat="1" ht="12" customHeight="1" x14ac:dyDescent="0.2">
      <c r="A10" s="226" t="s">
        <v>101</v>
      </c>
      <c r="B10" s="212" t="s">
        <v>194</v>
      </c>
      <c r="C10" s="115"/>
    </row>
    <row r="11" spans="1:3" s="49" customFormat="1" ht="12" customHeight="1" x14ac:dyDescent="0.2">
      <c r="A11" s="226" t="s">
        <v>102</v>
      </c>
      <c r="B11" s="212" t="s">
        <v>195</v>
      </c>
      <c r="C11" s="115">
        <v>119410000</v>
      </c>
    </row>
    <row r="12" spans="1:3" s="49" customFormat="1" ht="12" customHeight="1" x14ac:dyDescent="0.2">
      <c r="A12" s="226" t="s">
        <v>103</v>
      </c>
      <c r="B12" s="212" t="s">
        <v>196</v>
      </c>
      <c r="C12" s="115">
        <v>12622000</v>
      </c>
    </row>
    <row r="13" spans="1:3" s="49" customFormat="1" ht="12" customHeight="1" x14ac:dyDescent="0.2">
      <c r="A13" s="226" t="s">
        <v>124</v>
      </c>
      <c r="B13" s="212" t="s">
        <v>510</v>
      </c>
      <c r="C13" s="285">
        <v>63796813</v>
      </c>
    </row>
    <row r="14" spans="1:3" s="48" customFormat="1" ht="12" customHeight="1" thickBot="1" x14ac:dyDescent="0.25">
      <c r="A14" s="227" t="s">
        <v>104</v>
      </c>
      <c r="B14" s="213" t="s">
        <v>450</v>
      </c>
      <c r="C14" s="115"/>
    </row>
    <row r="15" spans="1:3" s="48" customFormat="1" ht="12" customHeight="1" thickBot="1" x14ac:dyDescent="0.25">
      <c r="A15" s="26" t="s">
        <v>23</v>
      </c>
      <c r="B15" s="125" t="s">
        <v>197</v>
      </c>
      <c r="C15" s="130">
        <f>+C16+C17+C18+C19+C20</f>
        <v>129787110</v>
      </c>
    </row>
    <row r="16" spans="1:3" s="48" customFormat="1" ht="12" customHeight="1" x14ac:dyDescent="0.2">
      <c r="A16" s="225" t="s">
        <v>106</v>
      </c>
      <c r="B16" s="211" t="s">
        <v>198</v>
      </c>
      <c r="C16" s="132"/>
    </row>
    <row r="17" spans="1:3" s="48" customFormat="1" ht="12" customHeight="1" x14ac:dyDescent="0.2">
      <c r="A17" s="226" t="s">
        <v>107</v>
      </c>
      <c r="B17" s="212" t="s">
        <v>199</v>
      </c>
      <c r="C17" s="131"/>
    </row>
    <row r="18" spans="1:3" s="48" customFormat="1" ht="12" customHeight="1" x14ac:dyDescent="0.2">
      <c r="A18" s="226" t="s">
        <v>108</v>
      </c>
      <c r="B18" s="212" t="s">
        <v>368</v>
      </c>
      <c r="C18" s="131"/>
    </row>
    <row r="19" spans="1:3" s="48" customFormat="1" ht="12" customHeight="1" x14ac:dyDescent="0.2">
      <c r="A19" s="226" t="s">
        <v>109</v>
      </c>
      <c r="B19" s="212" t="s">
        <v>369</v>
      </c>
      <c r="C19" s="131"/>
    </row>
    <row r="20" spans="1:3" s="48" customFormat="1" ht="12" customHeight="1" x14ac:dyDescent="0.2">
      <c r="A20" s="226" t="s">
        <v>110</v>
      </c>
      <c r="B20" s="212" t="s">
        <v>200</v>
      </c>
      <c r="C20" s="285">
        <f>3900000+125887110</f>
        <v>129787110</v>
      </c>
    </row>
    <row r="21" spans="1:3" s="49" customFormat="1" ht="12" customHeight="1" thickBot="1" x14ac:dyDescent="0.25">
      <c r="A21" s="227" t="s">
        <v>119</v>
      </c>
      <c r="B21" s="213" t="s">
        <v>201</v>
      </c>
      <c r="C21" s="133"/>
    </row>
    <row r="22" spans="1:3" s="49" customFormat="1" ht="12" customHeight="1" thickBot="1" x14ac:dyDescent="0.25">
      <c r="A22" s="26" t="s">
        <v>24</v>
      </c>
      <c r="B22" s="20" t="s">
        <v>202</v>
      </c>
      <c r="C22" s="130">
        <f>+C23+C24+C25+C26+C27</f>
        <v>0</v>
      </c>
    </row>
    <row r="23" spans="1:3" s="49" customFormat="1" ht="12" customHeight="1" x14ac:dyDescent="0.2">
      <c r="A23" s="225" t="s">
        <v>89</v>
      </c>
      <c r="B23" s="211" t="s">
        <v>203</v>
      </c>
      <c r="C23" s="132"/>
    </row>
    <row r="24" spans="1:3" s="48" customFormat="1" ht="12" customHeight="1" x14ac:dyDescent="0.2">
      <c r="A24" s="226" t="s">
        <v>90</v>
      </c>
      <c r="B24" s="212" t="s">
        <v>204</v>
      </c>
      <c r="C24" s="131"/>
    </row>
    <row r="25" spans="1:3" s="49" customFormat="1" ht="12" customHeight="1" x14ac:dyDescent="0.2">
      <c r="A25" s="226" t="s">
        <v>91</v>
      </c>
      <c r="B25" s="212" t="s">
        <v>370</v>
      </c>
      <c r="C25" s="131"/>
    </row>
    <row r="26" spans="1:3" s="49" customFormat="1" ht="12" customHeight="1" x14ac:dyDescent="0.2">
      <c r="A26" s="226" t="s">
        <v>92</v>
      </c>
      <c r="B26" s="212" t="s">
        <v>371</v>
      </c>
      <c r="C26" s="131"/>
    </row>
    <row r="27" spans="1:3" s="49" customFormat="1" ht="12" customHeight="1" x14ac:dyDescent="0.2">
      <c r="A27" s="226" t="s">
        <v>135</v>
      </c>
      <c r="B27" s="212" t="s">
        <v>205</v>
      </c>
      <c r="C27" s="134"/>
    </row>
    <row r="28" spans="1:3" s="49" customFormat="1" ht="12" customHeight="1" thickBot="1" x14ac:dyDescent="0.25">
      <c r="A28" s="227" t="s">
        <v>136</v>
      </c>
      <c r="B28" s="213" t="s">
        <v>206</v>
      </c>
      <c r="C28" s="200"/>
    </row>
    <row r="29" spans="1:3" s="49" customFormat="1" ht="12" customHeight="1" thickBot="1" x14ac:dyDescent="0.25">
      <c r="A29" s="26" t="s">
        <v>137</v>
      </c>
      <c r="B29" s="20" t="s">
        <v>207</v>
      </c>
      <c r="C29" s="130">
        <f>+C30+C34+C35+C36</f>
        <v>0</v>
      </c>
    </row>
    <row r="30" spans="1:3" s="49" customFormat="1" ht="12" customHeight="1" x14ac:dyDescent="0.2">
      <c r="A30" s="225" t="s">
        <v>208</v>
      </c>
      <c r="B30" s="211" t="s">
        <v>511</v>
      </c>
      <c r="C30" s="206">
        <f>+C31+C32+C33</f>
        <v>0</v>
      </c>
    </row>
    <row r="31" spans="1:3" s="49" customFormat="1" ht="12" customHeight="1" x14ac:dyDescent="0.2">
      <c r="A31" s="226" t="s">
        <v>209</v>
      </c>
      <c r="B31" s="212" t="s">
        <v>214</v>
      </c>
      <c r="C31" s="131"/>
    </row>
    <row r="32" spans="1:3" s="49" customFormat="1" ht="12" customHeight="1" x14ac:dyDescent="0.2">
      <c r="A32" s="226" t="s">
        <v>210</v>
      </c>
      <c r="B32" s="212" t="s">
        <v>215</v>
      </c>
      <c r="C32" s="131"/>
    </row>
    <row r="33" spans="1:3" s="49" customFormat="1" ht="12" customHeight="1" x14ac:dyDescent="0.2">
      <c r="A33" s="226" t="s">
        <v>452</v>
      </c>
      <c r="B33" s="269" t="s">
        <v>453</v>
      </c>
      <c r="C33" s="131"/>
    </row>
    <row r="34" spans="1:3" s="49" customFormat="1" ht="12" customHeight="1" x14ac:dyDescent="0.2">
      <c r="A34" s="226" t="s">
        <v>211</v>
      </c>
      <c r="B34" s="212" t="s">
        <v>216</v>
      </c>
      <c r="C34" s="131"/>
    </row>
    <row r="35" spans="1:3" s="49" customFormat="1" ht="12" customHeight="1" x14ac:dyDescent="0.2">
      <c r="A35" s="226" t="s">
        <v>212</v>
      </c>
      <c r="B35" s="212" t="s">
        <v>217</v>
      </c>
      <c r="C35" s="131"/>
    </row>
    <row r="36" spans="1:3" s="49" customFormat="1" ht="12" customHeight="1" thickBot="1" x14ac:dyDescent="0.25">
      <c r="A36" s="227" t="s">
        <v>213</v>
      </c>
      <c r="B36" s="213" t="s">
        <v>218</v>
      </c>
      <c r="C36" s="133"/>
    </row>
    <row r="37" spans="1:3" s="49" customFormat="1" ht="12" customHeight="1" thickBot="1" x14ac:dyDescent="0.25">
      <c r="A37" s="26" t="s">
        <v>26</v>
      </c>
      <c r="B37" s="20" t="s">
        <v>454</v>
      </c>
      <c r="C37" s="130">
        <f>SUM(C38:C48)</f>
        <v>15502000</v>
      </c>
    </row>
    <row r="38" spans="1:3" s="49" customFormat="1" ht="12" customHeight="1" x14ac:dyDescent="0.2">
      <c r="A38" s="225" t="s">
        <v>93</v>
      </c>
      <c r="B38" s="211" t="s">
        <v>221</v>
      </c>
      <c r="C38" s="309">
        <v>12159000</v>
      </c>
    </row>
    <row r="39" spans="1:3" s="49" customFormat="1" ht="12" customHeight="1" x14ac:dyDescent="0.2">
      <c r="A39" s="226" t="s">
        <v>94</v>
      </c>
      <c r="B39" s="212" t="s">
        <v>222</v>
      </c>
      <c r="C39" s="285"/>
    </row>
    <row r="40" spans="1:3" s="49" customFormat="1" ht="12" customHeight="1" x14ac:dyDescent="0.2">
      <c r="A40" s="226" t="s">
        <v>95</v>
      </c>
      <c r="B40" s="212" t="s">
        <v>223</v>
      </c>
      <c r="C40" s="285"/>
    </row>
    <row r="41" spans="1:3" s="49" customFormat="1" ht="12" customHeight="1" x14ac:dyDescent="0.2">
      <c r="A41" s="226" t="s">
        <v>139</v>
      </c>
      <c r="B41" s="212" t="s">
        <v>224</v>
      </c>
      <c r="C41" s="115"/>
    </row>
    <row r="42" spans="1:3" s="49" customFormat="1" ht="12" customHeight="1" x14ac:dyDescent="0.2">
      <c r="A42" s="226" t="s">
        <v>140</v>
      </c>
      <c r="B42" s="212" t="s">
        <v>225</v>
      </c>
      <c r="C42" s="115"/>
    </row>
    <row r="43" spans="1:3" s="49" customFormat="1" ht="12" customHeight="1" x14ac:dyDescent="0.2">
      <c r="A43" s="226" t="s">
        <v>141</v>
      </c>
      <c r="B43" s="212" t="s">
        <v>226</v>
      </c>
      <c r="C43" s="115">
        <v>3283000</v>
      </c>
    </row>
    <row r="44" spans="1:3" s="49" customFormat="1" ht="12" customHeight="1" x14ac:dyDescent="0.2">
      <c r="A44" s="226" t="s">
        <v>142</v>
      </c>
      <c r="B44" s="212" t="s">
        <v>227</v>
      </c>
      <c r="C44" s="115"/>
    </row>
    <row r="45" spans="1:3" s="49" customFormat="1" ht="12" customHeight="1" x14ac:dyDescent="0.2">
      <c r="A45" s="226" t="s">
        <v>143</v>
      </c>
      <c r="B45" s="212" t="s">
        <v>228</v>
      </c>
      <c r="C45" s="115"/>
    </row>
    <row r="46" spans="1:3" s="49" customFormat="1" ht="12" customHeight="1" x14ac:dyDescent="0.2">
      <c r="A46" s="226" t="s">
        <v>219</v>
      </c>
      <c r="B46" s="212" t="s">
        <v>229</v>
      </c>
      <c r="C46" s="285"/>
    </row>
    <row r="47" spans="1:3" s="49" customFormat="1" ht="12" customHeight="1" x14ac:dyDescent="0.2">
      <c r="A47" s="227" t="s">
        <v>220</v>
      </c>
      <c r="B47" s="213" t="s">
        <v>455</v>
      </c>
      <c r="C47" s="289"/>
    </row>
    <row r="48" spans="1:3" s="49" customFormat="1" ht="12" customHeight="1" thickBot="1" x14ac:dyDescent="0.25">
      <c r="A48" s="227" t="s">
        <v>456</v>
      </c>
      <c r="B48" s="213" t="s">
        <v>230</v>
      </c>
      <c r="C48" s="289">
        <v>60000</v>
      </c>
    </row>
    <row r="49" spans="1:3" s="49" customFormat="1" ht="12" customHeight="1" thickBot="1" x14ac:dyDescent="0.25">
      <c r="A49" s="26" t="s">
        <v>27</v>
      </c>
      <c r="B49" s="20" t="s">
        <v>231</v>
      </c>
      <c r="C49" s="130">
        <f>SUM(C50:C54)</f>
        <v>0</v>
      </c>
    </row>
    <row r="50" spans="1:3" s="49" customFormat="1" ht="12" customHeight="1" x14ac:dyDescent="0.2">
      <c r="A50" s="225" t="s">
        <v>96</v>
      </c>
      <c r="B50" s="211" t="s">
        <v>235</v>
      </c>
      <c r="C50" s="132"/>
    </row>
    <row r="51" spans="1:3" s="49" customFormat="1" ht="12" customHeight="1" x14ac:dyDescent="0.2">
      <c r="A51" s="226" t="s">
        <v>97</v>
      </c>
      <c r="B51" s="212" t="s">
        <v>236</v>
      </c>
      <c r="C51" s="131"/>
    </row>
    <row r="52" spans="1:3" s="49" customFormat="1" ht="12" customHeight="1" x14ac:dyDescent="0.2">
      <c r="A52" s="226" t="s">
        <v>232</v>
      </c>
      <c r="B52" s="212" t="s">
        <v>237</v>
      </c>
      <c r="C52" s="131"/>
    </row>
    <row r="53" spans="1:3" s="49" customFormat="1" ht="12" customHeight="1" x14ac:dyDescent="0.2">
      <c r="A53" s="226" t="s">
        <v>233</v>
      </c>
      <c r="B53" s="212" t="s">
        <v>238</v>
      </c>
      <c r="C53" s="131"/>
    </row>
    <row r="54" spans="1:3" s="49" customFormat="1" ht="12" customHeight="1" thickBot="1" x14ac:dyDescent="0.25">
      <c r="A54" s="227" t="s">
        <v>234</v>
      </c>
      <c r="B54" s="213" t="s">
        <v>239</v>
      </c>
      <c r="C54" s="133"/>
    </row>
    <row r="55" spans="1:3" s="49" customFormat="1" ht="12" customHeight="1" thickBot="1" x14ac:dyDescent="0.25">
      <c r="A55" s="26" t="s">
        <v>144</v>
      </c>
      <c r="B55" s="20" t="s">
        <v>240</v>
      </c>
      <c r="C55" s="130">
        <f>SUM(C56:C58)</f>
        <v>1866000</v>
      </c>
    </row>
    <row r="56" spans="1:3" s="49" customFormat="1" ht="12" customHeight="1" x14ac:dyDescent="0.2">
      <c r="A56" s="225" t="s">
        <v>98</v>
      </c>
      <c r="B56" s="211" t="s">
        <v>241</v>
      </c>
      <c r="C56" s="132"/>
    </row>
    <row r="57" spans="1:3" s="49" customFormat="1" ht="12" customHeight="1" x14ac:dyDescent="0.2">
      <c r="A57" s="226" t="s">
        <v>99</v>
      </c>
      <c r="B57" s="212" t="s">
        <v>372</v>
      </c>
      <c r="C57" s="285">
        <f>300000+1566000</f>
        <v>1866000</v>
      </c>
    </row>
    <row r="58" spans="1:3" s="49" customFormat="1" ht="12" customHeight="1" x14ac:dyDescent="0.2">
      <c r="A58" s="226" t="s">
        <v>244</v>
      </c>
      <c r="B58" s="212" t="s">
        <v>242</v>
      </c>
      <c r="C58" s="131"/>
    </row>
    <row r="59" spans="1:3" s="49" customFormat="1" ht="12" customHeight="1" thickBot="1" x14ac:dyDescent="0.25">
      <c r="A59" s="227" t="s">
        <v>245</v>
      </c>
      <c r="B59" s="213" t="s">
        <v>243</v>
      </c>
      <c r="C59" s="133"/>
    </row>
    <row r="60" spans="1:3" s="49" customFormat="1" ht="12" customHeight="1" thickBot="1" x14ac:dyDescent="0.25">
      <c r="A60" s="26" t="s">
        <v>29</v>
      </c>
      <c r="B60" s="125" t="s">
        <v>246</v>
      </c>
      <c r="C60" s="130">
        <f>SUM(C61:C63)</f>
        <v>0</v>
      </c>
    </row>
    <row r="61" spans="1:3" s="49" customFormat="1" ht="12" customHeight="1" x14ac:dyDescent="0.2">
      <c r="A61" s="225" t="s">
        <v>145</v>
      </c>
      <c r="B61" s="211" t="s">
        <v>248</v>
      </c>
      <c r="C61" s="131"/>
    </row>
    <row r="62" spans="1:3" s="49" customFormat="1" ht="12" customHeight="1" x14ac:dyDescent="0.2">
      <c r="A62" s="226" t="s">
        <v>146</v>
      </c>
      <c r="B62" s="212" t="s">
        <v>373</v>
      </c>
      <c r="C62" s="131"/>
    </row>
    <row r="63" spans="1:3" s="49" customFormat="1" ht="12" customHeight="1" x14ac:dyDescent="0.2">
      <c r="A63" s="226" t="s">
        <v>171</v>
      </c>
      <c r="B63" s="212" t="s">
        <v>249</v>
      </c>
      <c r="C63" s="131"/>
    </row>
    <row r="64" spans="1:3" s="49" customFormat="1" ht="12" customHeight="1" thickBot="1" x14ac:dyDescent="0.25">
      <c r="A64" s="227" t="s">
        <v>247</v>
      </c>
      <c r="B64" s="213" t="s">
        <v>250</v>
      </c>
      <c r="C64" s="131"/>
    </row>
    <row r="65" spans="1:3" s="49" customFormat="1" ht="12" customHeight="1" thickBot="1" x14ac:dyDescent="0.25">
      <c r="A65" s="26" t="s">
        <v>30</v>
      </c>
      <c r="B65" s="20" t="s">
        <v>251</v>
      </c>
      <c r="C65" s="130">
        <f>+C8+C15+C22+C29+C37+C49+C55+C60</f>
        <v>342983923</v>
      </c>
    </row>
    <row r="66" spans="1:3" s="49" customFormat="1" ht="12" customHeight="1" thickBot="1" x14ac:dyDescent="0.2">
      <c r="A66" s="228" t="s">
        <v>341</v>
      </c>
      <c r="B66" s="125" t="s">
        <v>253</v>
      </c>
      <c r="C66" s="130">
        <f>SUM(C67:C69)</f>
        <v>0</v>
      </c>
    </row>
    <row r="67" spans="1:3" s="49" customFormat="1" ht="12" customHeight="1" x14ac:dyDescent="0.2">
      <c r="A67" s="225" t="s">
        <v>284</v>
      </c>
      <c r="B67" s="211" t="s">
        <v>254</v>
      </c>
      <c r="C67" s="131"/>
    </row>
    <row r="68" spans="1:3" s="49" customFormat="1" ht="12" customHeight="1" x14ac:dyDescent="0.2">
      <c r="A68" s="226" t="s">
        <v>293</v>
      </c>
      <c r="B68" s="212" t="s">
        <v>255</v>
      </c>
      <c r="C68" s="131"/>
    </row>
    <row r="69" spans="1:3" s="49" customFormat="1" ht="12" customHeight="1" thickBot="1" x14ac:dyDescent="0.25">
      <c r="A69" s="227" t="s">
        <v>294</v>
      </c>
      <c r="B69" s="214" t="s">
        <v>256</v>
      </c>
      <c r="C69" s="131"/>
    </row>
    <row r="70" spans="1:3" s="49" customFormat="1" ht="12" customHeight="1" thickBot="1" x14ac:dyDescent="0.2">
      <c r="A70" s="228" t="s">
        <v>257</v>
      </c>
      <c r="B70" s="125" t="s">
        <v>258</v>
      </c>
      <c r="C70" s="370">
        <f>SUM(C71:C74)</f>
        <v>0</v>
      </c>
    </row>
    <row r="71" spans="1:3" s="49" customFormat="1" ht="12" customHeight="1" x14ac:dyDescent="0.2">
      <c r="A71" s="225" t="s">
        <v>125</v>
      </c>
      <c r="B71" s="211" t="s">
        <v>259</v>
      </c>
      <c r="C71" s="131"/>
    </row>
    <row r="72" spans="1:3" s="49" customFormat="1" ht="12" customHeight="1" x14ac:dyDescent="0.2">
      <c r="A72" s="226" t="s">
        <v>126</v>
      </c>
      <c r="B72" s="212" t="s">
        <v>260</v>
      </c>
      <c r="C72" s="131"/>
    </row>
    <row r="73" spans="1:3" s="49" customFormat="1" ht="12" customHeight="1" x14ac:dyDescent="0.2">
      <c r="A73" s="226" t="s">
        <v>285</v>
      </c>
      <c r="B73" s="212" t="s">
        <v>261</v>
      </c>
      <c r="C73" s="131"/>
    </row>
    <row r="74" spans="1:3" s="49" customFormat="1" ht="12" customHeight="1" thickBot="1" x14ac:dyDescent="0.25">
      <c r="A74" s="227" t="s">
        <v>286</v>
      </c>
      <c r="B74" s="213" t="s">
        <v>262</v>
      </c>
      <c r="C74" s="131"/>
    </row>
    <row r="75" spans="1:3" s="49" customFormat="1" ht="12" customHeight="1" thickBot="1" x14ac:dyDescent="0.2">
      <c r="A75" s="228" t="s">
        <v>263</v>
      </c>
      <c r="B75" s="125" t="s">
        <v>264</v>
      </c>
      <c r="C75" s="370">
        <f>SUM(C76:C77)</f>
        <v>0</v>
      </c>
    </row>
    <row r="76" spans="1:3" s="49" customFormat="1" ht="12" customHeight="1" x14ac:dyDescent="0.2">
      <c r="A76" s="225" t="s">
        <v>287</v>
      </c>
      <c r="B76" s="211" t="s">
        <v>265</v>
      </c>
      <c r="C76" s="131"/>
    </row>
    <row r="77" spans="1:3" s="49" customFormat="1" ht="12" customHeight="1" thickBot="1" x14ac:dyDescent="0.25">
      <c r="A77" s="227" t="s">
        <v>288</v>
      </c>
      <c r="B77" s="213" t="s">
        <v>266</v>
      </c>
      <c r="C77" s="131"/>
    </row>
    <row r="78" spans="1:3" s="48" customFormat="1" ht="12" customHeight="1" thickBot="1" x14ac:dyDescent="0.2">
      <c r="A78" s="228" t="s">
        <v>267</v>
      </c>
      <c r="B78" s="125" t="s">
        <v>268</v>
      </c>
      <c r="C78" s="130">
        <f>SUM(C79:C81)</f>
        <v>0</v>
      </c>
    </row>
    <row r="79" spans="1:3" s="49" customFormat="1" ht="12" customHeight="1" x14ac:dyDescent="0.2">
      <c r="A79" s="225" t="s">
        <v>289</v>
      </c>
      <c r="B79" s="211" t="s">
        <v>269</v>
      </c>
      <c r="C79" s="131"/>
    </row>
    <row r="80" spans="1:3" s="49" customFormat="1" ht="12" customHeight="1" x14ac:dyDescent="0.2">
      <c r="A80" s="226" t="s">
        <v>290</v>
      </c>
      <c r="B80" s="212" t="s">
        <v>270</v>
      </c>
      <c r="C80" s="131"/>
    </row>
    <row r="81" spans="1:3" s="49" customFormat="1" ht="12" customHeight="1" thickBot="1" x14ac:dyDescent="0.25">
      <c r="A81" s="227" t="s">
        <v>291</v>
      </c>
      <c r="B81" s="213" t="s">
        <v>271</v>
      </c>
      <c r="C81" s="131"/>
    </row>
    <row r="82" spans="1:3" s="49" customFormat="1" ht="12" customHeight="1" thickBot="1" x14ac:dyDescent="0.2">
      <c r="A82" s="228" t="s">
        <v>272</v>
      </c>
      <c r="B82" s="125" t="s">
        <v>292</v>
      </c>
      <c r="C82" s="130">
        <f>SUM(C83:C86)</f>
        <v>0</v>
      </c>
    </row>
    <row r="83" spans="1:3" s="49" customFormat="1" ht="12" customHeight="1" x14ac:dyDescent="0.2">
      <c r="A83" s="229" t="s">
        <v>273</v>
      </c>
      <c r="B83" s="211" t="s">
        <v>274</v>
      </c>
      <c r="C83" s="131"/>
    </row>
    <row r="84" spans="1:3" s="49" customFormat="1" ht="12" customHeight="1" x14ac:dyDescent="0.2">
      <c r="A84" s="230" t="s">
        <v>275</v>
      </c>
      <c r="B84" s="212" t="s">
        <v>276</v>
      </c>
      <c r="C84" s="131"/>
    </row>
    <row r="85" spans="1:3" s="49" customFormat="1" ht="12" customHeight="1" x14ac:dyDescent="0.2">
      <c r="A85" s="230" t="s">
        <v>277</v>
      </c>
      <c r="B85" s="212" t="s">
        <v>278</v>
      </c>
      <c r="C85" s="131"/>
    </row>
    <row r="86" spans="1:3" s="48" customFormat="1" ht="12" customHeight="1" thickBot="1" x14ac:dyDescent="0.25">
      <c r="A86" s="231" t="s">
        <v>279</v>
      </c>
      <c r="B86" s="213" t="s">
        <v>280</v>
      </c>
      <c r="C86" s="131"/>
    </row>
    <row r="87" spans="1:3" s="48" customFormat="1" ht="12" customHeight="1" thickBot="1" x14ac:dyDescent="0.2">
      <c r="A87" s="228" t="s">
        <v>281</v>
      </c>
      <c r="B87" s="125" t="s">
        <v>459</v>
      </c>
      <c r="C87" s="250"/>
    </row>
    <row r="88" spans="1:3" s="48" customFormat="1" ht="12" customHeight="1" thickBot="1" x14ac:dyDescent="0.2">
      <c r="A88" s="228" t="s">
        <v>512</v>
      </c>
      <c r="B88" s="125" t="s">
        <v>282</v>
      </c>
      <c r="C88" s="250"/>
    </row>
    <row r="89" spans="1:3" s="48" customFormat="1" ht="12" customHeight="1" thickBot="1" x14ac:dyDescent="0.2">
      <c r="A89" s="228" t="s">
        <v>513</v>
      </c>
      <c r="B89" s="218" t="s">
        <v>460</v>
      </c>
      <c r="C89" s="130">
        <f>+C66+C70+C75+C78+C82+C88+C87</f>
        <v>0</v>
      </c>
    </row>
    <row r="90" spans="1:3" s="48" customFormat="1" ht="12" customHeight="1" thickBot="1" x14ac:dyDescent="0.2">
      <c r="A90" s="232" t="s">
        <v>514</v>
      </c>
      <c r="B90" s="219" t="s">
        <v>515</v>
      </c>
      <c r="C90" s="130">
        <f>+C65+C89</f>
        <v>342983923</v>
      </c>
    </row>
    <row r="91" spans="1:3" s="49" customFormat="1" ht="15" customHeight="1" thickBot="1" x14ac:dyDescent="0.25">
      <c r="A91" s="102"/>
      <c r="B91" s="103"/>
      <c r="C91" s="188"/>
    </row>
    <row r="92" spans="1:3" s="40" customFormat="1" ht="16.5" customHeight="1" thickBot="1" x14ac:dyDescent="0.25">
      <c r="A92" s="106"/>
      <c r="B92" s="107" t="s">
        <v>60</v>
      </c>
      <c r="C92" s="190"/>
    </row>
    <row r="93" spans="1:3" s="50" customFormat="1" ht="12" customHeight="1" thickBot="1" x14ac:dyDescent="0.25">
      <c r="A93" s="203" t="s">
        <v>22</v>
      </c>
      <c r="B93" s="25" t="s">
        <v>526</v>
      </c>
      <c r="C93" s="129">
        <f>+C94+C95+C96+C97+C98+C111</f>
        <v>95257070</v>
      </c>
    </row>
    <row r="94" spans="1:3" ht="12" customHeight="1" x14ac:dyDescent="0.2">
      <c r="A94" s="233" t="s">
        <v>100</v>
      </c>
      <c r="B94" s="9" t="s">
        <v>52</v>
      </c>
      <c r="C94" s="355">
        <f>75000+4401892+2491000</f>
        <v>6967892</v>
      </c>
    </row>
    <row r="95" spans="1:3" ht="12" customHeight="1" x14ac:dyDescent="0.2">
      <c r="A95" s="226" t="s">
        <v>101</v>
      </c>
      <c r="B95" s="7" t="s">
        <v>147</v>
      </c>
      <c r="C95" s="926">
        <f>13275+17258+773000+1015000+281135</f>
        <v>2099668</v>
      </c>
    </row>
    <row r="96" spans="1:3" ht="12" customHeight="1" x14ac:dyDescent="0.2">
      <c r="A96" s="226" t="s">
        <v>102</v>
      </c>
      <c r="B96" s="7" t="s">
        <v>123</v>
      </c>
      <c r="C96" s="928">
        <f>16099000+3082677+397000+194467+34200000+156511+2681000+3300000+44100-8245</f>
        <v>60146510</v>
      </c>
    </row>
    <row r="97" spans="1:3" ht="12" customHeight="1" x14ac:dyDescent="0.2">
      <c r="A97" s="226" t="s">
        <v>103</v>
      </c>
      <c r="B97" s="10" t="s">
        <v>148</v>
      </c>
      <c r="C97" s="289"/>
    </row>
    <row r="98" spans="1:3" ht="12" customHeight="1" x14ac:dyDescent="0.2">
      <c r="A98" s="226" t="s">
        <v>114</v>
      </c>
      <c r="B98" s="18" t="s">
        <v>149</v>
      </c>
      <c r="C98" s="289">
        <f>5950000+16000000+4093000</f>
        <v>26043000</v>
      </c>
    </row>
    <row r="99" spans="1:3" ht="12" customHeight="1" x14ac:dyDescent="0.2">
      <c r="A99" s="226" t="s">
        <v>104</v>
      </c>
      <c r="B99" s="7" t="s">
        <v>516</v>
      </c>
      <c r="C99" s="289"/>
    </row>
    <row r="100" spans="1:3" ht="12" customHeight="1" x14ac:dyDescent="0.2">
      <c r="A100" s="226" t="s">
        <v>105</v>
      </c>
      <c r="B100" s="72" t="s">
        <v>464</v>
      </c>
      <c r="C100" s="289"/>
    </row>
    <row r="101" spans="1:3" ht="12" customHeight="1" x14ac:dyDescent="0.2">
      <c r="A101" s="226" t="s">
        <v>115</v>
      </c>
      <c r="B101" s="72" t="s">
        <v>465</v>
      </c>
      <c r="C101" s="289"/>
    </row>
    <row r="102" spans="1:3" ht="12" customHeight="1" x14ac:dyDescent="0.2">
      <c r="A102" s="226" t="s">
        <v>116</v>
      </c>
      <c r="B102" s="72" t="s">
        <v>298</v>
      </c>
      <c r="C102" s="289"/>
    </row>
    <row r="103" spans="1:3" ht="12" customHeight="1" x14ac:dyDescent="0.2">
      <c r="A103" s="226" t="s">
        <v>117</v>
      </c>
      <c r="B103" s="73" t="s">
        <v>299</v>
      </c>
      <c r="C103" s="289"/>
    </row>
    <row r="104" spans="1:3" ht="12" customHeight="1" x14ac:dyDescent="0.2">
      <c r="A104" s="226" t="s">
        <v>118</v>
      </c>
      <c r="B104" s="73" t="s">
        <v>300</v>
      </c>
      <c r="C104" s="289"/>
    </row>
    <row r="105" spans="1:3" ht="12" customHeight="1" x14ac:dyDescent="0.2">
      <c r="A105" s="226" t="s">
        <v>120</v>
      </c>
      <c r="B105" s="72" t="s">
        <v>301</v>
      </c>
      <c r="C105" s="289"/>
    </row>
    <row r="106" spans="1:3" ht="12" customHeight="1" x14ac:dyDescent="0.2">
      <c r="A106" s="226" t="s">
        <v>150</v>
      </c>
      <c r="B106" s="72" t="s">
        <v>302</v>
      </c>
      <c r="C106" s="289"/>
    </row>
    <row r="107" spans="1:3" ht="12" customHeight="1" x14ac:dyDescent="0.2">
      <c r="A107" s="226" t="s">
        <v>296</v>
      </c>
      <c r="B107" s="73" t="s">
        <v>303</v>
      </c>
      <c r="C107" s="289"/>
    </row>
    <row r="108" spans="1:3" ht="12" customHeight="1" x14ac:dyDescent="0.2">
      <c r="A108" s="234" t="s">
        <v>297</v>
      </c>
      <c r="B108" s="74" t="s">
        <v>304</v>
      </c>
      <c r="C108" s="289"/>
    </row>
    <row r="109" spans="1:3" ht="12" customHeight="1" x14ac:dyDescent="0.2">
      <c r="A109" s="226" t="s">
        <v>466</v>
      </c>
      <c r="B109" s="74" t="s">
        <v>305</v>
      </c>
      <c r="C109" s="289"/>
    </row>
    <row r="110" spans="1:3" ht="12" customHeight="1" x14ac:dyDescent="0.2">
      <c r="A110" s="226" t="s">
        <v>467</v>
      </c>
      <c r="B110" s="73" t="s">
        <v>306</v>
      </c>
      <c r="C110" s="285">
        <f>5950000+16000000+4093000</f>
        <v>26043000</v>
      </c>
    </row>
    <row r="111" spans="1:3" ht="12" customHeight="1" x14ac:dyDescent="0.2">
      <c r="A111" s="226" t="s">
        <v>468</v>
      </c>
      <c r="B111" s="10" t="s">
        <v>53</v>
      </c>
      <c r="C111" s="134"/>
    </row>
    <row r="112" spans="1:3" ht="12" customHeight="1" x14ac:dyDescent="0.2">
      <c r="A112" s="227" t="s">
        <v>469</v>
      </c>
      <c r="B112" s="7" t="s">
        <v>517</v>
      </c>
      <c r="C112" s="133"/>
    </row>
    <row r="113" spans="1:3" ht="12" customHeight="1" thickBot="1" x14ac:dyDescent="0.25">
      <c r="A113" s="235" t="s">
        <v>471</v>
      </c>
      <c r="B113" s="75" t="s">
        <v>518</v>
      </c>
      <c r="C113" s="137"/>
    </row>
    <row r="114" spans="1:3" ht="12" customHeight="1" thickBot="1" x14ac:dyDescent="0.25">
      <c r="A114" s="26" t="s">
        <v>23</v>
      </c>
      <c r="B114" s="24" t="s">
        <v>307</v>
      </c>
      <c r="C114" s="130">
        <f>+C115+C117+C119</f>
        <v>13250673</v>
      </c>
    </row>
    <row r="115" spans="1:3" ht="12" customHeight="1" x14ac:dyDescent="0.2">
      <c r="A115" s="225" t="s">
        <v>106</v>
      </c>
      <c r="B115" s="7" t="s">
        <v>170</v>
      </c>
      <c r="C115" s="313">
        <f>12873483+377190</f>
        <v>13250673</v>
      </c>
    </row>
    <row r="116" spans="1:3" ht="12" customHeight="1" x14ac:dyDescent="0.2">
      <c r="A116" s="225" t="s">
        <v>107</v>
      </c>
      <c r="B116" s="11" t="s">
        <v>311</v>
      </c>
      <c r="C116" s="313">
        <v>12873483</v>
      </c>
    </row>
    <row r="117" spans="1:3" ht="12" customHeight="1" x14ac:dyDescent="0.2">
      <c r="A117" s="225" t="s">
        <v>108</v>
      </c>
      <c r="B117" s="11" t="s">
        <v>151</v>
      </c>
      <c r="C117" s="134"/>
    </row>
    <row r="118" spans="1:3" ht="12" customHeight="1" x14ac:dyDescent="0.2">
      <c r="A118" s="225" t="s">
        <v>109</v>
      </c>
      <c r="B118" s="11" t="s">
        <v>312</v>
      </c>
      <c r="C118" s="285"/>
    </row>
    <row r="119" spans="1:3" ht="12" customHeight="1" x14ac:dyDescent="0.2">
      <c r="A119" s="225" t="s">
        <v>110</v>
      </c>
      <c r="B119" s="127" t="s">
        <v>172</v>
      </c>
      <c r="C119" s="285"/>
    </row>
    <row r="120" spans="1:3" ht="12" customHeight="1" x14ac:dyDescent="0.2">
      <c r="A120" s="225" t="s">
        <v>119</v>
      </c>
      <c r="B120" s="126" t="s">
        <v>374</v>
      </c>
      <c r="C120" s="285"/>
    </row>
    <row r="121" spans="1:3" ht="12" customHeight="1" x14ac:dyDescent="0.2">
      <c r="A121" s="225" t="s">
        <v>121</v>
      </c>
      <c r="B121" s="207" t="s">
        <v>317</v>
      </c>
      <c r="C121" s="285"/>
    </row>
    <row r="122" spans="1:3" ht="12" customHeight="1" x14ac:dyDescent="0.2">
      <c r="A122" s="225" t="s">
        <v>152</v>
      </c>
      <c r="B122" s="73" t="s">
        <v>300</v>
      </c>
      <c r="C122" s="290"/>
    </row>
    <row r="123" spans="1:3" ht="12" customHeight="1" x14ac:dyDescent="0.2">
      <c r="A123" s="225" t="s">
        <v>153</v>
      </c>
      <c r="B123" s="73" t="s">
        <v>316</v>
      </c>
      <c r="C123" s="290"/>
    </row>
    <row r="124" spans="1:3" ht="12" customHeight="1" x14ac:dyDescent="0.2">
      <c r="A124" s="225" t="s">
        <v>154</v>
      </c>
      <c r="B124" s="73" t="s">
        <v>315</v>
      </c>
      <c r="C124" s="290"/>
    </row>
    <row r="125" spans="1:3" ht="12" customHeight="1" x14ac:dyDescent="0.2">
      <c r="A125" s="225" t="s">
        <v>308</v>
      </c>
      <c r="B125" s="73" t="s">
        <v>303</v>
      </c>
      <c r="C125" s="290"/>
    </row>
    <row r="126" spans="1:3" ht="12" customHeight="1" x14ac:dyDescent="0.2">
      <c r="A126" s="225" t="s">
        <v>309</v>
      </c>
      <c r="B126" s="73" t="s">
        <v>314</v>
      </c>
      <c r="C126" s="290"/>
    </row>
    <row r="127" spans="1:3" ht="12" customHeight="1" thickBot="1" x14ac:dyDescent="0.25">
      <c r="A127" s="234" t="s">
        <v>310</v>
      </c>
      <c r="B127" s="73" t="s">
        <v>313</v>
      </c>
      <c r="C127" s="289"/>
    </row>
    <row r="128" spans="1:3" ht="12" customHeight="1" thickBot="1" x14ac:dyDescent="0.25">
      <c r="A128" s="26" t="s">
        <v>24</v>
      </c>
      <c r="B128" s="68" t="s">
        <v>473</v>
      </c>
      <c r="C128" s="130">
        <f>+C93+C114</f>
        <v>108507743</v>
      </c>
    </row>
    <row r="129" spans="1:11" ht="12" customHeight="1" thickBot="1" x14ac:dyDescent="0.25">
      <c r="A129" s="26" t="s">
        <v>25</v>
      </c>
      <c r="B129" s="68" t="s">
        <v>474</v>
      </c>
      <c r="C129" s="130">
        <f>+C130+C131+C132</f>
        <v>4444000</v>
      </c>
    </row>
    <row r="130" spans="1:11" s="50" customFormat="1" ht="12" customHeight="1" x14ac:dyDescent="0.2">
      <c r="A130" s="225" t="s">
        <v>208</v>
      </c>
      <c r="B130" s="8" t="s">
        <v>519</v>
      </c>
      <c r="C130" s="285">
        <v>4444000</v>
      </c>
    </row>
    <row r="131" spans="1:11" ht="12" customHeight="1" x14ac:dyDescent="0.2">
      <c r="A131" s="225" t="s">
        <v>211</v>
      </c>
      <c r="B131" s="8" t="s">
        <v>476</v>
      </c>
      <c r="C131" s="115"/>
    </row>
    <row r="132" spans="1:11" ht="12" customHeight="1" thickBot="1" x14ac:dyDescent="0.25">
      <c r="A132" s="234" t="s">
        <v>212</v>
      </c>
      <c r="B132" s="6" t="s">
        <v>520</v>
      </c>
      <c r="C132" s="115"/>
    </row>
    <row r="133" spans="1:11" ht="12" customHeight="1" thickBot="1" x14ac:dyDescent="0.25">
      <c r="A133" s="26" t="s">
        <v>26</v>
      </c>
      <c r="B133" s="68" t="s">
        <v>478</v>
      </c>
      <c r="C133" s="130">
        <f>+C134+C135+C136+C137+C138+C139</f>
        <v>0</v>
      </c>
    </row>
    <row r="134" spans="1:11" ht="12" customHeight="1" x14ac:dyDescent="0.2">
      <c r="A134" s="225" t="s">
        <v>93</v>
      </c>
      <c r="B134" s="8" t="s">
        <v>479</v>
      </c>
      <c r="C134" s="115"/>
    </row>
    <row r="135" spans="1:11" ht="12" customHeight="1" x14ac:dyDescent="0.2">
      <c r="A135" s="225" t="s">
        <v>94</v>
      </c>
      <c r="B135" s="8" t="s">
        <v>480</v>
      </c>
      <c r="C135" s="115"/>
    </row>
    <row r="136" spans="1:11" ht="12" customHeight="1" x14ac:dyDescent="0.2">
      <c r="A136" s="225" t="s">
        <v>95</v>
      </c>
      <c r="B136" s="8" t="s">
        <v>481</v>
      </c>
      <c r="C136" s="115"/>
    </row>
    <row r="137" spans="1:11" ht="12" customHeight="1" x14ac:dyDescent="0.2">
      <c r="A137" s="225" t="s">
        <v>139</v>
      </c>
      <c r="B137" s="8" t="s">
        <v>521</v>
      </c>
      <c r="C137" s="115"/>
    </row>
    <row r="138" spans="1:11" ht="12" customHeight="1" x14ac:dyDescent="0.2">
      <c r="A138" s="225" t="s">
        <v>140</v>
      </c>
      <c r="B138" s="8" t="s">
        <v>483</v>
      </c>
      <c r="C138" s="115"/>
    </row>
    <row r="139" spans="1:11" s="50" customFormat="1" ht="12" customHeight="1" thickBot="1" x14ac:dyDescent="0.25">
      <c r="A139" s="234" t="s">
        <v>141</v>
      </c>
      <c r="B139" s="6" t="s">
        <v>484</v>
      </c>
      <c r="C139" s="115"/>
    </row>
    <row r="140" spans="1:11" ht="12" customHeight="1" thickBot="1" x14ac:dyDescent="0.25">
      <c r="A140" s="26" t="s">
        <v>27</v>
      </c>
      <c r="B140" s="68" t="s">
        <v>522</v>
      </c>
      <c r="C140" s="135">
        <f>+C141+C142+C144+C145+C143</f>
        <v>0</v>
      </c>
      <c r="K140" s="114"/>
    </row>
    <row r="141" spans="1:11" x14ac:dyDescent="0.2">
      <c r="A141" s="225" t="s">
        <v>96</v>
      </c>
      <c r="B141" s="8" t="s">
        <v>318</v>
      </c>
      <c r="C141" s="115"/>
    </row>
    <row r="142" spans="1:11" ht="12" customHeight="1" x14ac:dyDescent="0.2">
      <c r="A142" s="225" t="s">
        <v>97</v>
      </c>
      <c r="B142" s="8" t="s">
        <v>319</v>
      </c>
      <c r="C142" s="115"/>
    </row>
    <row r="143" spans="1:11" s="50" customFormat="1" ht="12" customHeight="1" x14ac:dyDescent="0.2">
      <c r="A143" s="225" t="s">
        <v>232</v>
      </c>
      <c r="B143" s="8" t="s">
        <v>523</v>
      </c>
      <c r="C143" s="115"/>
    </row>
    <row r="144" spans="1:11" s="50" customFormat="1" ht="12" customHeight="1" x14ac:dyDescent="0.2">
      <c r="A144" s="225" t="s">
        <v>233</v>
      </c>
      <c r="B144" s="8" t="s">
        <v>486</v>
      </c>
      <c r="C144" s="115"/>
    </row>
    <row r="145" spans="1:3" s="50" customFormat="1" ht="12" customHeight="1" thickBot="1" x14ac:dyDescent="0.25">
      <c r="A145" s="234" t="s">
        <v>234</v>
      </c>
      <c r="B145" s="6" t="s">
        <v>337</v>
      </c>
      <c r="C145" s="115"/>
    </row>
    <row r="146" spans="1:3" s="50" customFormat="1" ht="12" customHeight="1" thickBot="1" x14ac:dyDescent="0.25">
      <c r="A146" s="26" t="s">
        <v>28</v>
      </c>
      <c r="B146" s="68" t="s">
        <v>487</v>
      </c>
      <c r="C146" s="138">
        <f>+C147+C148+C149+C150+C151</f>
        <v>0</v>
      </c>
    </row>
    <row r="147" spans="1:3" s="50" customFormat="1" ht="12" customHeight="1" x14ac:dyDescent="0.2">
      <c r="A147" s="225" t="s">
        <v>98</v>
      </c>
      <c r="B147" s="8" t="s">
        <v>488</v>
      </c>
      <c r="C147" s="115"/>
    </row>
    <row r="148" spans="1:3" s="50" customFormat="1" ht="12" customHeight="1" x14ac:dyDescent="0.2">
      <c r="A148" s="225" t="s">
        <v>99</v>
      </c>
      <c r="B148" s="8" t="s">
        <v>489</v>
      </c>
      <c r="C148" s="115"/>
    </row>
    <row r="149" spans="1:3" s="50" customFormat="1" ht="12" customHeight="1" x14ac:dyDescent="0.2">
      <c r="A149" s="225" t="s">
        <v>244</v>
      </c>
      <c r="B149" s="8" t="s">
        <v>490</v>
      </c>
      <c r="C149" s="115"/>
    </row>
    <row r="150" spans="1:3" ht="12.75" customHeight="1" x14ac:dyDescent="0.2">
      <c r="A150" s="225" t="s">
        <v>245</v>
      </c>
      <c r="B150" s="8" t="s">
        <v>524</v>
      </c>
      <c r="C150" s="115"/>
    </row>
    <row r="151" spans="1:3" ht="12.75" customHeight="1" thickBot="1" x14ac:dyDescent="0.25">
      <c r="A151" s="234" t="s">
        <v>492</v>
      </c>
      <c r="B151" s="6" t="s">
        <v>493</v>
      </c>
      <c r="C151" s="116"/>
    </row>
    <row r="152" spans="1:3" ht="12.75" customHeight="1" thickBot="1" x14ac:dyDescent="0.25">
      <c r="A152" s="282" t="s">
        <v>29</v>
      </c>
      <c r="B152" s="68" t="s">
        <v>494</v>
      </c>
      <c r="C152" s="138"/>
    </row>
    <row r="153" spans="1:3" ht="12" customHeight="1" thickBot="1" x14ac:dyDescent="0.25">
      <c r="A153" s="282" t="s">
        <v>30</v>
      </c>
      <c r="B153" s="68" t="s">
        <v>495</v>
      </c>
      <c r="C153" s="138"/>
    </row>
    <row r="154" spans="1:3" ht="15" customHeight="1" thickBot="1" x14ac:dyDescent="0.25">
      <c r="A154" s="26" t="s">
        <v>31</v>
      </c>
      <c r="B154" s="68" t="s">
        <v>496</v>
      </c>
      <c r="C154" s="221">
        <f>+C129+C133+C140+C146+C152+C153</f>
        <v>4444000</v>
      </c>
    </row>
    <row r="155" spans="1:3" ht="13.5" thickBot="1" x14ac:dyDescent="0.25">
      <c r="A155" s="236" t="s">
        <v>32</v>
      </c>
      <c r="B155" s="196" t="s">
        <v>497</v>
      </c>
      <c r="C155" s="221">
        <f>+C128+C154</f>
        <v>112951743</v>
      </c>
    </row>
    <row r="156" spans="1:3" ht="15" customHeight="1" thickBot="1" x14ac:dyDescent="0.25"/>
    <row r="157" spans="1:3" ht="14.25" customHeight="1" thickBot="1" x14ac:dyDescent="0.25">
      <c r="A157" s="111" t="s">
        <v>525</v>
      </c>
      <c r="B157" s="112"/>
      <c r="C157" s="67"/>
    </row>
    <row r="158" spans="1:3" ht="13.5" thickBot="1" x14ac:dyDescent="0.25">
      <c r="A158" s="111" t="s">
        <v>165</v>
      </c>
      <c r="B158" s="112"/>
      <c r="C158" s="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4/2018.(III.29.)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tabSelected="1" view="pageLayout" topLeftCell="A43" zoomScaleNormal="115" workbookViewId="0">
      <selection activeCell="B107" sqref="B107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12.6640625" style="489" bestFit="1" customWidth="1"/>
    <col min="4" max="4" width="9.33203125" style="110" hidden="1" customWidth="1"/>
    <col min="5" max="5" width="10" style="585" hidden="1" customWidth="1"/>
    <col min="6" max="6" width="10.5" style="585" hidden="1" customWidth="1"/>
    <col min="7" max="16384" width="9.33203125" style="110"/>
  </cols>
  <sheetData>
    <row r="1" spans="1:6" s="89" customFormat="1" ht="21" customHeight="1" thickBot="1" x14ac:dyDescent="0.25">
      <c r="A1" s="88"/>
      <c r="B1" s="90"/>
      <c r="C1" s="243"/>
      <c r="E1" s="585"/>
      <c r="F1" s="585"/>
    </row>
    <row r="2" spans="1:6" s="244" customFormat="1" ht="36" customHeight="1" x14ac:dyDescent="0.2">
      <c r="A2" s="201" t="s">
        <v>163</v>
      </c>
      <c r="B2" s="179" t="s">
        <v>444</v>
      </c>
      <c r="C2" s="193" t="s">
        <v>63</v>
      </c>
      <c r="E2" s="586"/>
      <c r="F2" s="586"/>
    </row>
    <row r="3" spans="1:6" s="244" customFormat="1" ht="24.75" thickBot="1" x14ac:dyDescent="0.25">
      <c r="A3" s="237" t="s">
        <v>162</v>
      </c>
      <c r="B3" s="180" t="s">
        <v>345</v>
      </c>
      <c r="C3" s="194" t="s">
        <v>56</v>
      </c>
      <c r="E3" s="586"/>
      <c r="F3" s="586"/>
    </row>
    <row r="4" spans="1:6" s="245" customFormat="1" ht="15.95" customHeight="1" thickBot="1" x14ac:dyDescent="0.3">
      <c r="A4" s="92"/>
      <c r="B4" s="92"/>
      <c r="C4" s="93" t="s">
        <v>572</v>
      </c>
      <c r="E4" s="586"/>
      <c r="F4" s="586"/>
    </row>
    <row r="5" spans="1:6" ht="13.5" thickBot="1" x14ac:dyDescent="0.25">
      <c r="A5" s="202" t="s">
        <v>164</v>
      </c>
      <c r="B5" s="94" t="s">
        <v>57</v>
      </c>
      <c r="C5" s="95" t="s">
        <v>58</v>
      </c>
    </row>
    <row r="6" spans="1:6" s="246" customFormat="1" ht="12.95" customHeight="1" thickBot="1" x14ac:dyDescent="0.25">
      <c r="A6" s="84" t="s">
        <v>446</v>
      </c>
      <c r="B6" s="85" t="s">
        <v>447</v>
      </c>
      <c r="C6" s="86" t="s">
        <v>448</v>
      </c>
      <c r="E6" s="587"/>
      <c r="F6" s="587"/>
    </row>
    <row r="7" spans="1:6" s="246" customFormat="1" ht="15.95" customHeight="1" thickBot="1" x14ac:dyDescent="0.25">
      <c r="A7" s="96"/>
      <c r="B7" s="97" t="s">
        <v>59</v>
      </c>
      <c r="C7" s="98"/>
      <c r="E7" s="587"/>
      <c r="F7" s="587"/>
    </row>
    <row r="8" spans="1:6" s="195" customFormat="1" ht="12" customHeight="1" thickBot="1" x14ac:dyDescent="0.25">
      <c r="A8" s="84" t="s">
        <v>22</v>
      </c>
      <c r="B8" s="99" t="s">
        <v>528</v>
      </c>
      <c r="C8" s="144">
        <f>SUM(C9:C19)</f>
        <v>8986898</v>
      </c>
      <c r="E8" s="588" t="e">
        <f>'9.2.1. sz. mell'!C8+#REF!+'9.2.3. sz. mell.'!C8</f>
        <v>#REF!</v>
      </c>
      <c r="F8" s="588" t="e">
        <f t="shared" ref="F8:F42" si="0">C8-E8</f>
        <v>#REF!</v>
      </c>
    </row>
    <row r="9" spans="1:6" s="195" customFormat="1" ht="12" customHeight="1" x14ac:dyDescent="0.2">
      <c r="A9" s="238" t="s">
        <v>100</v>
      </c>
      <c r="B9" s="9" t="s">
        <v>221</v>
      </c>
      <c r="C9" s="184"/>
      <c r="E9" s="588" t="e">
        <f>'9.2.1. sz. mell'!C9+#REF!+'9.2.3. sz. mell.'!C9</f>
        <v>#REF!</v>
      </c>
      <c r="F9" s="588" t="e">
        <f t="shared" si="0"/>
        <v>#REF!</v>
      </c>
    </row>
    <row r="10" spans="1:6" s="195" customFormat="1" ht="12" customHeight="1" x14ac:dyDescent="0.2">
      <c r="A10" s="239" t="s">
        <v>101</v>
      </c>
      <c r="B10" s="7" t="s">
        <v>222</v>
      </c>
      <c r="C10" s="44">
        <v>6228440</v>
      </c>
      <c r="E10" s="588" t="e">
        <f>'9.2.1. sz. mell'!C10+#REF!+'9.2.3. sz. mell.'!C10</f>
        <v>#REF!</v>
      </c>
      <c r="F10" s="588" t="e">
        <f t="shared" si="0"/>
        <v>#REF!</v>
      </c>
    </row>
    <row r="11" spans="1:6" s="195" customFormat="1" ht="12" customHeight="1" x14ac:dyDescent="0.2">
      <c r="A11" s="239" t="s">
        <v>102</v>
      </c>
      <c r="B11" s="7" t="s">
        <v>223</v>
      </c>
      <c r="C11" s="896">
        <f>300000+52200</f>
        <v>352200</v>
      </c>
      <c r="E11" s="588" t="e">
        <f>'9.2.1. sz. mell'!C11+#REF!+'9.2.3. sz. mell.'!C11</f>
        <v>#REF!</v>
      </c>
      <c r="F11" s="588" t="e">
        <f t="shared" si="0"/>
        <v>#REF!</v>
      </c>
    </row>
    <row r="12" spans="1:6" s="195" customFormat="1" ht="12" customHeight="1" x14ac:dyDescent="0.2">
      <c r="A12" s="239" t="s">
        <v>103</v>
      </c>
      <c r="B12" s="7" t="s">
        <v>224</v>
      </c>
      <c r="C12" s="44"/>
      <c r="E12" s="588" t="e">
        <f>'9.2.1. sz. mell'!C12+#REF!+'9.2.3. sz. mell.'!C12</f>
        <v>#REF!</v>
      </c>
      <c r="F12" s="588" t="e">
        <f t="shared" si="0"/>
        <v>#REF!</v>
      </c>
    </row>
    <row r="13" spans="1:6" s="195" customFormat="1" ht="12" customHeight="1" x14ac:dyDescent="0.2">
      <c r="A13" s="239" t="s">
        <v>124</v>
      </c>
      <c r="B13" s="7" t="s">
        <v>225</v>
      </c>
      <c r="C13" s="44"/>
      <c r="E13" s="588" t="e">
        <f>'9.2.1. sz. mell'!C13+#REF!+'9.2.3. sz. mell.'!C13</f>
        <v>#REF!</v>
      </c>
      <c r="F13" s="588" t="e">
        <f t="shared" si="0"/>
        <v>#REF!</v>
      </c>
    </row>
    <row r="14" spans="1:6" s="195" customFormat="1" ht="12" customHeight="1" x14ac:dyDescent="0.2">
      <c r="A14" s="239" t="s">
        <v>104</v>
      </c>
      <c r="B14" s="7" t="s">
        <v>346</v>
      </c>
      <c r="C14" s="896">
        <f>1791000+14094</f>
        <v>1805094</v>
      </c>
      <c r="E14" s="588" t="e">
        <f>'9.2.1. sz. mell'!C14+#REF!+'9.2.3. sz. mell.'!C14</f>
        <v>#REF!</v>
      </c>
      <c r="F14" s="588" t="e">
        <f t="shared" si="0"/>
        <v>#REF!</v>
      </c>
    </row>
    <row r="15" spans="1:6" s="195" customFormat="1" ht="12" customHeight="1" x14ac:dyDescent="0.2">
      <c r="A15" s="239" t="s">
        <v>105</v>
      </c>
      <c r="B15" s="6" t="s">
        <v>347</v>
      </c>
      <c r="C15" s="44"/>
      <c r="E15" s="588" t="e">
        <f>'9.2.1. sz. mell'!C15+#REF!+'9.2.3. sz. mell.'!C15</f>
        <v>#REF!</v>
      </c>
      <c r="F15" s="588" t="e">
        <f t="shared" si="0"/>
        <v>#REF!</v>
      </c>
    </row>
    <row r="16" spans="1:6" s="195" customFormat="1" ht="12" customHeight="1" x14ac:dyDescent="0.2">
      <c r="A16" s="239" t="s">
        <v>115</v>
      </c>
      <c r="B16" s="7" t="s">
        <v>228</v>
      </c>
      <c r="C16" s="145"/>
      <c r="E16" s="588" t="e">
        <f>'9.2.1. sz. mell'!C16+#REF!+'9.2.3. sz. mell.'!C16</f>
        <v>#REF!</v>
      </c>
      <c r="F16" s="588" t="e">
        <f t="shared" si="0"/>
        <v>#REF!</v>
      </c>
    </row>
    <row r="17" spans="1:6" s="247" customFormat="1" ht="12" customHeight="1" x14ac:dyDescent="0.2">
      <c r="A17" s="239" t="s">
        <v>116</v>
      </c>
      <c r="B17" s="7" t="s">
        <v>229</v>
      </c>
      <c r="C17" s="142"/>
      <c r="E17" s="588" t="e">
        <f>'9.2.1. sz. mell'!C17+#REF!+'9.2.3. sz. mell.'!C17</f>
        <v>#REF!</v>
      </c>
      <c r="F17" s="588" t="e">
        <f t="shared" si="0"/>
        <v>#REF!</v>
      </c>
    </row>
    <row r="18" spans="1:6" s="247" customFormat="1" ht="12" customHeight="1" x14ac:dyDescent="0.2">
      <c r="A18" s="239" t="s">
        <v>117</v>
      </c>
      <c r="B18" s="7" t="s">
        <v>455</v>
      </c>
      <c r="C18" s="143"/>
      <c r="E18" s="588" t="e">
        <f>'9.2.1. sz. mell'!C18+#REF!+'9.2.3. sz. mell.'!C18</f>
        <v>#REF!</v>
      </c>
      <c r="F18" s="588" t="e">
        <f t="shared" si="0"/>
        <v>#REF!</v>
      </c>
    </row>
    <row r="19" spans="1:6" s="247" customFormat="1" ht="12" customHeight="1" thickBot="1" x14ac:dyDescent="0.25">
      <c r="A19" s="239" t="s">
        <v>118</v>
      </c>
      <c r="B19" s="6" t="s">
        <v>230</v>
      </c>
      <c r="C19" s="929">
        <f>100000+501164</f>
        <v>601164</v>
      </c>
      <c r="E19" s="588" t="e">
        <f>'9.2.1. sz. mell'!C19+#REF!+'9.2.3. sz. mell.'!C19</f>
        <v>#REF!</v>
      </c>
      <c r="F19" s="588" t="e">
        <f t="shared" si="0"/>
        <v>#REF!</v>
      </c>
    </row>
    <row r="20" spans="1:6" s="195" customFormat="1" ht="12" customHeight="1" thickBot="1" x14ac:dyDescent="0.25">
      <c r="A20" s="84" t="s">
        <v>23</v>
      </c>
      <c r="B20" s="99" t="s">
        <v>348</v>
      </c>
      <c r="C20" s="144">
        <f>SUM(C21:C23)</f>
        <v>2751795</v>
      </c>
      <c r="E20" s="588" t="e">
        <f>'9.2.1. sz. mell'!C20+#REF!+'9.2.3. sz. mell.'!C20</f>
        <v>#REF!</v>
      </c>
      <c r="F20" s="588" t="e">
        <f t="shared" si="0"/>
        <v>#REF!</v>
      </c>
    </row>
    <row r="21" spans="1:6" s="247" customFormat="1" ht="12" customHeight="1" x14ac:dyDescent="0.2">
      <c r="A21" s="239" t="s">
        <v>106</v>
      </c>
      <c r="B21" s="8" t="s">
        <v>198</v>
      </c>
      <c r="C21" s="142"/>
      <c r="E21" s="588" t="e">
        <f>'9.2.1. sz. mell'!C21+#REF!+'9.2.3. sz. mell.'!C21</f>
        <v>#REF!</v>
      </c>
      <c r="F21" s="588" t="e">
        <f t="shared" si="0"/>
        <v>#REF!</v>
      </c>
    </row>
    <row r="22" spans="1:6" s="247" customFormat="1" ht="12" customHeight="1" x14ac:dyDescent="0.2">
      <c r="A22" s="239" t="s">
        <v>107</v>
      </c>
      <c r="B22" s="7" t="s">
        <v>349</v>
      </c>
      <c r="C22" s="142"/>
      <c r="E22" s="588" t="e">
        <f>'9.2.1. sz. mell'!C22+#REF!+'9.2.3. sz. mell.'!C22</f>
        <v>#REF!</v>
      </c>
      <c r="F22" s="588" t="e">
        <f t="shared" si="0"/>
        <v>#REF!</v>
      </c>
    </row>
    <row r="23" spans="1:6" s="247" customFormat="1" ht="12" customHeight="1" x14ac:dyDescent="0.2">
      <c r="A23" s="239" t="s">
        <v>108</v>
      </c>
      <c r="B23" s="7" t="s">
        <v>350</v>
      </c>
      <c r="C23" s="896">
        <f>3096237-344442</f>
        <v>2751795</v>
      </c>
      <c r="E23" s="588" t="e">
        <f>'9.2.1. sz. mell'!C23+#REF!+'9.2.3. sz. mell.'!C23</f>
        <v>#REF!</v>
      </c>
      <c r="F23" s="588" t="e">
        <f t="shared" si="0"/>
        <v>#REF!</v>
      </c>
    </row>
    <row r="24" spans="1:6" s="247" customFormat="1" ht="12" customHeight="1" thickBot="1" x14ac:dyDescent="0.25">
      <c r="A24" s="239" t="s">
        <v>109</v>
      </c>
      <c r="B24" s="7" t="s">
        <v>529</v>
      </c>
      <c r="C24" s="142"/>
      <c r="E24" s="588" t="e">
        <f>'9.2.1. sz. mell'!C24+#REF!+'9.2.3. sz. mell.'!C24</f>
        <v>#REF!</v>
      </c>
      <c r="F24" s="588" t="e">
        <f t="shared" si="0"/>
        <v>#REF!</v>
      </c>
    </row>
    <row r="25" spans="1:6" s="247" customFormat="1" ht="12" customHeight="1" thickBot="1" x14ac:dyDescent="0.25">
      <c r="A25" s="87" t="s">
        <v>24</v>
      </c>
      <c r="B25" s="68" t="s">
        <v>138</v>
      </c>
      <c r="C25" s="169"/>
      <c r="E25" s="588" t="e">
        <f>'9.2.1. sz. mell'!C25+#REF!+'9.2.3. sz. mell.'!C25</f>
        <v>#REF!</v>
      </c>
      <c r="F25" s="588" t="e">
        <f t="shared" si="0"/>
        <v>#REF!</v>
      </c>
    </row>
    <row r="26" spans="1:6" s="247" customFormat="1" ht="12" customHeight="1" thickBot="1" x14ac:dyDescent="0.25">
      <c r="A26" s="87" t="s">
        <v>25</v>
      </c>
      <c r="B26" s="68" t="s">
        <v>530</v>
      </c>
      <c r="C26" s="144">
        <f>+C27+C28+C29</f>
        <v>0</v>
      </c>
      <c r="E26" s="588" t="e">
        <f>'9.2.1. sz. mell'!C26+#REF!+'9.2.3. sz. mell.'!C26</f>
        <v>#REF!</v>
      </c>
      <c r="F26" s="588" t="e">
        <f t="shared" si="0"/>
        <v>#REF!</v>
      </c>
    </row>
    <row r="27" spans="1:6" s="247" customFormat="1" ht="12" customHeight="1" x14ac:dyDescent="0.2">
      <c r="A27" s="240" t="s">
        <v>208</v>
      </c>
      <c r="B27" s="241" t="s">
        <v>203</v>
      </c>
      <c r="C27" s="42"/>
      <c r="E27" s="588" t="e">
        <f>'9.2.1. sz. mell'!C27+#REF!+'9.2.3. sz. mell.'!C27</f>
        <v>#REF!</v>
      </c>
      <c r="F27" s="588" t="e">
        <f t="shared" si="0"/>
        <v>#REF!</v>
      </c>
    </row>
    <row r="28" spans="1:6" s="247" customFormat="1" ht="12" customHeight="1" x14ac:dyDescent="0.2">
      <c r="A28" s="240" t="s">
        <v>211</v>
      </c>
      <c r="B28" s="241" t="s">
        <v>349</v>
      </c>
      <c r="C28" s="142"/>
      <c r="E28" s="588" t="e">
        <f>'9.2.1. sz. mell'!C28+#REF!+'9.2.3. sz. mell.'!C28</f>
        <v>#REF!</v>
      </c>
      <c r="F28" s="588" t="e">
        <f t="shared" si="0"/>
        <v>#REF!</v>
      </c>
    </row>
    <row r="29" spans="1:6" s="247" customFormat="1" ht="12" customHeight="1" x14ac:dyDescent="0.2">
      <c r="A29" s="240" t="s">
        <v>212</v>
      </c>
      <c r="B29" s="242" t="s">
        <v>351</v>
      </c>
      <c r="C29" s="142"/>
      <c r="E29" s="588" t="e">
        <f>'9.2.1. sz. mell'!C29+#REF!+'9.2.3. sz. mell.'!C29</f>
        <v>#REF!</v>
      </c>
      <c r="F29" s="588" t="e">
        <f t="shared" si="0"/>
        <v>#REF!</v>
      </c>
    </row>
    <row r="30" spans="1:6" s="247" customFormat="1" ht="12" customHeight="1" thickBot="1" x14ac:dyDescent="0.25">
      <c r="A30" s="239" t="s">
        <v>213</v>
      </c>
      <c r="B30" s="71" t="s">
        <v>531</v>
      </c>
      <c r="C30" s="45"/>
      <c r="E30" s="588" t="e">
        <f>'9.2.1. sz. mell'!C30+#REF!+'9.2.3. sz. mell.'!C30</f>
        <v>#REF!</v>
      </c>
      <c r="F30" s="588" t="e">
        <f t="shared" si="0"/>
        <v>#REF!</v>
      </c>
    </row>
    <row r="31" spans="1:6" s="247" customFormat="1" ht="12" customHeight="1" thickBot="1" x14ac:dyDescent="0.25">
      <c r="A31" s="87" t="s">
        <v>26</v>
      </c>
      <c r="B31" s="68" t="s">
        <v>352</v>
      </c>
      <c r="C31" s="144">
        <f>+C32+C33+C34</f>
        <v>0</v>
      </c>
      <c r="E31" s="588" t="e">
        <f>'9.2.1. sz. mell'!C31+#REF!+'9.2.3. sz. mell.'!C31</f>
        <v>#REF!</v>
      </c>
      <c r="F31" s="588" t="e">
        <f t="shared" si="0"/>
        <v>#REF!</v>
      </c>
    </row>
    <row r="32" spans="1:6" s="247" customFormat="1" ht="12" customHeight="1" x14ac:dyDescent="0.2">
      <c r="A32" s="240" t="s">
        <v>93</v>
      </c>
      <c r="B32" s="241" t="s">
        <v>235</v>
      </c>
      <c r="C32" s="42"/>
      <c r="E32" s="588" t="e">
        <f>'9.2.1. sz. mell'!C32+#REF!+'9.2.3. sz. mell.'!C32</f>
        <v>#REF!</v>
      </c>
      <c r="F32" s="588" t="e">
        <f t="shared" si="0"/>
        <v>#REF!</v>
      </c>
    </row>
    <row r="33" spans="1:6" s="247" customFormat="1" ht="12" customHeight="1" x14ac:dyDescent="0.2">
      <c r="A33" s="240" t="s">
        <v>94</v>
      </c>
      <c r="B33" s="242" t="s">
        <v>236</v>
      </c>
      <c r="C33" s="145"/>
      <c r="E33" s="588" t="e">
        <f>'9.2.1. sz. mell'!C33+#REF!+'9.2.3. sz. mell.'!C33</f>
        <v>#REF!</v>
      </c>
      <c r="F33" s="588" t="e">
        <f t="shared" si="0"/>
        <v>#REF!</v>
      </c>
    </row>
    <row r="34" spans="1:6" s="247" customFormat="1" ht="12" customHeight="1" thickBot="1" x14ac:dyDescent="0.25">
      <c r="A34" s="239" t="s">
        <v>95</v>
      </c>
      <c r="B34" s="71" t="s">
        <v>237</v>
      </c>
      <c r="C34" s="45"/>
      <c r="E34" s="588" t="e">
        <f>'9.2.1. sz. mell'!C34+#REF!+'9.2.3. sz. mell.'!C34</f>
        <v>#REF!</v>
      </c>
      <c r="F34" s="588" t="e">
        <f t="shared" si="0"/>
        <v>#REF!</v>
      </c>
    </row>
    <row r="35" spans="1:6" s="195" customFormat="1" ht="12" customHeight="1" thickBot="1" x14ac:dyDescent="0.25">
      <c r="A35" s="87" t="s">
        <v>27</v>
      </c>
      <c r="B35" s="68" t="s">
        <v>323</v>
      </c>
      <c r="C35" s="169"/>
      <c r="E35" s="588" t="e">
        <f>'9.2.1. sz. mell'!C35+#REF!+'9.2.3. sz. mell.'!C35</f>
        <v>#REF!</v>
      </c>
      <c r="F35" s="588" t="e">
        <f t="shared" si="0"/>
        <v>#REF!</v>
      </c>
    </row>
    <row r="36" spans="1:6" s="195" customFormat="1" ht="12" customHeight="1" thickBot="1" x14ac:dyDescent="0.25">
      <c r="A36" s="87" t="s">
        <v>28</v>
      </c>
      <c r="B36" s="68" t="s">
        <v>353</v>
      </c>
      <c r="C36" s="186"/>
      <c r="E36" s="588" t="e">
        <f>'9.2.1. sz. mell'!C36+#REF!+'9.2.3. sz. mell.'!C36</f>
        <v>#REF!</v>
      </c>
      <c r="F36" s="588" t="e">
        <f t="shared" si="0"/>
        <v>#REF!</v>
      </c>
    </row>
    <row r="37" spans="1:6" s="195" customFormat="1" ht="12" customHeight="1" thickBot="1" x14ac:dyDescent="0.25">
      <c r="A37" s="84" t="s">
        <v>29</v>
      </c>
      <c r="B37" s="68" t="s">
        <v>354</v>
      </c>
      <c r="C37" s="187">
        <f>+C8+C20+C25+C26+C31+C35+C36</f>
        <v>11738693</v>
      </c>
      <c r="E37" s="588" t="e">
        <f>'9.2.1. sz. mell'!C37+#REF!+'9.2.3. sz. mell.'!C37</f>
        <v>#REF!</v>
      </c>
      <c r="F37" s="588" t="e">
        <f t="shared" si="0"/>
        <v>#REF!</v>
      </c>
    </row>
    <row r="38" spans="1:6" s="195" customFormat="1" ht="12" customHeight="1" thickBot="1" x14ac:dyDescent="0.25">
      <c r="A38" s="100" t="s">
        <v>30</v>
      </c>
      <c r="B38" s="68" t="s">
        <v>355</v>
      </c>
      <c r="C38" s="187">
        <f>+C39+C40+C41</f>
        <v>231366577</v>
      </c>
      <c r="E38" s="588" t="e">
        <f>'9.2.1. sz. mell'!C38+#REF!+'9.2.3. sz. mell.'!C38</f>
        <v>#REF!</v>
      </c>
      <c r="F38" s="588" t="e">
        <f t="shared" si="0"/>
        <v>#REF!</v>
      </c>
    </row>
    <row r="39" spans="1:6" s="195" customFormat="1" ht="12" customHeight="1" x14ac:dyDescent="0.2">
      <c r="A39" s="240" t="s">
        <v>356</v>
      </c>
      <c r="B39" s="241" t="s">
        <v>179</v>
      </c>
      <c r="C39" s="42">
        <v>3148853</v>
      </c>
      <c r="E39" s="588" t="e">
        <f>'9.2.1. sz. mell'!C39+#REF!+'9.2.3. sz. mell.'!C39</f>
        <v>#REF!</v>
      </c>
      <c r="F39" s="588" t="e">
        <f t="shared" si="0"/>
        <v>#REF!</v>
      </c>
    </row>
    <row r="40" spans="1:6" s="195" customFormat="1" ht="12" customHeight="1" x14ac:dyDescent="0.2">
      <c r="A40" s="240" t="s">
        <v>357</v>
      </c>
      <c r="B40" s="242" t="s">
        <v>11</v>
      </c>
      <c r="C40" s="145"/>
      <c r="E40" s="588" t="e">
        <f>'9.2.1. sz. mell'!C40+#REF!+'9.2.3. sz. mell.'!C40</f>
        <v>#REF!</v>
      </c>
      <c r="F40" s="588" t="e">
        <f t="shared" si="0"/>
        <v>#REF!</v>
      </c>
    </row>
    <row r="41" spans="1:6" s="247" customFormat="1" ht="12" customHeight="1" thickBot="1" x14ac:dyDescent="0.25">
      <c r="A41" s="239" t="s">
        <v>358</v>
      </c>
      <c r="B41" s="71" t="s">
        <v>359</v>
      </c>
      <c r="C41" s="45">
        <v>228217724</v>
      </c>
      <c r="E41" s="588" t="e">
        <f>'9.2.1. sz. mell'!C41+#REF!+'9.2.3. sz. mell.'!C41</f>
        <v>#REF!</v>
      </c>
      <c r="F41" s="588" t="e">
        <f t="shared" si="0"/>
        <v>#REF!</v>
      </c>
    </row>
    <row r="42" spans="1:6" s="247" customFormat="1" ht="15" customHeight="1" thickBot="1" x14ac:dyDescent="0.25">
      <c r="A42" s="100" t="s">
        <v>31</v>
      </c>
      <c r="B42" s="101" t="s">
        <v>360</v>
      </c>
      <c r="C42" s="190">
        <f>+C37+C38</f>
        <v>243105270</v>
      </c>
      <c r="E42" s="588" t="e">
        <f>'9.2.1. sz. mell'!C42+#REF!+'9.2.3. sz. mell.'!C42</f>
        <v>#REF!</v>
      </c>
      <c r="F42" s="588" t="e">
        <f t="shared" si="0"/>
        <v>#REF!</v>
      </c>
    </row>
    <row r="43" spans="1:6" s="247" customFormat="1" ht="15" customHeight="1" x14ac:dyDescent="0.2">
      <c r="A43" s="102"/>
      <c r="B43" s="103"/>
      <c r="C43" s="188"/>
      <c r="E43" s="588" t="e">
        <f>'9.2.1. sz. mell'!C43+#REF!+'9.2.3. sz. mell.'!C43</f>
        <v>#REF!</v>
      </c>
      <c r="F43" s="585"/>
    </row>
    <row r="44" spans="1:6" ht="13.5" thickBot="1" x14ac:dyDescent="0.25">
      <c r="A44" s="104"/>
      <c r="B44" s="105"/>
      <c r="C44" s="189"/>
      <c r="E44" s="588" t="e">
        <f>'9.2.1. sz. mell'!C44+#REF!+'9.2.3. sz. mell.'!C44</f>
        <v>#REF!</v>
      </c>
    </row>
    <row r="45" spans="1:6" s="246" customFormat="1" ht="16.5" customHeight="1" thickBot="1" x14ac:dyDescent="0.25">
      <c r="A45" s="106"/>
      <c r="B45" s="107" t="s">
        <v>60</v>
      </c>
      <c r="C45" s="190"/>
      <c r="E45" s="588" t="e">
        <f>'9.2.1. sz. mell'!C45+#REF!+'9.2.3. sz. mell.'!C45</f>
        <v>#REF!</v>
      </c>
      <c r="F45" s="587"/>
    </row>
    <row r="46" spans="1:6" s="248" customFormat="1" ht="12" customHeight="1" thickBot="1" x14ac:dyDescent="0.25">
      <c r="A46" s="87" t="s">
        <v>22</v>
      </c>
      <c r="B46" s="68" t="s">
        <v>361</v>
      </c>
      <c r="C46" s="144">
        <f>SUM(C47:C51)</f>
        <v>238185290</v>
      </c>
      <c r="E46" s="588" t="e">
        <f>'9.2.1. sz. mell'!C46+#REF!+'9.2.3. sz. mell.'!C46</f>
        <v>#REF!</v>
      </c>
      <c r="F46" s="588" t="e">
        <f t="shared" ref="F46:F58" si="1">C46-E46</f>
        <v>#REF!</v>
      </c>
    </row>
    <row r="47" spans="1:6" ht="12" customHeight="1" x14ac:dyDescent="0.2">
      <c r="A47" s="239" t="s">
        <v>100</v>
      </c>
      <c r="B47" s="8" t="s">
        <v>52</v>
      </c>
      <c r="C47" s="895">
        <f>139878591-175365-569836</f>
        <v>139133390</v>
      </c>
      <c r="E47" s="588" t="e">
        <f>'9.2.1. sz. mell'!C47+#REF!+'9.2.3. sz. mell.'!C47</f>
        <v>#REF!</v>
      </c>
      <c r="F47" s="588" t="e">
        <f t="shared" si="1"/>
        <v>#REF!</v>
      </c>
    </row>
    <row r="48" spans="1:6" ht="12" customHeight="1" x14ac:dyDescent="0.2">
      <c r="A48" s="239" t="s">
        <v>101</v>
      </c>
      <c r="B48" s="7" t="s">
        <v>147</v>
      </c>
      <c r="C48" s="896">
        <f>29776525-18991+3298+98926-416745</f>
        <v>29443013</v>
      </c>
      <c r="E48" s="588" t="e">
        <f>'9.2.1. sz. mell'!C48+#REF!+'9.2.3. sz. mell.'!C48</f>
        <v>#REF!</v>
      </c>
      <c r="F48" s="588" t="e">
        <f t="shared" si="1"/>
        <v>#REF!</v>
      </c>
    </row>
    <row r="49" spans="1:10" ht="12" customHeight="1" x14ac:dyDescent="0.2">
      <c r="A49" s="239" t="s">
        <v>102</v>
      </c>
      <c r="B49" s="7" t="s">
        <v>123</v>
      </c>
      <c r="C49" s="896">
        <f>45442679-83792</f>
        <v>45358887</v>
      </c>
      <c r="E49" s="588" t="e">
        <f>'9.2.1. sz. mell'!C49+#REF!+'9.2.3. sz. mell.'!C49</f>
        <v>#REF!</v>
      </c>
      <c r="F49" s="588" t="e">
        <f t="shared" si="1"/>
        <v>#REF!</v>
      </c>
    </row>
    <row r="50" spans="1:10" ht="12" customHeight="1" x14ac:dyDescent="0.2">
      <c r="A50" s="239" t="s">
        <v>103</v>
      </c>
      <c r="B50" s="7" t="s">
        <v>148</v>
      </c>
      <c r="C50" s="44">
        <v>24250000</v>
      </c>
      <c r="E50" s="588" t="e">
        <f>'9.2.1. sz. mell'!C50+#REF!+'9.2.3. sz. mell.'!C50</f>
        <v>#REF!</v>
      </c>
      <c r="F50" s="588" t="e">
        <f t="shared" si="1"/>
        <v>#REF!</v>
      </c>
    </row>
    <row r="51" spans="1:10" ht="12" customHeight="1" thickBot="1" x14ac:dyDescent="0.25">
      <c r="A51" s="239" t="s">
        <v>124</v>
      </c>
      <c r="B51" s="7" t="s">
        <v>149</v>
      </c>
      <c r="C51" s="44"/>
      <c r="E51" s="588" t="e">
        <f>'9.2.1. sz. mell'!C51+#REF!+'9.2.3. sz. mell.'!C51</f>
        <v>#REF!</v>
      </c>
      <c r="F51" s="588" t="e">
        <f t="shared" si="1"/>
        <v>#REF!</v>
      </c>
    </row>
    <row r="52" spans="1:10" ht="12" customHeight="1" thickBot="1" x14ac:dyDescent="0.25">
      <c r="A52" s="87" t="s">
        <v>23</v>
      </c>
      <c r="B52" s="68" t="s">
        <v>362</v>
      </c>
      <c r="C52" s="144">
        <f>SUM(C53:C55)</f>
        <v>4919980</v>
      </c>
      <c r="E52" s="588" t="e">
        <f>'9.2.1. sz. mell'!C52+#REF!+'9.2.3. sz. mell.'!C52</f>
        <v>#REF!</v>
      </c>
      <c r="F52" s="588" t="e">
        <f t="shared" si="1"/>
        <v>#REF!</v>
      </c>
    </row>
    <row r="53" spans="1:10" s="248" customFormat="1" ht="12" customHeight="1" x14ac:dyDescent="0.2">
      <c r="A53" s="239" t="s">
        <v>106</v>
      </c>
      <c r="B53" s="8" t="s">
        <v>170</v>
      </c>
      <c r="C53" s="42">
        <v>4919980</v>
      </c>
      <c r="E53" s="588" t="e">
        <f>'9.2.1. sz. mell'!C53+#REF!+'9.2.3. sz. mell.'!C53</f>
        <v>#REF!</v>
      </c>
      <c r="F53" s="588" t="e">
        <f t="shared" si="1"/>
        <v>#REF!</v>
      </c>
    </row>
    <row r="54" spans="1:10" ht="12" customHeight="1" x14ac:dyDescent="0.2">
      <c r="A54" s="239" t="s">
        <v>107</v>
      </c>
      <c r="B54" s="7" t="s">
        <v>151</v>
      </c>
      <c r="C54" s="44"/>
      <c r="E54" s="588" t="e">
        <f>'9.2.1. sz. mell'!C54+#REF!+'9.2.3. sz. mell.'!C54</f>
        <v>#REF!</v>
      </c>
      <c r="F54" s="588" t="e">
        <f t="shared" si="1"/>
        <v>#REF!</v>
      </c>
    </row>
    <row r="55" spans="1:10" ht="12" customHeight="1" x14ac:dyDescent="0.2">
      <c r="A55" s="239" t="s">
        <v>108</v>
      </c>
      <c r="B55" s="7" t="s">
        <v>61</v>
      </c>
      <c r="C55" s="44"/>
      <c r="E55" s="588" t="e">
        <f>'9.2.1. sz. mell'!C55+#REF!+'9.2.3. sz. mell.'!C55</f>
        <v>#REF!</v>
      </c>
      <c r="F55" s="588" t="e">
        <f t="shared" si="1"/>
        <v>#REF!</v>
      </c>
    </row>
    <row r="56" spans="1:10" ht="12" customHeight="1" thickBot="1" x14ac:dyDescent="0.25">
      <c r="A56" s="239" t="s">
        <v>109</v>
      </c>
      <c r="B56" s="7" t="s">
        <v>532</v>
      </c>
      <c r="C56" s="44"/>
      <c r="E56" s="588" t="e">
        <f>'9.2.1. sz. mell'!C56+#REF!+'9.2.3. sz. mell.'!C56</f>
        <v>#REF!</v>
      </c>
      <c r="F56" s="588" t="e">
        <f t="shared" si="1"/>
        <v>#REF!</v>
      </c>
    </row>
    <row r="57" spans="1:10" ht="12" customHeight="1" thickBot="1" x14ac:dyDescent="0.25">
      <c r="A57" s="87" t="s">
        <v>24</v>
      </c>
      <c r="B57" s="68" t="s">
        <v>18</v>
      </c>
      <c r="C57" s="169"/>
      <c r="E57" s="588" t="e">
        <f>'9.2.1. sz. mell'!C57+#REF!+'9.2.3. sz. mell.'!C57</f>
        <v>#REF!</v>
      </c>
      <c r="F57" s="588" t="e">
        <f t="shared" si="1"/>
        <v>#REF!</v>
      </c>
    </row>
    <row r="58" spans="1:10" ht="15" customHeight="1" thickBot="1" x14ac:dyDescent="0.25">
      <c r="A58" s="87" t="s">
        <v>25</v>
      </c>
      <c r="B58" s="108" t="s">
        <v>533</v>
      </c>
      <c r="C58" s="191">
        <f>+C46+C52+C57</f>
        <v>243105270</v>
      </c>
      <c r="E58" s="588" t="e">
        <f>'9.2.1. sz. mell'!C58+#REF!+'9.2.3. sz. mell.'!C58</f>
        <v>#REF!</v>
      </c>
      <c r="F58" s="588" t="e">
        <f t="shared" si="1"/>
        <v>#REF!</v>
      </c>
    </row>
    <row r="59" spans="1:10" ht="13.5" thickBot="1" x14ac:dyDescent="0.25">
      <c r="C59" s="488"/>
      <c r="E59" s="588" t="e">
        <f>'9.2.1. sz. mell'!C59+#REF!+'9.2.3. sz. mell.'!C59</f>
        <v>#REF!</v>
      </c>
      <c r="F59" s="589"/>
    </row>
    <row r="60" spans="1:10" ht="15" customHeight="1" thickBot="1" x14ac:dyDescent="0.25">
      <c r="A60" s="111" t="s">
        <v>525</v>
      </c>
      <c r="B60" s="112"/>
      <c r="C60" s="590">
        <v>46</v>
      </c>
      <c r="E60" s="588" t="e">
        <f>'9.2.1. sz. mell'!C60+#REF!+'9.2.3. sz. mell.'!C60</f>
        <v>#REF!</v>
      </c>
      <c r="F60" s="588" t="e">
        <f>C60-E60</f>
        <v>#REF!</v>
      </c>
    </row>
    <row r="61" spans="1:10" ht="14.25" customHeight="1" thickBot="1" x14ac:dyDescent="0.25">
      <c r="A61" s="111" t="s">
        <v>165</v>
      </c>
      <c r="B61" s="112"/>
      <c r="C61" s="67"/>
      <c r="E61" s="588" t="e">
        <f>'9.2.1. sz. mell'!C61+#REF!+'9.2.3. sz. mell.'!C61</f>
        <v>#REF!</v>
      </c>
      <c r="F61" s="588" t="e">
        <f>C61-E61</f>
        <v>#REF!</v>
      </c>
    </row>
    <row r="62" spans="1:10" x14ac:dyDescent="0.2">
      <c r="J62" s="698"/>
    </row>
    <row r="66" spans="4:4" x14ac:dyDescent="0.2">
      <c r="D66" s="6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mellékleta 4/2018.(III.29.) önkormányzati rendelethez</oddHead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A72" zoomScaleNormal="130" workbookViewId="0">
      <selection activeCell="B73" sqref="B73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110" customWidth="1"/>
    <col min="4" max="16384" width="9.33203125" style="110"/>
  </cols>
  <sheetData>
    <row r="1" spans="1:3" s="89" customFormat="1" ht="21" customHeight="1" thickBot="1" x14ac:dyDescent="0.25">
      <c r="A1" s="88"/>
      <c r="B1" s="90"/>
      <c r="C1" s="243"/>
    </row>
    <row r="2" spans="1:3" s="244" customFormat="1" ht="35.25" customHeight="1" x14ac:dyDescent="0.2">
      <c r="A2" s="201" t="s">
        <v>163</v>
      </c>
      <c r="B2" s="179" t="s">
        <v>527</v>
      </c>
      <c r="C2" s="193" t="s">
        <v>63</v>
      </c>
    </row>
    <row r="3" spans="1:3" s="244" customFormat="1" ht="24.75" thickBot="1" x14ac:dyDescent="0.25">
      <c r="A3" s="237" t="s">
        <v>162</v>
      </c>
      <c r="B3" s="180" t="s">
        <v>363</v>
      </c>
      <c r="C3" s="194" t="s">
        <v>63</v>
      </c>
    </row>
    <row r="4" spans="1:3" s="245" customFormat="1" ht="15.95" customHeight="1" thickBot="1" x14ac:dyDescent="0.3">
      <c r="A4" s="92"/>
      <c r="B4" s="92"/>
      <c r="C4" s="93" t="s">
        <v>572</v>
      </c>
    </row>
    <row r="5" spans="1:3" ht="13.5" thickBot="1" x14ac:dyDescent="0.25">
      <c r="A5" s="202" t="s">
        <v>164</v>
      </c>
      <c r="B5" s="94" t="s">
        <v>57</v>
      </c>
      <c r="C5" s="9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86" t="s">
        <v>448</v>
      </c>
    </row>
    <row r="7" spans="1:3" s="246" customFormat="1" ht="15.95" customHeight="1" thickBot="1" x14ac:dyDescent="0.25">
      <c r="A7" s="96"/>
      <c r="B7" s="97" t="s">
        <v>59</v>
      </c>
      <c r="C7" s="98"/>
    </row>
    <row r="8" spans="1:3" s="195" customFormat="1" ht="12" customHeight="1" thickBot="1" x14ac:dyDescent="0.25">
      <c r="A8" s="84" t="s">
        <v>22</v>
      </c>
      <c r="B8" s="99" t="s">
        <v>528</v>
      </c>
      <c r="C8" s="144">
        <f>SUM(C9:C19)</f>
        <v>2071734</v>
      </c>
    </row>
    <row r="9" spans="1:3" s="195" customFormat="1" ht="12" customHeight="1" x14ac:dyDescent="0.2">
      <c r="A9" s="238" t="s">
        <v>100</v>
      </c>
      <c r="B9" s="9" t="s">
        <v>221</v>
      </c>
      <c r="C9" s="184"/>
    </row>
    <row r="10" spans="1:3" s="195" customFormat="1" ht="12" customHeight="1" x14ac:dyDescent="0.2">
      <c r="A10" s="239" t="s">
        <v>101</v>
      </c>
      <c r="B10" s="7" t="s">
        <v>222</v>
      </c>
      <c r="C10" s="142">
        <f>1198440+380000</f>
        <v>1578440</v>
      </c>
    </row>
    <row r="11" spans="1:3" s="195" customFormat="1" ht="12" customHeight="1" x14ac:dyDescent="0.2">
      <c r="A11" s="239" t="s">
        <v>102</v>
      </c>
      <c r="B11" s="7" t="s">
        <v>223</v>
      </c>
      <c r="C11" s="896">
        <f>52200</f>
        <v>52200</v>
      </c>
    </row>
    <row r="12" spans="1:3" s="195" customFormat="1" ht="12" customHeight="1" x14ac:dyDescent="0.2">
      <c r="A12" s="239" t="s">
        <v>103</v>
      </c>
      <c r="B12" s="7" t="s">
        <v>224</v>
      </c>
      <c r="C12" s="142"/>
    </row>
    <row r="13" spans="1:3" s="195" customFormat="1" ht="12" customHeight="1" x14ac:dyDescent="0.2">
      <c r="A13" s="239" t="s">
        <v>124</v>
      </c>
      <c r="B13" s="7" t="s">
        <v>225</v>
      </c>
      <c r="C13" s="142"/>
    </row>
    <row r="14" spans="1:3" s="195" customFormat="1" ht="12" customHeight="1" x14ac:dyDescent="0.2">
      <c r="A14" s="239" t="s">
        <v>104</v>
      </c>
      <c r="B14" s="7" t="s">
        <v>346</v>
      </c>
      <c r="C14" s="896">
        <f>324000+103000+14094</f>
        <v>441094</v>
      </c>
    </row>
    <row r="15" spans="1:3" s="195" customFormat="1" ht="12" customHeight="1" x14ac:dyDescent="0.2">
      <c r="A15" s="239" t="s">
        <v>105</v>
      </c>
      <c r="B15" s="6" t="s">
        <v>347</v>
      </c>
      <c r="C15" s="142"/>
    </row>
    <row r="16" spans="1:3" s="195" customFormat="1" ht="12" customHeight="1" x14ac:dyDescent="0.2">
      <c r="A16" s="239" t="s">
        <v>115</v>
      </c>
      <c r="B16" s="7" t="s">
        <v>228</v>
      </c>
      <c r="C16" s="185"/>
    </row>
    <row r="17" spans="1:3" s="247" customFormat="1" ht="12" customHeight="1" x14ac:dyDescent="0.2">
      <c r="A17" s="239" t="s">
        <v>116</v>
      </c>
      <c r="B17" s="7" t="s">
        <v>229</v>
      </c>
      <c r="C17" s="142"/>
    </row>
    <row r="18" spans="1:3" s="247" customFormat="1" ht="12" customHeight="1" x14ac:dyDescent="0.2">
      <c r="A18" s="239" t="s">
        <v>117</v>
      </c>
      <c r="B18" s="7" t="s">
        <v>455</v>
      </c>
      <c r="C18" s="143"/>
    </row>
    <row r="19" spans="1:3" s="247" customFormat="1" ht="12" customHeight="1" thickBot="1" x14ac:dyDescent="0.25">
      <c r="A19" s="239" t="s">
        <v>118</v>
      </c>
      <c r="B19" s="6" t="s">
        <v>230</v>
      </c>
      <c r="C19" s="143"/>
    </row>
    <row r="20" spans="1:3" s="195" customFormat="1" ht="12" customHeight="1" thickBot="1" x14ac:dyDescent="0.25">
      <c r="A20" s="84" t="s">
        <v>23</v>
      </c>
      <c r="B20" s="99" t="s">
        <v>348</v>
      </c>
      <c r="C20" s="144">
        <f>SUM(C21:C23)</f>
        <v>2751795</v>
      </c>
    </row>
    <row r="21" spans="1:3" s="247" customFormat="1" ht="12" customHeight="1" x14ac:dyDescent="0.2">
      <c r="A21" s="239" t="s">
        <v>106</v>
      </c>
      <c r="B21" s="8" t="s">
        <v>198</v>
      </c>
      <c r="C21" s="142"/>
    </row>
    <row r="22" spans="1:3" s="247" customFormat="1" ht="12" customHeight="1" x14ac:dyDescent="0.2">
      <c r="A22" s="239" t="s">
        <v>107</v>
      </c>
      <c r="B22" s="7" t="s">
        <v>349</v>
      </c>
      <c r="C22" s="142"/>
    </row>
    <row r="23" spans="1:3" s="247" customFormat="1" ht="12" customHeight="1" x14ac:dyDescent="0.2">
      <c r="A23" s="239" t="s">
        <v>108</v>
      </c>
      <c r="B23" s="7" t="s">
        <v>350</v>
      </c>
      <c r="C23" s="896">
        <f>3096237-344442</f>
        <v>2751795</v>
      </c>
    </row>
    <row r="24" spans="1:3" s="247" customFormat="1" ht="12" customHeight="1" thickBot="1" x14ac:dyDescent="0.25">
      <c r="A24" s="239" t="s">
        <v>109</v>
      </c>
      <c r="B24" s="7" t="s">
        <v>529</v>
      </c>
      <c r="C24" s="142"/>
    </row>
    <row r="25" spans="1:3" s="247" customFormat="1" ht="12" customHeight="1" thickBot="1" x14ac:dyDescent="0.25">
      <c r="A25" s="87" t="s">
        <v>24</v>
      </c>
      <c r="B25" s="68" t="s">
        <v>138</v>
      </c>
      <c r="C25" s="169"/>
    </row>
    <row r="26" spans="1:3" s="247" customFormat="1" ht="12" customHeight="1" thickBot="1" x14ac:dyDescent="0.25">
      <c r="A26" s="87" t="s">
        <v>25</v>
      </c>
      <c r="B26" s="68" t="s">
        <v>530</v>
      </c>
      <c r="C26" s="144">
        <f>+C27+C28+C29</f>
        <v>0</v>
      </c>
    </row>
    <row r="27" spans="1:3" s="247" customFormat="1" ht="12" customHeight="1" x14ac:dyDescent="0.2">
      <c r="A27" s="240" t="s">
        <v>208</v>
      </c>
      <c r="B27" s="241" t="s">
        <v>203</v>
      </c>
      <c r="C27" s="42"/>
    </row>
    <row r="28" spans="1:3" s="247" customFormat="1" ht="12" customHeight="1" x14ac:dyDescent="0.2">
      <c r="A28" s="240" t="s">
        <v>211</v>
      </c>
      <c r="B28" s="241" t="s">
        <v>349</v>
      </c>
      <c r="C28" s="142"/>
    </row>
    <row r="29" spans="1:3" s="247" customFormat="1" ht="12" customHeight="1" x14ac:dyDescent="0.2">
      <c r="A29" s="240" t="s">
        <v>212</v>
      </c>
      <c r="B29" s="242" t="s">
        <v>351</v>
      </c>
      <c r="C29" s="142"/>
    </row>
    <row r="30" spans="1:3" s="247" customFormat="1" ht="12" customHeight="1" thickBot="1" x14ac:dyDescent="0.25">
      <c r="A30" s="239" t="s">
        <v>213</v>
      </c>
      <c r="B30" s="71" t="s">
        <v>531</v>
      </c>
      <c r="C30" s="45"/>
    </row>
    <row r="31" spans="1:3" s="247" customFormat="1" ht="12" customHeight="1" thickBot="1" x14ac:dyDescent="0.25">
      <c r="A31" s="87" t="s">
        <v>26</v>
      </c>
      <c r="B31" s="68" t="s">
        <v>352</v>
      </c>
      <c r="C31" s="144">
        <f>+C32+C33+C34</f>
        <v>0</v>
      </c>
    </row>
    <row r="32" spans="1:3" s="247" customFormat="1" ht="12" customHeight="1" x14ac:dyDescent="0.2">
      <c r="A32" s="240" t="s">
        <v>93</v>
      </c>
      <c r="B32" s="241" t="s">
        <v>235</v>
      </c>
      <c r="C32" s="42"/>
    </row>
    <row r="33" spans="1:3" s="247" customFormat="1" ht="12" customHeight="1" x14ac:dyDescent="0.2">
      <c r="A33" s="240" t="s">
        <v>94</v>
      </c>
      <c r="B33" s="242" t="s">
        <v>236</v>
      </c>
      <c r="C33" s="145"/>
    </row>
    <row r="34" spans="1:3" s="247" customFormat="1" ht="12" customHeight="1" thickBot="1" x14ac:dyDescent="0.25">
      <c r="A34" s="239" t="s">
        <v>95</v>
      </c>
      <c r="B34" s="71" t="s">
        <v>237</v>
      </c>
      <c r="C34" s="45"/>
    </row>
    <row r="35" spans="1:3" s="195" customFormat="1" ht="12" customHeight="1" thickBot="1" x14ac:dyDescent="0.25">
      <c r="A35" s="87" t="s">
        <v>27</v>
      </c>
      <c r="B35" s="68" t="s">
        <v>323</v>
      </c>
      <c r="C35" s="169"/>
    </row>
    <row r="36" spans="1:3" s="195" customFormat="1" ht="12" customHeight="1" thickBot="1" x14ac:dyDescent="0.25">
      <c r="A36" s="87" t="s">
        <v>28</v>
      </c>
      <c r="B36" s="68" t="s">
        <v>353</v>
      </c>
      <c r="C36" s="186"/>
    </row>
    <row r="37" spans="1:3" s="195" customFormat="1" ht="12" customHeight="1" thickBot="1" x14ac:dyDescent="0.25">
      <c r="A37" s="84" t="s">
        <v>29</v>
      </c>
      <c r="B37" s="68" t="s">
        <v>354</v>
      </c>
      <c r="C37" s="187">
        <f>+C8+C20+C25+C26+C31+C35+C36</f>
        <v>4823529</v>
      </c>
    </row>
    <row r="38" spans="1:3" s="195" customFormat="1" ht="12" customHeight="1" thickBot="1" x14ac:dyDescent="0.25">
      <c r="A38" s="100" t="s">
        <v>30</v>
      </c>
      <c r="B38" s="68" t="s">
        <v>355</v>
      </c>
      <c r="C38" s="187">
        <f>+C39+C40+C41</f>
        <v>23655984</v>
      </c>
    </row>
    <row r="39" spans="1:3" s="195" customFormat="1" ht="12" customHeight="1" x14ac:dyDescent="0.2">
      <c r="A39" s="240" t="s">
        <v>356</v>
      </c>
      <c r="B39" s="241" t="s">
        <v>179</v>
      </c>
      <c r="C39" s="42">
        <v>3148853</v>
      </c>
    </row>
    <row r="40" spans="1:3" s="195" customFormat="1" ht="12" customHeight="1" x14ac:dyDescent="0.2">
      <c r="A40" s="240" t="s">
        <v>357</v>
      </c>
      <c r="B40" s="242" t="s">
        <v>11</v>
      </c>
      <c r="C40" s="145"/>
    </row>
    <row r="41" spans="1:3" s="247" customFormat="1" ht="12" customHeight="1" thickBot="1" x14ac:dyDescent="0.25">
      <c r="A41" s="239" t="s">
        <v>358</v>
      </c>
      <c r="B41" s="71" t="s">
        <v>359</v>
      </c>
      <c r="C41" s="899">
        <f>20503833+3298</f>
        <v>20507131</v>
      </c>
    </row>
    <row r="42" spans="1:3" s="247" customFormat="1" ht="15" customHeight="1" thickBot="1" x14ac:dyDescent="0.25">
      <c r="A42" s="100" t="s">
        <v>31</v>
      </c>
      <c r="B42" s="101" t="s">
        <v>360</v>
      </c>
      <c r="C42" s="190">
        <f>+C37+C38</f>
        <v>28479513</v>
      </c>
    </row>
    <row r="43" spans="1:3" s="247" customFormat="1" ht="15" customHeight="1" x14ac:dyDescent="0.2">
      <c r="A43" s="102"/>
      <c r="B43" s="103"/>
      <c r="C43" s="188"/>
    </row>
    <row r="44" spans="1:3" ht="13.5" thickBot="1" x14ac:dyDescent="0.25">
      <c r="A44" s="104"/>
      <c r="B44" s="105"/>
      <c r="C44" s="189"/>
    </row>
    <row r="45" spans="1:3" s="246" customFormat="1" ht="16.5" customHeight="1" thickBot="1" x14ac:dyDescent="0.25">
      <c r="A45" s="106"/>
      <c r="B45" s="107" t="s">
        <v>60</v>
      </c>
      <c r="C45" s="190"/>
    </row>
    <row r="46" spans="1:3" s="248" customFormat="1" ht="12" customHeight="1" thickBot="1" x14ac:dyDescent="0.25">
      <c r="A46" s="87" t="s">
        <v>22</v>
      </c>
      <c r="B46" s="68" t="s">
        <v>361</v>
      </c>
      <c r="C46" s="144">
        <f>SUM(C47:C51)</f>
        <v>28479513</v>
      </c>
    </row>
    <row r="47" spans="1:3" ht="12" customHeight="1" x14ac:dyDescent="0.2">
      <c r="A47" s="239" t="s">
        <v>100</v>
      </c>
      <c r="B47" s="8" t="s">
        <v>52</v>
      </c>
      <c r="C47" s="895">
        <f>481000+2215000-175365</f>
        <v>2520635</v>
      </c>
    </row>
    <row r="48" spans="1:3" ht="12" customHeight="1" x14ac:dyDescent="0.2">
      <c r="A48" s="239" t="s">
        <v>101</v>
      </c>
      <c r="B48" s="7" t="s">
        <v>147</v>
      </c>
      <c r="C48" s="896">
        <f>114000+461687-18991+3298</f>
        <v>559994</v>
      </c>
    </row>
    <row r="49" spans="1:3" ht="12" customHeight="1" x14ac:dyDescent="0.2">
      <c r="A49" s="239" t="s">
        <v>102</v>
      </c>
      <c r="B49" s="7" t="s">
        <v>123</v>
      </c>
      <c r="C49" s="896">
        <f>324000+352000+137126+419550-83792</f>
        <v>1148884</v>
      </c>
    </row>
    <row r="50" spans="1:3" ht="12" customHeight="1" x14ac:dyDescent="0.2">
      <c r="A50" s="239" t="s">
        <v>103</v>
      </c>
      <c r="B50" s="7" t="s">
        <v>148</v>
      </c>
      <c r="C50" s="44">
        <v>24250000</v>
      </c>
    </row>
    <row r="51" spans="1:3" ht="12" customHeight="1" thickBot="1" x14ac:dyDescent="0.25">
      <c r="A51" s="239" t="s">
        <v>124</v>
      </c>
      <c r="B51" s="7" t="s">
        <v>149</v>
      </c>
      <c r="C51" s="44"/>
    </row>
    <row r="52" spans="1:3" ht="12" customHeight="1" thickBot="1" x14ac:dyDescent="0.25">
      <c r="A52" s="87" t="s">
        <v>23</v>
      </c>
      <c r="B52" s="68" t="s">
        <v>362</v>
      </c>
      <c r="C52" s="144">
        <f>SUM(C53:C55)</f>
        <v>0</v>
      </c>
    </row>
    <row r="53" spans="1:3" s="248" customFormat="1" ht="12" customHeight="1" x14ac:dyDescent="0.2">
      <c r="A53" s="239" t="s">
        <v>106</v>
      </c>
      <c r="B53" s="8" t="s">
        <v>170</v>
      </c>
      <c r="C53" s="42"/>
    </row>
    <row r="54" spans="1:3" ht="12" customHeight="1" x14ac:dyDescent="0.2">
      <c r="A54" s="239" t="s">
        <v>107</v>
      </c>
      <c r="B54" s="7" t="s">
        <v>151</v>
      </c>
      <c r="C54" s="44"/>
    </row>
    <row r="55" spans="1:3" ht="12" customHeight="1" x14ac:dyDescent="0.2">
      <c r="A55" s="239" t="s">
        <v>108</v>
      </c>
      <c r="B55" s="7" t="s">
        <v>61</v>
      </c>
      <c r="C55" s="44"/>
    </row>
    <row r="56" spans="1:3" ht="12" customHeight="1" thickBot="1" x14ac:dyDescent="0.25">
      <c r="A56" s="239" t="s">
        <v>109</v>
      </c>
      <c r="B56" s="7" t="s">
        <v>532</v>
      </c>
      <c r="C56" s="44"/>
    </row>
    <row r="57" spans="1:3" ht="15" customHeight="1" thickBot="1" x14ac:dyDescent="0.25">
      <c r="A57" s="87" t="s">
        <v>24</v>
      </c>
      <c r="B57" s="68" t="s">
        <v>18</v>
      </c>
      <c r="C57" s="169"/>
    </row>
    <row r="58" spans="1:3" ht="13.5" thickBot="1" x14ac:dyDescent="0.25">
      <c r="A58" s="87" t="s">
        <v>25</v>
      </c>
      <c r="B58" s="108" t="s">
        <v>533</v>
      </c>
      <c r="C58" s="191">
        <f>+C46+C52+C57</f>
        <v>28479513</v>
      </c>
    </row>
    <row r="59" spans="1:3" ht="15" customHeight="1" thickBot="1" x14ac:dyDescent="0.25">
      <c r="C59" s="192"/>
    </row>
    <row r="60" spans="1:3" ht="14.25" customHeight="1" thickBot="1" x14ac:dyDescent="0.25">
      <c r="A60" s="111" t="s">
        <v>525</v>
      </c>
      <c r="B60" s="112"/>
      <c r="C60" s="67"/>
    </row>
    <row r="61" spans="1:3" ht="13.5" thickBot="1" x14ac:dyDescent="0.25">
      <c r="A61" s="111" t="s">
        <v>165</v>
      </c>
      <c r="B61" s="112"/>
      <c r="C61" s="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mellékleta 4/2018.(III.29.)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topLeftCell="A72" zoomScaleNormal="130" workbookViewId="0">
      <selection activeCell="B74" sqref="B74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489" customWidth="1"/>
    <col min="4" max="16384" width="9.33203125" style="110"/>
  </cols>
  <sheetData>
    <row r="1" spans="1:3" s="89" customFormat="1" ht="21" customHeight="1" thickBot="1" x14ac:dyDescent="0.25">
      <c r="A1" s="88"/>
      <c r="B1" s="90"/>
      <c r="C1" s="243"/>
    </row>
    <row r="2" spans="1:3" s="244" customFormat="1" ht="33.75" customHeight="1" x14ac:dyDescent="0.2">
      <c r="A2" s="201" t="s">
        <v>163</v>
      </c>
      <c r="B2" s="179" t="s">
        <v>527</v>
      </c>
      <c r="C2" s="193" t="s">
        <v>63</v>
      </c>
    </row>
    <row r="3" spans="1:3" s="244" customFormat="1" ht="24.75" thickBot="1" x14ac:dyDescent="0.25">
      <c r="A3" s="237" t="s">
        <v>162</v>
      </c>
      <c r="B3" s="180" t="s">
        <v>534</v>
      </c>
      <c r="C3" s="194" t="s">
        <v>377</v>
      </c>
    </row>
    <row r="4" spans="1:3" s="245" customFormat="1" ht="15.95" customHeight="1" thickBot="1" x14ac:dyDescent="0.3">
      <c r="A4" s="92"/>
      <c r="B4" s="92"/>
      <c r="C4" s="93" t="s">
        <v>572</v>
      </c>
    </row>
    <row r="5" spans="1:3" ht="13.5" thickBot="1" x14ac:dyDescent="0.25">
      <c r="A5" s="202" t="s">
        <v>164</v>
      </c>
      <c r="B5" s="94" t="s">
        <v>57</v>
      </c>
      <c r="C5" s="9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86" t="s">
        <v>448</v>
      </c>
    </row>
    <row r="7" spans="1:3" s="246" customFormat="1" ht="15.95" customHeight="1" thickBot="1" x14ac:dyDescent="0.25">
      <c r="A7" s="96"/>
      <c r="B7" s="97" t="s">
        <v>59</v>
      </c>
      <c r="C7" s="98"/>
    </row>
    <row r="8" spans="1:3" s="195" customFormat="1" ht="12" customHeight="1" thickBot="1" x14ac:dyDescent="0.25">
      <c r="A8" s="84" t="s">
        <v>22</v>
      </c>
      <c r="B8" s="99" t="s">
        <v>528</v>
      </c>
      <c r="C8" s="144">
        <f>SUM(C9:C19)</f>
        <v>6280164</v>
      </c>
    </row>
    <row r="9" spans="1:3" s="195" customFormat="1" ht="12" customHeight="1" x14ac:dyDescent="0.2">
      <c r="A9" s="238" t="s">
        <v>100</v>
      </c>
      <c r="B9" s="9" t="s">
        <v>221</v>
      </c>
      <c r="C9" s="184"/>
    </row>
    <row r="10" spans="1:3" s="195" customFormat="1" ht="12" customHeight="1" x14ac:dyDescent="0.2">
      <c r="A10" s="239" t="s">
        <v>101</v>
      </c>
      <c r="B10" s="7" t="s">
        <v>222</v>
      </c>
      <c r="C10" s="44">
        <v>4150000</v>
      </c>
    </row>
    <row r="11" spans="1:3" s="195" customFormat="1" ht="12" customHeight="1" x14ac:dyDescent="0.2">
      <c r="A11" s="239" t="s">
        <v>102</v>
      </c>
      <c r="B11" s="7" t="s">
        <v>223</v>
      </c>
      <c r="C11" s="44">
        <v>300000</v>
      </c>
    </row>
    <row r="12" spans="1:3" s="195" customFormat="1" ht="12" customHeight="1" x14ac:dyDescent="0.2">
      <c r="A12" s="239" t="s">
        <v>103</v>
      </c>
      <c r="B12" s="7" t="s">
        <v>224</v>
      </c>
      <c r="C12" s="44"/>
    </row>
    <row r="13" spans="1:3" s="195" customFormat="1" ht="12" customHeight="1" x14ac:dyDescent="0.2">
      <c r="A13" s="239" t="s">
        <v>124</v>
      </c>
      <c r="B13" s="7" t="s">
        <v>225</v>
      </c>
      <c r="C13" s="44"/>
    </row>
    <row r="14" spans="1:3" s="195" customFormat="1" ht="12" customHeight="1" x14ac:dyDescent="0.2">
      <c r="A14" s="239" t="s">
        <v>104</v>
      </c>
      <c r="B14" s="7" t="s">
        <v>346</v>
      </c>
      <c r="C14" s="44">
        <v>1229000</v>
      </c>
    </row>
    <row r="15" spans="1:3" s="195" customFormat="1" ht="12" customHeight="1" x14ac:dyDescent="0.2">
      <c r="A15" s="239" t="s">
        <v>105</v>
      </c>
      <c r="B15" s="6" t="s">
        <v>347</v>
      </c>
      <c r="C15" s="44"/>
    </row>
    <row r="16" spans="1:3" s="195" customFormat="1" ht="12" customHeight="1" x14ac:dyDescent="0.2">
      <c r="A16" s="239" t="s">
        <v>115</v>
      </c>
      <c r="B16" s="7" t="s">
        <v>228</v>
      </c>
      <c r="C16" s="185"/>
    </row>
    <row r="17" spans="1:3" s="247" customFormat="1" ht="12" customHeight="1" x14ac:dyDescent="0.2">
      <c r="A17" s="239" t="s">
        <v>116</v>
      </c>
      <c r="B17" s="7" t="s">
        <v>229</v>
      </c>
      <c r="C17" s="142"/>
    </row>
    <row r="18" spans="1:3" s="247" customFormat="1" ht="12" customHeight="1" x14ac:dyDescent="0.2">
      <c r="A18" s="239" t="s">
        <v>117</v>
      </c>
      <c r="B18" s="7" t="s">
        <v>455</v>
      </c>
      <c r="C18" s="143"/>
    </row>
    <row r="19" spans="1:3" s="247" customFormat="1" ht="12" customHeight="1" thickBot="1" x14ac:dyDescent="0.25">
      <c r="A19" s="239" t="s">
        <v>118</v>
      </c>
      <c r="B19" s="6" t="s">
        <v>230</v>
      </c>
      <c r="C19" s="929">
        <f>100000+501164</f>
        <v>601164</v>
      </c>
    </row>
    <row r="20" spans="1:3" s="195" customFormat="1" ht="12" customHeight="1" thickBot="1" x14ac:dyDescent="0.25">
      <c r="A20" s="84" t="s">
        <v>23</v>
      </c>
      <c r="B20" s="99" t="s">
        <v>348</v>
      </c>
      <c r="C20" s="144">
        <f>SUM(C21:C23)</f>
        <v>0</v>
      </c>
    </row>
    <row r="21" spans="1:3" s="247" customFormat="1" ht="12" customHeight="1" x14ac:dyDescent="0.2">
      <c r="A21" s="239" t="s">
        <v>106</v>
      </c>
      <c r="B21" s="8" t="s">
        <v>198</v>
      </c>
      <c r="C21" s="142"/>
    </row>
    <row r="22" spans="1:3" s="247" customFormat="1" ht="12" customHeight="1" x14ac:dyDescent="0.2">
      <c r="A22" s="239" t="s">
        <v>107</v>
      </c>
      <c r="B22" s="7" t="s">
        <v>349</v>
      </c>
      <c r="C22" s="142"/>
    </row>
    <row r="23" spans="1:3" s="247" customFormat="1" ht="12" customHeight="1" x14ac:dyDescent="0.2">
      <c r="A23" s="239" t="s">
        <v>108</v>
      </c>
      <c r="B23" s="7" t="s">
        <v>350</v>
      </c>
      <c r="C23" s="142"/>
    </row>
    <row r="24" spans="1:3" s="247" customFormat="1" ht="12" customHeight="1" thickBot="1" x14ac:dyDescent="0.25">
      <c r="A24" s="239" t="s">
        <v>109</v>
      </c>
      <c r="B24" s="7" t="s">
        <v>529</v>
      </c>
      <c r="C24" s="142"/>
    </row>
    <row r="25" spans="1:3" s="247" customFormat="1" ht="12" customHeight="1" thickBot="1" x14ac:dyDescent="0.25">
      <c r="A25" s="87" t="s">
        <v>24</v>
      </c>
      <c r="B25" s="68" t="s">
        <v>138</v>
      </c>
      <c r="C25" s="169"/>
    </row>
    <row r="26" spans="1:3" s="247" customFormat="1" ht="12" customHeight="1" thickBot="1" x14ac:dyDescent="0.25">
      <c r="A26" s="87" t="s">
        <v>25</v>
      </c>
      <c r="B26" s="68" t="s">
        <v>530</v>
      </c>
      <c r="C26" s="144">
        <f>+C27+C28+C29</f>
        <v>0</v>
      </c>
    </row>
    <row r="27" spans="1:3" s="247" customFormat="1" ht="12" customHeight="1" x14ac:dyDescent="0.2">
      <c r="A27" s="240" t="s">
        <v>208</v>
      </c>
      <c r="B27" s="241" t="s">
        <v>203</v>
      </c>
      <c r="C27" s="42"/>
    </row>
    <row r="28" spans="1:3" s="247" customFormat="1" ht="12" customHeight="1" x14ac:dyDescent="0.2">
      <c r="A28" s="240" t="s">
        <v>211</v>
      </c>
      <c r="B28" s="241" t="s">
        <v>349</v>
      </c>
      <c r="C28" s="142"/>
    </row>
    <row r="29" spans="1:3" s="247" customFormat="1" ht="12" customHeight="1" x14ac:dyDescent="0.2">
      <c r="A29" s="240" t="s">
        <v>212</v>
      </c>
      <c r="B29" s="242" t="s">
        <v>351</v>
      </c>
      <c r="C29" s="142"/>
    </row>
    <row r="30" spans="1:3" s="247" customFormat="1" ht="12" customHeight="1" thickBot="1" x14ac:dyDescent="0.25">
      <c r="A30" s="239" t="s">
        <v>213</v>
      </c>
      <c r="B30" s="71" t="s">
        <v>531</v>
      </c>
      <c r="C30" s="45"/>
    </row>
    <row r="31" spans="1:3" s="247" customFormat="1" ht="12" customHeight="1" thickBot="1" x14ac:dyDescent="0.25">
      <c r="A31" s="87" t="s">
        <v>26</v>
      </c>
      <c r="B31" s="68" t="s">
        <v>352</v>
      </c>
      <c r="C31" s="144">
        <f>+C32+C33+C34</f>
        <v>0</v>
      </c>
    </row>
    <row r="32" spans="1:3" s="247" customFormat="1" ht="12" customHeight="1" x14ac:dyDescent="0.2">
      <c r="A32" s="240" t="s">
        <v>93</v>
      </c>
      <c r="B32" s="241" t="s">
        <v>235</v>
      </c>
      <c r="C32" s="42"/>
    </row>
    <row r="33" spans="1:4" s="247" customFormat="1" ht="12" customHeight="1" x14ac:dyDescent="0.2">
      <c r="A33" s="240" t="s">
        <v>94</v>
      </c>
      <c r="B33" s="242" t="s">
        <v>236</v>
      </c>
      <c r="C33" s="145"/>
    </row>
    <row r="34" spans="1:4" s="247" customFormat="1" ht="12" customHeight="1" thickBot="1" x14ac:dyDescent="0.25">
      <c r="A34" s="239" t="s">
        <v>95</v>
      </c>
      <c r="B34" s="71" t="s">
        <v>237</v>
      </c>
      <c r="C34" s="45"/>
    </row>
    <row r="35" spans="1:4" s="195" customFormat="1" ht="12" customHeight="1" thickBot="1" x14ac:dyDescent="0.25">
      <c r="A35" s="87" t="s">
        <v>27</v>
      </c>
      <c r="B35" s="68" t="s">
        <v>323</v>
      </c>
      <c r="C35" s="169"/>
    </row>
    <row r="36" spans="1:4" s="195" customFormat="1" ht="12" customHeight="1" thickBot="1" x14ac:dyDescent="0.25">
      <c r="A36" s="87" t="s">
        <v>28</v>
      </c>
      <c r="B36" s="68" t="s">
        <v>353</v>
      </c>
      <c r="C36" s="186"/>
    </row>
    <row r="37" spans="1:4" s="195" customFormat="1" ht="12" customHeight="1" thickBot="1" x14ac:dyDescent="0.25">
      <c r="A37" s="84" t="s">
        <v>29</v>
      </c>
      <c r="B37" s="68" t="s">
        <v>354</v>
      </c>
      <c r="C37" s="187">
        <f>+C8+C20+C25+C26+C31+C35+C36</f>
        <v>6280164</v>
      </c>
    </row>
    <row r="38" spans="1:4" s="195" customFormat="1" ht="12" customHeight="1" thickBot="1" x14ac:dyDescent="0.25">
      <c r="A38" s="100" t="s">
        <v>30</v>
      </c>
      <c r="B38" s="68" t="s">
        <v>355</v>
      </c>
      <c r="C38" s="187">
        <f>+C39+C40+C41</f>
        <v>201277839</v>
      </c>
    </row>
    <row r="39" spans="1:4" s="195" customFormat="1" ht="12" customHeight="1" x14ac:dyDescent="0.2">
      <c r="A39" s="240" t="s">
        <v>356</v>
      </c>
      <c r="B39" s="241" t="s">
        <v>179</v>
      </c>
      <c r="C39" s="42"/>
      <c r="D39" s="296"/>
    </row>
    <row r="40" spans="1:4" s="195" customFormat="1" ht="12" customHeight="1" x14ac:dyDescent="0.2">
      <c r="A40" s="240" t="s">
        <v>357</v>
      </c>
      <c r="B40" s="242" t="s">
        <v>11</v>
      </c>
      <c r="C40" s="145"/>
    </row>
    <row r="41" spans="1:4" s="247" customFormat="1" ht="12" customHeight="1" thickBot="1" x14ac:dyDescent="0.25">
      <c r="A41" s="239" t="s">
        <v>358</v>
      </c>
      <c r="B41" s="71" t="s">
        <v>359</v>
      </c>
      <c r="C41" s="45">
        <f>202666658-1388819</f>
        <v>201277839</v>
      </c>
    </row>
    <row r="42" spans="1:4" s="247" customFormat="1" ht="15" customHeight="1" thickBot="1" x14ac:dyDescent="0.25">
      <c r="A42" s="100" t="s">
        <v>31</v>
      </c>
      <c r="B42" s="101" t="s">
        <v>360</v>
      </c>
      <c r="C42" s="190">
        <f>+C37+C38</f>
        <v>207558003</v>
      </c>
    </row>
    <row r="43" spans="1:4" s="247" customFormat="1" ht="15" customHeight="1" x14ac:dyDescent="0.2">
      <c r="A43" s="102"/>
      <c r="B43" s="103"/>
      <c r="C43" s="188"/>
    </row>
    <row r="44" spans="1:4" ht="13.5" thickBot="1" x14ac:dyDescent="0.25">
      <c r="A44" s="104"/>
      <c r="B44" s="105"/>
      <c r="C44" s="189"/>
    </row>
    <row r="45" spans="1:4" s="246" customFormat="1" ht="16.5" customHeight="1" thickBot="1" x14ac:dyDescent="0.25">
      <c r="A45" s="106"/>
      <c r="B45" s="107" t="s">
        <v>60</v>
      </c>
      <c r="C45" s="190"/>
    </row>
    <row r="46" spans="1:4" s="248" customFormat="1" ht="12" customHeight="1" thickBot="1" x14ac:dyDescent="0.25">
      <c r="A46" s="87" t="s">
        <v>22</v>
      </c>
      <c r="B46" s="68" t="s">
        <v>361</v>
      </c>
      <c r="C46" s="144">
        <f>SUM(C47:C51)</f>
        <v>202638023</v>
      </c>
    </row>
    <row r="47" spans="1:4" ht="12" customHeight="1" x14ac:dyDescent="0.2">
      <c r="A47" s="239" t="s">
        <v>100</v>
      </c>
      <c r="B47" s="8" t="s">
        <v>52</v>
      </c>
      <c r="C47" s="895">
        <f>134654515-569836</f>
        <v>134084679</v>
      </c>
    </row>
    <row r="48" spans="1:4" ht="12" customHeight="1" x14ac:dyDescent="0.2">
      <c r="A48" s="239" t="s">
        <v>101</v>
      </c>
      <c r="B48" s="7" t="s">
        <v>147</v>
      </c>
      <c r="C48" s="896">
        <f>28757160-416745+98926</f>
        <v>28439341</v>
      </c>
    </row>
    <row r="49" spans="1:3" ht="12" customHeight="1" x14ac:dyDescent="0.2">
      <c r="A49" s="239" t="s">
        <v>102</v>
      </c>
      <c r="B49" s="7" t="s">
        <v>123</v>
      </c>
      <c r="C49" s="44">
        <v>40114003</v>
      </c>
    </row>
    <row r="50" spans="1:3" ht="12" customHeight="1" x14ac:dyDescent="0.2">
      <c r="A50" s="239" t="s">
        <v>103</v>
      </c>
      <c r="B50" s="7" t="s">
        <v>148</v>
      </c>
      <c r="C50" s="44"/>
    </row>
    <row r="51" spans="1:3" ht="12" customHeight="1" thickBot="1" x14ac:dyDescent="0.25">
      <c r="A51" s="239" t="s">
        <v>124</v>
      </c>
      <c r="B51" s="7" t="s">
        <v>149</v>
      </c>
      <c r="C51" s="44"/>
    </row>
    <row r="52" spans="1:3" ht="12" customHeight="1" thickBot="1" x14ac:dyDescent="0.25">
      <c r="A52" s="87" t="s">
        <v>23</v>
      </c>
      <c r="B52" s="68" t="s">
        <v>362</v>
      </c>
      <c r="C52" s="144">
        <f>SUM(C53:C55)</f>
        <v>4919980</v>
      </c>
    </row>
    <row r="53" spans="1:3" s="248" customFormat="1" ht="12" customHeight="1" x14ac:dyDescent="0.2">
      <c r="A53" s="239" t="s">
        <v>106</v>
      </c>
      <c r="B53" s="8" t="s">
        <v>170</v>
      </c>
      <c r="C53" s="42">
        <v>4919980</v>
      </c>
    </row>
    <row r="54" spans="1:3" ht="12" customHeight="1" x14ac:dyDescent="0.2">
      <c r="A54" s="239" t="s">
        <v>107</v>
      </c>
      <c r="B54" s="7" t="s">
        <v>151</v>
      </c>
      <c r="C54" s="44"/>
    </row>
    <row r="55" spans="1:3" ht="12" customHeight="1" x14ac:dyDescent="0.2">
      <c r="A55" s="239" t="s">
        <v>108</v>
      </c>
      <c r="B55" s="7" t="s">
        <v>61</v>
      </c>
      <c r="C55" s="44"/>
    </row>
    <row r="56" spans="1:3" ht="12" customHeight="1" thickBot="1" x14ac:dyDescent="0.25">
      <c r="A56" s="239" t="s">
        <v>109</v>
      </c>
      <c r="B56" s="7" t="s">
        <v>532</v>
      </c>
      <c r="C56" s="44"/>
    </row>
    <row r="57" spans="1:3" ht="15" customHeight="1" thickBot="1" x14ac:dyDescent="0.25">
      <c r="A57" s="87" t="s">
        <v>24</v>
      </c>
      <c r="B57" s="68" t="s">
        <v>18</v>
      </c>
      <c r="C57" s="169"/>
    </row>
    <row r="58" spans="1:3" ht="13.5" thickBot="1" x14ac:dyDescent="0.25">
      <c r="A58" s="87" t="s">
        <v>25</v>
      </c>
      <c r="B58" s="108" t="s">
        <v>533</v>
      </c>
      <c r="C58" s="191">
        <f>+C46+C52+C57</f>
        <v>207558003</v>
      </c>
    </row>
    <row r="59" spans="1:3" ht="15" customHeight="1" thickBot="1" x14ac:dyDescent="0.25">
      <c r="C59" s="488"/>
    </row>
    <row r="60" spans="1:3" ht="14.25" customHeight="1" thickBot="1" x14ac:dyDescent="0.25">
      <c r="A60" s="111" t="s">
        <v>525</v>
      </c>
      <c r="B60" s="112"/>
      <c r="C60" s="67">
        <v>46</v>
      </c>
    </row>
    <row r="61" spans="1:3" ht="13.5" thickBot="1" x14ac:dyDescent="0.25">
      <c r="A61" s="111" t="s">
        <v>165</v>
      </c>
      <c r="B61" s="112"/>
      <c r="C61" s="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4/2018.(III.29.)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72" zoomScaleNormal="115" workbookViewId="0">
      <selection activeCell="B75" sqref="B75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544" customWidth="1"/>
    <col min="4" max="256" width="9.33203125" style="110"/>
    <col min="257" max="257" width="13.83203125" style="110" customWidth="1"/>
    <col min="258" max="258" width="79.1640625" style="110" customWidth="1"/>
    <col min="259" max="259" width="25" style="110" customWidth="1"/>
    <col min="260" max="512" width="9.33203125" style="110"/>
    <col min="513" max="513" width="13.83203125" style="110" customWidth="1"/>
    <col min="514" max="514" width="79.1640625" style="110" customWidth="1"/>
    <col min="515" max="515" width="25" style="110" customWidth="1"/>
    <col min="516" max="768" width="9.33203125" style="110"/>
    <col min="769" max="769" width="13.83203125" style="110" customWidth="1"/>
    <col min="770" max="770" width="79.1640625" style="110" customWidth="1"/>
    <col min="771" max="771" width="25" style="110" customWidth="1"/>
    <col min="772" max="1024" width="9.33203125" style="110"/>
    <col min="1025" max="1025" width="13.83203125" style="110" customWidth="1"/>
    <col min="1026" max="1026" width="79.1640625" style="110" customWidth="1"/>
    <col min="1027" max="1027" width="25" style="110" customWidth="1"/>
    <col min="1028" max="1280" width="9.33203125" style="110"/>
    <col min="1281" max="1281" width="13.83203125" style="110" customWidth="1"/>
    <col min="1282" max="1282" width="79.1640625" style="110" customWidth="1"/>
    <col min="1283" max="1283" width="25" style="110" customWidth="1"/>
    <col min="1284" max="1536" width="9.33203125" style="110"/>
    <col min="1537" max="1537" width="13.83203125" style="110" customWidth="1"/>
    <col min="1538" max="1538" width="79.1640625" style="110" customWidth="1"/>
    <col min="1539" max="1539" width="25" style="110" customWidth="1"/>
    <col min="1540" max="1792" width="9.33203125" style="110"/>
    <col min="1793" max="1793" width="13.83203125" style="110" customWidth="1"/>
    <col min="1794" max="1794" width="79.1640625" style="110" customWidth="1"/>
    <col min="1795" max="1795" width="25" style="110" customWidth="1"/>
    <col min="1796" max="2048" width="9.33203125" style="110"/>
    <col min="2049" max="2049" width="13.83203125" style="110" customWidth="1"/>
    <col min="2050" max="2050" width="79.1640625" style="110" customWidth="1"/>
    <col min="2051" max="2051" width="25" style="110" customWidth="1"/>
    <col min="2052" max="2304" width="9.33203125" style="110"/>
    <col min="2305" max="2305" width="13.83203125" style="110" customWidth="1"/>
    <col min="2306" max="2306" width="79.1640625" style="110" customWidth="1"/>
    <col min="2307" max="2307" width="25" style="110" customWidth="1"/>
    <col min="2308" max="2560" width="9.33203125" style="110"/>
    <col min="2561" max="2561" width="13.83203125" style="110" customWidth="1"/>
    <col min="2562" max="2562" width="79.1640625" style="110" customWidth="1"/>
    <col min="2563" max="2563" width="25" style="110" customWidth="1"/>
    <col min="2564" max="2816" width="9.33203125" style="110"/>
    <col min="2817" max="2817" width="13.83203125" style="110" customWidth="1"/>
    <col min="2818" max="2818" width="79.1640625" style="110" customWidth="1"/>
    <col min="2819" max="2819" width="25" style="110" customWidth="1"/>
    <col min="2820" max="3072" width="9.33203125" style="110"/>
    <col min="3073" max="3073" width="13.83203125" style="110" customWidth="1"/>
    <col min="3074" max="3074" width="79.1640625" style="110" customWidth="1"/>
    <col min="3075" max="3075" width="25" style="110" customWidth="1"/>
    <col min="3076" max="3328" width="9.33203125" style="110"/>
    <col min="3329" max="3329" width="13.83203125" style="110" customWidth="1"/>
    <col min="3330" max="3330" width="79.1640625" style="110" customWidth="1"/>
    <col min="3331" max="3331" width="25" style="110" customWidth="1"/>
    <col min="3332" max="3584" width="9.33203125" style="110"/>
    <col min="3585" max="3585" width="13.83203125" style="110" customWidth="1"/>
    <col min="3586" max="3586" width="79.1640625" style="110" customWidth="1"/>
    <col min="3587" max="3587" width="25" style="110" customWidth="1"/>
    <col min="3588" max="3840" width="9.33203125" style="110"/>
    <col min="3841" max="3841" width="13.83203125" style="110" customWidth="1"/>
    <col min="3842" max="3842" width="79.1640625" style="110" customWidth="1"/>
    <col min="3843" max="3843" width="25" style="110" customWidth="1"/>
    <col min="3844" max="4096" width="9.33203125" style="110"/>
    <col min="4097" max="4097" width="13.83203125" style="110" customWidth="1"/>
    <col min="4098" max="4098" width="79.1640625" style="110" customWidth="1"/>
    <col min="4099" max="4099" width="25" style="110" customWidth="1"/>
    <col min="4100" max="4352" width="9.33203125" style="110"/>
    <col min="4353" max="4353" width="13.83203125" style="110" customWidth="1"/>
    <col min="4354" max="4354" width="79.1640625" style="110" customWidth="1"/>
    <col min="4355" max="4355" width="25" style="110" customWidth="1"/>
    <col min="4356" max="4608" width="9.33203125" style="110"/>
    <col min="4609" max="4609" width="13.83203125" style="110" customWidth="1"/>
    <col min="4610" max="4610" width="79.1640625" style="110" customWidth="1"/>
    <col min="4611" max="4611" width="25" style="110" customWidth="1"/>
    <col min="4612" max="4864" width="9.33203125" style="110"/>
    <col min="4865" max="4865" width="13.83203125" style="110" customWidth="1"/>
    <col min="4866" max="4866" width="79.1640625" style="110" customWidth="1"/>
    <col min="4867" max="4867" width="25" style="110" customWidth="1"/>
    <col min="4868" max="5120" width="9.33203125" style="110"/>
    <col min="5121" max="5121" width="13.83203125" style="110" customWidth="1"/>
    <col min="5122" max="5122" width="79.1640625" style="110" customWidth="1"/>
    <col min="5123" max="5123" width="25" style="110" customWidth="1"/>
    <col min="5124" max="5376" width="9.33203125" style="110"/>
    <col min="5377" max="5377" width="13.83203125" style="110" customWidth="1"/>
    <col min="5378" max="5378" width="79.1640625" style="110" customWidth="1"/>
    <col min="5379" max="5379" width="25" style="110" customWidth="1"/>
    <col min="5380" max="5632" width="9.33203125" style="110"/>
    <col min="5633" max="5633" width="13.83203125" style="110" customWidth="1"/>
    <col min="5634" max="5634" width="79.1640625" style="110" customWidth="1"/>
    <col min="5635" max="5635" width="25" style="110" customWidth="1"/>
    <col min="5636" max="5888" width="9.33203125" style="110"/>
    <col min="5889" max="5889" width="13.83203125" style="110" customWidth="1"/>
    <col min="5890" max="5890" width="79.1640625" style="110" customWidth="1"/>
    <col min="5891" max="5891" width="25" style="110" customWidth="1"/>
    <col min="5892" max="6144" width="9.33203125" style="110"/>
    <col min="6145" max="6145" width="13.83203125" style="110" customWidth="1"/>
    <col min="6146" max="6146" width="79.1640625" style="110" customWidth="1"/>
    <col min="6147" max="6147" width="25" style="110" customWidth="1"/>
    <col min="6148" max="6400" width="9.33203125" style="110"/>
    <col min="6401" max="6401" width="13.83203125" style="110" customWidth="1"/>
    <col min="6402" max="6402" width="79.1640625" style="110" customWidth="1"/>
    <col min="6403" max="6403" width="25" style="110" customWidth="1"/>
    <col min="6404" max="6656" width="9.33203125" style="110"/>
    <col min="6657" max="6657" width="13.83203125" style="110" customWidth="1"/>
    <col min="6658" max="6658" width="79.1640625" style="110" customWidth="1"/>
    <col min="6659" max="6659" width="25" style="110" customWidth="1"/>
    <col min="6660" max="6912" width="9.33203125" style="110"/>
    <col min="6913" max="6913" width="13.83203125" style="110" customWidth="1"/>
    <col min="6914" max="6914" width="79.1640625" style="110" customWidth="1"/>
    <col min="6915" max="6915" width="25" style="110" customWidth="1"/>
    <col min="6916" max="7168" width="9.33203125" style="110"/>
    <col min="7169" max="7169" width="13.83203125" style="110" customWidth="1"/>
    <col min="7170" max="7170" width="79.1640625" style="110" customWidth="1"/>
    <col min="7171" max="7171" width="25" style="110" customWidth="1"/>
    <col min="7172" max="7424" width="9.33203125" style="110"/>
    <col min="7425" max="7425" width="13.83203125" style="110" customWidth="1"/>
    <col min="7426" max="7426" width="79.1640625" style="110" customWidth="1"/>
    <col min="7427" max="7427" width="25" style="110" customWidth="1"/>
    <col min="7428" max="7680" width="9.33203125" style="110"/>
    <col min="7681" max="7681" width="13.83203125" style="110" customWidth="1"/>
    <col min="7682" max="7682" width="79.1640625" style="110" customWidth="1"/>
    <col min="7683" max="7683" width="25" style="110" customWidth="1"/>
    <col min="7684" max="7936" width="9.33203125" style="110"/>
    <col min="7937" max="7937" width="13.83203125" style="110" customWidth="1"/>
    <col min="7938" max="7938" width="79.1640625" style="110" customWidth="1"/>
    <col min="7939" max="7939" width="25" style="110" customWidth="1"/>
    <col min="7940" max="8192" width="9.33203125" style="110"/>
    <col min="8193" max="8193" width="13.83203125" style="110" customWidth="1"/>
    <col min="8194" max="8194" width="79.1640625" style="110" customWidth="1"/>
    <col min="8195" max="8195" width="25" style="110" customWidth="1"/>
    <col min="8196" max="8448" width="9.33203125" style="110"/>
    <col min="8449" max="8449" width="13.83203125" style="110" customWidth="1"/>
    <col min="8450" max="8450" width="79.1640625" style="110" customWidth="1"/>
    <col min="8451" max="8451" width="25" style="110" customWidth="1"/>
    <col min="8452" max="8704" width="9.33203125" style="110"/>
    <col min="8705" max="8705" width="13.83203125" style="110" customWidth="1"/>
    <col min="8706" max="8706" width="79.1640625" style="110" customWidth="1"/>
    <col min="8707" max="8707" width="25" style="110" customWidth="1"/>
    <col min="8708" max="8960" width="9.33203125" style="110"/>
    <col min="8961" max="8961" width="13.83203125" style="110" customWidth="1"/>
    <col min="8962" max="8962" width="79.1640625" style="110" customWidth="1"/>
    <col min="8963" max="8963" width="25" style="110" customWidth="1"/>
    <col min="8964" max="9216" width="9.33203125" style="110"/>
    <col min="9217" max="9217" width="13.83203125" style="110" customWidth="1"/>
    <col min="9218" max="9218" width="79.1640625" style="110" customWidth="1"/>
    <col min="9219" max="9219" width="25" style="110" customWidth="1"/>
    <col min="9220" max="9472" width="9.33203125" style="110"/>
    <col min="9473" max="9473" width="13.83203125" style="110" customWidth="1"/>
    <col min="9474" max="9474" width="79.1640625" style="110" customWidth="1"/>
    <col min="9475" max="9475" width="25" style="110" customWidth="1"/>
    <col min="9476" max="9728" width="9.33203125" style="110"/>
    <col min="9729" max="9729" width="13.83203125" style="110" customWidth="1"/>
    <col min="9730" max="9730" width="79.1640625" style="110" customWidth="1"/>
    <col min="9731" max="9731" width="25" style="110" customWidth="1"/>
    <col min="9732" max="9984" width="9.33203125" style="110"/>
    <col min="9985" max="9985" width="13.83203125" style="110" customWidth="1"/>
    <col min="9986" max="9986" width="79.1640625" style="110" customWidth="1"/>
    <col min="9987" max="9987" width="25" style="110" customWidth="1"/>
    <col min="9988" max="10240" width="9.33203125" style="110"/>
    <col min="10241" max="10241" width="13.83203125" style="110" customWidth="1"/>
    <col min="10242" max="10242" width="79.1640625" style="110" customWidth="1"/>
    <col min="10243" max="10243" width="25" style="110" customWidth="1"/>
    <col min="10244" max="10496" width="9.33203125" style="110"/>
    <col min="10497" max="10497" width="13.83203125" style="110" customWidth="1"/>
    <col min="10498" max="10498" width="79.1640625" style="110" customWidth="1"/>
    <col min="10499" max="10499" width="25" style="110" customWidth="1"/>
    <col min="10500" max="10752" width="9.33203125" style="110"/>
    <col min="10753" max="10753" width="13.83203125" style="110" customWidth="1"/>
    <col min="10754" max="10754" width="79.1640625" style="110" customWidth="1"/>
    <col min="10755" max="10755" width="25" style="110" customWidth="1"/>
    <col min="10756" max="11008" width="9.33203125" style="110"/>
    <col min="11009" max="11009" width="13.83203125" style="110" customWidth="1"/>
    <col min="11010" max="11010" width="79.1640625" style="110" customWidth="1"/>
    <col min="11011" max="11011" width="25" style="110" customWidth="1"/>
    <col min="11012" max="11264" width="9.33203125" style="110"/>
    <col min="11265" max="11265" width="13.83203125" style="110" customWidth="1"/>
    <col min="11266" max="11266" width="79.1640625" style="110" customWidth="1"/>
    <col min="11267" max="11267" width="25" style="110" customWidth="1"/>
    <col min="11268" max="11520" width="9.33203125" style="110"/>
    <col min="11521" max="11521" width="13.83203125" style="110" customWidth="1"/>
    <col min="11522" max="11522" width="79.1640625" style="110" customWidth="1"/>
    <col min="11523" max="11523" width="25" style="110" customWidth="1"/>
    <col min="11524" max="11776" width="9.33203125" style="110"/>
    <col min="11777" max="11777" width="13.83203125" style="110" customWidth="1"/>
    <col min="11778" max="11778" width="79.1640625" style="110" customWidth="1"/>
    <col min="11779" max="11779" width="25" style="110" customWidth="1"/>
    <col min="11780" max="12032" width="9.33203125" style="110"/>
    <col min="12033" max="12033" width="13.83203125" style="110" customWidth="1"/>
    <col min="12034" max="12034" width="79.1640625" style="110" customWidth="1"/>
    <col min="12035" max="12035" width="25" style="110" customWidth="1"/>
    <col min="12036" max="12288" width="9.33203125" style="110"/>
    <col min="12289" max="12289" width="13.83203125" style="110" customWidth="1"/>
    <col min="12290" max="12290" width="79.1640625" style="110" customWidth="1"/>
    <col min="12291" max="12291" width="25" style="110" customWidth="1"/>
    <col min="12292" max="12544" width="9.33203125" style="110"/>
    <col min="12545" max="12545" width="13.83203125" style="110" customWidth="1"/>
    <col min="12546" max="12546" width="79.1640625" style="110" customWidth="1"/>
    <col min="12547" max="12547" width="25" style="110" customWidth="1"/>
    <col min="12548" max="12800" width="9.33203125" style="110"/>
    <col min="12801" max="12801" width="13.83203125" style="110" customWidth="1"/>
    <col min="12802" max="12802" width="79.1640625" style="110" customWidth="1"/>
    <col min="12803" max="12803" width="25" style="110" customWidth="1"/>
    <col min="12804" max="13056" width="9.33203125" style="110"/>
    <col min="13057" max="13057" width="13.83203125" style="110" customWidth="1"/>
    <col min="13058" max="13058" width="79.1640625" style="110" customWidth="1"/>
    <col min="13059" max="13059" width="25" style="110" customWidth="1"/>
    <col min="13060" max="13312" width="9.33203125" style="110"/>
    <col min="13313" max="13313" width="13.83203125" style="110" customWidth="1"/>
    <col min="13314" max="13314" width="79.1640625" style="110" customWidth="1"/>
    <col min="13315" max="13315" width="25" style="110" customWidth="1"/>
    <col min="13316" max="13568" width="9.33203125" style="110"/>
    <col min="13569" max="13569" width="13.83203125" style="110" customWidth="1"/>
    <col min="13570" max="13570" width="79.1640625" style="110" customWidth="1"/>
    <col min="13571" max="13571" width="25" style="110" customWidth="1"/>
    <col min="13572" max="13824" width="9.33203125" style="110"/>
    <col min="13825" max="13825" width="13.83203125" style="110" customWidth="1"/>
    <col min="13826" max="13826" width="79.1640625" style="110" customWidth="1"/>
    <col min="13827" max="13827" width="25" style="110" customWidth="1"/>
    <col min="13828" max="14080" width="9.33203125" style="110"/>
    <col min="14081" max="14081" width="13.83203125" style="110" customWidth="1"/>
    <col min="14082" max="14082" width="79.1640625" style="110" customWidth="1"/>
    <col min="14083" max="14083" width="25" style="110" customWidth="1"/>
    <col min="14084" max="14336" width="9.33203125" style="110"/>
    <col min="14337" max="14337" width="13.83203125" style="110" customWidth="1"/>
    <col min="14338" max="14338" width="79.1640625" style="110" customWidth="1"/>
    <col min="14339" max="14339" width="25" style="110" customWidth="1"/>
    <col min="14340" max="14592" width="9.33203125" style="110"/>
    <col min="14593" max="14593" width="13.83203125" style="110" customWidth="1"/>
    <col min="14594" max="14594" width="79.1640625" style="110" customWidth="1"/>
    <col min="14595" max="14595" width="25" style="110" customWidth="1"/>
    <col min="14596" max="14848" width="9.33203125" style="110"/>
    <col min="14849" max="14849" width="13.83203125" style="110" customWidth="1"/>
    <col min="14850" max="14850" width="79.1640625" style="110" customWidth="1"/>
    <col min="14851" max="14851" width="25" style="110" customWidth="1"/>
    <col min="14852" max="15104" width="9.33203125" style="110"/>
    <col min="15105" max="15105" width="13.83203125" style="110" customWidth="1"/>
    <col min="15106" max="15106" width="79.1640625" style="110" customWidth="1"/>
    <col min="15107" max="15107" width="25" style="110" customWidth="1"/>
    <col min="15108" max="15360" width="9.33203125" style="110"/>
    <col min="15361" max="15361" width="13.83203125" style="110" customWidth="1"/>
    <col min="15362" max="15362" width="79.1640625" style="110" customWidth="1"/>
    <col min="15363" max="15363" width="25" style="110" customWidth="1"/>
    <col min="15364" max="15616" width="9.33203125" style="110"/>
    <col min="15617" max="15617" width="13.83203125" style="110" customWidth="1"/>
    <col min="15618" max="15618" width="79.1640625" style="110" customWidth="1"/>
    <col min="15619" max="15619" width="25" style="110" customWidth="1"/>
    <col min="15620" max="15872" width="9.33203125" style="110"/>
    <col min="15873" max="15873" width="13.83203125" style="110" customWidth="1"/>
    <col min="15874" max="15874" width="79.1640625" style="110" customWidth="1"/>
    <col min="15875" max="15875" width="25" style="110" customWidth="1"/>
    <col min="15876" max="16128" width="9.33203125" style="110"/>
    <col min="16129" max="16129" width="13.83203125" style="110" customWidth="1"/>
    <col min="16130" max="16130" width="79.1640625" style="110" customWidth="1"/>
    <col min="16131" max="16131" width="25" style="110" customWidth="1"/>
    <col min="16132" max="16384" width="9.33203125" style="110"/>
  </cols>
  <sheetData>
    <row r="1" spans="1:3" s="89" customFormat="1" ht="21" customHeight="1" thickBot="1" x14ac:dyDescent="0.25">
      <c r="A1" s="88"/>
      <c r="B1" s="90"/>
      <c r="C1" s="521"/>
    </row>
    <row r="2" spans="1:3" s="244" customFormat="1" ht="33" customHeight="1" x14ac:dyDescent="0.2">
      <c r="A2" s="201" t="s">
        <v>163</v>
      </c>
      <c r="B2" s="179" t="s">
        <v>403</v>
      </c>
      <c r="C2" s="522" t="s">
        <v>64</v>
      </c>
    </row>
    <row r="3" spans="1:3" s="244" customFormat="1" ht="24.75" thickBot="1" x14ac:dyDescent="0.25">
      <c r="A3" s="237" t="s">
        <v>162</v>
      </c>
      <c r="B3" s="180" t="s">
        <v>345</v>
      </c>
      <c r="C3" s="523" t="s">
        <v>56</v>
      </c>
    </row>
    <row r="4" spans="1:3" s="245" customFormat="1" ht="15.95" customHeight="1" thickBot="1" x14ac:dyDescent="0.3">
      <c r="A4" s="92"/>
      <c r="B4" s="92"/>
      <c r="C4" s="524" t="s">
        <v>572</v>
      </c>
    </row>
    <row r="5" spans="1:3" ht="13.5" thickBot="1" x14ac:dyDescent="0.25">
      <c r="A5" s="202" t="s">
        <v>164</v>
      </c>
      <c r="B5" s="94" t="s">
        <v>57</v>
      </c>
      <c r="C5" s="52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526" t="s">
        <v>448</v>
      </c>
    </row>
    <row r="7" spans="1:3" s="246" customFormat="1" ht="15.95" customHeight="1" thickBot="1" x14ac:dyDescent="0.25">
      <c r="A7" s="96"/>
      <c r="B7" s="97" t="s">
        <v>59</v>
      </c>
      <c r="C7" s="527"/>
    </row>
    <row r="8" spans="1:3" s="195" customFormat="1" ht="12" customHeight="1" thickBot="1" x14ac:dyDescent="0.25">
      <c r="A8" s="84" t="s">
        <v>22</v>
      </c>
      <c r="B8" s="99" t="s">
        <v>528</v>
      </c>
      <c r="C8" s="528">
        <f>SUM(C9:C19)</f>
        <v>11615878</v>
      </c>
    </row>
    <row r="9" spans="1:3" s="195" customFormat="1" ht="12" customHeight="1" x14ac:dyDescent="0.2">
      <c r="A9" s="238" t="s">
        <v>100</v>
      </c>
      <c r="B9" s="9" t="s">
        <v>221</v>
      </c>
      <c r="C9" s="529"/>
    </row>
    <row r="10" spans="1:3" s="195" customFormat="1" ht="12" customHeight="1" x14ac:dyDescent="0.2">
      <c r="A10" s="239" t="s">
        <v>101</v>
      </c>
      <c r="B10" s="7" t="s">
        <v>222</v>
      </c>
      <c r="C10" s="530">
        <v>850000</v>
      </c>
    </row>
    <row r="11" spans="1:3" s="195" customFormat="1" ht="12" customHeight="1" x14ac:dyDescent="0.2">
      <c r="A11" s="239" t="s">
        <v>102</v>
      </c>
      <c r="B11" s="7" t="s">
        <v>223</v>
      </c>
      <c r="C11" s="530">
        <v>4200000</v>
      </c>
    </row>
    <row r="12" spans="1:3" s="195" customFormat="1" ht="12" customHeight="1" x14ac:dyDescent="0.2">
      <c r="A12" s="239" t="s">
        <v>103</v>
      </c>
      <c r="B12" s="7" t="s">
        <v>224</v>
      </c>
      <c r="C12" s="530">
        <v>0</v>
      </c>
    </row>
    <row r="13" spans="1:3" s="195" customFormat="1" ht="12" customHeight="1" x14ac:dyDescent="0.2">
      <c r="A13" s="239" t="s">
        <v>124</v>
      </c>
      <c r="B13" s="7" t="s">
        <v>225</v>
      </c>
      <c r="C13" s="530">
        <v>638880</v>
      </c>
    </row>
    <row r="14" spans="1:3" s="195" customFormat="1" ht="12" customHeight="1" x14ac:dyDescent="0.2">
      <c r="A14" s="239" t="s">
        <v>104</v>
      </c>
      <c r="B14" s="7" t="s">
        <v>346</v>
      </c>
      <c r="C14" s="530">
        <v>1535998</v>
      </c>
    </row>
    <row r="15" spans="1:3" s="195" customFormat="1" ht="12" customHeight="1" x14ac:dyDescent="0.2">
      <c r="A15" s="239" t="s">
        <v>105</v>
      </c>
      <c r="B15" s="6" t="s">
        <v>347</v>
      </c>
      <c r="C15" s="530">
        <v>4390000</v>
      </c>
    </row>
    <row r="16" spans="1:3" s="195" customFormat="1" ht="12" customHeight="1" x14ac:dyDescent="0.2">
      <c r="A16" s="239" t="s">
        <v>115</v>
      </c>
      <c r="B16" s="7" t="s">
        <v>228</v>
      </c>
      <c r="C16" s="530">
        <v>1000</v>
      </c>
    </row>
    <row r="17" spans="1:3" s="247" customFormat="1" ht="12" customHeight="1" x14ac:dyDescent="0.2">
      <c r="A17" s="239" t="s">
        <v>116</v>
      </c>
      <c r="B17" s="7" t="s">
        <v>229</v>
      </c>
      <c r="C17" s="530">
        <v>0</v>
      </c>
    </row>
    <row r="18" spans="1:3" s="247" customFormat="1" ht="12" customHeight="1" x14ac:dyDescent="0.2">
      <c r="A18" s="239" t="s">
        <v>117</v>
      </c>
      <c r="B18" s="7" t="s">
        <v>455</v>
      </c>
      <c r="C18" s="530">
        <v>0</v>
      </c>
    </row>
    <row r="19" spans="1:3" s="247" customFormat="1" ht="12" customHeight="1" thickBot="1" x14ac:dyDescent="0.25">
      <c r="A19" s="239" t="s">
        <v>118</v>
      </c>
      <c r="B19" s="6" t="s">
        <v>230</v>
      </c>
      <c r="C19" s="532"/>
    </row>
    <row r="20" spans="1:3" s="195" customFormat="1" ht="12" customHeight="1" thickBot="1" x14ac:dyDescent="0.25">
      <c r="A20" s="84" t="s">
        <v>23</v>
      </c>
      <c r="B20" s="99" t="s">
        <v>348</v>
      </c>
      <c r="C20" s="528">
        <f>SUM(C21:C23)</f>
        <v>0</v>
      </c>
    </row>
    <row r="21" spans="1:3" s="247" customFormat="1" ht="12" customHeight="1" x14ac:dyDescent="0.2">
      <c r="A21" s="239" t="s">
        <v>106</v>
      </c>
      <c r="B21" s="8" t="s">
        <v>198</v>
      </c>
      <c r="C21" s="530"/>
    </row>
    <row r="22" spans="1:3" s="247" customFormat="1" ht="12" customHeight="1" x14ac:dyDescent="0.2">
      <c r="A22" s="239" t="s">
        <v>107</v>
      </c>
      <c r="B22" s="7" t="s">
        <v>349</v>
      </c>
      <c r="C22" s="530"/>
    </row>
    <row r="23" spans="1:3" s="247" customFormat="1" ht="12" customHeight="1" x14ac:dyDescent="0.2">
      <c r="A23" s="239" t="s">
        <v>108</v>
      </c>
      <c r="B23" s="7" t="s">
        <v>350</v>
      </c>
      <c r="C23" s="530"/>
    </row>
    <row r="24" spans="1:3" s="247" customFormat="1" ht="12" customHeight="1" thickBot="1" x14ac:dyDescent="0.25">
      <c r="A24" s="239" t="s">
        <v>109</v>
      </c>
      <c r="B24" s="7" t="s">
        <v>539</v>
      </c>
      <c r="C24" s="530"/>
    </row>
    <row r="25" spans="1:3" s="247" customFormat="1" ht="12" customHeight="1" thickBot="1" x14ac:dyDescent="0.25">
      <c r="A25" s="87" t="s">
        <v>24</v>
      </c>
      <c r="B25" s="68" t="s">
        <v>138</v>
      </c>
      <c r="C25" s="533"/>
    </row>
    <row r="26" spans="1:3" s="247" customFormat="1" ht="12" customHeight="1" thickBot="1" x14ac:dyDescent="0.25">
      <c r="A26" s="87" t="s">
        <v>25</v>
      </c>
      <c r="B26" s="68" t="s">
        <v>540</v>
      </c>
      <c r="C26" s="528">
        <f>+C27+C28</f>
        <v>0</v>
      </c>
    </row>
    <row r="27" spans="1:3" s="247" customFormat="1" ht="12" customHeight="1" x14ac:dyDescent="0.2">
      <c r="A27" s="240" t="s">
        <v>208</v>
      </c>
      <c r="B27" s="241" t="s">
        <v>349</v>
      </c>
      <c r="C27" s="534"/>
    </row>
    <row r="28" spans="1:3" s="247" customFormat="1" ht="12" customHeight="1" x14ac:dyDescent="0.2">
      <c r="A28" s="240" t="s">
        <v>211</v>
      </c>
      <c r="B28" s="242" t="s">
        <v>351</v>
      </c>
      <c r="C28" s="535"/>
    </row>
    <row r="29" spans="1:3" s="247" customFormat="1" ht="12" customHeight="1" thickBot="1" x14ac:dyDescent="0.25">
      <c r="A29" s="239" t="s">
        <v>212</v>
      </c>
      <c r="B29" s="71" t="s">
        <v>541</v>
      </c>
      <c r="C29" s="536"/>
    </row>
    <row r="30" spans="1:3" s="247" customFormat="1" ht="12" customHeight="1" thickBot="1" x14ac:dyDescent="0.25">
      <c r="A30" s="87" t="s">
        <v>26</v>
      </c>
      <c r="B30" s="68" t="s">
        <v>352</v>
      </c>
      <c r="C30" s="528">
        <f>+C31+C32+C33</f>
        <v>0</v>
      </c>
    </row>
    <row r="31" spans="1:3" s="247" customFormat="1" ht="12" customHeight="1" x14ac:dyDescent="0.2">
      <c r="A31" s="240" t="s">
        <v>93</v>
      </c>
      <c r="B31" s="241" t="s">
        <v>235</v>
      </c>
      <c r="C31" s="534"/>
    </row>
    <row r="32" spans="1:3" s="247" customFormat="1" ht="12" customHeight="1" x14ac:dyDescent="0.2">
      <c r="A32" s="240" t="s">
        <v>94</v>
      </c>
      <c r="B32" s="242" t="s">
        <v>236</v>
      </c>
      <c r="C32" s="535"/>
    </row>
    <row r="33" spans="1:3" s="247" customFormat="1" ht="12" customHeight="1" thickBot="1" x14ac:dyDescent="0.25">
      <c r="A33" s="239" t="s">
        <v>95</v>
      </c>
      <c r="B33" s="71" t="s">
        <v>237</v>
      </c>
      <c r="C33" s="536"/>
    </row>
    <row r="34" spans="1:3" s="195" customFormat="1" ht="12" customHeight="1" thickBot="1" x14ac:dyDescent="0.25">
      <c r="A34" s="87" t="s">
        <v>27</v>
      </c>
      <c r="B34" s="68" t="s">
        <v>323</v>
      </c>
      <c r="C34" s="530"/>
    </row>
    <row r="35" spans="1:3" s="195" customFormat="1" ht="12" customHeight="1" thickBot="1" x14ac:dyDescent="0.25">
      <c r="A35" s="87" t="s">
        <v>28</v>
      </c>
      <c r="B35" s="68" t="s">
        <v>353</v>
      </c>
      <c r="C35" s="537"/>
    </row>
    <row r="36" spans="1:3" s="195" customFormat="1" ht="12" customHeight="1" thickBot="1" x14ac:dyDescent="0.25">
      <c r="A36" s="84" t="s">
        <v>29</v>
      </c>
      <c r="B36" s="68" t="s">
        <v>542</v>
      </c>
      <c r="C36" s="538">
        <f>+C8+C20+C25+C26+C30+C34+C35</f>
        <v>11615878</v>
      </c>
    </row>
    <row r="37" spans="1:3" s="195" customFormat="1" ht="12" customHeight="1" thickBot="1" x14ac:dyDescent="0.25">
      <c r="A37" s="100" t="s">
        <v>30</v>
      </c>
      <c r="B37" s="68" t="s">
        <v>355</v>
      </c>
      <c r="C37" s="898">
        <f>+C38+C39+C40</f>
        <v>290412495</v>
      </c>
    </row>
    <row r="38" spans="1:3" s="195" customFormat="1" ht="12" customHeight="1" x14ac:dyDescent="0.2">
      <c r="A38" s="240" t="s">
        <v>356</v>
      </c>
      <c r="B38" s="241" t="s">
        <v>179</v>
      </c>
      <c r="C38" s="534">
        <v>665045</v>
      </c>
    </row>
    <row r="39" spans="1:3" s="195" customFormat="1" ht="12" customHeight="1" x14ac:dyDescent="0.2">
      <c r="A39" s="240" t="s">
        <v>357</v>
      </c>
      <c r="B39" s="242" t="s">
        <v>11</v>
      </c>
      <c r="C39" s="535"/>
    </row>
    <row r="40" spans="1:3" s="247" customFormat="1" ht="12" customHeight="1" thickBot="1" x14ac:dyDescent="0.25">
      <c r="A40" s="239" t="s">
        <v>358</v>
      </c>
      <c r="B40" s="71" t="s">
        <v>359</v>
      </c>
      <c r="C40" s="899">
        <f>289157846+479604+110000</f>
        <v>289747450</v>
      </c>
    </row>
    <row r="41" spans="1:3" s="247" customFormat="1" ht="15" customHeight="1" thickBot="1" x14ac:dyDescent="0.25">
      <c r="A41" s="100" t="s">
        <v>31</v>
      </c>
      <c r="B41" s="101" t="s">
        <v>360</v>
      </c>
      <c r="C41" s="898">
        <f>+C36+C37</f>
        <v>302028373</v>
      </c>
    </row>
    <row r="42" spans="1:3" s="247" customFormat="1" ht="15" customHeight="1" x14ac:dyDescent="0.2">
      <c r="A42" s="102"/>
      <c r="B42" s="103"/>
      <c r="C42" s="539"/>
    </row>
    <row r="43" spans="1:3" ht="13.5" thickBot="1" x14ac:dyDescent="0.25">
      <c r="A43" s="104"/>
      <c r="B43" s="105"/>
      <c r="C43" s="540"/>
    </row>
    <row r="44" spans="1:3" s="246" customFormat="1" ht="16.5" customHeight="1" thickBot="1" x14ac:dyDescent="0.25">
      <c r="A44" s="106"/>
      <c r="B44" s="107" t="s">
        <v>60</v>
      </c>
      <c r="C44" s="541"/>
    </row>
    <row r="45" spans="1:3" s="248" customFormat="1" ht="12" customHeight="1" thickBot="1" x14ac:dyDescent="0.25">
      <c r="A45" s="87" t="s">
        <v>22</v>
      </c>
      <c r="B45" s="68" t="s">
        <v>361</v>
      </c>
      <c r="C45" s="900">
        <f>SUM(C46:C50)</f>
        <v>299321393</v>
      </c>
    </row>
    <row r="46" spans="1:3" ht="12" customHeight="1" x14ac:dyDescent="0.2">
      <c r="A46" s="239" t="s">
        <v>100</v>
      </c>
      <c r="B46" s="8" t="s">
        <v>52</v>
      </c>
      <c r="C46" s="895">
        <f>187166011+408000</f>
        <v>187574011</v>
      </c>
    </row>
    <row r="47" spans="1:3" ht="12" customHeight="1" x14ac:dyDescent="0.2">
      <c r="A47" s="239" t="s">
        <v>101</v>
      </c>
      <c r="B47" s="7" t="s">
        <v>147</v>
      </c>
      <c r="C47" s="896">
        <f>40197175+71604</f>
        <v>40268779</v>
      </c>
    </row>
    <row r="48" spans="1:3" ht="12" customHeight="1" x14ac:dyDescent="0.2">
      <c r="A48" s="239" t="s">
        <v>102</v>
      </c>
      <c r="B48" s="7" t="s">
        <v>123</v>
      </c>
      <c r="C48" s="376">
        <f>71308603+110000+60000</f>
        <v>71478603</v>
      </c>
    </row>
    <row r="49" spans="1:3" ht="12" customHeight="1" x14ac:dyDescent="0.2">
      <c r="A49" s="239" t="s">
        <v>103</v>
      </c>
      <c r="B49" s="7" t="s">
        <v>148</v>
      </c>
      <c r="C49" s="642"/>
    </row>
    <row r="50" spans="1:3" ht="12" customHeight="1" thickBot="1" x14ac:dyDescent="0.25">
      <c r="A50" s="239" t="s">
        <v>124</v>
      </c>
      <c r="B50" s="7" t="s">
        <v>149</v>
      </c>
      <c r="C50" s="530"/>
    </row>
    <row r="51" spans="1:3" ht="12" customHeight="1" thickBot="1" x14ac:dyDescent="0.25">
      <c r="A51" s="87" t="s">
        <v>23</v>
      </c>
      <c r="B51" s="68" t="s">
        <v>362</v>
      </c>
      <c r="C51" s="547">
        <f>SUM(C52:C54)</f>
        <v>2706980</v>
      </c>
    </row>
    <row r="52" spans="1:3" s="248" customFormat="1" ht="12" customHeight="1" x14ac:dyDescent="0.2">
      <c r="A52" s="239" t="s">
        <v>106</v>
      </c>
      <c r="B52" s="8" t="s">
        <v>170</v>
      </c>
      <c r="C52" s="901">
        <f>2157380-60000</f>
        <v>2097380</v>
      </c>
    </row>
    <row r="53" spans="1:3" ht="12" customHeight="1" x14ac:dyDescent="0.2">
      <c r="A53" s="239" t="s">
        <v>107</v>
      </c>
      <c r="B53" s="7" t="s">
        <v>151</v>
      </c>
      <c r="C53" s="530">
        <v>609600</v>
      </c>
    </row>
    <row r="54" spans="1:3" ht="12" customHeight="1" x14ac:dyDescent="0.2">
      <c r="A54" s="239" t="s">
        <v>108</v>
      </c>
      <c r="B54" s="7" t="s">
        <v>61</v>
      </c>
      <c r="C54" s="530"/>
    </row>
    <row r="55" spans="1:3" ht="12" customHeight="1" thickBot="1" x14ac:dyDescent="0.25">
      <c r="A55" s="239" t="s">
        <v>109</v>
      </c>
      <c r="B55" s="7" t="s">
        <v>532</v>
      </c>
      <c r="C55" s="530"/>
    </row>
    <row r="56" spans="1:3" ht="15" customHeight="1" thickBot="1" x14ac:dyDescent="0.25">
      <c r="A56" s="87" t="s">
        <v>24</v>
      </c>
      <c r="B56" s="68" t="s">
        <v>18</v>
      </c>
      <c r="C56" s="548"/>
    </row>
    <row r="57" spans="1:3" ht="13.5" thickBot="1" x14ac:dyDescent="0.25">
      <c r="A57" s="87" t="s">
        <v>25</v>
      </c>
      <c r="B57" s="108" t="s">
        <v>533</v>
      </c>
      <c r="C57" s="902">
        <f>+C45+C51+C56</f>
        <v>302028373</v>
      </c>
    </row>
    <row r="58" spans="1:3" ht="15" customHeight="1" thickBot="1" x14ac:dyDescent="0.25">
      <c r="C58" s="643"/>
    </row>
    <row r="59" spans="1:3" ht="14.25" customHeight="1" thickBot="1" x14ac:dyDescent="0.25">
      <c r="A59" s="111" t="s">
        <v>525</v>
      </c>
      <c r="B59" s="112"/>
      <c r="C59" s="543">
        <v>54</v>
      </c>
    </row>
    <row r="60" spans="1:3" ht="13.5" thickBot="1" x14ac:dyDescent="0.25">
      <c r="A60" s="111" t="s">
        <v>165</v>
      </c>
      <c r="B60" s="112"/>
      <c r="C60" s="54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4/2018.(III.29.)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72" zoomScaleNormal="145" workbookViewId="0">
      <selection activeCell="B75" sqref="B75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544" customWidth="1"/>
    <col min="4" max="256" width="9.33203125" style="110"/>
    <col min="257" max="257" width="13.83203125" style="110" customWidth="1"/>
    <col min="258" max="258" width="79.1640625" style="110" customWidth="1"/>
    <col min="259" max="259" width="25" style="110" customWidth="1"/>
    <col min="260" max="512" width="9.33203125" style="110"/>
    <col min="513" max="513" width="13.83203125" style="110" customWidth="1"/>
    <col min="514" max="514" width="79.1640625" style="110" customWidth="1"/>
    <col min="515" max="515" width="25" style="110" customWidth="1"/>
    <col min="516" max="768" width="9.33203125" style="110"/>
    <col min="769" max="769" width="13.83203125" style="110" customWidth="1"/>
    <col min="770" max="770" width="79.1640625" style="110" customWidth="1"/>
    <col min="771" max="771" width="25" style="110" customWidth="1"/>
    <col min="772" max="1024" width="9.33203125" style="110"/>
    <col min="1025" max="1025" width="13.83203125" style="110" customWidth="1"/>
    <col min="1026" max="1026" width="79.1640625" style="110" customWidth="1"/>
    <col min="1027" max="1027" width="25" style="110" customWidth="1"/>
    <col min="1028" max="1280" width="9.33203125" style="110"/>
    <col min="1281" max="1281" width="13.83203125" style="110" customWidth="1"/>
    <col min="1282" max="1282" width="79.1640625" style="110" customWidth="1"/>
    <col min="1283" max="1283" width="25" style="110" customWidth="1"/>
    <col min="1284" max="1536" width="9.33203125" style="110"/>
    <col min="1537" max="1537" width="13.83203125" style="110" customWidth="1"/>
    <col min="1538" max="1538" width="79.1640625" style="110" customWidth="1"/>
    <col min="1539" max="1539" width="25" style="110" customWidth="1"/>
    <col min="1540" max="1792" width="9.33203125" style="110"/>
    <col min="1793" max="1793" width="13.83203125" style="110" customWidth="1"/>
    <col min="1794" max="1794" width="79.1640625" style="110" customWidth="1"/>
    <col min="1795" max="1795" width="25" style="110" customWidth="1"/>
    <col min="1796" max="2048" width="9.33203125" style="110"/>
    <col min="2049" max="2049" width="13.83203125" style="110" customWidth="1"/>
    <col min="2050" max="2050" width="79.1640625" style="110" customWidth="1"/>
    <col min="2051" max="2051" width="25" style="110" customWidth="1"/>
    <col min="2052" max="2304" width="9.33203125" style="110"/>
    <col min="2305" max="2305" width="13.83203125" style="110" customWidth="1"/>
    <col min="2306" max="2306" width="79.1640625" style="110" customWidth="1"/>
    <col min="2307" max="2307" width="25" style="110" customWidth="1"/>
    <col min="2308" max="2560" width="9.33203125" style="110"/>
    <col min="2561" max="2561" width="13.83203125" style="110" customWidth="1"/>
    <col min="2562" max="2562" width="79.1640625" style="110" customWidth="1"/>
    <col min="2563" max="2563" width="25" style="110" customWidth="1"/>
    <col min="2564" max="2816" width="9.33203125" style="110"/>
    <col min="2817" max="2817" width="13.83203125" style="110" customWidth="1"/>
    <col min="2818" max="2818" width="79.1640625" style="110" customWidth="1"/>
    <col min="2819" max="2819" width="25" style="110" customWidth="1"/>
    <col min="2820" max="3072" width="9.33203125" style="110"/>
    <col min="3073" max="3073" width="13.83203125" style="110" customWidth="1"/>
    <col min="3074" max="3074" width="79.1640625" style="110" customWidth="1"/>
    <col min="3075" max="3075" width="25" style="110" customWidth="1"/>
    <col min="3076" max="3328" width="9.33203125" style="110"/>
    <col min="3329" max="3329" width="13.83203125" style="110" customWidth="1"/>
    <col min="3330" max="3330" width="79.1640625" style="110" customWidth="1"/>
    <col min="3331" max="3331" width="25" style="110" customWidth="1"/>
    <col min="3332" max="3584" width="9.33203125" style="110"/>
    <col min="3585" max="3585" width="13.83203125" style="110" customWidth="1"/>
    <col min="3586" max="3586" width="79.1640625" style="110" customWidth="1"/>
    <col min="3587" max="3587" width="25" style="110" customWidth="1"/>
    <col min="3588" max="3840" width="9.33203125" style="110"/>
    <col min="3841" max="3841" width="13.83203125" style="110" customWidth="1"/>
    <col min="3842" max="3842" width="79.1640625" style="110" customWidth="1"/>
    <col min="3843" max="3843" width="25" style="110" customWidth="1"/>
    <col min="3844" max="4096" width="9.33203125" style="110"/>
    <col min="4097" max="4097" width="13.83203125" style="110" customWidth="1"/>
    <col min="4098" max="4098" width="79.1640625" style="110" customWidth="1"/>
    <col min="4099" max="4099" width="25" style="110" customWidth="1"/>
    <col min="4100" max="4352" width="9.33203125" style="110"/>
    <col min="4353" max="4353" width="13.83203125" style="110" customWidth="1"/>
    <col min="4354" max="4354" width="79.1640625" style="110" customWidth="1"/>
    <col min="4355" max="4355" width="25" style="110" customWidth="1"/>
    <col min="4356" max="4608" width="9.33203125" style="110"/>
    <col min="4609" max="4609" width="13.83203125" style="110" customWidth="1"/>
    <col min="4610" max="4610" width="79.1640625" style="110" customWidth="1"/>
    <col min="4611" max="4611" width="25" style="110" customWidth="1"/>
    <col min="4612" max="4864" width="9.33203125" style="110"/>
    <col min="4865" max="4865" width="13.83203125" style="110" customWidth="1"/>
    <col min="4866" max="4866" width="79.1640625" style="110" customWidth="1"/>
    <col min="4867" max="4867" width="25" style="110" customWidth="1"/>
    <col min="4868" max="5120" width="9.33203125" style="110"/>
    <col min="5121" max="5121" width="13.83203125" style="110" customWidth="1"/>
    <col min="5122" max="5122" width="79.1640625" style="110" customWidth="1"/>
    <col min="5123" max="5123" width="25" style="110" customWidth="1"/>
    <col min="5124" max="5376" width="9.33203125" style="110"/>
    <col min="5377" max="5377" width="13.83203125" style="110" customWidth="1"/>
    <col min="5378" max="5378" width="79.1640625" style="110" customWidth="1"/>
    <col min="5379" max="5379" width="25" style="110" customWidth="1"/>
    <col min="5380" max="5632" width="9.33203125" style="110"/>
    <col min="5633" max="5633" width="13.83203125" style="110" customWidth="1"/>
    <col min="5634" max="5634" width="79.1640625" style="110" customWidth="1"/>
    <col min="5635" max="5635" width="25" style="110" customWidth="1"/>
    <col min="5636" max="5888" width="9.33203125" style="110"/>
    <col min="5889" max="5889" width="13.83203125" style="110" customWidth="1"/>
    <col min="5890" max="5890" width="79.1640625" style="110" customWidth="1"/>
    <col min="5891" max="5891" width="25" style="110" customWidth="1"/>
    <col min="5892" max="6144" width="9.33203125" style="110"/>
    <col min="6145" max="6145" width="13.83203125" style="110" customWidth="1"/>
    <col min="6146" max="6146" width="79.1640625" style="110" customWidth="1"/>
    <col min="6147" max="6147" width="25" style="110" customWidth="1"/>
    <col min="6148" max="6400" width="9.33203125" style="110"/>
    <col min="6401" max="6401" width="13.83203125" style="110" customWidth="1"/>
    <col min="6402" max="6402" width="79.1640625" style="110" customWidth="1"/>
    <col min="6403" max="6403" width="25" style="110" customWidth="1"/>
    <col min="6404" max="6656" width="9.33203125" style="110"/>
    <col min="6657" max="6657" width="13.83203125" style="110" customWidth="1"/>
    <col min="6658" max="6658" width="79.1640625" style="110" customWidth="1"/>
    <col min="6659" max="6659" width="25" style="110" customWidth="1"/>
    <col min="6660" max="6912" width="9.33203125" style="110"/>
    <col min="6913" max="6913" width="13.83203125" style="110" customWidth="1"/>
    <col min="6914" max="6914" width="79.1640625" style="110" customWidth="1"/>
    <col min="6915" max="6915" width="25" style="110" customWidth="1"/>
    <col min="6916" max="7168" width="9.33203125" style="110"/>
    <col min="7169" max="7169" width="13.83203125" style="110" customWidth="1"/>
    <col min="7170" max="7170" width="79.1640625" style="110" customWidth="1"/>
    <col min="7171" max="7171" width="25" style="110" customWidth="1"/>
    <col min="7172" max="7424" width="9.33203125" style="110"/>
    <col min="7425" max="7425" width="13.83203125" style="110" customWidth="1"/>
    <col min="7426" max="7426" width="79.1640625" style="110" customWidth="1"/>
    <col min="7427" max="7427" width="25" style="110" customWidth="1"/>
    <col min="7428" max="7680" width="9.33203125" style="110"/>
    <col min="7681" max="7681" width="13.83203125" style="110" customWidth="1"/>
    <col min="7682" max="7682" width="79.1640625" style="110" customWidth="1"/>
    <col min="7683" max="7683" width="25" style="110" customWidth="1"/>
    <col min="7684" max="7936" width="9.33203125" style="110"/>
    <col min="7937" max="7937" width="13.83203125" style="110" customWidth="1"/>
    <col min="7938" max="7938" width="79.1640625" style="110" customWidth="1"/>
    <col min="7939" max="7939" width="25" style="110" customWidth="1"/>
    <col min="7940" max="8192" width="9.33203125" style="110"/>
    <col min="8193" max="8193" width="13.83203125" style="110" customWidth="1"/>
    <col min="8194" max="8194" width="79.1640625" style="110" customWidth="1"/>
    <col min="8195" max="8195" width="25" style="110" customWidth="1"/>
    <col min="8196" max="8448" width="9.33203125" style="110"/>
    <col min="8449" max="8449" width="13.83203125" style="110" customWidth="1"/>
    <col min="8450" max="8450" width="79.1640625" style="110" customWidth="1"/>
    <col min="8451" max="8451" width="25" style="110" customWidth="1"/>
    <col min="8452" max="8704" width="9.33203125" style="110"/>
    <col min="8705" max="8705" width="13.83203125" style="110" customWidth="1"/>
    <col min="8706" max="8706" width="79.1640625" style="110" customWidth="1"/>
    <col min="8707" max="8707" width="25" style="110" customWidth="1"/>
    <col min="8708" max="8960" width="9.33203125" style="110"/>
    <col min="8961" max="8961" width="13.83203125" style="110" customWidth="1"/>
    <col min="8962" max="8962" width="79.1640625" style="110" customWidth="1"/>
    <col min="8963" max="8963" width="25" style="110" customWidth="1"/>
    <col min="8964" max="9216" width="9.33203125" style="110"/>
    <col min="9217" max="9217" width="13.83203125" style="110" customWidth="1"/>
    <col min="9218" max="9218" width="79.1640625" style="110" customWidth="1"/>
    <col min="9219" max="9219" width="25" style="110" customWidth="1"/>
    <col min="9220" max="9472" width="9.33203125" style="110"/>
    <col min="9473" max="9473" width="13.83203125" style="110" customWidth="1"/>
    <col min="9474" max="9474" width="79.1640625" style="110" customWidth="1"/>
    <col min="9475" max="9475" width="25" style="110" customWidth="1"/>
    <col min="9476" max="9728" width="9.33203125" style="110"/>
    <col min="9729" max="9729" width="13.83203125" style="110" customWidth="1"/>
    <col min="9730" max="9730" width="79.1640625" style="110" customWidth="1"/>
    <col min="9731" max="9731" width="25" style="110" customWidth="1"/>
    <col min="9732" max="9984" width="9.33203125" style="110"/>
    <col min="9985" max="9985" width="13.83203125" style="110" customWidth="1"/>
    <col min="9986" max="9986" width="79.1640625" style="110" customWidth="1"/>
    <col min="9987" max="9987" width="25" style="110" customWidth="1"/>
    <col min="9988" max="10240" width="9.33203125" style="110"/>
    <col min="10241" max="10241" width="13.83203125" style="110" customWidth="1"/>
    <col min="10242" max="10242" width="79.1640625" style="110" customWidth="1"/>
    <col min="10243" max="10243" width="25" style="110" customWidth="1"/>
    <col min="10244" max="10496" width="9.33203125" style="110"/>
    <col min="10497" max="10497" width="13.83203125" style="110" customWidth="1"/>
    <col min="10498" max="10498" width="79.1640625" style="110" customWidth="1"/>
    <col min="10499" max="10499" width="25" style="110" customWidth="1"/>
    <col min="10500" max="10752" width="9.33203125" style="110"/>
    <col min="10753" max="10753" width="13.83203125" style="110" customWidth="1"/>
    <col min="10754" max="10754" width="79.1640625" style="110" customWidth="1"/>
    <col min="10755" max="10755" width="25" style="110" customWidth="1"/>
    <col min="10756" max="11008" width="9.33203125" style="110"/>
    <col min="11009" max="11009" width="13.83203125" style="110" customWidth="1"/>
    <col min="11010" max="11010" width="79.1640625" style="110" customWidth="1"/>
    <col min="11011" max="11011" width="25" style="110" customWidth="1"/>
    <col min="11012" max="11264" width="9.33203125" style="110"/>
    <col min="11265" max="11265" width="13.83203125" style="110" customWidth="1"/>
    <col min="11266" max="11266" width="79.1640625" style="110" customWidth="1"/>
    <col min="11267" max="11267" width="25" style="110" customWidth="1"/>
    <col min="11268" max="11520" width="9.33203125" style="110"/>
    <col min="11521" max="11521" width="13.83203125" style="110" customWidth="1"/>
    <col min="11522" max="11522" width="79.1640625" style="110" customWidth="1"/>
    <col min="11523" max="11523" width="25" style="110" customWidth="1"/>
    <col min="11524" max="11776" width="9.33203125" style="110"/>
    <col min="11777" max="11777" width="13.83203125" style="110" customWidth="1"/>
    <col min="11778" max="11778" width="79.1640625" style="110" customWidth="1"/>
    <col min="11779" max="11779" width="25" style="110" customWidth="1"/>
    <col min="11780" max="12032" width="9.33203125" style="110"/>
    <col min="12033" max="12033" width="13.83203125" style="110" customWidth="1"/>
    <col min="12034" max="12034" width="79.1640625" style="110" customWidth="1"/>
    <col min="12035" max="12035" width="25" style="110" customWidth="1"/>
    <col min="12036" max="12288" width="9.33203125" style="110"/>
    <col min="12289" max="12289" width="13.83203125" style="110" customWidth="1"/>
    <col min="12290" max="12290" width="79.1640625" style="110" customWidth="1"/>
    <col min="12291" max="12291" width="25" style="110" customWidth="1"/>
    <col min="12292" max="12544" width="9.33203125" style="110"/>
    <col min="12545" max="12545" width="13.83203125" style="110" customWidth="1"/>
    <col min="12546" max="12546" width="79.1640625" style="110" customWidth="1"/>
    <col min="12547" max="12547" width="25" style="110" customWidth="1"/>
    <col min="12548" max="12800" width="9.33203125" style="110"/>
    <col min="12801" max="12801" width="13.83203125" style="110" customWidth="1"/>
    <col min="12802" max="12802" width="79.1640625" style="110" customWidth="1"/>
    <col min="12803" max="12803" width="25" style="110" customWidth="1"/>
    <col min="12804" max="13056" width="9.33203125" style="110"/>
    <col min="13057" max="13057" width="13.83203125" style="110" customWidth="1"/>
    <col min="13058" max="13058" width="79.1640625" style="110" customWidth="1"/>
    <col min="13059" max="13059" width="25" style="110" customWidth="1"/>
    <col min="13060" max="13312" width="9.33203125" style="110"/>
    <col min="13313" max="13313" width="13.83203125" style="110" customWidth="1"/>
    <col min="13314" max="13314" width="79.1640625" style="110" customWidth="1"/>
    <col min="13315" max="13315" width="25" style="110" customWidth="1"/>
    <col min="13316" max="13568" width="9.33203125" style="110"/>
    <col min="13569" max="13569" width="13.83203125" style="110" customWidth="1"/>
    <col min="13570" max="13570" width="79.1640625" style="110" customWidth="1"/>
    <col min="13571" max="13571" width="25" style="110" customWidth="1"/>
    <col min="13572" max="13824" width="9.33203125" style="110"/>
    <col min="13825" max="13825" width="13.83203125" style="110" customWidth="1"/>
    <col min="13826" max="13826" width="79.1640625" style="110" customWidth="1"/>
    <col min="13827" max="13827" width="25" style="110" customWidth="1"/>
    <col min="13828" max="14080" width="9.33203125" style="110"/>
    <col min="14081" max="14081" width="13.83203125" style="110" customWidth="1"/>
    <col min="14082" max="14082" width="79.1640625" style="110" customWidth="1"/>
    <col min="14083" max="14083" width="25" style="110" customWidth="1"/>
    <col min="14084" max="14336" width="9.33203125" style="110"/>
    <col min="14337" max="14337" width="13.83203125" style="110" customWidth="1"/>
    <col min="14338" max="14338" width="79.1640625" style="110" customWidth="1"/>
    <col min="14339" max="14339" width="25" style="110" customWidth="1"/>
    <col min="14340" max="14592" width="9.33203125" style="110"/>
    <col min="14593" max="14593" width="13.83203125" style="110" customWidth="1"/>
    <col min="14594" max="14594" width="79.1640625" style="110" customWidth="1"/>
    <col min="14595" max="14595" width="25" style="110" customWidth="1"/>
    <col min="14596" max="14848" width="9.33203125" style="110"/>
    <col min="14849" max="14849" width="13.83203125" style="110" customWidth="1"/>
    <col min="14850" max="14850" width="79.1640625" style="110" customWidth="1"/>
    <col min="14851" max="14851" width="25" style="110" customWidth="1"/>
    <col min="14852" max="15104" width="9.33203125" style="110"/>
    <col min="15105" max="15105" width="13.83203125" style="110" customWidth="1"/>
    <col min="15106" max="15106" width="79.1640625" style="110" customWidth="1"/>
    <col min="15107" max="15107" width="25" style="110" customWidth="1"/>
    <col min="15108" max="15360" width="9.33203125" style="110"/>
    <col min="15361" max="15361" width="13.83203125" style="110" customWidth="1"/>
    <col min="15362" max="15362" width="79.1640625" style="110" customWidth="1"/>
    <col min="15363" max="15363" width="25" style="110" customWidth="1"/>
    <col min="15364" max="15616" width="9.33203125" style="110"/>
    <col min="15617" max="15617" width="13.83203125" style="110" customWidth="1"/>
    <col min="15618" max="15618" width="79.1640625" style="110" customWidth="1"/>
    <col min="15619" max="15619" width="25" style="110" customWidth="1"/>
    <col min="15620" max="15872" width="9.33203125" style="110"/>
    <col min="15873" max="15873" width="13.83203125" style="110" customWidth="1"/>
    <col min="15874" max="15874" width="79.1640625" style="110" customWidth="1"/>
    <col min="15875" max="15875" width="25" style="110" customWidth="1"/>
    <col min="15876" max="16128" width="9.33203125" style="110"/>
    <col min="16129" max="16129" width="13.83203125" style="110" customWidth="1"/>
    <col min="16130" max="16130" width="79.1640625" style="110" customWidth="1"/>
    <col min="16131" max="16131" width="25" style="110" customWidth="1"/>
    <col min="16132" max="16384" width="9.33203125" style="110"/>
  </cols>
  <sheetData>
    <row r="1" spans="1:3" s="89" customFormat="1" ht="21" customHeight="1" thickBot="1" x14ac:dyDescent="0.25">
      <c r="A1" s="88"/>
      <c r="B1" s="90"/>
      <c r="C1" s="521"/>
    </row>
    <row r="2" spans="1:3" s="244" customFormat="1" ht="33.75" customHeight="1" x14ac:dyDescent="0.2">
      <c r="A2" s="201" t="s">
        <v>163</v>
      </c>
      <c r="B2" s="179" t="s">
        <v>403</v>
      </c>
      <c r="C2" s="522" t="s">
        <v>64</v>
      </c>
    </row>
    <row r="3" spans="1:3" s="244" customFormat="1" ht="24.75" thickBot="1" x14ac:dyDescent="0.25">
      <c r="A3" s="237" t="s">
        <v>162</v>
      </c>
      <c r="B3" s="180" t="s">
        <v>363</v>
      </c>
      <c r="C3" s="523" t="s">
        <v>63</v>
      </c>
    </row>
    <row r="4" spans="1:3" s="245" customFormat="1" ht="15.95" customHeight="1" thickBot="1" x14ac:dyDescent="0.3">
      <c r="A4" s="92"/>
      <c r="B4" s="92"/>
      <c r="C4" s="524" t="s">
        <v>572</v>
      </c>
    </row>
    <row r="5" spans="1:3" ht="13.5" thickBot="1" x14ac:dyDescent="0.25">
      <c r="A5" s="202" t="s">
        <v>164</v>
      </c>
      <c r="B5" s="94" t="s">
        <v>57</v>
      </c>
      <c r="C5" s="52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526" t="s">
        <v>448</v>
      </c>
    </row>
    <row r="7" spans="1:3" s="246" customFormat="1" ht="15.95" customHeight="1" thickBot="1" x14ac:dyDescent="0.25">
      <c r="A7" s="96"/>
      <c r="B7" s="97" t="s">
        <v>59</v>
      </c>
      <c r="C7" s="527"/>
    </row>
    <row r="8" spans="1:3" s="195" customFormat="1" ht="12" customHeight="1" thickBot="1" x14ac:dyDescent="0.25">
      <c r="A8" s="84" t="s">
        <v>22</v>
      </c>
      <c r="B8" s="99" t="s">
        <v>528</v>
      </c>
      <c r="C8" s="528">
        <f>SUM(C9:C19)</f>
        <v>11298378</v>
      </c>
    </row>
    <row r="9" spans="1:3" s="195" customFormat="1" ht="12" customHeight="1" x14ac:dyDescent="0.2">
      <c r="A9" s="238" t="s">
        <v>100</v>
      </c>
      <c r="B9" s="9" t="s">
        <v>221</v>
      </c>
      <c r="C9" s="529"/>
    </row>
    <row r="10" spans="1:3" s="195" customFormat="1" ht="12" customHeight="1" x14ac:dyDescent="0.2">
      <c r="A10" s="239" t="s">
        <v>101</v>
      </c>
      <c r="B10" s="7" t="s">
        <v>222</v>
      </c>
      <c r="C10" s="530">
        <v>600000</v>
      </c>
    </row>
    <row r="11" spans="1:3" s="195" customFormat="1" ht="12" customHeight="1" x14ac:dyDescent="0.2">
      <c r="A11" s="239" t="s">
        <v>102</v>
      </c>
      <c r="B11" s="7" t="s">
        <v>223</v>
      </c>
      <c r="C11" s="530">
        <v>4200000</v>
      </c>
    </row>
    <row r="12" spans="1:3" s="195" customFormat="1" ht="12" customHeight="1" x14ac:dyDescent="0.2">
      <c r="A12" s="239" t="s">
        <v>103</v>
      </c>
      <c r="B12" s="7" t="s">
        <v>224</v>
      </c>
      <c r="C12" s="530">
        <v>0</v>
      </c>
    </row>
    <row r="13" spans="1:3" s="195" customFormat="1" ht="12" customHeight="1" x14ac:dyDescent="0.2">
      <c r="A13" s="239" t="s">
        <v>124</v>
      </c>
      <c r="B13" s="7" t="s">
        <v>225</v>
      </c>
      <c r="C13" s="530">
        <v>638880</v>
      </c>
    </row>
    <row r="14" spans="1:3" s="195" customFormat="1" ht="12" customHeight="1" x14ac:dyDescent="0.2">
      <c r="A14" s="239" t="s">
        <v>104</v>
      </c>
      <c r="B14" s="7" t="s">
        <v>346</v>
      </c>
      <c r="C14" s="530">
        <v>1468498</v>
      </c>
    </row>
    <row r="15" spans="1:3" s="195" customFormat="1" ht="12" customHeight="1" x14ac:dyDescent="0.2">
      <c r="A15" s="239" t="s">
        <v>105</v>
      </c>
      <c r="B15" s="6" t="s">
        <v>347</v>
      </c>
      <c r="C15" s="530">
        <v>4390000</v>
      </c>
    </row>
    <row r="16" spans="1:3" s="195" customFormat="1" ht="12" customHeight="1" x14ac:dyDescent="0.2">
      <c r="A16" s="239" t="s">
        <v>115</v>
      </c>
      <c r="B16" s="7" t="s">
        <v>228</v>
      </c>
      <c r="C16" s="530">
        <v>1000</v>
      </c>
    </row>
    <row r="17" spans="1:3" s="247" customFormat="1" ht="12" customHeight="1" x14ac:dyDescent="0.2">
      <c r="A17" s="239" t="s">
        <v>116</v>
      </c>
      <c r="B17" s="7" t="s">
        <v>229</v>
      </c>
      <c r="C17" s="530">
        <v>0</v>
      </c>
    </row>
    <row r="18" spans="1:3" s="247" customFormat="1" ht="12" customHeight="1" x14ac:dyDescent="0.2">
      <c r="A18" s="239" t="s">
        <v>117</v>
      </c>
      <c r="B18" s="7" t="s">
        <v>455</v>
      </c>
      <c r="C18" s="530">
        <v>0</v>
      </c>
    </row>
    <row r="19" spans="1:3" s="247" customFormat="1" ht="12" customHeight="1" thickBot="1" x14ac:dyDescent="0.25">
      <c r="A19" s="239" t="s">
        <v>118</v>
      </c>
      <c r="B19" s="6" t="s">
        <v>230</v>
      </c>
      <c r="C19" s="532"/>
    </row>
    <row r="20" spans="1:3" s="195" customFormat="1" ht="12" customHeight="1" thickBot="1" x14ac:dyDescent="0.25">
      <c r="A20" s="84" t="s">
        <v>23</v>
      </c>
      <c r="B20" s="99" t="s">
        <v>348</v>
      </c>
      <c r="C20" s="528">
        <f>SUM(C21:C23)</f>
        <v>0</v>
      </c>
    </row>
    <row r="21" spans="1:3" s="247" customFormat="1" ht="12" customHeight="1" x14ac:dyDescent="0.2">
      <c r="A21" s="239" t="s">
        <v>106</v>
      </c>
      <c r="B21" s="8" t="s">
        <v>198</v>
      </c>
      <c r="C21" s="530"/>
    </row>
    <row r="22" spans="1:3" s="247" customFormat="1" ht="12" customHeight="1" x14ac:dyDescent="0.2">
      <c r="A22" s="239" t="s">
        <v>107</v>
      </c>
      <c r="B22" s="7" t="s">
        <v>349</v>
      </c>
      <c r="C22" s="530"/>
    </row>
    <row r="23" spans="1:3" s="247" customFormat="1" ht="12" customHeight="1" x14ac:dyDescent="0.2">
      <c r="A23" s="239" t="s">
        <v>108</v>
      </c>
      <c r="B23" s="7" t="s">
        <v>350</v>
      </c>
      <c r="C23" s="530"/>
    </row>
    <row r="24" spans="1:3" s="247" customFormat="1" ht="12" customHeight="1" thickBot="1" x14ac:dyDescent="0.25">
      <c r="A24" s="239" t="s">
        <v>109</v>
      </c>
      <c r="B24" s="7" t="s">
        <v>539</v>
      </c>
      <c r="C24" s="530"/>
    </row>
    <row r="25" spans="1:3" s="247" customFormat="1" ht="12" customHeight="1" thickBot="1" x14ac:dyDescent="0.25">
      <c r="A25" s="87" t="s">
        <v>24</v>
      </c>
      <c r="B25" s="68" t="s">
        <v>138</v>
      </c>
      <c r="C25" s="533"/>
    </row>
    <row r="26" spans="1:3" s="247" customFormat="1" ht="12" customHeight="1" thickBot="1" x14ac:dyDescent="0.25">
      <c r="A26" s="87" t="s">
        <v>25</v>
      </c>
      <c r="B26" s="68" t="s">
        <v>540</v>
      </c>
      <c r="C26" s="528">
        <f>+C27+C28</f>
        <v>0</v>
      </c>
    </row>
    <row r="27" spans="1:3" s="247" customFormat="1" ht="12" customHeight="1" x14ac:dyDescent="0.2">
      <c r="A27" s="240" t="s">
        <v>208</v>
      </c>
      <c r="B27" s="241" t="s">
        <v>349</v>
      </c>
      <c r="C27" s="534"/>
    </row>
    <row r="28" spans="1:3" s="247" customFormat="1" ht="12" customHeight="1" x14ac:dyDescent="0.2">
      <c r="A28" s="240" t="s">
        <v>211</v>
      </c>
      <c r="B28" s="242" t="s">
        <v>351</v>
      </c>
      <c r="C28" s="535"/>
    </row>
    <row r="29" spans="1:3" s="247" customFormat="1" ht="12" customHeight="1" thickBot="1" x14ac:dyDescent="0.25">
      <c r="A29" s="239" t="s">
        <v>212</v>
      </c>
      <c r="B29" s="71" t="s">
        <v>541</v>
      </c>
      <c r="C29" s="536"/>
    </row>
    <row r="30" spans="1:3" s="247" customFormat="1" ht="12" customHeight="1" thickBot="1" x14ac:dyDescent="0.25">
      <c r="A30" s="87" t="s">
        <v>26</v>
      </c>
      <c r="B30" s="68" t="s">
        <v>352</v>
      </c>
      <c r="C30" s="528">
        <f>+C31+C32+C33</f>
        <v>0</v>
      </c>
    </row>
    <row r="31" spans="1:3" s="247" customFormat="1" ht="12" customHeight="1" x14ac:dyDescent="0.2">
      <c r="A31" s="240" t="s">
        <v>93</v>
      </c>
      <c r="B31" s="241" t="s">
        <v>235</v>
      </c>
      <c r="C31" s="534"/>
    </row>
    <row r="32" spans="1:3" s="247" customFormat="1" ht="12" customHeight="1" x14ac:dyDescent="0.2">
      <c r="A32" s="240" t="s">
        <v>94</v>
      </c>
      <c r="B32" s="242" t="s">
        <v>236</v>
      </c>
      <c r="C32" s="535"/>
    </row>
    <row r="33" spans="1:3" s="247" customFormat="1" ht="12" customHeight="1" thickBot="1" x14ac:dyDescent="0.25">
      <c r="A33" s="239" t="s">
        <v>95</v>
      </c>
      <c r="B33" s="71" t="s">
        <v>237</v>
      </c>
      <c r="C33" s="536"/>
    </row>
    <row r="34" spans="1:3" s="195" customFormat="1" ht="12" customHeight="1" thickBot="1" x14ac:dyDescent="0.25">
      <c r="A34" s="87" t="s">
        <v>27</v>
      </c>
      <c r="B34" s="68" t="s">
        <v>323</v>
      </c>
      <c r="C34" s="530"/>
    </row>
    <row r="35" spans="1:3" s="195" customFormat="1" ht="12" customHeight="1" thickBot="1" x14ac:dyDescent="0.25">
      <c r="A35" s="87" t="s">
        <v>28</v>
      </c>
      <c r="B35" s="68" t="s">
        <v>353</v>
      </c>
      <c r="C35" s="537"/>
    </row>
    <row r="36" spans="1:3" s="195" customFormat="1" ht="12" customHeight="1" thickBot="1" x14ac:dyDescent="0.25">
      <c r="A36" s="84" t="s">
        <v>29</v>
      </c>
      <c r="B36" s="68" t="s">
        <v>542</v>
      </c>
      <c r="C36" s="538">
        <f>+C8+C20+C25+C26+C30+C34+C35</f>
        <v>11298378</v>
      </c>
    </row>
    <row r="37" spans="1:3" s="195" customFormat="1" ht="12" customHeight="1" thickBot="1" x14ac:dyDescent="0.25">
      <c r="A37" s="100" t="s">
        <v>30</v>
      </c>
      <c r="B37" s="68" t="s">
        <v>355</v>
      </c>
      <c r="C37" s="898">
        <f>+C38+C39+C40</f>
        <v>290412495</v>
      </c>
    </row>
    <row r="38" spans="1:3" s="195" customFormat="1" ht="12" customHeight="1" x14ac:dyDescent="0.2">
      <c r="A38" s="240" t="s">
        <v>356</v>
      </c>
      <c r="B38" s="241" t="s">
        <v>179</v>
      </c>
      <c r="C38" s="534">
        <v>665045</v>
      </c>
    </row>
    <row r="39" spans="1:3" s="195" customFormat="1" ht="12" customHeight="1" x14ac:dyDescent="0.2">
      <c r="A39" s="240" t="s">
        <v>357</v>
      </c>
      <c r="B39" s="242" t="s">
        <v>11</v>
      </c>
      <c r="C39" s="535"/>
    </row>
    <row r="40" spans="1:3" s="247" customFormat="1" ht="12" customHeight="1" thickBot="1" x14ac:dyDescent="0.25">
      <c r="A40" s="239" t="s">
        <v>358</v>
      </c>
      <c r="B40" s="71" t="s">
        <v>359</v>
      </c>
      <c r="C40" s="899">
        <f>289157846+479604+110000</f>
        <v>289747450</v>
      </c>
    </row>
    <row r="41" spans="1:3" s="247" customFormat="1" ht="15" customHeight="1" thickBot="1" x14ac:dyDescent="0.25">
      <c r="A41" s="100" t="s">
        <v>31</v>
      </c>
      <c r="B41" s="101" t="s">
        <v>360</v>
      </c>
      <c r="C41" s="898">
        <f>+C36+C37</f>
        <v>301710873</v>
      </c>
    </row>
    <row r="42" spans="1:3" s="247" customFormat="1" ht="15" customHeight="1" x14ac:dyDescent="0.2">
      <c r="A42" s="102"/>
      <c r="B42" s="103"/>
      <c r="C42" s="644"/>
    </row>
    <row r="43" spans="1:3" ht="13.5" thickBot="1" x14ac:dyDescent="0.25">
      <c r="A43" s="104"/>
      <c r="B43" s="105"/>
      <c r="C43" s="645"/>
    </row>
    <row r="44" spans="1:3" s="246" customFormat="1" ht="16.5" customHeight="1" thickBot="1" x14ac:dyDescent="0.25">
      <c r="A44" s="106"/>
      <c r="B44" s="107" t="s">
        <v>60</v>
      </c>
      <c r="C44" s="538"/>
    </row>
    <row r="45" spans="1:3" s="248" customFormat="1" ht="12" customHeight="1" thickBot="1" x14ac:dyDescent="0.25">
      <c r="A45" s="87" t="s">
        <v>22</v>
      </c>
      <c r="B45" s="68" t="s">
        <v>361</v>
      </c>
      <c r="C45" s="900">
        <f>SUM(C46:C50)</f>
        <v>299003893</v>
      </c>
    </row>
    <row r="46" spans="1:3" ht="12" customHeight="1" x14ac:dyDescent="0.2">
      <c r="A46" s="239" t="s">
        <v>100</v>
      </c>
      <c r="B46" s="8" t="s">
        <v>52</v>
      </c>
      <c r="C46" s="895">
        <f>187166011+408000</f>
        <v>187574011</v>
      </c>
    </row>
    <row r="47" spans="1:3" ht="12" customHeight="1" x14ac:dyDescent="0.2">
      <c r="A47" s="239" t="s">
        <v>101</v>
      </c>
      <c r="B47" s="7" t="s">
        <v>147</v>
      </c>
      <c r="C47" s="896">
        <f>40197175+71604</f>
        <v>40268779</v>
      </c>
    </row>
    <row r="48" spans="1:3" ht="12" customHeight="1" x14ac:dyDescent="0.2">
      <c r="A48" s="239" t="s">
        <v>102</v>
      </c>
      <c r="B48" s="7" t="s">
        <v>123</v>
      </c>
      <c r="C48" s="376">
        <f>70991103+110000+60000</f>
        <v>71161103</v>
      </c>
    </row>
    <row r="49" spans="1:3" ht="12" customHeight="1" x14ac:dyDescent="0.2">
      <c r="A49" s="239" t="s">
        <v>103</v>
      </c>
      <c r="B49" s="7" t="s">
        <v>148</v>
      </c>
      <c r="C49" s="642"/>
    </row>
    <row r="50" spans="1:3" ht="12" customHeight="1" thickBot="1" x14ac:dyDescent="0.25">
      <c r="A50" s="239" t="s">
        <v>124</v>
      </c>
      <c r="B50" s="7" t="s">
        <v>149</v>
      </c>
      <c r="C50" s="530"/>
    </row>
    <row r="51" spans="1:3" ht="12" customHeight="1" thickBot="1" x14ac:dyDescent="0.25">
      <c r="A51" s="87" t="s">
        <v>23</v>
      </c>
      <c r="B51" s="68" t="s">
        <v>362</v>
      </c>
      <c r="C51" s="547">
        <f>SUM(C52:C54)</f>
        <v>2706980</v>
      </c>
    </row>
    <row r="52" spans="1:3" s="248" customFormat="1" ht="12" customHeight="1" x14ac:dyDescent="0.2">
      <c r="A52" s="239" t="s">
        <v>106</v>
      </c>
      <c r="B52" s="8" t="s">
        <v>170</v>
      </c>
      <c r="C52" s="901">
        <f>2157380-60000</f>
        <v>2097380</v>
      </c>
    </row>
    <row r="53" spans="1:3" ht="12" customHeight="1" x14ac:dyDescent="0.2">
      <c r="A53" s="239" t="s">
        <v>107</v>
      </c>
      <c r="B53" s="7" t="s">
        <v>151</v>
      </c>
      <c r="C53" s="530">
        <v>609600</v>
      </c>
    </row>
    <row r="54" spans="1:3" ht="12" customHeight="1" x14ac:dyDescent="0.2">
      <c r="A54" s="239" t="s">
        <v>108</v>
      </c>
      <c r="B54" s="7" t="s">
        <v>61</v>
      </c>
      <c r="C54" s="530"/>
    </row>
    <row r="55" spans="1:3" ht="12" customHeight="1" thickBot="1" x14ac:dyDescent="0.25">
      <c r="A55" s="239" t="s">
        <v>109</v>
      </c>
      <c r="B55" s="7" t="s">
        <v>532</v>
      </c>
      <c r="C55" s="530"/>
    </row>
    <row r="56" spans="1:3" ht="15" customHeight="1" thickBot="1" x14ac:dyDescent="0.25">
      <c r="A56" s="87" t="s">
        <v>24</v>
      </c>
      <c r="B56" s="68" t="s">
        <v>18</v>
      </c>
      <c r="C56" s="548"/>
    </row>
    <row r="57" spans="1:3" ht="13.5" thickBot="1" x14ac:dyDescent="0.25">
      <c r="A57" s="87" t="s">
        <v>25</v>
      </c>
      <c r="B57" s="108" t="s">
        <v>533</v>
      </c>
      <c r="C57" s="902">
        <f>+C45+C51+C56</f>
        <v>301710873</v>
      </c>
    </row>
    <row r="58" spans="1:3" ht="15" customHeight="1" thickBot="1" x14ac:dyDescent="0.25">
      <c r="C58" s="643"/>
    </row>
    <row r="59" spans="1:3" ht="14.25" customHeight="1" thickBot="1" x14ac:dyDescent="0.25">
      <c r="A59" s="111" t="s">
        <v>525</v>
      </c>
      <c r="B59" s="112"/>
      <c r="C59" s="543">
        <v>54</v>
      </c>
    </row>
    <row r="60" spans="1:3" ht="13.5" thickBot="1" x14ac:dyDescent="0.25">
      <c r="A60" s="111" t="s">
        <v>165</v>
      </c>
      <c r="B60" s="112"/>
      <c r="C60" s="54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az a 4/2018.(III.29.)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view="pageLayout" topLeftCell="A71" zoomScaleNormal="130" workbookViewId="0">
      <selection activeCell="B107" sqref="B107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544" customWidth="1"/>
    <col min="4" max="256" width="9.33203125" style="110"/>
    <col min="257" max="257" width="13.83203125" style="110" customWidth="1"/>
    <col min="258" max="258" width="79.1640625" style="110" customWidth="1"/>
    <col min="259" max="259" width="25" style="110" customWidth="1"/>
    <col min="260" max="512" width="9.33203125" style="110"/>
    <col min="513" max="513" width="13.83203125" style="110" customWidth="1"/>
    <col min="514" max="514" width="79.1640625" style="110" customWidth="1"/>
    <col min="515" max="515" width="25" style="110" customWidth="1"/>
    <col min="516" max="768" width="9.33203125" style="110"/>
    <col min="769" max="769" width="13.83203125" style="110" customWidth="1"/>
    <col min="770" max="770" width="79.1640625" style="110" customWidth="1"/>
    <col min="771" max="771" width="25" style="110" customWidth="1"/>
    <col min="772" max="1024" width="9.33203125" style="110"/>
    <col min="1025" max="1025" width="13.83203125" style="110" customWidth="1"/>
    <col min="1026" max="1026" width="79.1640625" style="110" customWidth="1"/>
    <col min="1027" max="1027" width="25" style="110" customWidth="1"/>
    <col min="1028" max="1280" width="9.33203125" style="110"/>
    <col min="1281" max="1281" width="13.83203125" style="110" customWidth="1"/>
    <col min="1282" max="1282" width="79.1640625" style="110" customWidth="1"/>
    <col min="1283" max="1283" width="25" style="110" customWidth="1"/>
    <col min="1284" max="1536" width="9.33203125" style="110"/>
    <col min="1537" max="1537" width="13.83203125" style="110" customWidth="1"/>
    <col min="1538" max="1538" width="79.1640625" style="110" customWidth="1"/>
    <col min="1539" max="1539" width="25" style="110" customWidth="1"/>
    <col min="1540" max="1792" width="9.33203125" style="110"/>
    <col min="1793" max="1793" width="13.83203125" style="110" customWidth="1"/>
    <col min="1794" max="1794" width="79.1640625" style="110" customWidth="1"/>
    <col min="1795" max="1795" width="25" style="110" customWidth="1"/>
    <col min="1796" max="2048" width="9.33203125" style="110"/>
    <col min="2049" max="2049" width="13.83203125" style="110" customWidth="1"/>
    <col min="2050" max="2050" width="79.1640625" style="110" customWidth="1"/>
    <col min="2051" max="2051" width="25" style="110" customWidth="1"/>
    <col min="2052" max="2304" width="9.33203125" style="110"/>
    <col min="2305" max="2305" width="13.83203125" style="110" customWidth="1"/>
    <col min="2306" max="2306" width="79.1640625" style="110" customWidth="1"/>
    <col min="2307" max="2307" width="25" style="110" customWidth="1"/>
    <col min="2308" max="2560" width="9.33203125" style="110"/>
    <col min="2561" max="2561" width="13.83203125" style="110" customWidth="1"/>
    <col min="2562" max="2562" width="79.1640625" style="110" customWidth="1"/>
    <col min="2563" max="2563" width="25" style="110" customWidth="1"/>
    <col min="2564" max="2816" width="9.33203125" style="110"/>
    <col min="2817" max="2817" width="13.83203125" style="110" customWidth="1"/>
    <col min="2818" max="2818" width="79.1640625" style="110" customWidth="1"/>
    <col min="2819" max="2819" width="25" style="110" customWidth="1"/>
    <col min="2820" max="3072" width="9.33203125" style="110"/>
    <col min="3073" max="3073" width="13.83203125" style="110" customWidth="1"/>
    <col min="3074" max="3074" width="79.1640625" style="110" customWidth="1"/>
    <col min="3075" max="3075" width="25" style="110" customWidth="1"/>
    <col min="3076" max="3328" width="9.33203125" style="110"/>
    <col min="3329" max="3329" width="13.83203125" style="110" customWidth="1"/>
    <col min="3330" max="3330" width="79.1640625" style="110" customWidth="1"/>
    <col min="3331" max="3331" width="25" style="110" customWidth="1"/>
    <col min="3332" max="3584" width="9.33203125" style="110"/>
    <col min="3585" max="3585" width="13.83203125" style="110" customWidth="1"/>
    <col min="3586" max="3586" width="79.1640625" style="110" customWidth="1"/>
    <col min="3587" max="3587" width="25" style="110" customWidth="1"/>
    <col min="3588" max="3840" width="9.33203125" style="110"/>
    <col min="3841" max="3841" width="13.83203125" style="110" customWidth="1"/>
    <col min="3842" max="3842" width="79.1640625" style="110" customWidth="1"/>
    <col min="3843" max="3843" width="25" style="110" customWidth="1"/>
    <col min="3844" max="4096" width="9.33203125" style="110"/>
    <col min="4097" max="4097" width="13.83203125" style="110" customWidth="1"/>
    <col min="4098" max="4098" width="79.1640625" style="110" customWidth="1"/>
    <col min="4099" max="4099" width="25" style="110" customWidth="1"/>
    <col min="4100" max="4352" width="9.33203125" style="110"/>
    <col min="4353" max="4353" width="13.83203125" style="110" customWidth="1"/>
    <col min="4354" max="4354" width="79.1640625" style="110" customWidth="1"/>
    <col min="4355" max="4355" width="25" style="110" customWidth="1"/>
    <col min="4356" max="4608" width="9.33203125" style="110"/>
    <col min="4609" max="4609" width="13.83203125" style="110" customWidth="1"/>
    <col min="4610" max="4610" width="79.1640625" style="110" customWidth="1"/>
    <col min="4611" max="4611" width="25" style="110" customWidth="1"/>
    <col min="4612" max="4864" width="9.33203125" style="110"/>
    <col min="4865" max="4865" width="13.83203125" style="110" customWidth="1"/>
    <col min="4866" max="4866" width="79.1640625" style="110" customWidth="1"/>
    <col min="4867" max="4867" width="25" style="110" customWidth="1"/>
    <col min="4868" max="5120" width="9.33203125" style="110"/>
    <col min="5121" max="5121" width="13.83203125" style="110" customWidth="1"/>
    <col min="5122" max="5122" width="79.1640625" style="110" customWidth="1"/>
    <col min="5123" max="5123" width="25" style="110" customWidth="1"/>
    <col min="5124" max="5376" width="9.33203125" style="110"/>
    <col min="5377" max="5377" width="13.83203125" style="110" customWidth="1"/>
    <col min="5378" max="5378" width="79.1640625" style="110" customWidth="1"/>
    <col min="5379" max="5379" width="25" style="110" customWidth="1"/>
    <col min="5380" max="5632" width="9.33203125" style="110"/>
    <col min="5633" max="5633" width="13.83203125" style="110" customWidth="1"/>
    <col min="5634" max="5634" width="79.1640625" style="110" customWidth="1"/>
    <col min="5635" max="5635" width="25" style="110" customWidth="1"/>
    <col min="5636" max="5888" width="9.33203125" style="110"/>
    <col min="5889" max="5889" width="13.83203125" style="110" customWidth="1"/>
    <col min="5890" max="5890" width="79.1640625" style="110" customWidth="1"/>
    <col min="5891" max="5891" width="25" style="110" customWidth="1"/>
    <col min="5892" max="6144" width="9.33203125" style="110"/>
    <col min="6145" max="6145" width="13.83203125" style="110" customWidth="1"/>
    <col min="6146" max="6146" width="79.1640625" style="110" customWidth="1"/>
    <col min="6147" max="6147" width="25" style="110" customWidth="1"/>
    <col min="6148" max="6400" width="9.33203125" style="110"/>
    <col min="6401" max="6401" width="13.83203125" style="110" customWidth="1"/>
    <col min="6402" max="6402" width="79.1640625" style="110" customWidth="1"/>
    <col min="6403" max="6403" width="25" style="110" customWidth="1"/>
    <col min="6404" max="6656" width="9.33203125" style="110"/>
    <col min="6657" max="6657" width="13.83203125" style="110" customWidth="1"/>
    <col min="6658" max="6658" width="79.1640625" style="110" customWidth="1"/>
    <col min="6659" max="6659" width="25" style="110" customWidth="1"/>
    <col min="6660" max="6912" width="9.33203125" style="110"/>
    <col min="6913" max="6913" width="13.83203125" style="110" customWidth="1"/>
    <col min="6914" max="6914" width="79.1640625" style="110" customWidth="1"/>
    <col min="6915" max="6915" width="25" style="110" customWidth="1"/>
    <col min="6916" max="7168" width="9.33203125" style="110"/>
    <col min="7169" max="7169" width="13.83203125" style="110" customWidth="1"/>
    <col min="7170" max="7170" width="79.1640625" style="110" customWidth="1"/>
    <col min="7171" max="7171" width="25" style="110" customWidth="1"/>
    <col min="7172" max="7424" width="9.33203125" style="110"/>
    <col min="7425" max="7425" width="13.83203125" style="110" customWidth="1"/>
    <col min="7426" max="7426" width="79.1640625" style="110" customWidth="1"/>
    <col min="7427" max="7427" width="25" style="110" customWidth="1"/>
    <col min="7428" max="7680" width="9.33203125" style="110"/>
    <col min="7681" max="7681" width="13.83203125" style="110" customWidth="1"/>
    <col min="7682" max="7682" width="79.1640625" style="110" customWidth="1"/>
    <col min="7683" max="7683" width="25" style="110" customWidth="1"/>
    <col min="7684" max="7936" width="9.33203125" style="110"/>
    <col min="7937" max="7937" width="13.83203125" style="110" customWidth="1"/>
    <col min="7938" max="7938" width="79.1640625" style="110" customWidth="1"/>
    <col min="7939" max="7939" width="25" style="110" customWidth="1"/>
    <col min="7940" max="8192" width="9.33203125" style="110"/>
    <col min="8193" max="8193" width="13.83203125" style="110" customWidth="1"/>
    <col min="8194" max="8194" width="79.1640625" style="110" customWidth="1"/>
    <col min="8195" max="8195" width="25" style="110" customWidth="1"/>
    <col min="8196" max="8448" width="9.33203125" style="110"/>
    <col min="8449" max="8449" width="13.83203125" style="110" customWidth="1"/>
    <col min="8450" max="8450" width="79.1640625" style="110" customWidth="1"/>
    <col min="8451" max="8451" width="25" style="110" customWidth="1"/>
    <col min="8452" max="8704" width="9.33203125" style="110"/>
    <col min="8705" max="8705" width="13.83203125" style="110" customWidth="1"/>
    <col min="8706" max="8706" width="79.1640625" style="110" customWidth="1"/>
    <col min="8707" max="8707" width="25" style="110" customWidth="1"/>
    <col min="8708" max="8960" width="9.33203125" style="110"/>
    <col min="8961" max="8961" width="13.83203125" style="110" customWidth="1"/>
    <col min="8962" max="8962" width="79.1640625" style="110" customWidth="1"/>
    <col min="8963" max="8963" width="25" style="110" customWidth="1"/>
    <col min="8964" max="9216" width="9.33203125" style="110"/>
    <col min="9217" max="9217" width="13.83203125" style="110" customWidth="1"/>
    <col min="9218" max="9218" width="79.1640625" style="110" customWidth="1"/>
    <col min="9219" max="9219" width="25" style="110" customWidth="1"/>
    <col min="9220" max="9472" width="9.33203125" style="110"/>
    <col min="9473" max="9473" width="13.83203125" style="110" customWidth="1"/>
    <col min="9474" max="9474" width="79.1640625" style="110" customWidth="1"/>
    <col min="9475" max="9475" width="25" style="110" customWidth="1"/>
    <col min="9476" max="9728" width="9.33203125" style="110"/>
    <col min="9729" max="9729" width="13.83203125" style="110" customWidth="1"/>
    <col min="9730" max="9730" width="79.1640625" style="110" customWidth="1"/>
    <col min="9731" max="9731" width="25" style="110" customWidth="1"/>
    <col min="9732" max="9984" width="9.33203125" style="110"/>
    <col min="9985" max="9985" width="13.83203125" style="110" customWidth="1"/>
    <col min="9986" max="9986" width="79.1640625" style="110" customWidth="1"/>
    <col min="9987" max="9987" width="25" style="110" customWidth="1"/>
    <col min="9988" max="10240" width="9.33203125" style="110"/>
    <col min="10241" max="10241" width="13.83203125" style="110" customWidth="1"/>
    <col min="10242" max="10242" width="79.1640625" style="110" customWidth="1"/>
    <col min="10243" max="10243" width="25" style="110" customWidth="1"/>
    <col min="10244" max="10496" width="9.33203125" style="110"/>
    <col min="10497" max="10497" width="13.83203125" style="110" customWidth="1"/>
    <col min="10498" max="10498" width="79.1640625" style="110" customWidth="1"/>
    <col min="10499" max="10499" width="25" style="110" customWidth="1"/>
    <col min="10500" max="10752" width="9.33203125" style="110"/>
    <col min="10753" max="10753" width="13.83203125" style="110" customWidth="1"/>
    <col min="10754" max="10754" width="79.1640625" style="110" customWidth="1"/>
    <col min="10755" max="10755" width="25" style="110" customWidth="1"/>
    <col min="10756" max="11008" width="9.33203125" style="110"/>
    <col min="11009" max="11009" width="13.83203125" style="110" customWidth="1"/>
    <col min="11010" max="11010" width="79.1640625" style="110" customWidth="1"/>
    <col min="11011" max="11011" width="25" style="110" customWidth="1"/>
    <col min="11012" max="11264" width="9.33203125" style="110"/>
    <col min="11265" max="11265" width="13.83203125" style="110" customWidth="1"/>
    <col min="11266" max="11266" width="79.1640625" style="110" customWidth="1"/>
    <col min="11267" max="11267" width="25" style="110" customWidth="1"/>
    <col min="11268" max="11520" width="9.33203125" style="110"/>
    <col min="11521" max="11521" width="13.83203125" style="110" customWidth="1"/>
    <col min="11522" max="11522" width="79.1640625" style="110" customWidth="1"/>
    <col min="11523" max="11523" width="25" style="110" customWidth="1"/>
    <col min="11524" max="11776" width="9.33203125" style="110"/>
    <col min="11777" max="11777" width="13.83203125" style="110" customWidth="1"/>
    <col min="11778" max="11778" width="79.1640625" style="110" customWidth="1"/>
    <col min="11779" max="11779" width="25" style="110" customWidth="1"/>
    <col min="11780" max="12032" width="9.33203125" style="110"/>
    <col min="12033" max="12033" width="13.83203125" style="110" customWidth="1"/>
    <col min="12034" max="12034" width="79.1640625" style="110" customWidth="1"/>
    <col min="12035" max="12035" width="25" style="110" customWidth="1"/>
    <col min="12036" max="12288" width="9.33203125" style="110"/>
    <col min="12289" max="12289" width="13.83203125" style="110" customWidth="1"/>
    <col min="12290" max="12290" width="79.1640625" style="110" customWidth="1"/>
    <col min="12291" max="12291" width="25" style="110" customWidth="1"/>
    <col min="12292" max="12544" width="9.33203125" style="110"/>
    <col min="12545" max="12545" width="13.83203125" style="110" customWidth="1"/>
    <col min="12546" max="12546" width="79.1640625" style="110" customWidth="1"/>
    <col min="12547" max="12547" width="25" style="110" customWidth="1"/>
    <col min="12548" max="12800" width="9.33203125" style="110"/>
    <col min="12801" max="12801" width="13.83203125" style="110" customWidth="1"/>
    <col min="12802" max="12802" width="79.1640625" style="110" customWidth="1"/>
    <col min="12803" max="12803" width="25" style="110" customWidth="1"/>
    <col min="12804" max="13056" width="9.33203125" style="110"/>
    <col min="13057" max="13057" width="13.83203125" style="110" customWidth="1"/>
    <col min="13058" max="13058" width="79.1640625" style="110" customWidth="1"/>
    <col min="13059" max="13059" width="25" style="110" customWidth="1"/>
    <col min="13060" max="13312" width="9.33203125" style="110"/>
    <col min="13313" max="13313" width="13.83203125" style="110" customWidth="1"/>
    <col min="13314" max="13314" width="79.1640625" style="110" customWidth="1"/>
    <col min="13315" max="13315" width="25" style="110" customWidth="1"/>
    <col min="13316" max="13568" width="9.33203125" style="110"/>
    <col min="13569" max="13569" width="13.83203125" style="110" customWidth="1"/>
    <col min="13570" max="13570" width="79.1640625" style="110" customWidth="1"/>
    <col min="13571" max="13571" width="25" style="110" customWidth="1"/>
    <col min="13572" max="13824" width="9.33203125" style="110"/>
    <col min="13825" max="13825" width="13.83203125" style="110" customWidth="1"/>
    <col min="13826" max="13826" width="79.1640625" style="110" customWidth="1"/>
    <col min="13827" max="13827" width="25" style="110" customWidth="1"/>
    <col min="13828" max="14080" width="9.33203125" style="110"/>
    <col min="14081" max="14081" width="13.83203125" style="110" customWidth="1"/>
    <col min="14082" max="14082" width="79.1640625" style="110" customWidth="1"/>
    <col min="14083" max="14083" width="25" style="110" customWidth="1"/>
    <col min="14084" max="14336" width="9.33203125" style="110"/>
    <col min="14337" max="14337" width="13.83203125" style="110" customWidth="1"/>
    <col min="14338" max="14338" width="79.1640625" style="110" customWidth="1"/>
    <col min="14339" max="14339" width="25" style="110" customWidth="1"/>
    <col min="14340" max="14592" width="9.33203125" style="110"/>
    <col min="14593" max="14593" width="13.83203125" style="110" customWidth="1"/>
    <col min="14594" max="14594" width="79.1640625" style="110" customWidth="1"/>
    <col min="14595" max="14595" width="25" style="110" customWidth="1"/>
    <col min="14596" max="14848" width="9.33203125" style="110"/>
    <col min="14849" max="14849" width="13.83203125" style="110" customWidth="1"/>
    <col min="14850" max="14850" width="79.1640625" style="110" customWidth="1"/>
    <col min="14851" max="14851" width="25" style="110" customWidth="1"/>
    <col min="14852" max="15104" width="9.33203125" style="110"/>
    <col min="15105" max="15105" width="13.83203125" style="110" customWidth="1"/>
    <col min="15106" max="15106" width="79.1640625" style="110" customWidth="1"/>
    <col min="15107" max="15107" width="25" style="110" customWidth="1"/>
    <col min="15108" max="15360" width="9.33203125" style="110"/>
    <col min="15361" max="15361" width="13.83203125" style="110" customWidth="1"/>
    <col min="15362" max="15362" width="79.1640625" style="110" customWidth="1"/>
    <col min="15363" max="15363" width="25" style="110" customWidth="1"/>
    <col min="15364" max="15616" width="9.33203125" style="110"/>
    <col min="15617" max="15617" width="13.83203125" style="110" customWidth="1"/>
    <col min="15618" max="15618" width="79.1640625" style="110" customWidth="1"/>
    <col min="15619" max="15619" width="25" style="110" customWidth="1"/>
    <col min="15620" max="15872" width="9.33203125" style="110"/>
    <col min="15873" max="15873" width="13.83203125" style="110" customWidth="1"/>
    <col min="15874" max="15874" width="79.1640625" style="110" customWidth="1"/>
    <col min="15875" max="15875" width="25" style="110" customWidth="1"/>
    <col min="15876" max="16128" width="9.33203125" style="110"/>
    <col min="16129" max="16129" width="13.83203125" style="110" customWidth="1"/>
    <col min="16130" max="16130" width="79.1640625" style="110" customWidth="1"/>
    <col min="16131" max="16131" width="25" style="110" customWidth="1"/>
    <col min="16132" max="16384" width="9.33203125" style="110"/>
  </cols>
  <sheetData>
    <row r="1" spans="1:3" s="89" customFormat="1" ht="21" customHeight="1" thickBot="1" x14ac:dyDescent="0.25">
      <c r="A1" s="88"/>
      <c r="B1" s="90"/>
      <c r="C1" s="521"/>
    </row>
    <row r="2" spans="1:3" s="244" customFormat="1" ht="33.75" customHeight="1" x14ac:dyDescent="0.2">
      <c r="A2" s="201" t="s">
        <v>163</v>
      </c>
      <c r="B2" s="179" t="s">
        <v>563</v>
      </c>
      <c r="C2" s="522" t="s">
        <v>64</v>
      </c>
    </row>
    <row r="3" spans="1:3" s="244" customFormat="1" ht="24.75" thickBot="1" x14ac:dyDescent="0.25">
      <c r="A3" s="237" t="s">
        <v>162</v>
      </c>
      <c r="B3" s="180" t="s">
        <v>345</v>
      </c>
      <c r="C3" s="523" t="s">
        <v>56</v>
      </c>
    </row>
    <row r="4" spans="1:3" s="245" customFormat="1" ht="15.95" customHeight="1" thickBot="1" x14ac:dyDescent="0.3">
      <c r="A4" s="92"/>
      <c r="B4" s="92"/>
      <c r="C4" s="524" t="s">
        <v>572</v>
      </c>
    </row>
    <row r="5" spans="1:3" ht="13.5" thickBot="1" x14ac:dyDescent="0.25">
      <c r="A5" s="202" t="s">
        <v>164</v>
      </c>
      <c r="B5" s="94" t="s">
        <v>57</v>
      </c>
      <c r="C5" s="52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526" t="s">
        <v>448</v>
      </c>
    </row>
    <row r="7" spans="1:3" s="246" customFormat="1" ht="15.95" customHeight="1" thickBot="1" x14ac:dyDescent="0.25">
      <c r="A7" s="96"/>
      <c r="B7" s="97" t="s">
        <v>59</v>
      </c>
      <c r="C7" s="527"/>
    </row>
    <row r="8" spans="1:3" s="195" customFormat="1" ht="12" customHeight="1" thickBot="1" x14ac:dyDescent="0.25">
      <c r="A8" s="84" t="s">
        <v>22</v>
      </c>
      <c r="B8" s="99" t="s">
        <v>528</v>
      </c>
      <c r="C8" s="528">
        <f>SUM(C9:C19)</f>
        <v>184566273</v>
      </c>
    </row>
    <row r="9" spans="1:3" s="195" customFormat="1" ht="12" customHeight="1" x14ac:dyDescent="0.2">
      <c r="A9" s="238" t="s">
        <v>100</v>
      </c>
      <c r="B9" s="9" t="s">
        <v>221</v>
      </c>
      <c r="C9" s="529"/>
    </row>
    <row r="10" spans="1:3" s="195" customFormat="1" ht="12" customHeight="1" x14ac:dyDescent="0.2">
      <c r="A10" s="239" t="s">
        <v>101</v>
      </c>
      <c r="B10" s="7" t="s">
        <v>222</v>
      </c>
      <c r="C10" s="530">
        <v>10239158</v>
      </c>
    </row>
    <row r="11" spans="1:3" s="195" customFormat="1" ht="12" customHeight="1" x14ac:dyDescent="0.2">
      <c r="A11" s="239" t="s">
        <v>102</v>
      </c>
      <c r="B11" s="7" t="s">
        <v>223</v>
      </c>
      <c r="C11" s="530">
        <v>12700000</v>
      </c>
    </row>
    <row r="12" spans="1:3" s="195" customFormat="1" ht="12" customHeight="1" x14ac:dyDescent="0.2">
      <c r="A12" s="239" t="s">
        <v>103</v>
      </c>
      <c r="B12" s="7" t="s">
        <v>224</v>
      </c>
      <c r="C12" s="530"/>
    </row>
    <row r="13" spans="1:3" s="195" customFormat="1" ht="12" customHeight="1" x14ac:dyDescent="0.2">
      <c r="A13" s="239" t="s">
        <v>124</v>
      </c>
      <c r="B13" s="7" t="s">
        <v>225</v>
      </c>
      <c r="C13" s="530">
        <v>157919035</v>
      </c>
    </row>
    <row r="14" spans="1:3" s="195" customFormat="1" ht="12" customHeight="1" x14ac:dyDescent="0.2">
      <c r="A14" s="239" t="s">
        <v>104</v>
      </c>
      <c r="B14" s="7" t="s">
        <v>346</v>
      </c>
      <c r="C14" s="530">
        <v>3708080</v>
      </c>
    </row>
    <row r="15" spans="1:3" s="195" customFormat="1" ht="12" customHeight="1" x14ac:dyDescent="0.2">
      <c r="A15" s="239" t="s">
        <v>105</v>
      </c>
      <c r="B15" s="6" t="s">
        <v>347</v>
      </c>
      <c r="C15" s="530"/>
    </row>
    <row r="16" spans="1:3" s="195" customFormat="1" ht="12" customHeight="1" x14ac:dyDescent="0.2">
      <c r="A16" s="239" t="s">
        <v>115</v>
      </c>
      <c r="B16" s="7" t="s">
        <v>228</v>
      </c>
      <c r="C16" s="531"/>
    </row>
    <row r="17" spans="1:3" s="247" customFormat="1" ht="12" customHeight="1" x14ac:dyDescent="0.2">
      <c r="A17" s="239" t="s">
        <v>116</v>
      </c>
      <c r="B17" s="7" t="s">
        <v>229</v>
      </c>
      <c r="C17" s="530"/>
    </row>
    <row r="18" spans="1:3" s="247" customFormat="1" ht="12" customHeight="1" x14ac:dyDescent="0.2">
      <c r="A18" s="239" t="s">
        <v>117</v>
      </c>
      <c r="B18" s="7" t="s">
        <v>455</v>
      </c>
      <c r="C18" s="532"/>
    </row>
    <row r="19" spans="1:3" s="247" customFormat="1" ht="12" customHeight="1" thickBot="1" x14ac:dyDescent="0.25">
      <c r="A19" s="239" t="s">
        <v>118</v>
      </c>
      <c r="B19" s="6" t="s">
        <v>230</v>
      </c>
      <c r="C19" s="532"/>
    </row>
    <row r="20" spans="1:3" s="195" customFormat="1" ht="12" customHeight="1" thickBot="1" x14ac:dyDescent="0.25">
      <c r="A20" s="84" t="s">
        <v>23</v>
      </c>
      <c r="B20" s="99" t="s">
        <v>348</v>
      </c>
      <c r="C20" s="528">
        <f>SUM(C21:C23)</f>
        <v>19512535</v>
      </c>
    </row>
    <row r="21" spans="1:3" s="247" customFormat="1" ht="12" customHeight="1" x14ac:dyDescent="0.2">
      <c r="A21" s="239" t="s">
        <v>106</v>
      </c>
      <c r="B21" s="8" t="s">
        <v>198</v>
      </c>
      <c r="C21" s="530"/>
    </row>
    <row r="22" spans="1:3" s="247" customFormat="1" ht="12" customHeight="1" x14ac:dyDescent="0.2">
      <c r="A22" s="239" t="s">
        <v>107</v>
      </c>
      <c r="B22" s="7" t="s">
        <v>349</v>
      </c>
      <c r="C22" s="530"/>
    </row>
    <row r="23" spans="1:3" s="247" customFormat="1" ht="12" customHeight="1" x14ac:dyDescent="0.2">
      <c r="A23" s="239" t="s">
        <v>108</v>
      </c>
      <c r="B23" s="7" t="s">
        <v>350</v>
      </c>
      <c r="C23" s="530">
        <v>19512535</v>
      </c>
    </row>
    <row r="24" spans="1:3" s="247" customFormat="1" ht="12" customHeight="1" thickBot="1" x14ac:dyDescent="0.25">
      <c r="A24" s="239" t="s">
        <v>109</v>
      </c>
      <c r="B24" s="7" t="s">
        <v>539</v>
      </c>
      <c r="C24" s="530">
        <v>399535</v>
      </c>
    </row>
    <row r="25" spans="1:3" s="247" customFormat="1" ht="12" customHeight="1" thickBot="1" x14ac:dyDescent="0.25">
      <c r="A25" s="87" t="s">
        <v>24</v>
      </c>
      <c r="B25" s="68" t="s">
        <v>138</v>
      </c>
      <c r="C25" s="533"/>
    </row>
    <row r="26" spans="1:3" s="247" customFormat="1" ht="12" customHeight="1" thickBot="1" x14ac:dyDescent="0.25">
      <c r="A26" s="87" t="s">
        <v>25</v>
      </c>
      <c r="B26" s="68" t="s">
        <v>540</v>
      </c>
      <c r="C26" s="528">
        <f>+C27+C28</f>
        <v>0</v>
      </c>
    </row>
    <row r="27" spans="1:3" s="247" customFormat="1" ht="12" customHeight="1" x14ac:dyDescent="0.2">
      <c r="A27" s="240" t="s">
        <v>208</v>
      </c>
      <c r="B27" s="241" t="s">
        <v>349</v>
      </c>
      <c r="C27" s="534"/>
    </row>
    <row r="28" spans="1:3" s="247" customFormat="1" ht="12" customHeight="1" x14ac:dyDescent="0.2">
      <c r="A28" s="240" t="s">
        <v>211</v>
      </c>
      <c r="B28" s="242" t="s">
        <v>351</v>
      </c>
      <c r="C28" s="535"/>
    </row>
    <row r="29" spans="1:3" s="247" customFormat="1" ht="12" customHeight="1" thickBot="1" x14ac:dyDescent="0.25">
      <c r="A29" s="239" t="s">
        <v>212</v>
      </c>
      <c r="B29" s="71" t="s">
        <v>541</v>
      </c>
      <c r="C29" s="536"/>
    </row>
    <row r="30" spans="1:3" s="247" customFormat="1" ht="12" customHeight="1" thickBot="1" x14ac:dyDescent="0.25">
      <c r="A30" s="87" t="s">
        <v>26</v>
      </c>
      <c r="B30" s="68" t="s">
        <v>352</v>
      </c>
      <c r="C30" s="528">
        <f>+C31+C32+C33</f>
        <v>0</v>
      </c>
    </row>
    <row r="31" spans="1:3" s="247" customFormat="1" ht="12" customHeight="1" x14ac:dyDescent="0.2">
      <c r="A31" s="240" t="s">
        <v>93</v>
      </c>
      <c r="B31" s="241" t="s">
        <v>235</v>
      </c>
      <c r="C31" s="534"/>
    </row>
    <row r="32" spans="1:3" s="247" customFormat="1" ht="12" customHeight="1" x14ac:dyDescent="0.2">
      <c r="A32" s="240" t="s">
        <v>94</v>
      </c>
      <c r="B32" s="242" t="s">
        <v>236</v>
      </c>
      <c r="C32" s="535"/>
    </row>
    <row r="33" spans="1:3" s="247" customFormat="1" ht="12" customHeight="1" thickBot="1" x14ac:dyDescent="0.25">
      <c r="A33" s="239" t="s">
        <v>95</v>
      </c>
      <c r="B33" s="71" t="s">
        <v>237</v>
      </c>
      <c r="C33" s="536"/>
    </row>
    <row r="34" spans="1:3" s="195" customFormat="1" ht="12" customHeight="1" thickBot="1" x14ac:dyDescent="0.25">
      <c r="A34" s="87" t="s">
        <v>27</v>
      </c>
      <c r="B34" s="68" t="s">
        <v>323</v>
      </c>
      <c r="C34" s="533"/>
    </row>
    <row r="35" spans="1:3" s="195" customFormat="1" ht="12" customHeight="1" thickBot="1" x14ac:dyDescent="0.25">
      <c r="A35" s="87" t="s">
        <v>28</v>
      </c>
      <c r="B35" s="68" t="s">
        <v>353</v>
      </c>
      <c r="C35" s="537"/>
    </row>
    <row r="36" spans="1:3" s="195" customFormat="1" ht="12" customHeight="1" thickBot="1" x14ac:dyDescent="0.25">
      <c r="A36" s="84" t="s">
        <v>29</v>
      </c>
      <c r="B36" s="68" t="s">
        <v>542</v>
      </c>
      <c r="C36" s="538">
        <f>+C8+C20+C25+C26+C30+C34+C35</f>
        <v>204078808</v>
      </c>
    </row>
    <row r="37" spans="1:3" s="195" customFormat="1" ht="12" customHeight="1" thickBot="1" x14ac:dyDescent="0.25">
      <c r="A37" s="100" t="s">
        <v>30</v>
      </c>
      <c r="B37" s="68" t="s">
        <v>355</v>
      </c>
      <c r="C37" s="898">
        <f>+C38+C39+C40</f>
        <v>519087195</v>
      </c>
    </row>
    <row r="38" spans="1:3" s="195" customFormat="1" ht="12" customHeight="1" x14ac:dyDescent="0.2">
      <c r="A38" s="240" t="s">
        <v>356</v>
      </c>
      <c r="B38" s="241" t="s">
        <v>179</v>
      </c>
      <c r="C38" s="901">
        <f>20415305-28</f>
        <v>20415277</v>
      </c>
    </row>
    <row r="39" spans="1:3" s="195" customFormat="1" ht="12" customHeight="1" x14ac:dyDescent="0.2">
      <c r="A39" s="240" t="s">
        <v>357</v>
      </c>
      <c r="B39" s="242" t="s">
        <v>11</v>
      </c>
      <c r="C39" s="535"/>
    </row>
    <row r="40" spans="1:3" s="247" customFormat="1" ht="12" customHeight="1" thickBot="1" x14ac:dyDescent="0.25">
      <c r="A40" s="239" t="s">
        <v>358</v>
      </c>
      <c r="B40" s="71" t="s">
        <v>359</v>
      </c>
      <c r="C40" s="375">
        <f>498171287+500631</f>
        <v>498671918</v>
      </c>
    </row>
    <row r="41" spans="1:3" s="247" customFormat="1" ht="15" customHeight="1" thickBot="1" x14ac:dyDescent="0.25">
      <c r="A41" s="100" t="s">
        <v>31</v>
      </c>
      <c r="B41" s="101" t="s">
        <v>360</v>
      </c>
      <c r="C41" s="898">
        <f>+C36+C37</f>
        <v>723166003</v>
      </c>
    </row>
    <row r="42" spans="1:3" s="247" customFormat="1" ht="15" customHeight="1" x14ac:dyDescent="0.2">
      <c r="A42" s="102"/>
      <c r="B42" s="103"/>
      <c r="C42" s="644"/>
    </row>
    <row r="43" spans="1:3" ht="13.5" thickBot="1" x14ac:dyDescent="0.25">
      <c r="A43" s="104"/>
      <c r="B43" s="105"/>
      <c r="C43" s="645"/>
    </row>
    <row r="44" spans="1:3" s="246" customFormat="1" ht="16.5" customHeight="1" thickBot="1" x14ac:dyDescent="0.25">
      <c r="A44" s="106"/>
      <c r="B44" s="107" t="s">
        <v>60</v>
      </c>
      <c r="C44" s="538"/>
    </row>
    <row r="45" spans="1:3" s="248" customFormat="1" ht="12" customHeight="1" thickBot="1" x14ac:dyDescent="0.25">
      <c r="A45" s="87" t="s">
        <v>22</v>
      </c>
      <c r="B45" s="68" t="s">
        <v>361</v>
      </c>
      <c r="C45" s="900">
        <f>SUM(C46:C50)</f>
        <v>710467385</v>
      </c>
    </row>
    <row r="46" spans="1:3" ht="12" customHeight="1" x14ac:dyDescent="0.2">
      <c r="A46" s="239" t="s">
        <v>100</v>
      </c>
      <c r="B46" s="8" t="s">
        <v>52</v>
      </c>
      <c r="C46" s="901">
        <f>432587281+258000</f>
        <v>432845281</v>
      </c>
    </row>
    <row r="47" spans="1:3" ht="12" customHeight="1" x14ac:dyDescent="0.2">
      <c r="A47" s="239" t="s">
        <v>101</v>
      </c>
      <c r="B47" s="7" t="s">
        <v>147</v>
      </c>
      <c r="C47" s="376">
        <f>91161523+50310</f>
        <v>91211833</v>
      </c>
    </row>
    <row r="48" spans="1:3" ht="12" customHeight="1" x14ac:dyDescent="0.2">
      <c r="A48" s="239" t="s">
        <v>102</v>
      </c>
      <c r="B48" s="7" t="s">
        <v>123</v>
      </c>
      <c r="C48" s="376">
        <f>186217978+192293</f>
        <v>186410271</v>
      </c>
    </row>
    <row r="49" spans="1:3" ht="12" customHeight="1" x14ac:dyDescent="0.2">
      <c r="A49" s="239" t="s">
        <v>103</v>
      </c>
      <c r="B49" s="7" t="s">
        <v>148</v>
      </c>
      <c r="C49" s="642"/>
    </row>
    <row r="50" spans="1:3" ht="12" customHeight="1" thickBot="1" x14ac:dyDescent="0.25">
      <c r="A50" s="239" t="s">
        <v>124</v>
      </c>
      <c r="B50" s="7" t="s">
        <v>149</v>
      </c>
      <c r="C50" s="642"/>
    </row>
    <row r="51" spans="1:3" ht="12" customHeight="1" thickBot="1" x14ac:dyDescent="0.25">
      <c r="A51" s="87" t="s">
        <v>23</v>
      </c>
      <c r="B51" s="68" t="s">
        <v>362</v>
      </c>
      <c r="C51" s="528">
        <f>SUM(C52:C54)</f>
        <v>12698618</v>
      </c>
    </row>
    <row r="52" spans="1:3" s="248" customFormat="1" ht="12" customHeight="1" x14ac:dyDescent="0.2">
      <c r="A52" s="239" t="s">
        <v>106</v>
      </c>
      <c r="B52" s="8" t="s">
        <v>170</v>
      </c>
      <c r="C52" s="534">
        <v>12698618</v>
      </c>
    </row>
    <row r="53" spans="1:3" ht="12" customHeight="1" x14ac:dyDescent="0.2">
      <c r="A53" s="239" t="s">
        <v>107</v>
      </c>
      <c r="B53" s="7" t="s">
        <v>151</v>
      </c>
      <c r="C53" s="642"/>
    </row>
    <row r="54" spans="1:3" ht="12" customHeight="1" x14ac:dyDescent="0.2">
      <c r="A54" s="239" t="s">
        <v>108</v>
      </c>
      <c r="B54" s="7" t="s">
        <v>61</v>
      </c>
      <c r="C54" s="642"/>
    </row>
    <row r="55" spans="1:3" ht="12" customHeight="1" thickBot="1" x14ac:dyDescent="0.25">
      <c r="A55" s="239" t="s">
        <v>109</v>
      </c>
      <c r="B55" s="7" t="s">
        <v>532</v>
      </c>
      <c r="C55" s="642"/>
    </row>
    <row r="56" spans="1:3" ht="15" customHeight="1" thickBot="1" x14ac:dyDescent="0.25">
      <c r="A56" s="87" t="s">
        <v>24</v>
      </c>
      <c r="B56" s="68" t="s">
        <v>18</v>
      </c>
      <c r="C56" s="533"/>
    </row>
    <row r="57" spans="1:3" ht="13.5" thickBot="1" x14ac:dyDescent="0.25">
      <c r="A57" s="87" t="s">
        <v>25</v>
      </c>
      <c r="B57" s="108" t="s">
        <v>533</v>
      </c>
      <c r="C57" s="900">
        <f>+C45+C51+C56</f>
        <v>723166003</v>
      </c>
    </row>
    <row r="58" spans="1:3" ht="15" customHeight="1" thickBot="1" x14ac:dyDescent="0.25">
      <c r="C58" s="542"/>
    </row>
    <row r="59" spans="1:3" ht="14.25" customHeight="1" x14ac:dyDescent="0.2">
      <c r="A59" s="490" t="s">
        <v>525</v>
      </c>
      <c r="B59" s="491"/>
      <c r="C59" s="930">
        <f>141.2+1.125</f>
        <v>142.32499999999999</v>
      </c>
    </row>
    <row r="60" spans="1:3" x14ac:dyDescent="0.2">
      <c r="A60" s="545" t="s">
        <v>686</v>
      </c>
      <c r="B60" s="546"/>
      <c r="C60" s="648">
        <v>61</v>
      </c>
    </row>
    <row r="61" spans="1:3" s="544" customFormat="1" ht="13.9" customHeight="1" thickBot="1" x14ac:dyDescent="0.25">
      <c r="A61" s="960" t="s">
        <v>687</v>
      </c>
      <c r="B61" s="961"/>
      <c r="C61" s="649">
        <v>2</v>
      </c>
    </row>
    <row r="62" spans="1:3" s="544" customFormat="1" ht="19.899999999999999" customHeight="1" thickBot="1" x14ac:dyDescent="0.25">
      <c r="A62" s="960"/>
      <c r="B62" s="961"/>
      <c r="C62" s="649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4/2018.(III.29.)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72" zoomScaleNormal="145" workbookViewId="0">
      <selection activeCell="B107" sqref="B107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544" customWidth="1"/>
    <col min="4" max="256" width="9.33203125" style="110"/>
    <col min="257" max="257" width="13.83203125" style="110" customWidth="1"/>
    <col min="258" max="258" width="79.1640625" style="110" customWidth="1"/>
    <col min="259" max="259" width="25" style="110" customWidth="1"/>
    <col min="260" max="512" width="9.33203125" style="110"/>
    <col min="513" max="513" width="13.83203125" style="110" customWidth="1"/>
    <col min="514" max="514" width="79.1640625" style="110" customWidth="1"/>
    <col min="515" max="515" width="25" style="110" customWidth="1"/>
    <col min="516" max="768" width="9.33203125" style="110"/>
    <col min="769" max="769" width="13.83203125" style="110" customWidth="1"/>
    <col min="770" max="770" width="79.1640625" style="110" customWidth="1"/>
    <col min="771" max="771" width="25" style="110" customWidth="1"/>
    <col min="772" max="1024" width="9.33203125" style="110"/>
    <col min="1025" max="1025" width="13.83203125" style="110" customWidth="1"/>
    <col min="1026" max="1026" width="79.1640625" style="110" customWidth="1"/>
    <col min="1027" max="1027" width="25" style="110" customWidth="1"/>
    <col min="1028" max="1280" width="9.33203125" style="110"/>
    <col min="1281" max="1281" width="13.83203125" style="110" customWidth="1"/>
    <col min="1282" max="1282" width="79.1640625" style="110" customWidth="1"/>
    <col min="1283" max="1283" width="25" style="110" customWidth="1"/>
    <col min="1284" max="1536" width="9.33203125" style="110"/>
    <col min="1537" max="1537" width="13.83203125" style="110" customWidth="1"/>
    <col min="1538" max="1538" width="79.1640625" style="110" customWidth="1"/>
    <col min="1539" max="1539" width="25" style="110" customWidth="1"/>
    <col min="1540" max="1792" width="9.33203125" style="110"/>
    <col min="1793" max="1793" width="13.83203125" style="110" customWidth="1"/>
    <col min="1794" max="1794" width="79.1640625" style="110" customWidth="1"/>
    <col min="1795" max="1795" width="25" style="110" customWidth="1"/>
    <col min="1796" max="2048" width="9.33203125" style="110"/>
    <col min="2049" max="2049" width="13.83203125" style="110" customWidth="1"/>
    <col min="2050" max="2050" width="79.1640625" style="110" customWidth="1"/>
    <col min="2051" max="2051" width="25" style="110" customWidth="1"/>
    <col min="2052" max="2304" width="9.33203125" style="110"/>
    <col min="2305" max="2305" width="13.83203125" style="110" customWidth="1"/>
    <col min="2306" max="2306" width="79.1640625" style="110" customWidth="1"/>
    <col min="2307" max="2307" width="25" style="110" customWidth="1"/>
    <col min="2308" max="2560" width="9.33203125" style="110"/>
    <col min="2561" max="2561" width="13.83203125" style="110" customWidth="1"/>
    <col min="2562" max="2562" width="79.1640625" style="110" customWidth="1"/>
    <col min="2563" max="2563" width="25" style="110" customWidth="1"/>
    <col min="2564" max="2816" width="9.33203125" style="110"/>
    <col min="2817" max="2817" width="13.83203125" style="110" customWidth="1"/>
    <col min="2818" max="2818" width="79.1640625" style="110" customWidth="1"/>
    <col min="2819" max="2819" width="25" style="110" customWidth="1"/>
    <col min="2820" max="3072" width="9.33203125" style="110"/>
    <col min="3073" max="3073" width="13.83203125" style="110" customWidth="1"/>
    <col min="3074" max="3074" width="79.1640625" style="110" customWidth="1"/>
    <col min="3075" max="3075" width="25" style="110" customWidth="1"/>
    <col min="3076" max="3328" width="9.33203125" style="110"/>
    <col min="3329" max="3329" width="13.83203125" style="110" customWidth="1"/>
    <col min="3330" max="3330" width="79.1640625" style="110" customWidth="1"/>
    <col min="3331" max="3331" width="25" style="110" customWidth="1"/>
    <col min="3332" max="3584" width="9.33203125" style="110"/>
    <col min="3585" max="3585" width="13.83203125" style="110" customWidth="1"/>
    <col min="3586" max="3586" width="79.1640625" style="110" customWidth="1"/>
    <col min="3587" max="3587" width="25" style="110" customWidth="1"/>
    <col min="3588" max="3840" width="9.33203125" style="110"/>
    <col min="3841" max="3841" width="13.83203125" style="110" customWidth="1"/>
    <col min="3842" max="3842" width="79.1640625" style="110" customWidth="1"/>
    <col min="3843" max="3843" width="25" style="110" customWidth="1"/>
    <col min="3844" max="4096" width="9.33203125" style="110"/>
    <col min="4097" max="4097" width="13.83203125" style="110" customWidth="1"/>
    <col min="4098" max="4098" width="79.1640625" style="110" customWidth="1"/>
    <col min="4099" max="4099" width="25" style="110" customWidth="1"/>
    <col min="4100" max="4352" width="9.33203125" style="110"/>
    <col min="4353" max="4353" width="13.83203125" style="110" customWidth="1"/>
    <col min="4354" max="4354" width="79.1640625" style="110" customWidth="1"/>
    <col min="4355" max="4355" width="25" style="110" customWidth="1"/>
    <col min="4356" max="4608" width="9.33203125" style="110"/>
    <col min="4609" max="4609" width="13.83203125" style="110" customWidth="1"/>
    <col min="4610" max="4610" width="79.1640625" style="110" customWidth="1"/>
    <col min="4611" max="4611" width="25" style="110" customWidth="1"/>
    <col min="4612" max="4864" width="9.33203125" style="110"/>
    <col min="4865" max="4865" width="13.83203125" style="110" customWidth="1"/>
    <col min="4866" max="4866" width="79.1640625" style="110" customWidth="1"/>
    <col min="4867" max="4867" width="25" style="110" customWidth="1"/>
    <col min="4868" max="5120" width="9.33203125" style="110"/>
    <col min="5121" max="5121" width="13.83203125" style="110" customWidth="1"/>
    <col min="5122" max="5122" width="79.1640625" style="110" customWidth="1"/>
    <col min="5123" max="5123" width="25" style="110" customWidth="1"/>
    <col min="5124" max="5376" width="9.33203125" style="110"/>
    <col min="5377" max="5377" width="13.83203125" style="110" customWidth="1"/>
    <col min="5378" max="5378" width="79.1640625" style="110" customWidth="1"/>
    <col min="5379" max="5379" width="25" style="110" customWidth="1"/>
    <col min="5380" max="5632" width="9.33203125" style="110"/>
    <col min="5633" max="5633" width="13.83203125" style="110" customWidth="1"/>
    <col min="5634" max="5634" width="79.1640625" style="110" customWidth="1"/>
    <col min="5635" max="5635" width="25" style="110" customWidth="1"/>
    <col min="5636" max="5888" width="9.33203125" style="110"/>
    <col min="5889" max="5889" width="13.83203125" style="110" customWidth="1"/>
    <col min="5890" max="5890" width="79.1640625" style="110" customWidth="1"/>
    <col min="5891" max="5891" width="25" style="110" customWidth="1"/>
    <col min="5892" max="6144" width="9.33203125" style="110"/>
    <col min="6145" max="6145" width="13.83203125" style="110" customWidth="1"/>
    <col min="6146" max="6146" width="79.1640625" style="110" customWidth="1"/>
    <col min="6147" max="6147" width="25" style="110" customWidth="1"/>
    <col min="6148" max="6400" width="9.33203125" style="110"/>
    <col min="6401" max="6401" width="13.83203125" style="110" customWidth="1"/>
    <col min="6402" max="6402" width="79.1640625" style="110" customWidth="1"/>
    <col min="6403" max="6403" width="25" style="110" customWidth="1"/>
    <col min="6404" max="6656" width="9.33203125" style="110"/>
    <col min="6657" max="6657" width="13.83203125" style="110" customWidth="1"/>
    <col min="6658" max="6658" width="79.1640625" style="110" customWidth="1"/>
    <col min="6659" max="6659" width="25" style="110" customWidth="1"/>
    <col min="6660" max="6912" width="9.33203125" style="110"/>
    <col min="6913" max="6913" width="13.83203125" style="110" customWidth="1"/>
    <col min="6914" max="6914" width="79.1640625" style="110" customWidth="1"/>
    <col min="6915" max="6915" width="25" style="110" customWidth="1"/>
    <col min="6916" max="7168" width="9.33203125" style="110"/>
    <col min="7169" max="7169" width="13.83203125" style="110" customWidth="1"/>
    <col min="7170" max="7170" width="79.1640625" style="110" customWidth="1"/>
    <col min="7171" max="7171" width="25" style="110" customWidth="1"/>
    <col min="7172" max="7424" width="9.33203125" style="110"/>
    <col min="7425" max="7425" width="13.83203125" style="110" customWidth="1"/>
    <col min="7426" max="7426" width="79.1640625" style="110" customWidth="1"/>
    <col min="7427" max="7427" width="25" style="110" customWidth="1"/>
    <col min="7428" max="7680" width="9.33203125" style="110"/>
    <col min="7681" max="7681" width="13.83203125" style="110" customWidth="1"/>
    <col min="7682" max="7682" width="79.1640625" style="110" customWidth="1"/>
    <col min="7683" max="7683" width="25" style="110" customWidth="1"/>
    <col min="7684" max="7936" width="9.33203125" style="110"/>
    <col min="7937" max="7937" width="13.83203125" style="110" customWidth="1"/>
    <col min="7938" max="7938" width="79.1640625" style="110" customWidth="1"/>
    <col min="7939" max="7939" width="25" style="110" customWidth="1"/>
    <col min="7940" max="8192" width="9.33203125" style="110"/>
    <col min="8193" max="8193" width="13.83203125" style="110" customWidth="1"/>
    <col min="8194" max="8194" width="79.1640625" style="110" customWidth="1"/>
    <col min="8195" max="8195" width="25" style="110" customWidth="1"/>
    <col min="8196" max="8448" width="9.33203125" style="110"/>
    <col min="8449" max="8449" width="13.83203125" style="110" customWidth="1"/>
    <col min="8450" max="8450" width="79.1640625" style="110" customWidth="1"/>
    <col min="8451" max="8451" width="25" style="110" customWidth="1"/>
    <col min="8452" max="8704" width="9.33203125" style="110"/>
    <col min="8705" max="8705" width="13.83203125" style="110" customWidth="1"/>
    <col min="8706" max="8706" width="79.1640625" style="110" customWidth="1"/>
    <col min="8707" max="8707" width="25" style="110" customWidth="1"/>
    <col min="8708" max="8960" width="9.33203125" style="110"/>
    <col min="8961" max="8961" width="13.83203125" style="110" customWidth="1"/>
    <col min="8962" max="8962" width="79.1640625" style="110" customWidth="1"/>
    <col min="8963" max="8963" width="25" style="110" customWidth="1"/>
    <col min="8964" max="9216" width="9.33203125" style="110"/>
    <col min="9217" max="9217" width="13.83203125" style="110" customWidth="1"/>
    <col min="9218" max="9218" width="79.1640625" style="110" customWidth="1"/>
    <col min="9219" max="9219" width="25" style="110" customWidth="1"/>
    <col min="9220" max="9472" width="9.33203125" style="110"/>
    <col min="9473" max="9473" width="13.83203125" style="110" customWidth="1"/>
    <col min="9474" max="9474" width="79.1640625" style="110" customWidth="1"/>
    <col min="9475" max="9475" width="25" style="110" customWidth="1"/>
    <col min="9476" max="9728" width="9.33203125" style="110"/>
    <col min="9729" max="9729" width="13.83203125" style="110" customWidth="1"/>
    <col min="9730" max="9730" width="79.1640625" style="110" customWidth="1"/>
    <col min="9731" max="9731" width="25" style="110" customWidth="1"/>
    <col min="9732" max="9984" width="9.33203125" style="110"/>
    <col min="9985" max="9985" width="13.83203125" style="110" customWidth="1"/>
    <col min="9986" max="9986" width="79.1640625" style="110" customWidth="1"/>
    <col min="9987" max="9987" width="25" style="110" customWidth="1"/>
    <col min="9988" max="10240" width="9.33203125" style="110"/>
    <col min="10241" max="10241" width="13.83203125" style="110" customWidth="1"/>
    <col min="10242" max="10242" width="79.1640625" style="110" customWidth="1"/>
    <col min="10243" max="10243" width="25" style="110" customWidth="1"/>
    <col min="10244" max="10496" width="9.33203125" style="110"/>
    <col min="10497" max="10497" width="13.83203125" style="110" customWidth="1"/>
    <col min="10498" max="10498" width="79.1640625" style="110" customWidth="1"/>
    <col min="10499" max="10499" width="25" style="110" customWidth="1"/>
    <col min="10500" max="10752" width="9.33203125" style="110"/>
    <col min="10753" max="10753" width="13.83203125" style="110" customWidth="1"/>
    <col min="10754" max="10754" width="79.1640625" style="110" customWidth="1"/>
    <col min="10755" max="10755" width="25" style="110" customWidth="1"/>
    <col min="10756" max="11008" width="9.33203125" style="110"/>
    <col min="11009" max="11009" width="13.83203125" style="110" customWidth="1"/>
    <col min="11010" max="11010" width="79.1640625" style="110" customWidth="1"/>
    <col min="11011" max="11011" width="25" style="110" customWidth="1"/>
    <col min="11012" max="11264" width="9.33203125" style="110"/>
    <col min="11265" max="11265" width="13.83203125" style="110" customWidth="1"/>
    <col min="11266" max="11266" width="79.1640625" style="110" customWidth="1"/>
    <col min="11267" max="11267" width="25" style="110" customWidth="1"/>
    <col min="11268" max="11520" width="9.33203125" style="110"/>
    <col min="11521" max="11521" width="13.83203125" style="110" customWidth="1"/>
    <col min="11522" max="11522" width="79.1640625" style="110" customWidth="1"/>
    <col min="11523" max="11523" width="25" style="110" customWidth="1"/>
    <col min="11524" max="11776" width="9.33203125" style="110"/>
    <col min="11777" max="11777" width="13.83203125" style="110" customWidth="1"/>
    <col min="11778" max="11778" width="79.1640625" style="110" customWidth="1"/>
    <col min="11779" max="11779" width="25" style="110" customWidth="1"/>
    <col min="11780" max="12032" width="9.33203125" style="110"/>
    <col min="12033" max="12033" width="13.83203125" style="110" customWidth="1"/>
    <col min="12034" max="12034" width="79.1640625" style="110" customWidth="1"/>
    <col min="12035" max="12035" width="25" style="110" customWidth="1"/>
    <col min="12036" max="12288" width="9.33203125" style="110"/>
    <col min="12289" max="12289" width="13.83203125" style="110" customWidth="1"/>
    <col min="12290" max="12290" width="79.1640625" style="110" customWidth="1"/>
    <col min="12291" max="12291" width="25" style="110" customWidth="1"/>
    <col min="12292" max="12544" width="9.33203125" style="110"/>
    <col min="12545" max="12545" width="13.83203125" style="110" customWidth="1"/>
    <col min="12546" max="12546" width="79.1640625" style="110" customWidth="1"/>
    <col min="12547" max="12547" width="25" style="110" customWidth="1"/>
    <col min="12548" max="12800" width="9.33203125" style="110"/>
    <col min="12801" max="12801" width="13.83203125" style="110" customWidth="1"/>
    <col min="12802" max="12802" width="79.1640625" style="110" customWidth="1"/>
    <col min="12803" max="12803" width="25" style="110" customWidth="1"/>
    <col min="12804" max="13056" width="9.33203125" style="110"/>
    <col min="13057" max="13057" width="13.83203125" style="110" customWidth="1"/>
    <col min="13058" max="13058" width="79.1640625" style="110" customWidth="1"/>
    <col min="13059" max="13059" width="25" style="110" customWidth="1"/>
    <col min="13060" max="13312" width="9.33203125" style="110"/>
    <col min="13313" max="13313" width="13.83203125" style="110" customWidth="1"/>
    <col min="13314" max="13314" width="79.1640625" style="110" customWidth="1"/>
    <col min="13315" max="13315" width="25" style="110" customWidth="1"/>
    <col min="13316" max="13568" width="9.33203125" style="110"/>
    <col min="13569" max="13569" width="13.83203125" style="110" customWidth="1"/>
    <col min="13570" max="13570" width="79.1640625" style="110" customWidth="1"/>
    <col min="13571" max="13571" width="25" style="110" customWidth="1"/>
    <col min="13572" max="13824" width="9.33203125" style="110"/>
    <col min="13825" max="13825" width="13.83203125" style="110" customWidth="1"/>
    <col min="13826" max="13826" width="79.1640625" style="110" customWidth="1"/>
    <col min="13827" max="13827" width="25" style="110" customWidth="1"/>
    <col min="13828" max="14080" width="9.33203125" style="110"/>
    <col min="14081" max="14081" width="13.83203125" style="110" customWidth="1"/>
    <col min="14082" max="14082" width="79.1640625" style="110" customWidth="1"/>
    <col min="14083" max="14083" width="25" style="110" customWidth="1"/>
    <col min="14084" max="14336" width="9.33203125" style="110"/>
    <col min="14337" max="14337" width="13.83203125" style="110" customWidth="1"/>
    <col min="14338" max="14338" width="79.1640625" style="110" customWidth="1"/>
    <col min="14339" max="14339" width="25" style="110" customWidth="1"/>
    <col min="14340" max="14592" width="9.33203125" style="110"/>
    <col min="14593" max="14593" width="13.83203125" style="110" customWidth="1"/>
    <col min="14594" max="14594" width="79.1640625" style="110" customWidth="1"/>
    <col min="14595" max="14595" width="25" style="110" customWidth="1"/>
    <col min="14596" max="14848" width="9.33203125" style="110"/>
    <col min="14849" max="14849" width="13.83203125" style="110" customWidth="1"/>
    <col min="14850" max="14850" width="79.1640625" style="110" customWidth="1"/>
    <col min="14851" max="14851" width="25" style="110" customWidth="1"/>
    <col min="14852" max="15104" width="9.33203125" style="110"/>
    <col min="15105" max="15105" width="13.83203125" style="110" customWidth="1"/>
    <col min="15106" max="15106" width="79.1640625" style="110" customWidth="1"/>
    <col min="15107" max="15107" width="25" style="110" customWidth="1"/>
    <col min="15108" max="15360" width="9.33203125" style="110"/>
    <col min="15361" max="15361" width="13.83203125" style="110" customWidth="1"/>
    <col min="15362" max="15362" width="79.1640625" style="110" customWidth="1"/>
    <col min="15363" max="15363" width="25" style="110" customWidth="1"/>
    <col min="15364" max="15616" width="9.33203125" style="110"/>
    <col min="15617" max="15617" width="13.83203125" style="110" customWidth="1"/>
    <col min="15618" max="15618" width="79.1640625" style="110" customWidth="1"/>
    <col min="15619" max="15619" width="25" style="110" customWidth="1"/>
    <col min="15620" max="15872" width="9.33203125" style="110"/>
    <col min="15873" max="15873" width="13.83203125" style="110" customWidth="1"/>
    <col min="15874" max="15874" width="79.1640625" style="110" customWidth="1"/>
    <col min="15875" max="15875" width="25" style="110" customWidth="1"/>
    <col min="15876" max="16128" width="9.33203125" style="110"/>
    <col min="16129" max="16129" width="13.83203125" style="110" customWidth="1"/>
    <col min="16130" max="16130" width="79.1640625" style="110" customWidth="1"/>
    <col min="16131" max="16131" width="25" style="110" customWidth="1"/>
    <col min="16132" max="16384" width="9.33203125" style="110"/>
  </cols>
  <sheetData>
    <row r="1" spans="1:3" s="89" customFormat="1" ht="21" customHeight="1" thickBot="1" x14ac:dyDescent="0.25">
      <c r="A1" s="88"/>
      <c r="B1" s="90"/>
      <c r="C1" s="521"/>
    </row>
    <row r="2" spans="1:3" s="244" customFormat="1" ht="35.25" customHeight="1" x14ac:dyDescent="0.2">
      <c r="A2" s="201" t="s">
        <v>163</v>
      </c>
      <c r="B2" s="179" t="s">
        <v>563</v>
      </c>
      <c r="C2" s="522" t="s">
        <v>64</v>
      </c>
    </row>
    <row r="3" spans="1:3" s="244" customFormat="1" ht="24.75" thickBot="1" x14ac:dyDescent="0.25">
      <c r="A3" s="237" t="s">
        <v>162</v>
      </c>
      <c r="B3" s="180" t="s">
        <v>363</v>
      </c>
      <c r="C3" s="523" t="s">
        <v>63</v>
      </c>
    </row>
    <row r="4" spans="1:3" s="245" customFormat="1" ht="15.95" customHeight="1" thickBot="1" x14ac:dyDescent="0.3">
      <c r="A4" s="92"/>
      <c r="B4" s="92"/>
      <c r="C4" s="524" t="s">
        <v>572</v>
      </c>
    </row>
    <row r="5" spans="1:3" ht="13.5" thickBot="1" x14ac:dyDescent="0.25">
      <c r="A5" s="202" t="s">
        <v>164</v>
      </c>
      <c r="B5" s="94" t="s">
        <v>57</v>
      </c>
      <c r="C5" s="52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526" t="s">
        <v>448</v>
      </c>
    </row>
    <row r="7" spans="1:3" s="246" customFormat="1" ht="15.95" customHeight="1" thickBot="1" x14ac:dyDescent="0.25">
      <c r="A7" s="96"/>
      <c r="B7" s="97" t="s">
        <v>59</v>
      </c>
      <c r="C7" s="527"/>
    </row>
    <row r="8" spans="1:3" s="195" customFormat="1" ht="12" customHeight="1" thickBot="1" x14ac:dyDescent="0.25">
      <c r="A8" s="84" t="s">
        <v>22</v>
      </c>
      <c r="B8" s="99" t="s">
        <v>528</v>
      </c>
      <c r="C8" s="528">
        <f>SUM(C9:C19)</f>
        <v>6699387</v>
      </c>
    </row>
    <row r="9" spans="1:3" s="195" customFormat="1" ht="12" customHeight="1" x14ac:dyDescent="0.2">
      <c r="A9" s="238" t="s">
        <v>100</v>
      </c>
      <c r="B9" s="9" t="s">
        <v>221</v>
      </c>
      <c r="C9" s="529"/>
    </row>
    <row r="10" spans="1:3" s="195" customFormat="1" ht="12" customHeight="1" x14ac:dyDescent="0.2">
      <c r="A10" s="239" t="s">
        <v>101</v>
      </c>
      <c r="B10" s="7" t="s">
        <v>222</v>
      </c>
      <c r="C10" s="530">
        <v>5275108</v>
      </c>
    </row>
    <row r="11" spans="1:3" s="195" customFormat="1" ht="12" customHeight="1" x14ac:dyDescent="0.2">
      <c r="A11" s="239" t="s">
        <v>102</v>
      </c>
      <c r="B11" s="7" t="s">
        <v>223</v>
      </c>
      <c r="C11" s="530"/>
    </row>
    <row r="12" spans="1:3" s="195" customFormat="1" ht="12" customHeight="1" x14ac:dyDescent="0.2">
      <c r="A12" s="239" t="s">
        <v>103</v>
      </c>
      <c r="B12" s="7" t="s">
        <v>224</v>
      </c>
      <c r="C12" s="530"/>
    </row>
    <row r="13" spans="1:3" s="195" customFormat="1" ht="12" customHeight="1" x14ac:dyDescent="0.2">
      <c r="A13" s="239" t="s">
        <v>124</v>
      </c>
      <c r="B13" s="7" t="s">
        <v>225</v>
      </c>
      <c r="C13" s="530"/>
    </row>
    <row r="14" spans="1:3" s="195" customFormat="1" ht="12" customHeight="1" x14ac:dyDescent="0.2">
      <c r="A14" s="239" t="s">
        <v>104</v>
      </c>
      <c r="B14" s="7" t="s">
        <v>346</v>
      </c>
      <c r="C14" s="530">
        <v>1424279</v>
      </c>
    </row>
    <row r="15" spans="1:3" s="195" customFormat="1" ht="12" customHeight="1" x14ac:dyDescent="0.2">
      <c r="A15" s="239" t="s">
        <v>105</v>
      </c>
      <c r="B15" s="6" t="s">
        <v>347</v>
      </c>
      <c r="C15" s="530"/>
    </row>
    <row r="16" spans="1:3" s="195" customFormat="1" ht="12" customHeight="1" x14ac:dyDescent="0.2">
      <c r="A16" s="239" t="s">
        <v>115</v>
      </c>
      <c r="B16" s="7" t="s">
        <v>228</v>
      </c>
      <c r="C16" s="531"/>
    </row>
    <row r="17" spans="1:3" s="247" customFormat="1" ht="12" customHeight="1" x14ac:dyDescent="0.2">
      <c r="A17" s="239" t="s">
        <v>116</v>
      </c>
      <c r="B17" s="7" t="s">
        <v>229</v>
      </c>
      <c r="C17" s="530"/>
    </row>
    <row r="18" spans="1:3" s="247" customFormat="1" ht="12" customHeight="1" x14ac:dyDescent="0.2">
      <c r="A18" s="239" t="s">
        <v>117</v>
      </c>
      <c r="B18" s="7" t="s">
        <v>455</v>
      </c>
      <c r="C18" s="532"/>
    </row>
    <row r="19" spans="1:3" s="247" customFormat="1" ht="12" customHeight="1" thickBot="1" x14ac:dyDescent="0.25">
      <c r="A19" s="239" t="s">
        <v>118</v>
      </c>
      <c r="B19" s="6" t="s">
        <v>230</v>
      </c>
      <c r="C19" s="532"/>
    </row>
    <row r="20" spans="1:3" s="195" customFormat="1" ht="12" customHeight="1" thickBot="1" x14ac:dyDescent="0.25">
      <c r="A20" s="84" t="s">
        <v>23</v>
      </c>
      <c r="B20" s="99" t="s">
        <v>348</v>
      </c>
      <c r="C20" s="528">
        <f>SUM(C21:C23)</f>
        <v>0</v>
      </c>
    </row>
    <row r="21" spans="1:3" s="247" customFormat="1" ht="12" customHeight="1" x14ac:dyDescent="0.2">
      <c r="A21" s="239" t="s">
        <v>106</v>
      </c>
      <c r="B21" s="8" t="s">
        <v>198</v>
      </c>
      <c r="C21" s="530"/>
    </row>
    <row r="22" spans="1:3" s="247" customFormat="1" ht="12" customHeight="1" x14ac:dyDescent="0.2">
      <c r="A22" s="239" t="s">
        <v>107</v>
      </c>
      <c r="B22" s="7" t="s">
        <v>349</v>
      </c>
      <c r="C22" s="530"/>
    </row>
    <row r="23" spans="1:3" s="247" customFormat="1" ht="12" customHeight="1" x14ac:dyDescent="0.2">
      <c r="A23" s="239" t="s">
        <v>108</v>
      </c>
      <c r="B23" s="7" t="s">
        <v>350</v>
      </c>
      <c r="C23" s="530"/>
    </row>
    <row r="24" spans="1:3" s="247" customFormat="1" ht="12" customHeight="1" thickBot="1" x14ac:dyDescent="0.25">
      <c r="A24" s="239" t="s">
        <v>109</v>
      </c>
      <c r="B24" s="7" t="s">
        <v>539</v>
      </c>
      <c r="C24" s="530"/>
    </row>
    <row r="25" spans="1:3" s="247" customFormat="1" ht="12" customHeight="1" thickBot="1" x14ac:dyDescent="0.25">
      <c r="A25" s="87" t="s">
        <v>24</v>
      </c>
      <c r="B25" s="68" t="s">
        <v>138</v>
      </c>
      <c r="C25" s="533"/>
    </row>
    <row r="26" spans="1:3" s="247" customFormat="1" ht="12" customHeight="1" thickBot="1" x14ac:dyDescent="0.25">
      <c r="A26" s="87" t="s">
        <v>25</v>
      </c>
      <c r="B26" s="68" t="s">
        <v>540</v>
      </c>
      <c r="C26" s="528">
        <f>+C27+C28</f>
        <v>0</v>
      </c>
    </row>
    <row r="27" spans="1:3" s="247" customFormat="1" ht="12" customHeight="1" x14ac:dyDescent="0.2">
      <c r="A27" s="240" t="s">
        <v>208</v>
      </c>
      <c r="B27" s="241" t="s">
        <v>349</v>
      </c>
      <c r="C27" s="534"/>
    </row>
    <row r="28" spans="1:3" s="247" customFormat="1" ht="12" customHeight="1" x14ac:dyDescent="0.2">
      <c r="A28" s="240" t="s">
        <v>211</v>
      </c>
      <c r="B28" s="242" t="s">
        <v>351</v>
      </c>
      <c r="C28" s="535"/>
    </row>
    <row r="29" spans="1:3" s="247" customFormat="1" ht="12" customHeight="1" thickBot="1" x14ac:dyDescent="0.25">
      <c r="A29" s="239" t="s">
        <v>212</v>
      </c>
      <c r="B29" s="71" t="s">
        <v>541</v>
      </c>
      <c r="C29" s="536"/>
    </row>
    <row r="30" spans="1:3" s="247" customFormat="1" ht="12" customHeight="1" thickBot="1" x14ac:dyDescent="0.25">
      <c r="A30" s="87" t="s">
        <v>26</v>
      </c>
      <c r="B30" s="68" t="s">
        <v>352</v>
      </c>
      <c r="C30" s="528">
        <f>+C31+C32+C33</f>
        <v>0</v>
      </c>
    </row>
    <row r="31" spans="1:3" s="247" customFormat="1" ht="12" customHeight="1" x14ac:dyDescent="0.2">
      <c r="A31" s="240" t="s">
        <v>93</v>
      </c>
      <c r="B31" s="241" t="s">
        <v>235</v>
      </c>
      <c r="C31" s="534"/>
    </row>
    <row r="32" spans="1:3" s="247" customFormat="1" ht="12" customHeight="1" x14ac:dyDescent="0.2">
      <c r="A32" s="240" t="s">
        <v>94</v>
      </c>
      <c r="B32" s="242" t="s">
        <v>236</v>
      </c>
      <c r="C32" s="535"/>
    </row>
    <row r="33" spans="1:3" s="247" customFormat="1" ht="12" customHeight="1" thickBot="1" x14ac:dyDescent="0.25">
      <c r="A33" s="239" t="s">
        <v>95</v>
      </c>
      <c r="B33" s="71" t="s">
        <v>237</v>
      </c>
      <c r="C33" s="536"/>
    </row>
    <row r="34" spans="1:3" s="195" customFormat="1" ht="12" customHeight="1" thickBot="1" x14ac:dyDescent="0.25">
      <c r="A34" s="87" t="s">
        <v>27</v>
      </c>
      <c r="B34" s="68" t="s">
        <v>323</v>
      </c>
      <c r="C34" s="533"/>
    </row>
    <row r="35" spans="1:3" s="195" customFormat="1" ht="12" customHeight="1" thickBot="1" x14ac:dyDescent="0.25">
      <c r="A35" s="87" t="s">
        <v>28</v>
      </c>
      <c r="B35" s="68" t="s">
        <v>353</v>
      </c>
      <c r="C35" s="537"/>
    </row>
    <row r="36" spans="1:3" s="195" customFormat="1" ht="12" customHeight="1" thickBot="1" x14ac:dyDescent="0.25">
      <c r="A36" s="84" t="s">
        <v>29</v>
      </c>
      <c r="B36" s="68" t="s">
        <v>542</v>
      </c>
      <c r="C36" s="538">
        <f>+C8+C20+C25+C26+C30+C34+C35</f>
        <v>6699387</v>
      </c>
    </row>
    <row r="37" spans="1:3" s="195" customFormat="1" ht="12" customHeight="1" thickBot="1" x14ac:dyDescent="0.25">
      <c r="A37" s="100" t="s">
        <v>30</v>
      </c>
      <c r="B37" s="68" t="s">
        <v>355</v>
      </c>
      <c r="C37" s="538">
        <f>+C38+C39+C40</f>
        <v>136063133</v>
      </c>
    </row>
    <row r="38" spans="1:3" s="195" customFormat="1" ht="12" customHeight="1" x14ac:dyDescent="0.2">
      <c r="A38" s="240" t="s">
        <v>356</v>
      </c>
      <c r="B38" s="241" t="s">
        <v>179</v>
      </c>
      <c r="C38" s="901">
        <f>2388345-28</f>
        <v>2388317</v>
      </c>
    </row>
    <row r="39" spans="1:3" s="195" customFormat="1" ht="12" customHeight="1" x14ac:dyDescent="0.2">
      <c r="A39" s="240" t="s">
        <v>357</v>
      </c>
      <c r="B39" s="242" t="s">
        <v>11</v>
      </c>
      <c r="C39" s="535"/>
    </row>
    <row r="40" spans="1:3" s="247" customFormat="1" ht="12" customHeight="1" thickBot="1" x14ac:dyDescent="0.25">
      <c r="A40" s="239" t="s">
        <v>358</v>
      </c>
      <c r="B40" s="71" t="s">
        <v>359</v>
      </c>
      <c r="C40" s="375">
        <f>133674788+28</f>
        <v>133674816</v>
      </c>
    </row>
    <row r="41" spans="1:3" s="247" customFormat="1" ht="15" customHeight="1" thickBot="1" x14ac:dyDescent="0.25">
      <c r="A41" s="100" t="s">
        <v>31</v>
      </c>
      <c r="B41" s="101" t="s">
        <v>360</v>
      </c>
      <c r="C41" s="538">
        <f>+C36+C37</f>
        <v>142762520</v>
      </c>
    </row>
    <row r="42" spans="1:3" s="247" customFormat="1" ht="15" customHeight="1" x14ac:dyDescent="0.2">
      <c r="A42" s="102"/>
      <c r="B42" s="103"/>
      <c r="C42" s="644"/>
    </row>
    <row r="43" spans="1:3" ht="13.5" thickBot="1" x14ac:dyDescent="0.25">
      <c r="A43" s="104"/>
      <c r="B43" s="105"/>
      <c r="C43" s="645"/>
    </row>
    <row r="44" spans="1:3" s="246" customFormat="1" ht="16.5" customHeight="1" thickBot="1" x14ac:dyDescent="0.25">
      <c r="A44" s="106"/>
      <c r="B44" s="107" t="s">
        <v>60</v>
      </c>
      <c r="C44" s="538"/>
    </row>
    <row r="45" spans="1:3" s="248" customFormat="1" ht="12" customHeight="1" thickBot="1" x14ac:dyDescent="0.25">
      <c r="A45" s="87" t="s">
        <v>22</v>
      </c>
      <c r="B45" s="68" t="s">
        <v>361</v>
      </c>
      <c r="C45" s="528">
        <f>SUM(C46:C50)</f>
        <v>141794520</v>
      </c>
    </row>
    <row r="46" spans="1:3" ht="12" customHeight="1" x14ac:dyDescent="0.2">
      <c r="A46" s="239" t="s">
        <v>100</v>
      </c>
      <c r="B46" s="8" t="s">
        <v>52</v>
      </c>
      <c r="C46" s="534">
        <v>102376295</v>
      </c>
    </row>
    <row r="47" spans="1:3" ht="12" customHeight="1" x14ac:dyDescent="0.2">
      <c r="A47" s="239" t="s">
        <v>101</v>
      </c>
      <c r="B47" s="7" t="s">
        <v>147</v>
      </c>
      <c r="C47" s="642">
        <v>22455001</v>
      </c>
    </row>
    <row r="48" spans="1:3" ht="12" customHeight="1" x14ac:dyDescent="0.2">
      <c r="A48" s="239" t="s">
        <v>102</v>
      </c>
      <c r="B48" s="7" t="s">
        <v>123</v>
      </c>
      <c r="C48" s="642">
        <v>16963224</v>
      </c>
    </row>
    <row r="49" spans="1:3" ht="12" customHeight="1" x14ac:dyDescent="0.2">
      <c r="A49" s="239" t="s">
        <v>103</v>
      </c>
      <c r="B49" s="7" t="s">
        <v>148</v>
      </c>
      <c r="C49" s="642"/>
    </row>
    <row r="50" spans="1:3" ht="12" customHeight="1" thickBot="1" x14ac:dyDescent="0.25">
      <c r="A50" s="239" t="s">
        <v>124</v>
      </c>
      <c r="B50" s="7" t="s">
        <v>149</v>
      </c>
      <c r="C50" s="642"/>
    </row>
    <row r="51" spans="1:3" ht="12" customHeight="1" thickBot="1" x14ac:dyDescent="0.25">
      <c r="A51" s="87" t="s">
        <v>23</v>
      </c>
      <c r="B51" s="68" t="s">
        <v>362</v>
      </c>
      <c r="C51" s="528">
        <f>SUM(C52:C54)</f>
        <v>968000</v>
      </c>
    </row>
    <row r="52" spans="1:3" s="248" customFormat="1" ht="12" customHeight="1" x14ac:dyDescent="0.2">
      <c r="A52" s="239" t="s">
        <v>106</v>
      </c>
      <c r="B52" s="8" t="s">
        <v>170</v>
      </c>
      <c r="C52" s="534">
        <v>968000</v>
      </c>
    </row>
    <row r="53" spans="1:3" ht="12" customHeight="1" x14ac:dyDescent="0.2">
      <c r="A53" s="239" t="s">
        <v>107</v>
      </c>
      <c r="B53" s="7" t="s">
        <v>151</v>
      </c>
      <c r="C53" s="642"/>
    </row>
    <row r="54" spans="1:3" ht="12" customHeight="1" x14ac:dyDescent="0.2">
      <c r="A54" s="239" t="s">
        <v>108</v>
      </c>
      <c r="B54" s="7" t="s">
        <v>61</v>
      </c>
      <c r="C54" s="642"/>
    </row>
    <row r="55" spans="1:3" ht="12" customHeight="1" thickBot="1" x14ac:dyDescent="0.25">
      <c r="A55" s="239" t="s">
        <v>109</v>
      </c>
      <c r="B55" s="7" t="s">
        <v>532</v>
      </c>
      <c r="C55" s="642"/>
    </row>
    <row r="56" spans="1:3" ht="15" customHeight="1" thickBot="1" x14ac:dyDescent="0.25">
      <c r="A56" s="87" t="s">
        <v>24</v>
      </c>
      <c r="B56" s="68" t="s">
        <v>18</v>
      </c>
      <c r="C56" s="533"/>
    </row>
    <row r="57" spans="1:3" ht="13.5" thickBot="1" x14ac:dyDescent="0.25">
      <c r="A57" s="87" t="s">
        <v>25</v>
      </c>
      <c r="B57" s="108" t="s">
        <v>533</v>
      </c>
      <c r="C57" s="528">
        <f>+C45+C51+C56</f>
        <v>142762520</v>
      </c>
    </row>
    <row r="58" spans="1:3" ht="15" customHeight="1" thickBot="1" x14ac:dyDescent="0.25">
      <c r="C58" s="542"/>
    </row>
    <row r="59" spans="1:3" ht="14.25" customHeight="1" thickBot="1" x14ac:dyDescent="0.25">
      <c r="A59" s="111" t="s">
        <v>525</v>
      </c>
      <c r="B59" s="112"/>
      <c r="C59" s="647">
        <v>35</v>
      </c>
    </row>
    <row r="60" spans="1:3" ht="13.5" thickBot="1" x14ac:dyDescent="0.25">
      <c r="A60" s="111" t="s">
        <v>165</v>
      </c>
      <c r="B60" s="112"/>
      <c r="C60" s="64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mellékleta 4/2018.(III.29.)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topLeftCell="A32" zoomScale="145" zoomScaleNormal="145" workbookViewId="0">
      <selection activeCell="B74" sqref="B74"/>
    </sheetView>
  </sheetViews>
  <sheetFormatPr defaultRowHeight="12.75" x14ac:dyDescent="0.2"/>
  <cols>
    <col min="1" max="1" width="13.83203125" style="109" customWidth="1"/>
    <col min="2" max="2" width="79.1640625" style="110" customWidth="1"/>
    <col min="3" max="3" width="25" style="544" customWidth="1"/>
    <col min="4" max="256" width="9.33203125" style="110"/>
    <col min="257" max="257" width="13.83203125" style="110" customWidth="1"/>
    <col min="258" max="258" width="79.1640625" style="110" customWidth="1"/>
    <col min="259" max="259" width="25" style="110" customWidth="1"/>
    <col min="260" max="512" width="9.33203125" style="110"/>
    <col min="513" max="513" width="13.83203125" style="110" customWidth="1"/>
    <col min="514" max="514" width="79.1640625" style="110" customWidth="1"/>
    <col min="515" max="515" width="25" style="110" customWidth="1"/>
    <col min="516" max="768" width="9.33203125" style="110"/>
    <col min="769" max="769" width="13.83203125" style="110" customWidth="1"/>
    <col min="770" max="770" width="79.1640625" style="110" customWidth="1"/>
    <col min="771" max="771" width="25" style="110" customWidth="1"/>
    <col min="772" max="1024" width="9.33203125" style="110"/>
    <col min="1025" max="1025" width="13.83203125" style="110" customWidth="1"/>
    <col min="1026" max="1026" width="79.1640625" style="110" customWidth="1"/>
    <col min="1027" max="1027" width="25" style="110" customWidth="1"/>
    <col min="1028" max="1280" width="9.33203125" style="110"/>
    <col min="1281" max="1281" width="13.83203125" style="110" customWidth="1"/>
    <col min="1282" max="1282" width="79.1640625" style="110" customWidth="1"/>
    <col min="1283" max="1283" width="25" style="110" customWidth="1"/>
    <col min="1284" max="1536" width="9.33203125" style="110"/>
    <col min="1537" max="1537" width="13.83203125" style="110" customWidth="1"/>
    <col min="1538" max="1538" width="79.1640625" style="110" customWidth="1"/>
    <col min="1539" max="1539" width="25" style="110" customWidth="1"/>
    <col min="1540" max="1792" width="9.33203125" style="110"/>
    <col min="1793" max="1793" width="13.83203125" style="110" customWidth="1"/>
    <col min="1794" max="1794" width="79.1640625" style="110" customWidth="1"/>
    <col min="1795" max="1795" width="25" style="110" customWidth="1"/>
    <col min="1796" max="2048" width="9.33203125" style="110"/>
    <col min="2049" max="2049" width="13.83203125" style="110" customWidth="1"/>
    <col min="2050" max="2050" width="79.1640625" style="110" customWidth="1"/>
    <col min="2051" max="2051" width="25" style="110" customWidth="1"/>
    <col min="2052" max="2304" width="9.33203125" style="110"/>
    <col min="2305" max="2305" width="13.83203125" style="110" customWidth="1"/>
    <col min="2306" max="2306" width="79.1640625" style="110" customWidth="1"/>
    <col min="2307" max="2307" width="25" style="110" customWidth="1"/>
    <col min="2308" max="2560" width="9.33203125" style="110"/>
    <col min="2561" max="2561" width="13.83203125" style="110" customWidth="1"/>
    <col min="2562" max="2562" width="79.1640625" style="110" customWidth="1"/>
    <col min="2563" max="2563" width="25" style="110" customWidth="1"/>
    <col min="2564" max="2816" width="9.33203125" style="110"/>
    <col min="2817" max="2817" width="13.83203125" style="110" customWidth="1"/>
    <col min="2818" max="2818" width="79.1640625" style="110" customWidth="1"/>
    <col min="2819" max="2819" width="25" style="110" customWidth="1"/>
    <col min="2820" max="3072" width="9.33203125" style="110"/>
    <col min="3073" max="3073" width="13.83203125" style="110" customWidth="1"/>
    <col min="3074" max="3074" width="79.1640625" style="110" customWidth="1"/>
    <col min="3075" max="3075" width="25" style="110" customWidth="1"/>
    <col min="3076" max="3328" width="9.33203125" style="110"/>
    <col min="3329" max="3329" width="13.83203125" style="110" customWidth="1"/>
    <col min="3330" max="3330" width="79.1640625" style="110" customWidth="1"/>
    <col min="3331" max="3331" width="25" style="110" customWidth="1"/>
    <col min="3332" max="3584" width="9.33203125" style="110"/>
    <col min="3585" max="3585" width="13.83203125" style="110" customWidth="1"/>
    <col min="3586" max="3586" width="79.1640625" style="110" customWidth="1"/>
    <col min="3587" max="3587" width="25" style="110" customWidth="1"/>
    <col min="3588" max="3840" width="9.33203125" style="110"/>
    <col min="3841" max="3841" width="13.83203125" style="110" customWidth="1"/>
    <col min="3842" max="3842" width="79.1640625" style="110" customWidth="1"/>
    <col min="3843" max="3843" width="25" style="110" customWidth="1"/>
    <col min="3844" max="4096" width="9.33203125" style="110"/>
    <col min="4097" max="4097" width="13.83203125" style="110" customWidth="1"/>
    <col min="4098" max="4098" width="79.1640625" style="110" customWidth="1"/>
    <col min="4099" max="4099" width="25" style="110" customWidth="1"/>
    <col min="4100" max="4352" width="9.33203125" style="110"/>
    <col min="4353" max="4353" width="13.83203125" style="110" customWidth="1"/>
    <col min="4354" max="4354" width="79.1640625" style="110" customWidth="1"/>
    <col min="4355" max="4355" width="25" style="110" customWidth="1"/>
    <col min="4356" max="4608" width="9.33203125" style="110"/>
    <col min="4609" max="4609" width="13.83203125" style="110" customWidth="1"/>
    <col min="4610" max="4610" width="79.1640625" style="110" customWidth="1"/>
    <col min="4611" max="4611" width="25" style="110" customWidth="1"/>
    <col min="4612" max="4864" width="9.33203125" style="110"/>
    <col min="4865" max="4865" width="13.83203125" style="110" customWidth="1"/>
    <col min="4866" max="4866" width="79.1640625" style="110" customWidth="1"/>
    <col min="4867" max="4867" width="25" style="110" customWidth="1"/>
    <col min="4868" max="5120" width="9.33203125" style="110"/>
    <col min="5121" max="5121" width="13.83203125" style="110" customWidth="1"/>
    <col min="5122" max="5122" width="79.1640625" style="110" customWidth="1"/>
    <col min="5123" max="5123" width="25" style="110" customWidth="1"/>
    <col min="5124" max="5376" width="9.33203125" style="110"/>
    <col min="5377" max="5377" width="13.83203125" style="110" customWidth="1"/>
    <col min="5378" max="5378" width="79.1640625" style="110" customWidth="1"/>
    <col min="5379" max="5379" width="25" style="110" customWidth="1"/>
    <col min="5380" max="5632" width="9.33203125" style="110"/>
    <col min="5633" max="5633" width="13.83203125" style="110" customWidth="1"/>
    <col min="5634" max="5634" width="79.1640625" style="110" customWidth="1"/>
    <col min="5635" max="5635" width="25" style="110" customWidth="1"/>
    <col min="5636" max="5888" width="9.33203125" style="110"/>
    <col min="5889" max="5889" width="13.83203125" style="110" customWidth="1"/>
    <col min="5890" max="5890" width="79.1640625" style="110" customWidth="1"/>
    <col min="5891" max="5891" width="25" style="110" customWidth="1"/>
    <col min="5892" max="6144" width="9.33203125" style="110"/>
    <col min="6145" max="6145" width="13.83203125" style="110" customWidth="1"/>
    <col min="6146" max="6146" width="79.1640625" style="110" customWidth="1"/>
    <col min="6147" max="6147" width="25" style="110" customWidth="1"/>
    <col min="6148" max="6400" width="9.33203125" style="110"/>
    <col min="6401" max="6401" width="13.83203125" style="110" customWidth="1"/>
    <col min="6402" max="6402" width="79.1640625" style="110" customWidth="1"/>
    <col min="6403" max="6403" width="25" style="110" customWidth="1"/>
    <col min="6404" max="6656" width="9.33203125" style="110"/>
    <col min="6657" max="6657" width="13.83203125" style="110" customWidth="1"/>
    <col min="6658" max="6658" width="79.1640625" style="110" customWidth="1"/>
    <col min="6659" max="6659" width="25" style="110" customWidth="1"/>
    <col min="6660" max="6912" width="9.33203125" style="110"/>
    <col min="6913" max="6913" width="13.83203125" style="110" customWidth="1"/>
    <col min="6914" max="6914" width="79.1640625" style="110" customWidth="1"/>
    <col min="6915" max="6915" width="25" style="110" customWidth="1"/>
    <col min="6916" max="7168" width="9.33203125" style="110"/>
    <col min="7169" max="7169" width="13.83203125" style="110" customWidth="1"/>
    <col min="7170" max="7170" width="79.1640625" style="110" customWidth="1"/>
    <col min="7171" max="7171" width="25" style="110" customWidth="1"/>
    <col min="7172" max="7424" width="9.33203125" style="110"/>
    <col min="7425" max="7425" width="13.83203125" style="110" customWidth="1"/>
    <col min="7426" max="7426" width="79.1640625" style="110" customWidth="1"/>
    <col min="7427" max="7427" width="25" style="110" customWidth="1"/>
    <col min="7428" max="7680" width="9.33203125" style="110"/>
    <col min="7681" max="7681" width="13.83203125" style="110" customWidth="1"/>
    <col min="7682" max="7682" width="79.1640625" style="110" customWidth="1"/>
    <col min="7683" max="7683" width="25" style="110" customWidth="1"/>
    <col min="7684" max="7936" width="9.33203125" style="110"/>
    <col min="7937" max="7937" width="13.83203125" style="110" customWidth="1"/>
    <col min="7938" max="7938" width="79.1640625" style="110" customWidth="1"/>
    <col min="7939" max="7939" width="25" style="110" customWidth="1"/>
    <col min="7940" max="8192" width="9.33203125" style="110"/>
    <col min="8193" max="8193" width="13.83203125" style="110" customWidth="1"/>
    <col min="8194" max="8194" width="79.1640625" style="110" customWidth="1"/>
    <col min="8195" max="8195" width="25" style="110" customWidth="1"/>
    <col min="8196" max="8448" width="9.33203125" style="110"/>
    <col min="8449" max="8449" width="13.83203125" style="110" customWidth="1"/>
    <col min="8450" max="8450" width="79.1640625" style="110" customWidth="1"/>
    <col min="8451" max="8451" width="25" style="110" customWidth="1"/>
    <col min="8452" max="8704" width="9.33203125" style="110"/>
    <col min="8705" max="8705" width="13.83203125" style="110" customWidth="1"/>
    <col min="8706" max="8706" width="79.1640625" style="110" customWidth="1"/>
    <col min="8707" max="8707" width="25" style="110" customWidth="1"/>
    <col min="8708" max="8960" width="9.33203125" style="110"/>
    <col min="8961" max="8961" width="13.83203125" style="110" customWidth="1"/>
    <col min="8962" max="8962" width="79.1640625" style="110" customWidth="1"/>
    <col min="8963" max="8963" width="25" style="110" customWidth="1"/>
    <col min="8964" max="9216" width="9.33203125" style="110"/>
    <col min="9217" max="9217" width="13.83203125" style="110" customWidth="1"/>
    <col min="9218" max="9218" width="79.1640625" style="110" customWidth="1"/>
    <col min="9219" max="9219" width="25" style="110" customWidth="1"/>
    <col min="9220" max="9472" width="9.33203125" style="110"/>
    <col min="9473" max="9473" width="13.83203125" style="110" customWidth="1"/>
    <col min="9474" max="9474" width="79.1640625" style="110" customWidth="1"/>
    <col min="9475" max="9475" width="25" style="110" customWidth="1"/>
    <col min="9476" max="9728" width="9.33203125" style="110"/>
    <col min="9729" max="9729" width="13.83203125" style="110" customWidth="1"/>
    <col min="9730" max="9730" width="79.1640625" style="110" customWidth="1"/>
    <col min="9731" max="9731" width="25" style="110" customWidth="1"/>
    <col min="9732" max="9984" width="9.33203125" style="110"/>
    <col min="9985" max="9985" width="13.83203125" style="110" customWidth="1"/>
    <col min="9986" max="9986" width="79.1640625" style="110" customWidth="1"/>
    <col min="9987" max="9987" width="25" style="110" customWidth="1"/>
    <col min="9988" max="10240" width="9.33203125" style="110"/>
    <col min="10241" max="10241" width="13.83203125" style="110" customWidth="1"/>
    <col min="10242" max="10242" width="79.1640625" style="110" customWidth="1"/>
    <col min="10243" max="10243" width="25" style="110" customWidth="1"/>
    <col min="10244" max="10496" width="9.33203125" style="110"/>
    <col min="10497" max="10497" width="13.83203125" style="110" customWidth="1"/>
    <col min="10498" max="10498" width="79.1640625" style="110" customWidth="1"/>
    <col min="10499" max="10499" width="25" style="110" customWidth="1"/>
    <col min="10500" max="10752" width="9.33203125" style="110"/>
    <col min="10753" max="10753" width="13.83203125" style="110" customWidth="1"/>
    <col min="10754" max="10754" width="79.1640625" style="110" customWidth="1"/>
    <col min="10755" max="10755" width="25" style="110" customWidth="1"/>
    <col min="10756" max="11008" width="9.33203125" style="110"/>
    <col min="11009" max="11009" width="13.83203125" style="110" customWidth="1"/>
    <col min="11010" max="11010" width="79.1640625" style="110" customWidth="1"/>
    <col min="11011" max="11011" width="25" style="110" customWidth="1"/>
    <col min="11012" max="11264" width="9.33203125" style="110"/>
    <col min="11265" max="11265" width="13.83203125" style="110" customWidth="1"/>
    <col min="11266" max="11266" width="79.1640625" style="110" customWidth="1"/>
    <col min="11267" max="11267" width="25" style="110" customWidth="1"/>
    <col min="11268" max="11520" width="9.33203125" style="110"/>
    <col min="11521" max="11521" width="13.83203125" style="110" customWidth="1"/>
    <col min="11522" max="11522" width="79.1640625" style="110" customWidth="1"/>
    <col min="11523" max="11523" width="25" style="110" customWidth="1"/>
    <col min="11524" max="11776" width="9.33203125" style="110"/>
    <col min="11777" max="11777" width="13.83203125" style="110" customWidth="1"/>
    <col min="11778" max="11778" width="79.1640625" style="110" customWidth="1"/>
    <col min="11779" max="11779" width="25" style="110" customWidth="1"/>
    <col min="11780" max="12032" width="9.33203125" style="110"/>
    <col min="12033" max="12033" width="13.83203125" style="110" customWidth="1"/>
    <col min="12034" max="12034" width="79.1640625" style="110" customWidth="1"/>
    <col min="12035" max="12035" width="25" style="110" customWidth="1"/>
    <col min="12036" max="12288" width="9.33203125" style="110"/>
    <col min="12289" max="12289" width="13.83203125" style="110" customWidth="1"/>
    <col min="12290" max="12290" width="79.1640625" style="110" customWidth="1"/>
    <col min="12291" max="12291" width="25" style="110" customWidth="1"/>
    <col min="12292" max="12544" width="9.33203125" style="110"/>
    <col min="12545" max="12545" width="13.83203125" style="110" customWidth="1"/>
    <col min="12546" max="12546" width="79.1640625" style="110" customWidth="1"/>
    <col min="12547" max="12547" width="25" style="110" customWidth="1"/>
    <col min="12548" max="12800" width="9.33203125" style="110"/>
    <col min="12801" max="12801" width="13.83203125" style="110" customWidth="1"/>
    <col min="12802" max="12802" width="79.1640625" style="110" customWidth="1"/>
    <col min="12803" max="12803" width="25" style="110" customWidth="1"/>
    <col min="12804" max="13056" width="9.33203125" style="110"/>
    <col min="13057" max="13057" width="13.83203125" style="110" customWidth="1"/>
    <col min="13058" max="13058" width="79.1640625" style="110" customWidth="1"/>
    <col min="13059" max="13059" width="25" style="110" customWidth="1"/>
    <col min="13060" max="13312" width="9.33203125" style="110"/>
    <col min="13313" max="13313" width="13.83203125" style="110" customWidth="1"/>
    <col min="13314" max="13314" width="79.1640625" style="110" customWidth="1"/>
    <col min="13315" max="13315" width="25" style="110" customWidth="1"/>
    <col min="13316" max="13568" width="9.33203125" style="110"/>
    <col min="13569" max="13569" width="13.83203125" style="110" customWidth="1"/>
    <col min="13570" max="13570" width="79.1640625" style="110" customWidth="1"/>
    <col min="13571" max="13571" width="25" style="110" customWidth="1"/>
    <col min="13572" max="13824" width="9.33203125" style="110"/>
    <col min="13825" max="13825" width="13.83203125" style="110" customWidth="1"/>
    <col min="13826" max="13826" width="79.1640625" style="110" customWidth="1"/>
    <col min="13827" max="13827" width="25" style="110" customWidth="1"/>
    <col min="13828" max="14080" width="9.33203125" style="110"/>
    <col min="14081" max="14081" width="13.83203125" style="110" customWidth="1"/>
    <col min="14082" max="14082" width="79.1640625" style="110" customWidth="1"/>
    <col min="14083" max="14083" width="25" style="110" customWidth="1"/>
    <col min="14084" max="14336" width="9.33203125" style="110"/>
    <col min="14337" max="14337" width="13.83203125" style="110" customWidth="1"/>
    <col min="14338" max="14338" width="79.1640625" style="110" customWidth="1"/>
    <col min="14339" max="14339" width="25" style="110" customWidth="1"/>
    <col min="14340" max="14592" width="9.33203125" style="110"/>
    <col min="14593" max="14593" width="13.83203125" style="110" customWidth="1"/>
    <col min="14594" max="14594" width="79.1640625" style="110" customWidth="1"/>
    <col min="14595" max="14595" width="25" style="110" customWidth="1"/>
    <col min="14596" max="14848" width="9.33203125" style="110"/>
    <col min="14849" max="14849" width="13.83203125" style="110" customWidth="1"/>
    <col min="14850" max="14850" width="79.1640625" style="110" customWidth="1"/>
    <col min="14851" max="14851" width="25" style="110" customWidth="1"/>
    <col min="14852" max="15104" width="9.33203125" style="110"/>
    <col min="15105" max="15105" width="13.83203125" style="110" customWidth="1"/>
    <col min="15106" max="15106" width="79.1640625" style="110" customWidth="1"/>
    <col min="15107" max="15107" width="25" style="110" customWidth="1"/>
    <col min="15108" max="15360" width="9.33203125" style="110"/>
    <col min="15361" max="15361" width="13.83203125" style="110" customWidth="1"/>
    <col min="15362" max="15362" width="79.1640625" style="110" customWidth="1"/>
    <col min="15363" max="15363" width="25" style="110" customWidth="1"/>
    <col min="15364" max="15616" width="9.33203125" style="110"/>
    <col min="15617" max="15617" width="13.83203125" style="110" customWidth="1"/>
    <col min="15618" max="15618" width="79.1640625" style="110" customWidth="1"/>
    <col min="15619" max="15619" width="25" style="110" customWidth="1"/>
    <col min="15620" max="15872" width="9.33203125" style="110"/>
    <col min="15873" max="15873" width="13.83203125" style="110" customWidth="1"/>
    <col min="15874" max="15874" width="79.1640625" style="110" customWidth="1"/>
    <col min="15875" max="15875" width="25" style="110" customWidth="1"/>
    <col min="15876" max="16128" width="9.33203125" style="110"/>
    <col min="16129" max="16129" width="13.83203125" style="110" customWidth="1"/>
    <col min="16130" max="16130" width="79.1640625" style="110" customWidth="1"/>
    <col min="16131" max="16131" width="25" style="110" customWidth="1"/>
    <col min="16132" max="16384" width="9.33203125" style="110"/>
  </cols>
  <sheetData>
    <row r="1" spans="1:3" s="89" customFormat="1" ht="21" customHeight="1" thickBot="1" x14ac:dyDescent="0.25">
      <c r="A1" s="88"/>
      <c r="B1" s="90"/>
      <c r="C1" s="521"/>
    </row>
    <row r="2" spans="1:3" s="244" customFormat="1" ht="34.5" customHeight="1" x14ac:dyDescent="0.2">
      <c r="A2" s="201" t="s">
        <v>163</v>
      </c>
      <c r="B2" s="179" t="s">
        <v>563</v>
      </c>
      <c r="C2" s="522" t="s">
        <v>64</v>
      </c>
    </row>
    <row r="3" spans="1:3" s="244" customFormat="1" ht="24.75" thickBot="1" x14ac:dyDescent="0.25">
      <c r="A3" s="237" t="s">
        <v>162</v>
      </c>
      <c r="B3" s="180" t="s">
        <v>364</v>
      </c>
      <c r="C3" s="523" t="s">
        <v>64</v>
      </c>
    </row>
    <row r="4" spans="1:3" s="245" customFormat="1" ht="15.95" customHeight="1" thickBot="1" x14ac:dyDescent="0.3">
      <c r="A4" s="92"/>
      <c r="B4" s="92"/>
      <c r="C4" s="524" t="s">
        <v>572</v>
      </c>
    </row>
    <row r="5" spans="1:3" ht="13.5" thickBot="1" x14ac:dyDescent="0.25">
      <c r="A5" s="202" t="s">
        <v>164</v>
      </c>
      <c r="B5" s="94" t="s">
        <v>57</v>
      </c>
      <c r="C5" s="525" t="s">
        <v>58</v>
      </c>
    </row>
    <row r="6" spans="1:3" s="246" customFormat="1" ht="12.95" customHeight="1" thickBot="1" x14ac:dyDescent="0.25">
      <c r="A6" s="84" t="s">
        <v>446</v>
      </c>
      <c r="B6" s="85" t="s">
        <v>447</v>
      </c>
      <c r="C6" s="526" t="s">
        <v>448</v>
      </c>
    </row>
    <row r="7" spans="1:3" s="246" customFormat="1" ht="15.95" customHeight="1" thickBot="1" x14ac:dyDescent="0.25">
      <c r="A7" s="96"/>
      <c r="B7" s="97" t="s">
        <v>59</v>
      </c>
      <c r="C7" s="527"/>
    </row>
    <row r="8" spans="1:3" s="195" customFormat="1" ht="12" customHeight="1" thickBot="1" x14ac:dyDescent="0.25">
      <c r="A8" s="84" t="s">
        <v>22</v>
      </c>
      <c r="B8" s="99" t="s">
        <v>528</v>
      </c>
      <c r="C8" s="528">
        <f>SUM(C9:C19)</f>
        <v>177866886</v>
      </c>
    </row>
    <row r="9" spans="1:3" s="195" customFormat="1" ht="12" customHeight="1" x14ac:dyDescent="0.2">
      <c r="A9" s="238" t="s">
        <v>100</v>
      </c>
      <c r="B9" s="9" t="s">
        <v>221</v>
      </c>
      <c r="C9" s="529"/>
    </row>
    <row r="10" spans="1:3" s="195" customFormat="1" ht="12" customHeight="1" x14ac:dyDescent="0.2">
      <c r="A10" s="239" t="s">
        <v>101</v>
      </c>
      <c r="B10" s="7" t="s">
        <v>222</v>
      </c>
      <c r="C10" s="530">
        <v>4964050</v>
      </c>
    </row>
    <row r="11" spans="1:3" s="195" customFormat="1" ht="12" customHeight="1" x14ac:dyDescent="0.2">
      <c r="A11" s="239" t="s">
        <v>102</v>
      </c>
      <c r="B11" s="7" t="s">
        <v>223</v>
      </c>
      <c r="C11" s="530">
        <v>12700000</v>
      </c>
    </row>
    <row r="12" spans="1:3" s="195" customFormat="1" ht="12" customHeight="1" x14ac:dyDescent="0.2">
      <c r="A12" s="239" t="s">
        <v>103</v>
      </c>
      <c r="B12" s="7" t="s">
        <v>224</v>
      </c>
      <c r="C12" s="530"/>
    </row>
    <row r="13" spans="1:3" s="195" customFormat="1" ht="12" customHeight="1" x14ac:dyDescent="0.2">
      <c r="A13" s="239" t="s">
        <v>124</v>
      </c>
      <c r="B13" s="7" t="s">
        <v>225</v>
      </c>
      <c r="C13" s="530">
        <v>157919035</v>
      </c>
    </row>
    <row r="14" spans="1:3" s="195" customFormat="1" ht="12" customHeight="1" x14ac:dyDescent="0.2">
      <c r="A14" s="239" t="s">
        <v>104</v>
      </c>
      <c r="B14" s="7" t="s">
        <v>346</v>
      </c>
      <c r="C14" s="530">
        <v>2283801</v>
      </c>
    </row>
    <row r="15" spans="1:3" s="195" customFormat="1" ht="12" customHeight="1" x14ac:dyDescent="0.2">
      <c r="A15" s="239" t="s">
        <v>105</v>
      </c>
      <c r="B15" s="6" t="s">
        <v>347</v>
      </c>
      <c r="C15" s="530"/>
    </row>
    <row r="16" spans="1:3" s="195" customFormat="1" ht="12" customHeight="1" x14ac:dyDescent="0.2">
      <c r="A16" s="239" t="s">
        <v>115</v>
      </c>
      <c r="B16" s="7" t="s">
        <v>228</v>
      </c>
      <c r="C16" s="531"/>
    </row>
    <row r="17" spans="1:3" s="247" customFormat="1" ht="12" customHeight="1" x14ac:dyDescent="0.2">
      <c r="A17" s="239" t="s">
        <v>116</v>
      </c>
      <c r="B17" s="7" t="s">
        <v>229</v>
      </c>
      <c r="C17" s="530"/>
    </row>
    <row r="18" spans="1:3" s="247" customFormat="1" ht="12" customHeight="1" x14ac:dyDescent="0.2">
      <c r="A18" s="239" t="s">
        <v>117</v>
      </c>
      <c r="B18" s="7" t="s">
        <v>455</v>
      </c>
      <c r="C18" s="532"/>
    </row>
    <row r="19" spans="1:3" s="247" customFormat="1" ht="12" customHeight="1" thickBot="1" x14ac:dyDescent="0.25">
      <c r="A19" s="239" t="s">
        <v>118</v>
      </c>
      <c r="B19" s="6" t="s">
        <v>230</v>
      </c>
      <c r="C19" s="532"/>
    </row>
    <row r="20" spans="1:3" s="195" customFormat="1" ht="12" customHeight="1" thickBot="1" x14ac:dyDescent="0.25">
      <c r="A20" s="84" t="s">
        <v>23</v>
      </c>
      <c r="B20" s="99" t="s">
        <v>348</v>
      </c>
      <c r="C20" s="528">
        <f>SUM(C21:C23)</f>
        <v>19512535</v>
      </c>
    </row>
    <row r="21" spans="1:3" s="247" customFormat="1" ht="12" customHeight="1" x14ac:dyDescent="0.2">
      <c r="A21" s="239" t="s">
        <v>106</v>
      </c>
      <c r="B21" s="8" t="s">
        <v>198</v>
      </c>
      <c r="C21" s="530"/>
    </row>
    <row r="22" spans="1:3" s="247" customFormat="1" ht="12" customHeight="1" x14ac:dyDescent="0.2">
      <c r="A22" s="239" t="s">
        <v>107</v>
      </c>
      <c r="B22" s="7" t="s">
        <v>349</v>
      </c>
      <c r="C22" s="530"/>
    </row>
    <row r="23" spans="1:3" s="247" customFormat="1" ht="12" customHeight="1" x14ac:dyDescent="0.2">
      <c r="A23" s="239" t="s">
        <v>108</v>
      </c>
      <c r="B23" s="7" t="s">
        <v>350</v>
      </c>
      <c r="C23" s="530">
        <v>19512535</v>
      </c>
    </row>
    <row r="24" spans="1:3" s="247" customFormat="1" ht="12" customHeight="1" thickBot="1" x14ac:dyDescent="0.25">
      <c r="A24" s="239" t="s">
        <v>109</v>
      </c>
      <c r="B24" s="7" t="s">
        <v>539</v>
      </c>
      <c r="C24" s="530">
        <v>399535</v>
      </c>
    </row>
    <row r="25" spans="1:3" s="247" customFormat="1" ht="12" customHeight="1" thickBot="1" x14ac:dyDescent="0.25">
      <c r="A25" s="87" t="s">
        <v>24</v>
      </c>
      <c r="B25" s="68" t="s">
        <v>138</v>
      </c>
      <c r="C25" s="533"/>
    </row>
    <row r="26" spans="1:3" s="247" customFormat="1" ht="12" customHeight="1" thickBot="1" x14ac:dyDescent="0.25">
      <c r="A26" s="87" t="s">
        <v>25</v>
      </c>
      <c r="B26" s="68" t="s">
        <v>540</v>
      </c>
      <c r="C26" s="528">
        <f>+C27+C28</f>
        <v>0</v>
      </c>
    </row>
    <row r="27" spans="1:3" s="247" customFormat="1" ht="12" customHeight="1" x14ac:dyDescent="0.2">
      <c r="A27" s="240" t="s">
        <v>208</v>
      </c>
      <c r="B27" s="241" t="s">
        <v>349</v>
      </c>
      <c r="C27" s="534"/>
    </row>
    <row r="28" spans="1:3" s="247" customFormat="1" ht="12" customHeight="1" x14ac:dyDescent="0.2">
      <c r="A28" s="240" t="s">
        <v>211</v>
      </c>
      <c r="B28" s="242" t="s">
        <v>351</v>
      </c>
      <c r="C28" s="535"/>
    </row>
    <row r="29" spans="1:3" s="247" customFormat="1" ht="12" customHeight="1" thickBot="1" x14ac:dyDescent="0.25">
      <c r="A29" s="239" t="s">
        <v>212</v>
      </c>
      <c r="B29" s="71" t="s">
        <v>541</v>
      </c>
      <c r="C29" s="536"/>
    </row>
    <row r="30" spans="1:3" s="247" customFormat="1" ht="12" customHeight="1" thickBot="1" x14ac:dyDescent="0.25">
      <c r="A30" s="87" t="s">
        <v>26</v>
      </c>
      <c r="B30" s="68" t="s">
        <v>352</v>
      </c>
      <c r="C30" s="528">
        <f>+C31+C32+C33</f>
        <v>0</v>
      </c>
    </row>
    <row r="31" spans="1:3" s="247" customFormat="1" ht="12" customHeight="1" x14ac:dyDescent="0.2">
      <c r="A31" s="240" t="s">
        <v>93</v>
      </c>
      <c r="B31" s="241" t="s">
        <v>235</v>
      </c>
      <c r="C31" s="534"/>
    </row>
    <row r="32" spans="1:3" s="247" customFormat="1" ht="12" customHeight="1" x14ac:dyDescent="0.2">
      <c r="A32" s="240" t="s">
        <v>94</v>
      </c>
      <c r="B32" s="242" t="s">
        <v>236</v>
      </c>
      <c r="C32" s="535"/>
    </row>
    <row r="33" spans="1:3" s="247" customFormat="1" ht="12" customHeight="1" thickBot="1" x14ac:dyDescent="0.25">
      <c r="A33" s="239" t="s">
        <v>95</v>
      </c>
      <c r="B33" s="71" t="s">
        <v>237</v>
      </c>
      <c r="C33" s="536"/>
    </row>
    <row r="34" spans="1:3" s="195" customFormat="1" ht="12" customHeight="1" thickBot="1" x14ac:dyDescent="0.25">
      <c r="A34" s="87" t="s">
        <v>27</v>
      </c>
      <c r="B34" s="68" t="s">
        <v>323</v>
      </c>
      <c r="C34" s="533"/>
    </row>
    <row r="35" spans="1:3" s="195" customFormat="1" ht="12" customHeight="1" thickBot="1" x14ac:dyDescent="0.25">
      <c r="A35" s="87" t="s">
        <v>28</v>
      </c>
      <c r="B35" s="68" t="s">
        <v>353</v>
      </c>
      <c r="C35" s="537"/>
    </row>
    <row r="36" spans="1:3" s="195" customFormat="1" ht="12" customHeight="1" thickBot="1" x14ac:dyDescent="0.25">
      <c r="A36" s="84" t="s">
        <v>29</v>
      </c>
      <c r="B36" s="68" t="s">
        <v>542</v>
      </c>
      <c r="C36" s="538">
        <f>+C8+C20+C25+C26+C30+C34+C35</f>
        <v>197379421</v>
      </c>
    </row>
    <row r="37" spans="1:3" s="195" customFormat="1" ht="12" customHeight="1" thickBot="1" x14ac:dyDescent="0.25">
      <c r="A37" s="100" t="s">
        <v>30</v>
      </c>
      <c r="B37" s="68" t="s">
        <v>355</v>
      </c>
      <c r="C37" s="898">
        <f>+C38+C39+C40</f>
        <v>383024062</v>
      </c>
    </row>
    <row r="38" spans="1:3" s="195" customFormat="1" ht="12" customHeight="1" x14ac:dyDescent="0.2">
      <c r="A38" s="240" t="s">
        <v>356</v>
      </c>
      <c r="B38" s="241" t="s">
        <v>179</v>
      </c>
      <c r="C38" s="534">
        <v>18026960</v>
      </c>
    </row>
    <row r="39" spans="1:3" s="195" customFormat="1" ht="12" customHeight="1" x14ac:dyDescent="0.2">
      <c r="A39" s="240" t="s">
        <v>357</v>
      </c>
      <c r="B39" s="242" t="s">
        <v>11</v>
      </c>
      <c r="C39" s="535"/>
    </row>
    <row r="40" spans="1:3" s="247" customFormat="1" ht="12" customHeight="1" thickBot="1" x14ac:dyDescent="0.25">
      <c r="A40" s="239" t="s">
        <v>358</v>
      </c>
      <c r="B40" s="71" t="s">
        <v>359</v>
      </c>
      <c r="C40" s="375">
        <f>364496499+308310+192293</f>
        <v>364997102</v>
      </c>
    </row>
    <row r="41" spans="1:3" s="247" customFormat="1" ht="15" customHeight="1" thickBot="1" x14ac:dyDescent="0.25">
      <c r="A41" s="100" t="s">
        <v>31</v>
      </c>
      <c r="B41" s="101" t="s">
        <v>360</v>
      </c>
      <c r="C41" s="898">
        <f>+C36+C37</f>
        <v>580403483</v>
      </c>
    </row>
    <row r="42" spans="1:3" s="247" customFormat="1" ht="15" customHeight="1" x14ac:dyDescent="0.2">
      <c r="A42" s="102"/>
      <c r="B42" s="103"/>
      <c r="C42" s="644"/>
    </row>
    <row r="43" spans="1:3" ht="13.5" thickBot="1" x14ac:dyDescent="0.25">
      <c r="A43" s="104"/>
      <c r="B43" s="105"/>
      <c r="C43" s="645"/>
    </row>
    <row r="44" spans="1:3" s="246" customFormat="1" ht="16.5" customHeight="1" thickBot="1" x14ac:dyDescent="0.25">
      <c r="A44" s="106"/>
      <c r="B44" s="107" t="s">
        <v>60</v>
      </c>
      <c r="C44" s="538"/>
    </row>
    <row r="45" spans="1:3" s="248" customFormat="1" ht="12" customHeight="1" thickBot="1" x14ac:dyDescent="0.25">
      <c r="A45" s="87" t="s">
        <v>22</v>
      </c>
      <c r="B45" s="68" t="s">
        <v>361</v>
      </c>
      <c r="C45" s="900">
        <f>SUM(C46:C50)</f>
        <v>568672865</v>
      </c>
    </row>
    <row r="46" spans="1:3" ht="12" customHeight="1" x14ac:dyDescent="0.2">
      <c r="A46" s="239" t="s">
        <v>100</v>
      </c>
      <c r="B46" s="8" t="s">
        <v>52</v>
      </c>
      <c r="C46" s="901">
        <f>330210986+258000</f>
        <v>330468986</v>
      </c>
    </row>
    <row r="47" spans="1:3" ht="12" customHeight="1" x14ac:dyDescent="0.2">
      <c r="A47" s="239" t="s">
        <v>101</v>
      </c>
      <c r="B47" s="7" t="s">
        <v>147</v>
      </c>
      <c r="C47" s="376">
        <f>68706522+50310</f>
        <v>68756832</v>
      </c>
    </row>
    <row r="48" spans="1:3" ht="12" customHeight="1" x14ac:dyDescent="0.2">
      <c r="A48" s="239" t="s">
        <v>102</v>
      </c>
      <c r="B48" s="7" t="s">
        <v>123</v>
      </c>
      <c r="C48" s="376">
        <f>169254754+192293</f>
        <v>169447047</v>
      </c>
    </row>
    <row r="49" spans="1:4" ht="12" customHeight="1" x14ac:dyDescent="0.2">
      <c r="A49" s="239" t="s">
        <v>103</v>
      </c>
      <c r="B49" s="7" t="s">
        <v>148</v>
      </c>
      <c r="C49" s="642"/>
    </row>
    <row r="50" spans="1:4" ht="12" customHeight="1" thickBot="1" x14ac:dyDescent="0.25">
      <c r="A50" s="239" t="s">
        <v>124</v>
      </c>
      <c r="B50" s="7" t="s">
        <v>149</v>
      </c>
      <c r="C50" s="642"/>
    </row>
    <row r="51" spans="1:4" ht="12" customHeight="1" thickBot="1" x14ac:dyDescent="0.25">
      <c r="A51" s="87" t="s">
        <v>23</v>
      </c>
      <c r="B51" s="68" t="s">
        <v>362</v>
      </c>
      <c r="C51" s="528">
        <f>SUM(C52:C54)</f>
        <v>11730618</v>
      </c>
    </row>
    <row r="52" spans="1:4" s="248" customFormat="1" ht="12" customHeight="1" x14ac:dyDescent="0.2">
      <c r="A52" s="239" t="s">
        <v>106</v>
      </c>
      <c r="B52" s="8" t="s">
        <v>170</v>
      </c>
      <c r="C52" s="534">
        <v>11730618</v>
      </c>
    </row>
    <row r="53" spans="1:4" ht="12" customHeight="1" x14ac:dyDescent="0.2">
      <c r="A53" s="239" t="s">
        <v>107</v>
      </c>
      <c r="B53" s="7" t="s">
        <v>151</v>
      </c>
      <c r="C53" s="642"/>
    </row>
    <row r="54" spans="1:4" ht="12" customHeight="1" x14ac:dyDescent="0.2">
      <c r="A54" s="239" t="s">
        <v>108</v>
      </c>
      <c r="B54" s="7" t="s">
        <v>61</v>
      </c>
      <c r="C54" s="642"/>
    </row>
    <row r="55" spans="1:4" ht="12" customHeight="1" thickBot="1" x14ac:dyDescent="0.25">
      <c r="A55" s="239" t="s">
        <v>109</v>
      </c>
      <c r="B55" s="7" t="s">
        <v>532</v>
      </c>
      <c r="C55" s="642"/>
    </row>
    <row r="56" spans="1:4" ht="15" customHeight="1" thickBot="1" x14ac:dyDescent="0.25">
      <c r="A56" s="87" t="s">
        <v>24</v>
      </c>
      <c r="B56" s="68" t="s">
        <v>18</v>
      </c>
      <c r="C56" s="533"/>
    </row>
    <row r="57" spans="1:4" ht="13.5" thickBot="1" x14ac:dyDescent="0.25">
      <c r="A57" s="87" t="s">
        <v>25</v>
      </c>
      <c r="B57" s="108" t="s">
        <v>533</v>
      </c>
      <c r="C57" s="900">
        <f>+C45+C51+C56</f>
        <v>580403483</v>
      </c>
    </row>
    <row r="58" spans="1:4" ht="15" customHeight="1" thickBot="1" x14ac:dyDescent="0.25">
      <c r="C58" s="542"/>
    </row>
    <row r="59" spans="1:4" ht="14.25" customHeight="1" thickBot="1" x14ac:dyDescent="0.25">
      <c r="A59" s="111" t="s">
        <v>525</v>
      </c>
      <c r="B59" s="112"/>
      <c r="C59" s="647">
        <f>106.2+1.125</f>
        <v>107.325</v>
      </c>
    </row>
    <row r="60" spans="1:4" ht="13.5" thickBot="1" x14ac:dyDescent="0.25">
      <c r="A60" s="545" t="s">
        <v>686</v>
      </c>
      <c r="B60" s="546"/>
      <c r="C60" s="646">
        <v>61</v>
      </c>
    </row>
    <row r="61" spans="1:4" ht="13.5" thickBot="1" x14ac:dyDescent="0.25">
      <c r="A61" s="960" t="s">
        <v>687</v>
      </c>
      <c r="B61" s="961"/>
      <c r="C61" s="591">
        <v>2</v>
      </c>
      <c r="D61" s="492"/>
    </row>
    <row r="62" spans="1:4" ht="13.5" thickBot="1" x14ac:dyDescent="0.25">
      <c r="A62" s="962"/>
      <c r="B62" s="963"/>
      <c r="C62" s="591"/>
      <c r="D62" s="492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4/2018.(III.29.)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topLeftCell="A89" zoomScaleNormal="115" zoomScaleSheetLayoutView="100" workbookViewId="0">
      <selection activeCell="B107" sqref="B107"/>
    </sheetView>
  </sheetViews>
  <sheetFormatPr defaultRowHeight="15.75" x14ac:dyDescent="0.25"/>
  <cols>
    <col min="1" max="1" width="9.5" style="197" customWidth="1"/>
    <col min="2" max="2" width="79" style="197" customWidth="1"/>
    <col min="3" max="3" width="21.6640625" style="372" customWidth="1"/>
    <col min="4" max="4" width="19.33203125" style="208" hidden="1" customWidth="1"/>
    <col min="5" max="5" width="15.83203125" style="208" hidden="1" customWidth="1"/>
    <col min="6" max="6" width="21.83203125" style="208" hidden="1" customWidth="1"/>
    <col min="7" max="16384" width="9.33203125" style="208"/>
  </cols>
  <sheetData>
    <row r="1" spans="1:6" ht="15.95" customHeight="1" x14ac:dyDescent="0.25">
      <c r="A1" s="940" t="s">
        <v>19</v>
      </c>
      <c r="B1" s="940"/>
      <c r="C1" s="940"/>
    </row>
    <row r="2" spans="1:6" ht="15.95" customHeight="1" thickBot="1" x14ac:dyDescent="0.3">
      <c r="A2" s="939" t="s">
        <v>127</v>
      </c>
      <c r="B2" s="939"/>
      <c r="C2" s="139" t="s">
        <v>571</v>
      </c>
    </row>
    <row r="3" spans="1:6" ht="38.1" customHeight="1" thickBot="1" x14ac:dyDescent="0.3">
      <c r="A3" s="22" t="s">
        <v>72</v>
      </c>
      <c r="B3" s="23" t="s">
        <v>21</v>
      </c>
      <c r="C3" s="30" t="s">
        <v>600</v>
      </c>
      <c r="D3" s="197" t="s">
        <v>578</v>
      </c>
      <c r="E3" s="197" t="s">
        <v>579</v>
      </c>
      <c r="F3" s="197" t="s">
        <v>580</v>
      </c>
    </row>
    <row r="4" spans="1:6" s="209" customFormat="1" ht="12" customHeight="1" thickBot="1" x14ac:dyDescent="0.25">
      <c r="A4" s="203" t="s">
        <v>446</v>
      </c>
      <c r="B4" s="204" t="s">
        <v>447</v>
      </c>
      <c r="C4" s="205" t="s">
        <v>448</v>
      </c>
    </row>
    <row r="5" spans="1:6" s="210" customFormat="1" ht="12" customHeight="1" thickBot="1" x14ac:dyDescent="0.25">
      <c r="A5" s="19" t="s">
        <v>22</v>
      </c>
      <c r="B5" s="20" t="s">
        <v>192</v>
      </c>
      <c r="C5" s="130">
        <f t="shared" ref="C5:C68" si="0">SUM(D5:F5)</f>
        <v>1123062255</v>
      </c>
      <c r="D5" s="307">
        <f>+D6+D7+D8+D9+D10+D11</f>
        <v>1123062255</v>
      </c>
      <c r="E5" s="130">
        <f>+E6+E7+E8+E9+E10+E11</f>
        <v>0</v>
      </c>
      <c r="F5" s="130">
        <f>+F6+F7+F8+F9+F10+F11</f>
        <v>0</v>
      </c>
    </row>
    <row r="6" spans="1:6" s="210" customFormat="1" ht="12" customHeight="1" x14ac:dyDescent="0.2">
      <c r="A6" s="14" t="s">
        <v>100</v>
      </c>
      <c r="B6" s="211" t="s">
        <v>193</v>
      </c>
      <c r="C6" s="362">
        <f t="shared" si="0"/>
        <v>227855923</v>
      </c>
      <c r="D6" s="313">
        <v>227855923</v>
      </c>
      <c r="E6" s="249"/>
      <c r="F6" s="249"/>
    </row>
    <row r="7" spans="1:6" s="210" customFormat="1" ht="12" customHeight="1" x14ac:dyDescent="0.2">
      <c r="A7" s="13" t="s">
        <v>101</v>
      </c>
      <c r="B7" s="212" t="s">
        <v>194</v>
      </c>
      <c r="C7" s="363">
        <f t="shared" si="0"/>
        <v>224734134</v>
      </c>
      <c r="D7" s="285">
        <v>224734134</v>
      </c>
      <c r="E7" s="134"/>
      <c r="F7" s="134"/>
    </row>
    <row r="8" spans="1:6" s="210" customFormat="1" ht="12" customHeight="1" x14ac:dyDescent="0.2">
      <c r="A8" s="13" t="s">
        <v>102</v>
      </c>
      <c r="B8" s="212" t="s">
        <v>560</v>
      </c>
      <c r="C8" s="363">
        <f t="shared" si="0"/>
        <v>446554345</v>
      </c>
      <c r="D8" s="285">
        <f>126991000+65060600+192410145+62092600</f>
        <v>446554345</v>
      </c>
      <c r="E8" s="134"/>
      <c r="F8" s="134"/>
    </row>
    <row r="9" spans="1:6" s="210" customFormat="1" ht="12" customHeight="1" x14ac:dyDescent="0.2">
      <c r="A9" s="13" t="s">
        <v>103</v>
      </c>
      <c r="B9" s="212" t="s">
        <v>196</v>
      </c>
      <c r="C9" s="363">
        <f t="shared" si="0"/>
        <v>16122040</v>
      </c>
      <c r="D9" s="285">
        <v>16122040</v>
      </c>
      <c r="E9" s="134"/>
      <c r="F9" s="134"/>
    </row>
    <row r="10" spans="1:6" s="210" customFormat="1" ht="12" customHeight="1" x14ac:dyDescent="0.2">
      <c r="A10" s="13" t="s">
        <v>124</v>
      </c>
      <c r="B10" s="126" t="s">
        <v>449</v>
      </c>
      <c r="C10" s="503">
        <f t="shared" si="0"/>
        <v>207795813</v>
      </c>
      <c r="D10" s="285">
        <f>16254886+190231327+1309600</f>
        <v>207795813</v>
      </c>
      <c r="E10" s="134"/>
      <c r="F10" s="134"/>
    </row>
    <row r="11" spans="1:6" s="210" customFormat="1" ht="12" customHeight="1" thickBot="1" x14ac:dyDescent="0.25">
      <c r="A11" s="15" t="s">
        <v>104</v>
      </c>
      <c r="B11" s="127" t="s">
        <v>450</v>
      </c>
      <c r="C11" s="364">
        <f t="shared" si="0"/>
        <v>0</v>
      </c>
      <c r="D11" s="115"/>
      <c r="E11" s="131"/>
      <c r="F11" s="131"/>
    </row>
    <row r="12" spans="1:6" s="210" customFormat="1" ht="12" customHeight="1" thickBot="1" x14ac:dyDescent="0.25">
      <c r="A12" s="19" t="s">
        <v>23</v>
      </c>
      <c r="B12" s="125" t="s">
        <v>197</v>
      </c>
      <c r="C12" s="130">
        <f t="shared" si="0"/>
        <v>31321795</v>
      </c>
      <c r="D12" s="307">
        <f>+D13+D14+D15+D16+D17</f>
        <v>28225558</v>
      </c>
      <c r="E12" s="130">
        <f>+E13+E14+E15+E16+E17</f>
        <v>3096237</v>
      </c>
      <c r="F12" s="130">
        <f>+F13+F14+F15+F16+F17</f>
        <v>0</v>
      </c>
    </row>
    <row r="13" spans="1:6" s="210" customFormat="1" ht="12" customHeight="1" x14ac:dyDescent="0.2">
      <c r="A13" s="14" t="s">
        <v>106</v>
      </c>
      <c r="B13" s="211" t="s">
        <v>198</v>
      </c>
      <c r="C13" s="206">
        <f t="shared" si="0"/>
        <v>0</v>
      </c>
      <c r="D13" s="309"/>
      <c r="E13" s="132"/>
      <c r="F13" s="132"/>
    </row>
    <row r="14" spans="1:6" s="210" customFormat="1" ht="12" customHeight="1" x14ac:dyDescent="0.2">
      <c r="A14" s="13" t="s">
        <v>107</v>
      </c>
      <c r="B14" s="212" t="s">
        <v>199</v>
      </c>
      <c r="C14" s="368">
        <f t="shared" si="0"/>
        <v>0</v>
      </c>
      <c r="D14" s="115"/>
      <c r="E14" s="131"/>
      <c r="F14" s="131"/>
    </row>
    <row r="15" spans="1:6" s="210" customFormat="1" ht="12" customHeight="1" x14ac:dyDescent="0.2">
      <c r="A15" s="13" t="s">
        <v>108</v>
      </c>
      <c r="B15" s="212" t="s">
        <v>368</v>
      </c>
      <c r="C15" s="363">
        <f t="shared" si="0"/>
        <v>0</v>
      </c>
      <c r="D15" s="115"/>
      <c r="E15" s="131"/>
      <c r="F15" s="131"/>
    </row>
    <row r="16" spans="1:6" s="210" customFormat="1" ht="12" customHeight="1" x14ac:dyDescent="0.2">
      <c r="A16" s="13" t="s">
        <v>109</v>
      </c>
      <c r="B16" s="212" t="s">
        <v>369</v>
      </c>
      <c r="C16" s="363">
        <f t="shared" si="0"/>
        <v>0</v>
      </c>
      <c r="D16" s="115"/>
      <c r="E16" s="131"/>
      <c r="F16" s="131"/>
    </row>
    <row r="17" spans="1:6" s="210" customFormat="1" ht="12" customHeight="1" x14ac:dyDescent="0.2">
      <c r="A17" s="13" t="s">
        <v>110</v>
      </c>
      <c r="B17" s="212" t="s">
        <v>200</v>
      </c>
      <c r="C17" s="503">
        <f t="shared" si="0"/>
        <v>31321795</v>
      </c>
      <c r="D17" s="285">
        <f>4320000+24250000-344442</f>
        <v>28225558</v>
      </c>
      <c r="E17" s="287">
        <v>3096237</v>
      </c>
      <c r="F17" s="134"/>
    </row>
    <row r="18" spans="1:6" s="210" customFormat="1" ht="12" customHeight="1" thickBot="1" x14ac:dyDescent="0.25">
      <c r="A18" s="15" t="s">
        <v>119</v>
      </c>
      <c r="B18" s="127" t="s">
        <v>201</v>
      </c>
      <c r="C18" s="364">
        <f t="shared" si="0"/>
        <v>0</v>
      </c>
      <c r="D18" s="116"/>
      <c r="E18" s="200"/>
      <c r="F18" s="200"/>
    </row>
    <row r="19" spans="1:6" s="210" customFormat="1" ht="12" customHeight="1" thickBot="1" x14ac:dyDescent="0.25">
      <c r="A19" s="19" t="s">
        <v>24</v>
      </c>
      <c r="B19" s="20" t="s">
        <v>202</v>
      </c>
      <c r="C19" s="130">
        <f t="shared" si="0"/>
        <v>13442271</v>
      </c>
      <c r="D19" s="307">
        <f>+D20+D21+D22+D23+D24</f>
        <v>13442271</v>
      </c>
      <c r="E19" s="130">
        <f>+E20+E21+E22+E23+E24</f>
        <v>0</v>
      </c>
      <c r="F19" s="130">
        <f>+F20+F21+F22+F23+F24</f>
        <v>0</v>
      </c>
    </row>
    <row r="20" spans="1:6" s="210" customFormat="1" ht="12" customHeight="1" x14ac:dyDescent="0.2">
      <c r="A20" s="14" t="s">
        <v>89</v>
      </c>
      <c r="B20" s="211" t="s">
        <v>203</v>
      </c>
      <c r="C20" s="206">
        <f t="shared" si="0"/>
        <v>0</v>
      </c>
      <c r="D20" s="313"/>
      <c r="E20" s="284"/>
      <c r="F20" s="284"/>
    </row>
    <row r="21" spans="1:6" s="210" customFormat="1" ht="12" customHeight="1" x14ac:dyDescent="0.2">
      <c r="A21" s="13" t="s">
        <v>90</v>
      </c>
      <c r="B21" s="212" t="s">
        <v>204</v>
      </c>
      <c r="C21" s="368">
        <f t="shared" si="0"/>
        <v>0</v>
      </c>
      <c r="D21" s="285"/>
      <c r="E21" s="134"/>
      <c r="F21" s="134"/>
    </row>
    <row r="22" spans="1:6" s="210" customFormat="1" ht="12" customHeight="1" x14ac:dyDescent="0.2">
      <c r="A22" s="13" t="s">
        <v>91</v>
      </c>
      <c r="B22" s="212" t="s">
        <v>370</v>
      </c>
      <c r="C22" s="368">
        <f t="shared" si="0"/>
        <v>0</v>
      </c>
      <c r="D22" s="285"/>
      <c r="E22" s="134"/>
      <c r="F22" s="134"/>
    </row>
    <row r="23" spans="1:6" s="210" customFormat="1" ht="12" customHeight="1" x14ac:dyDescent="0.2">
      <c r="A23" s="13" t="s">
        <v>92</v>
      </c>
      <c r="B23" s="212" t="s">
        <v>371</v>
      </c>
      <c r="C23" s="368">
        <f t="shared" si="0"/>
        <v>0</v>
      </c>
      <c r="D23" s="285"/>
      <c r="E23" s="134"/>
      <c r="F23" s="134"/>
    </row>
    <row r="24" spans="1:6" s="210" customFormat="1" ht="12" customHeight="1" x14ac:dyDescent="0.2">
      <c r="A24" s="13" t="s">
        <v>135</v>
      </c>
      <c r="B24" s="212" t="s">
        <v>205</v>
      </c>
      <c r="C24" s="363">
        <f t="shared" si="0"/>
        <v>13442271</v>
      </c>
      <c r="D24" s="285">
        <f>5866130+3779393+3796748</f>
        <v>13442271</v>
      </c>
      <c r="E24" s="134"/>
      <c r="F24" s="134"/>
    </row>
    <row r="25" spans="1:6" s="210" customFormat="1" ht="12" customHeight="1" thickBot="1" x14ac:dyDescent="0.25">
      <c r="A25" s="15" t="s">
        <v>136</v>
      </c>
      <c r="B25" s="213" t="s">
        <v>206</v>
      </c>
      <c r="C25" s="369">
        <f t="shared" si="0"/>
        <v>13442271</v>
      </c>
      <c r="D25" s="289">
        <f>9645523+3796748</f>
        <v>13442271</v>
      </c>
      <c r="E25" s="200"/>
      <c r="F25" s="133"/>
    </row>
    <row r="26" spans="1:6" s="210" customFormat="1" ht="12" customHeight="1" thickBot="1" x14ac:dyDescent="0.25">
      <c r="A26" s="19" t="s">
        <v>137</v>
      </c>
      <c r="B26" s="20" t="s">
        <v>207</v>
      </c>
      <c r="C26" s="130">
        <f t="shared" si="0"/>
        <v>352658000</v>
      </c>
      <c r="D26" s="310">
        <f>+D27+D31+D32+D33</f>
        <v>352658000</v>
      </c>
      <c r="E26" s="135">
        <f>+E27+E31+E32+E33</f>
        <v>0</v>
      </c>
      <c r="F26" s="135">
        <f>+F27+F31+F32+F33</f>
        <v>0</v>
      </c>
    </row>
    <row r="27" spans="1:6" s="210" customFormat="1" ht="12" customHeight="1" x14ac:dyDescent="0.2">
      <c r="A27" s="14" t="s">
        <v>208</v>
      </c>
      <c r="B27" s="211" t="s">
        <v>451</v>
      </c>
      <c r="C27" s="206">
        <f t="shared" si="0"/>
        <v>308654000</v>
      </c>
      <c r="D27" s="354">
        <f>SUM(D28:D30)</f>
        <v>308654000</v>
      </c>
      <c r="E27" s="206"/>
      <c r="F27" s="206"/>
    </row>
    <row r="28" spans="1:6" s="210" customFormat="1" ht="12" customHeight="1" x14ac:dyDescent="0.2">
      <c r="A28" s="13" t="s">
        <v>209</v>
      </c>
      <c r="B28" s="212" t="s">
        <v>214</v>
      </c>
      <c r="C28" s="368">
        <f t="shared" si="0"/>
        <v>77500000</v>
      </c>
      <c r="D28" s="115">
        <v>77500000</v>
      </c>
      <c r="E28" s="131"/>
      <c r="F28" s="131"/>
    </row>
    <row r="29" spans="1:6" s="210" customFormat="1" ht="12" customHeight="1" x14ac:dyDescent="0.2">
      <c r="A29" s="13" t="s">
        <v>210</v>
      </c>
      <c r="B29" s="212" t="s">
        <v>554</v>
      </c>
      <c r="C29" s="363">
        <f t="shared" si="0"/>
        <v>231154000</v>
      </c>
      <c r="D29" s="115">
        <v>231154000</v>
      </c>
      <c r="E29" s="131"/>
      <c r="F29" s="131"/>
    </row>
    <row r="30" spans="1:6" s="210" customFormat="1" ht="12" customHeight="1" x14ac:dyDescent="0.2">
      <c r="A30" s="13" t="s">
        <v>452</v>
      </c>
      <c r="B30" s="212" t="s">
        <v>551</v>
      </c>
      <c r="C30" s="368">
        <f t="shared" si="0"/>
        <v>0</v>
      </c>
      <c r="D30" s="285"/>
      <c r="E30" s="134"/>
      <c r="F30" s="134"/>
    </row>
    <row r="31" spans="1:6" s="210" customFormat="1" ht="12" customHeight="1" x14ac:dyDescent="0.2">
      <c r="A31" s="13" t="s">
        <v>211</v>
      </c>
      <c r="B31" s="212" t="s">
        <v>216</v>
      </c>
      <c r="C31" s="368">
        <f t="shared" si="0"/>
        <v>28000000</v>
      </c>
      <c r="D31" s="115">
        <v>28000000</v>
      </c>
      <c r="E31" s="131"/>
      <c r="F31" s="134"/>
    </row>
    <row r="32" spans="1:6" s="210" customFormat="1" ht="12" customHeight="1" x14ac:dyDescent="0.2">
      <c r="A32" s="13" t="s">
        <v>212</v>
      </c>
      <c r="B32" s="212" t="s">
        <v>217</v>
      </c>
      <c r="C32" s="368">
        <f t="shared" si="0"/>
        <v>4504000</v>
      </c>
      <c r="D32" s="115">
        <v>4504000</v>
      </c>
      <c r="E32" s="131"/>
      <c r="F32" s="134"/>
    </row>
    <row r="33" spans="1:6" s="210" customFormat="1" ht="12" customHeight="1" thickBot="1" x14ac:dyDescent="0.25">
      <c r="A33" s="15" t="s">
        <v>213</v>
      </c>
      <c r="B33" s="213" t="s">
        <v>218</v>
      </c>
      <c r="C33" s="369">
        <f t="shared" si="0"/>
        <v>11500000</v>
      </c>
      <c r="D33" s="289">
        <v>11500000</v>
      </c>
      <c r="E33" s="200"/>
      <c r="F33" s="200"/>
    </row>
    <row r="34" spans="1:6" s="210" customFormat="1" ht="12" customHeight="1" thickBot="1" x14ac:dyDescent="0.25">
      <c r="A34" s="19" t="s">
        <v>26</v>
      </c>
      <c r="B34" s="20" t="s">
        <v>454</v>
      </c>
      <c r="C34" s="130">
        <f t="shared" si="0"/>
        <v>230550775</v>
      </c>
      <c r="D34" s="307">
        <f>SUM(D35:D45)</f>
        <v>24848963</v>
      </c>
      <c r="E34" s="130">
        <f>SUM(E35:E45)</f>
        <v>2005440</v>
      </c>
      <c r="F34" s="130">
        <f>SUM(F35:F45)</f>
        <v>203696372</v>
      </c>
    </row>
    <row r="35" spans="1:6" s="210" customFormat="1" ht="12" customHeight="1" x14ac:dyDescent="0.2">
      <c r="A35" s="14" t="s">
        <v>93</v>
      </c>
      <c r="B35" s="211" t="s">
        <v>221</v>
      </c>
      <c r="C35" s="362">
        <f t="shared" si="0"/>
        <v>20000</v>
      </c>
      <c r="D35" s="313"/>
      <c r="E35" s="249"/>
      <c r="F35" s="249">
        <v>20000</v>
      </c>
    </row>
    <row r="36" spans="1:6" s="210" customFormat="1" ht="12" customHeight="1" x14ac:dyDescent="0.2">
      <c r="A36" s="13" t="s">
        <v>94</v>
      </c>
      <c r="B36" s="212" t="s">
        <v>222</v>
      </c>
      <c r="C36" s="363">
        <f t="shared" si="0"/>
        <v>61855197</v>
      </c>
      <c r="D36" s="285">
        <f>13910169+100000</f>
        <v>14010169</v>
      </c>
      <c r="E36" s="134">
        <f>1198440+380000</f>
        <v>1578440</v>
      </c>
      <c r="F36" s="249">
        <v>46266588</v>
      </c>
    </row>
    <row r="37" spans="1:6" s="210" customFormat="1" ht="12" customHeight="1" x14ac:dyDescent="0.2">
      <c r="A37" s="13" t="s">
        <v>95</v>
      </c>
      <c r="B37" s="212" t="s">
        <v>223</v>
      </c>
      <c r="C37" s="503">
        <f t="shared" si="0"/>
        <v>90069200</v>
      </c>
      <c r="D37" s="285">
        <f>500000+300000+50000+1400000+947000+300000+52200</f>
        <v>3549200</v>
      </c>
      <c r="E37" s="134"/>
      <c r="F37" s="249">
        <v>86520000</v>
      </c>
    </row>
    <row r="38" spans="1:6" s="210" customFormat="1" ht="12" customHeight="1" x14ac:dyDescent="0.2">
      <c r="A38" s="13" t="s">
        <v>139</v>
      </c>
      <c r="B38" s="212" t="s">
        <v>224</v>
      </c>
      <c r="C38" s="363">
        <f t="shared" si="0"/>
        <v>430000</v>
      </c>
      <c r="D38" s="285">
        <v>430000</v>
      </c>
      <c r="E38" s="134"/>
      <c r="F38" s="249"/>
    </row>
    <row r="39" spans="1:6" s="210" customFormat="1" ht="12" customHeight="1" x14ac:dyDescent="0.2">
      <c r="A39" s="13" t="s">
        <v>140</v>
      </c>
      <c r="B39" s="212" t="s">
        <v>225</v>
      </c>
      <c r="C39" s="363">
        <f t="shared" si="0"/>
        <v>21166618</v>
      </c>
      <c r="D39" s="285"/>
      <c r="E39" s="134"/>
      <c r="F39" s="249">
        <v>21166618</v>
      </c>
    </row>
    <row r="40" spans="1:6" s="210" customFormat="1" ht="12" customHeight="1" x14ac:dyDescent="0.2">
      <c r="A40" s="13" t="s">
        <v>141</v>
      </c>
      <c r="B40" s="212" t="s">
        <v>226</v>
      </c>
      <c r="C40" s="503">
        <f t="shared" si="0"/>
        <v>37668760</v>
      </c>
      <c r="D40" s="285">
        <f>5162000+81000+13500+378000+81000+14094</f>
        <v>5729594</v>
      </c>
      <c r="E40" s="134">
        <f>324000+103000</f>
        <v>427000</v>
      </c>
      <c r="F40" s="249">
        <v>31512166</v>
      </c>
    </row>
    <row r="41" spans="1:6" s="210" customFormat="1" ht="12" customHeight="1" x14ac:dyDescent="0.2">
      <c r="A41" s="13" t="s">
        <v>142</v>
      </c>
      <c r="B41" s="212" t="s">
        <v>227</v>
      </c>
      <c r="C41" s="363">
        <f t="shared" si="0"/>
        <v>18210000</v>
      </c>
      <c r="D41" s="285"/>
      <c r="E41" s="134"/>
      <c r="F41" s="249">
        <v>18210000</v>
      </c>
    </row>
    <row r="42" spans="1:6" s="210" customFormat="1" ht="12" customHeight="1" x14ac:dyDescent="0.2">
      <c r="A42" s="13" t="s">
        <v>143</v>
      </c>
      <c r="B42" s="212" t="s">
        <v>561</v>
      </c>
      <c r="C42" s="363">
        <f t="shared" si="0"/>
        <v>31000</v>
      </c>
      <c r="D42" s="285">
        <v>30000</v>
      </c>
      <c r="E42" s="134"/>
      <c r="F42" s="249">
        <v>1000</v>
      </c>
    </row>
    <row r="43" spans="1:6" s="210" customFormat="1" ht="12" customHeight="1" x14ac:dyDescent="0.2">
      <c r="A43" s="13" t="s">
        <v>219</v>
      </c>
      <c r="B43" s="212" t="s">
        <v>229</v>
      </c>
      <c r="C43" s="363">
        <f t="shared" si="0"/>
        <v>0</v>
      </c>
      <c r="D43" s="285"/>
      <c r="E43" s="134"/>
      <c r="F43" s="249"/>
    </row>
    <row r="44" spans="1:6" s="210" customFormat="1" ht="12" customHeight="1" x14ac:dyDescent="0.2">
      <c r="A44" s="15" t="s">
        <v>220</v>
      </c>
      <c r="B44" s="213" t="s">
        <v>455</v>
      </c>
      <c r="C44" s="363">
        <f t="shared" si="0"/>
        <v>500000</v>
      </c>
      <c r="D44" s="289">
        <v>500000</v>
      </c>
      <c r="E44" s="200"/>
      <c r="F44" s="200"/>
    </row>
    <row r="45" spans="1:6" s="210" customFormat="1" ht="12" customHeight="1" thickBot="1" x14ac:dyDescent="0.25">
      <c r="A45" s="15" t="s">
        <v>456</v>
      </c>
      <c r="B45" s="127" t="s">
        <v>230</v>
      </c>
      <c r="C45" s="364">
        <f t="shared" si="0"/>
        <v>600000</v>
      </c>
      <c r="D45" s="289">
        <v>600000</v>
      </c>
      <c r="E45" s="200"/>
      <c r="F45" s="299"/>
    </row>
    <row r="46" spans="1:6" s="210" customFormat="1" ht="12" customHeight="1" thickBot="1" x14ac:dyDescent="0.25">
      <c r="A46" s="19" t="s">
        <v>27</v>
      </c>
      <c r="B46" s="20" t="s">
        <v>231</v>
      </c>
      <c r="C46" s="130">
        <f t="shared" si="0"/>
        <v>30332500</v>
      </c>
      <c r="D46" s="307">
        <f>SUM(D47:D51)</f>
        <v>30332500</v>
      </c>
      <c r="E46" s="130">
        <f>SUM(E47:E51)</f>
        <v>0</v>
      </c>
      <c r="F46" s="130">
        <f>SUM(F47:F51)</f>
        <v>0</v>
      </c>
    </row>
    <row r="47" spans="1:6" s="210" customFormat="1" ht="12" customHeight="1" x14ac:dyDescent="0.2">
      <c r="A47" s="14" t="s">
        <v>96</v>
      </c>
      <c r="B47" s="211" t="s">
        <v>235</v>
      </c>
      <c r="C47" s="206">
        <f t="shared" si="0"/>
        <v>0</v>
      </c>
      <c r="D47" s="313"/>
      <c r="E47" s="249"/>
      <c r="F47" s="249"/>
    </row>
    <row r="48" spans="1:6" s="210" customFormat="1" ht="12" customHeight="1" x14ac:dyDescent="0.2">
      <c r="A48" s="13" t="s">
        <v>97</v>
      </c>
      <c r="B48" s="212" t="s">
        <v>236</v>
      </c>
      <c r="C48" s="368">
        <f>SUM(D48:F48)</f>
        <v>30332500</v>
      </c>
      <c r="D48" s="285">
        <v>30332500</v>
      </c>
      <c r="E48" s="134"/>
      <c r="F48" s="134"/>
    </row>
    <row r="49" spans="1:6" s="210" customFormat="1" ht="12" customHeight="1" x14ac:dyDescent="0.2">
      <c r="A49" s="13" t="s">
        <v>232</v>
      </c>
      <c r="B49" s="212" t="s">
        <v>237</v>
      </c>
      <c r="C49" s="368">
        <f t="shared" si="0"/>
        <v>0</v>
      </c>
      <c r="D49" s="285"/>
      <c r="E49" s="134"/>
      <c r="F49" s="134"/>
    </row>
    <row r="50" spans="1:6" s="210" customFormat="1" ht="12" customHeight="1" x14ac:dyDescent="0.2">
      <c r="A50" s="13" t="s">
        <v>233</v>
      </c>
      <c r="B50" s="212" t="s">
        <v>238</v>
      </c>
      <c r="C50" s="368">
        <f t="shared" si="0"/>
        <v>0</v>
      </c>
      <c r="D50" s="285"/>
      <c r="E50" s="134"/>
      <c r="F50" s="134"/>
    </row>
    <row r="51" spans="1:6" s="210" customFormat="1" ht="12" customHeight="1" thickBot="1" x14ac:dyDescent="0.25">
      <c r="A51" s="15" t="s">
        <v>234</v>
      </c>
      <c r="B51" s="127" t="s">
        <v>239</v>
      </c>
      <c r="C51" s="369">
        <f t="shared" si="0"/>
        <v>0</v>
      </c>
      <c r="D51" s="289"/>
      <c r="E51" s="200"/>
      <c r="F51" s="200"/>
    </row>
    <row r="52" spans="1:6" s="210" customFormat="1" ht="12" customHeight="1" thickBot="1" x14ac:dyDescent="0.25">
      <c r="A52" s="19" t="s">
        <v>144</v>
      </c>
      <c r="B52" s="20" t="s">
        <v>240</v>
      </c>
      <c r="C52" s="130">
        <f t="shared" si="0"/>
        <v>2900000</v>
      </c>
      <c r="D52" s="307">
        <f>SUM(D53:D55)</f>
        <v>2900000</v>
      </c>
      <c r="E52" s="130">
        <f>SUM(E53:E55)</f>
        <v>0</v>
      </c>
      <c r="F52" s="130">
        <f>SUM(F53:F55)</f>
        <v>0</v>
      </c>
    </row>
    <row r="53" spans="1:6" s="210" customFormat="1" ht="12" customHeight="1" x14ac:dyDescent="0.2">
      <c r="A53" s="14" t="s">
        <v>98</v>
      </c>
      <c r="B53" s="211" t="s">
        <v>241</v>
      </c>
      <c r="C53" s="206">
        <f t="shared" si="0"/>
        <v>0</v>
      </c>
      <c r="D53" s="309"/>
      <c r="E53" s="132"/>
      <c r="F53" s="132"/>
    </row>
    <row r="54" spans="1:6" s="210" customFormat="1" ht="12" customHeight="1" x14ac:dyDescent="0.2">
      <c r="A54" s="13" t="s">
        <v>99</v>
      </c>
      <c r="B54" s="212" t="s">
        <v>372</v>
      </c>
      <c r="C54" s="363">
        <f t="shared" si="0"/>
        <v>0</v>
      </c>
      <c r="D54" s="285"/>
      <c r="E54" s="134"/>
      <c r="F54" s="134"/>
    </row>
    <row r="55" spans="1:6" s="210" customFormat="1" ht="12" customHeight="1" x14ac:dyDescent="0.2">
      <c r="A55" s="13" t="s">
        <v>244</v>
      </c>
      <c r="B55" s="212" t="s">
        <v>242</v>
      </c>
      <c r="C55" s="363">
        <f t="shared" si="0"/>
        <v>2900000</v>
      </c>
      <c r="D55" s="285">
        <v>2900000</v>
      </c>
      <c r="E55" s="134"/>
      <c r="F55" s="134"/>
    </row>
    <row r="56" spans="1:6" s="210" customFormat="1" ht="12" customHeight="1" thickBot="1" x14ac:dyDescent="0.25">
      <c r="A56" s="15" t="s">
        <v>245</v>
      </c>
      <c r="B56" s="127" t="s">
        <v>243</v>
      </c>
      <c r="C56" s="369">
        <f t="shared" si="0"/>
        <v>0</v>
      </c>
      <c r="D56" s="116"/>
      <c r="E56" s="133"/>
      <c r="F56" s="133"/>
    </row>
    <row r="57" spans="1:6" s="210" customFormat="1" ht="12" customHeight="1" thickBot="1" x14ac:dyDescent="0.25">
      <c r="A57" s="19" t="s">
        <v>29</v>
      </c>
      <c r="B57" s="125" t="s">
        <v>246</v>
      </c>
      <c r="C57" s="370">
        <f t="shared" si="0"/>
        <v>0</v>
      </c>
      <c r="D57" s="307">
        <f>SUM(D58:D60)</f>
        <v>0</v>
      </c>
      <c r="E57" s="130">
        <f>SUM(E58:E60)</f>
        <v>0</v>
      </c>
      <c r="F57" s="130">
        <f>SUM(F58:F60)</f>
        <v>0</v>
      </c>
    </row>
    <row r="58" spans="1:6" s="210" customFormat="1" ht="12" customHeight="1" x14ac:dyDescent="0.2">
      <c r="A58" s="14" t="s">
        <v>145</v>
      </c>
      <c r="B58" s="211" t="s">
        <v>248</v>
      </c>
      <c r="C58" s="206">
        <f t="shared" si="0"/>
        <v>0</v>
      </c>
      <c r="D58" s="285"/>
      <c r="E58" s="134"/>
      <c r="F58" s="134"/>
    </row>
    <row r="59" spans="1:6" s="210" customFormat="1" ht="12" customHeight="1" x14ac:dyDescent="0.2">
      <c r="A59" s="13" t="s">
        <v>146</v>
      </c>
      <c r="B59" s="212" t="s">
        <v>373</v>
      </c>
      <c r="C59" s="363">
        <f t="shared" si="0"/>
        <v>0</v>
      </c>
      <c r="D59" s="285"/>
      <c r="E59" s="134"/>
      <c r="F59" s="134"/>
    </row>
    <row r="60" spans="1:6" s="210" customFormat="1" ht="12" customHeight="1" x14ac:dyDescent="0.2">
      <c r="A60" s="13" t="s">
        <v>171</v>
      </c>
      <c r="B60" s="212" t="s">
        <v>249</v>
      </c>
      <c r="C60" s="363">
        <f t="shared" si="0"/>
        <v>0</v>
      </c>
      <c r="D60" s="285"/>
      <c r="E60" s="134"/>
      <c r="F60" s="134"/>
    </row>
    <row r="61" spans="1:6" s="210" customFormat="1" ht="12" customHeight="1" thickBot="1" x14ac:dyDescent="0.25">
      <c r="A61" s="15" t="s">
        <v>247</v>
      </c>
      <c r="B61" s="127" t="s">
        <v>250</v>
      </c>
      <c r="C61" s="369">
        <f t="shared" si="0"/>
        <v>0</v>
      </c>
      <c r="D61" s="285"/>
      <c r="E61" s="134"/>
      <c r="F61" s="134"/>
    </row>
    <row r="62" spans="1:6" s="210" customFormat="1" ht="12" customHeight="1" thickBot="1" x14ac:dyDescent="0.25">
      <c r="A62" s="270" t="s">
        <v>457</v>
      </c>
      <c r="B62" s="20" t="s">
        <v>251</v>
      </c>
      <c r="C62" s="130">
        <f t="shared" si="0"/>
        <v>1784267596</v>
      </c>
      <c r="D62" s="310">
        <f>+D5+D12+D19+D26+D34+D46+D52+D57</f>
        <v>1575469547</v>
      </c>
      <c r="E62" s="135">
        <f>+E5+E12+E19+E26+E34+E46+E52+E57</f>
        <v>5101677</v>
      </c>
      <c r="F62" s="135">
        <f>+F5+F12+F19+F26+F34+F46+F52+F57</f>
        <v>203696372</v>
      </c>
    </row>
    <row r="63" spans="1:6" s="210" customFormat="1" ht="12" customHeight="1" thickBot="1" x14ac:dyDescent="0.25">
      <c r="A63" s="271" t="s">
        <v>252</v>
      </c>
      <c r="B63" s="125" t="s">
        <v>253</v>
      </c>
      <c r="C63" s="370">
        <f t="shared" si="0"/>
        <v>193478462</v>
      </c>
      <c r="D63" s="307">
        <f>SUM(D64:D66)</f>
        <v>193478462</v>
      </c>
      <c r="E63" s="130">
        <f>SUM(E64:E66)</f>
        <v>0</v>
      </c>
      <c r="F63" s="130">
        <f>SUM(F64:F66)</f>
        <v>0</v>
      </c>
    </row>
    <row r="64" spans="1:6" s="210" customFormat="1" ht="12" customHeight="1" x14ac:dyDescent="0.2">
      <c r="A64" s="14" t="s">
        <v>284</v>
      </c>
      <c r="B64" s="211" t="s">
        <v>254</v>
      </c>
      <c r="C64" s="206">
        <f t="shared" si="0"/>
        <v>93478462</v>
      </c>
      <c r="D64" s="285">
        <v>93478462</v>
      </c>
      <c r="E64" s="134"/>
      <c r="F64" s="134"/>
    </row>
    <row r="65" spans="1:6" s="210" customFormat="1" ht="12" customHeight="1" x14ac:dyDescent="0.2">
      <c r="A65" s="13" t="s">
        <v>293</v>
      </c>
      <c r="B65" s="212" t="s">
        <v>255</v>
      </c>
      <c r="C65" s="368">
        <f t="shared" si="0"/>
        <v>100000000</v>
      </c>
      <c r="D65" s="285">
        <v>100000000</v>
      </c>
      <c r="E65" s="134"/>
      <c r="F65" s="134"/>
    </row>
    <row r="66" spans="1:6" s="210" customFormat="1" ht="12" customHeight="1" thickBot="1" x14ac:dyDescent="0.25">
      <c r="A66" s="15" t="s">
        <v>294</v>
      </c>
      <c r="B66" s="272" t="s">
        <v>458</v>
      </c>
      <c r="C66" s="369">
        <f t="shared" si="0"/>
        <v>0</v>
      </c>
      <c r="D66" s="285"/>
      <c r="E66" s="134"/>
      <c r="F66" s="134"/>
    </row>
    <row r="67" spans="1:6" s="210" customFormat="1" ht="12" customHeight="1" thickBot="1" x14ac:dyDescent="0.25">
      <c r="A67" s="271" t="s">
        <v>257</v>
      </c>
      <c r="B67" s="125" t="s">
        <v>258</v>
      </c>
      <c r="C67" s="370">
        <f t="shared" si="0"/>
        <v>0</v>
      </c>
      <c r="D67" s="307">
        <f>SUM(D68:D71)</f>
        <v>0</v>
      </c>
      <c r="E67" s="130">
        <f>SUM(E68:E71)</f>
        <v>0</v>
      </c>
      <c r="F67" s="130">
        <f>SUM(F68:F71)</f>
        <v>0</v>
      </c>
    </row>
    <row r="68" spans="1:6" s="210" customFormat="1" ht="12" customHeight="1" x14ac:dyDescent="0.2">
      <c r="A68" s="14" t="s">
        <v>125</v>
      </c>
      <c r="B68" s="211" t="s">
        <v>259</v>
      </c>
      <c r="C68" s="206">
        <f t="shared" si="0"/>
        <v>0</v>
      </c>
      <c r="D68" s="285"/>
      <c r="E68" s="134"/>
      <c r="F68" s="134"/>
    </row>
    <row r="69" spans="1:6" s="210" customFormat="1" ht="12" customHeight="1" x14ac:dyDescent="0.2">
      <c r="A69" s="13" t="s">
        <v>126</v>
      </c>
      <c r="B69" s="212" t="s">
        <v>260</v>
      </c>
      <c r="C69" s="368">
        <f t="shared" ref="C69:C87" si="1">SUM(D69:F69)</f>
        <v>0</v>
      </c>
      <c r="D69" s="285"/>
      <c r="E69" s="134"/>
      <c r="F69" s="134"/>
    </row>
    <row r="70" spans="1:6" s="210" customFormat="1" ht="12" customHeight="1" x14ac:dyDescent="0.2">
      <c r="A70" s="13" t="s">
        <v>285</v>
      </c>
      <c r="B70" s="212" t="s">
        <v>261</v>
      </c>
      <c r="C70" s="368">
        <f t="shared" si="1"/>
        <v>0</v>
      </c>
      <c r="D70" s="285"/>
      <c r="E70" s="134"/>
      <c r="F70" s="134"/>
    </row>
    <row r="71" spans="1:6" s="210" customFormat="1" ht="12" customHeight="1" thickBot="1" x14ac:dyDescent="0.25">
      <c r="A71" s="15" t="s">
        <v>286</v>
      </c>
      <c r="B71" s="127" t="s">
        <v>262</v>
      </c>
      <c r="C71" s="369">
        <f t="shared" si="1"/>
        <v>0</v>
      </c>
      <c r="D71" s="285"/>
      <c r="E71" s="134"/>
      <c r="F71" s="134"/>
    </row>
    <row r="72" spans="1:6" s="210" customFormat="1" ht="12" customHeight="1" thickBot="1" x14ac:dyDescent="0.25">
      <c r="A72" s="271" t="s">
        <v>263</v>
      </c>
      <c r="B72" s="125" t="s">
        <v>264</v>
      </c>
      <c r="C72" s="130">
        <f t="shared" si="1"/>
        <v>577202865</v>
      </c>
      <c r="D72" s="307">
        <f>SUM(D73:D74)</f>
        <v>569119676</v>
      </c>
      <c r="E72" s="130">
        <f>SUM(E73:E74)</f>
        <v>3148853</v>
      </c>
      <c r="F72" s="130">
        <f>SUM(F73:F74)</f>
        <v>4934336</v>
      </c>
    </row>
    <row r="73" spans="1:6" s="210" customFormat="1" ht="12" customHeight="1" x14ac:dyDescent="0.2">
      <c r="A73" s="14" t="s">
        <v>287</v>
      </c>
      <c r="B73" s="211" t="s">
        <v>265</v>
      </c>
      <c r="C73" s="504">
        <f t="shared" si="1"/>
        <v>577202865</v>
      </c>
      <c r="D73" s="285">
        <f>569119704-28</f>
        <v>569119676</v>
      </c>
      <c r="E73" s="134">
        <v>3148853</v>
      </c>
      <c r="F73" s="134">
        <v>4934336</v>
      </c>
    </row>
    <row r="74" spans="1:6" s="210" customFormat="1" ht="12" customHeight="1" thickBot="1" x14ac:dyDescent="0.25">
      <c r="A74" s="15" t="s">
        <v>288</v>
      </c>
      <c r="B74" s="127" t="s">
        <v>266</v>
      </c>
      <c r="C74" s="369">
        <f t="shared" si="1"/>
        <v>0</v>
      </c>
      <c r="D74" s="285"/>
      <c r="E74" s="134"/>
      <c r="F74" s="134"/>
    </row>
    <row r="75" spans="1:6" s="210" customFormat="1" ht="12" customHeight="1" thickBot="1" x14ac:dyDescent="0.25">
      <c r="A75" s="271" t="s">
        <v>267</v>
      </c>
      <c r="B75" s="125" t="s">
        <v>268</v>
      </c>
      <c r="C75" s="370">
        <f t="shared" si="1"/>
        <v>0</v>
      </c>
      <c r="D75" s="307">
        <f>SUM(D76:D78)</f>
        <v>0</v>
      </c>
      <c r="E75" s="130">
        <f>SUM(E76:E78)</f>
        <v>0</v>
      </c>
      <c r="F75" s="130">
        <f>SUM(F76:F78)</f>
        <v>0</v>
      </c>
    </row>
    <row r="76" spans="1:6" s="210" customFormat="1" ht="12" customHeight="1" x14ac:dyDescent="0.2">
      <c r="A76" s="14" t="s">
        <v>289</v>
      </c>
      <c r="B76" s="211" t="s">
        <v>269</v>
      </c>
      <c r="C76" s="206">
        <f t="shared" si="1"/>
        <v>0</v>
      </c>
      <c r="D76" s="285"/>
      <c r="E76" s="134"/>
      <c r="F76" s="134"/>
    </row>
    <row r="77" spans="1:6" s="210" customFormat="1" ht="12" customHeight="1" x14ac:dyDescent="0.2">
      <c r="A77" s="13" t="s">
        <v>290</v>
      </c>
      <c r="B77" s="212" t="s">
        <v>270</v>
      </c>
      <c r="C77" s="368">
        <f t="shared" si="1"/>
        <v>0</v>
      </c>
      <c r="D77" s="285"/>
      <c r="E77" s="134"/>
      <c r="F77" s="134"/>
    </row>
    <row r="78" spans="1:6" s="210" customFormat="1" ht="12" customHeight="1" thickBot="1" x14ac:dyDescent="0.25">
      <c r="A78" s="15" t="s">
        <v>291</v>
      </c>
      <c r="B78" s="127" t="s">
        <v>271</v>
      </c>
      <c r="C78" s="369">
        <f t="shared" si="1"/>
        <v>0</v>
      </c>
      <c r="D78" s="285"/>
      <c r="E78" s="134"/>
      <c r="F78" s="134"/>
    </row>
    <row r="79" spans="1:6" s="210" customFormat="1" ht="12" customHeight="1" thickBot="1" x14ac:dyDescent="0.25">
      <c r="A79" s="271" t="s">
        <v>272</v>
      </c>
      <c r="B79" s="125" t="s">
        <v>292</v>
      </c>
      <c r="C79" s="370">
        <f t="shared" si="1"/>
        <v>0</v>
      </c>
      <c r="D79" s="307">
        <f>SUM(D80:D83)</f>
        <v>0</v>
      </c>
      <c r="E79" s="130">
        <f>SUM(E80:E83)</f>
        <v>0</v>
      </c>
      <c r="F79" s="130">
        <f>SUM(F80:F83)</f>
        <v>0</v>
      </c>
    </row>
    <row r="80" spans="1:6" s="210" customFormat="1" ht="12" customHeight="1" x14ac:dyDescent="0.2">
      <c r="A80" s="215" t="s">
        <v>273</v>
      </c>
      <c r="B80" s="211" t="s">
        <v>274</v>
      </c>
      <c r="C80" s="206">
        <f t="shared" si="1"/>
        <v>0</v>
      </c>
      <c r="D80" s="285"/>
      <c r="E80" s="134"/>
      <c r="F80" s="134"/>
    </row>
    <row r="81" spans="1:6" s="210" customFormat="1" ht="12" customHeight="1" x14ac:dyDescent="0.2">
      <c r="A81" s="216" t="s">
        <v>275</v>
      </c>
      <c r="B81" s="212" t="s">
        <v>276</v>
      </c>
      <c r="C81" s="368">
        <f t="shared" si="1"/>
        <v>0</v>
      </c>
      <c r="D81" s="285"/>
      <c r="E81" s="134"/>
      <c r="F81" s="134"/>
    </row>
    <row r="82" spans="1:6" s="210" customFormat="1" ht="12" customHeight="1" x14ac:dyDescent="0.2">
      <c r="A82" s="216" t="s">
        <v>277</v>
      </c>
      <c r="B82" s="212" t="s">
        <v>278</v>
      </c>
      <c r="C82" s="368">
        <f t="shared" si="1"/>
        <v>0</v>
      </c>
      <c r="D82" s="285"/>
      <c r="E82" s="134"/>
      <c r="F82" s="134"/>
    </row>
    <row r="83" spans="1:6" s="210" customFormat="1" ht="12" customHeight="1" thickBot="1" x14ac:dyDescent="0.25">
      <c r="A83" s="217" t="s">
        <v>279</v>
      </c>
      <c r="B83" s="127" t="s">
        <v>280</v>
      </c>
      <c r="C83" s="369">
        <f t="shared" si="1"/>
        <v>0</v>
      </c>
      <c r="D83" s="285"/>
      <c r="E83" s="134"/>
      <c r="F83" s="134"/>
    </row>
    <row r="84" spans="1:6" s="210" customFormat="1" ht="12" customHeight="1" thickBot="1" x14ac:dyDescent="0.25">
      <c r="A84" s="271" t="s">
        <v>281</v>
      </c>
      <c r="B84" s="125" t="s">
        <v>459</v>
      </c>
      <c r="C84" s="505">
        <f t="shared" si="1"/>
        <v>0</v>
      </c>
      <c r="D84" s="314"/>
      <c r="E84" s="250"/>
      <c r="F84" s="250"/>
    </row>
    <row r="85" spans="1:6" s="210" customFormat="1" ht="13.5" customHeight="1" thickBot="1" x14ac:dyDescent="0.25">
      <c r="A85" s="271" t="s">
        <v>283</v>
      </c>
      <c r="B85" s="125" t="s">
        <v>282</v>
      </c>
      <c r="C85" s="370">
        <f t="shared" si="1"/>
        <v>0</v>
      </c>
      <c r="D85" s="314"/>
      <c r="E85" s="250"/>
      <c r="F85" s="250"/>
    </row>
    <row r="86" spans="1:6" s="210" customFormat="1" ht="15.75" customHeight="1" thickBot="1" x14ac:dyDescent="0.25">
      <c r="A86" s="271" t="s">
        <v>295</v>
      </c>
      <c r="B86" s="218" t="s">
        <v>460</v>
      </c>
      <c r="C86" s="130">
        <f t="shared" si="1"/>
        <v>770681327</v>
      </c>
      <c r="D86" s="310">
        <f>+D63+D67+D72+D75+D79+D85+D84</f>
        <v>762598138</v>
      </c>
      <c r="E86" s="135">
        <f>+E63+E67+E72+E75+E79+E85+E84</f>
        <v>3148853</v>
      </c>
      <c r="F86" s="135">
        <f>+F63+F67+F72+F75+F79+F85+F84</f>
        <v>4934336</v>
      </c>
    </row>
    <row r="87" spans="1:6" s="210" customFormat="1" ht="16.5" customHeight="1" thickBot="1" x14ac:dyDescent="0.25">
      <c r="A87" s="273" t="s">
        <v>461</v>
      </c>
      <c r="B87" s="219" t="s">
        <v>462</v>
      </c>
      <c r="C87" s="277">
        <f t="shared" si="1"/>
        <v>2554948923</v>
      </c>
      <c r="D87" s="310">
        <f>+D62+D86</f>
        <v>2338067685</v>
      </c>
      <c r="E87" s="135">
        <f>+E62+E86</f>
        <v>8250530</v>
      </c>
      <c r="F87" s="135">
        <f>+F62+F86</f>
        <v>208630708</v>
      </c>
    </row>
    <row r="88" spans="1:6" s="210" customFormat="1" ht="83.25" customHeight="1" x14ac:dyDescent="0.2">
      <c r="A88" s="4"/>
      <c r="B88" s="5"/>
      <c r="C88" s="136"/>
    </row>
    <row r="89" spans="1:6" ht="16.5" customHeight="1" x14ac:dyDescent="0.25">
      <c r="A89" s="940" t="s">
        <v>50</v>
      </c>
      <c r="B89" s="940"/>
      <c r="C89" s="940"/>
    </row>
    <row r="90" spans="1:6" s="220" customFormat="1" ht="16.5" customHeight="1" thickBot="1" x14ac:dyDescent="0.3">
      <c r="A90" s="941" t="s">
        <v>128</v>
      </c>
      <c r="B90" s="941"/>
      <c r="C90" s="70" t="s">
        <v>571</v>
      </c>
    </row>
    <row r="91" spans="1:6" ht="38.1" customHeight="1" thickBot="1" x14ac:dyDescent="0.3">
      <c r="A91" s="22" t="s">
        <v>72</v>
      </c>
      <c r="B91" s="23" t="s">
        <v>51</v>
      </c>
      <c r="C91" s="30" t="str">
        <f>+C3</f>
        <v>2018. évi előirányzat</v>
      </c>
    </row>
    <row r="92" spans="1:6" s="209" customFormat="1" ht="12" customHeight="1" thickBot="1" x14ac:dyDescent="0.25">
      <c r="A92" s="26" t="s">
        <v>446</v>
      </c>
      <c r="B92" s="27" t="s">
        <v>447</v>
      </c>
      <c r="C92" s="205" t="s">
        <v>448</v>
      </c>
    </row>
    <row r="93" spans="1:6" ht="12" customHeight="1" thickBot="1" x14ac:dyDescent="0.3">
      <c r="A93" s="21" t="s">
        <v>22</v>
      </c>
      <c r="B93" s="25" t="s">
        <v>500</v>
      </c>
      <c r="C93" s="130">
        <f t="shared" ref="C93:C154" si="2">SUM(D93:F93)</f>
        <v>1545021098</v>
      </c>
      <c r="D93" s="317">
        <f>+D94+D95+D96+D97+D98+D111</f>
        <v>589260555</v>
      </c>
      <c r="E93" s="129">
        <f>+E94+E95+E96+E97+E98+E111</f>
        <v>28754363</v>
      </c>
      <c r="F93" s="349">
        <f>F94+F95+F96+F97+F98+F111</f>
        <v>927006180</v>
      </c>
    </row>
    <row r="94" spans="1:6" ht="12" customHeight="1" x14ac:dyDescent="0.25">
      <c r="A94" s="16" t="s">
        <v>100</v>
      </c>
      <c r="B94" s="9" t="s">
        <v>52</v>
      </c>
      <c r="C94" s="504">
        <f t="shared" si="2"/>
        <v>499156387</v>
      </c>
      <c r="D94" s="355">
        <f>2854500+25097896+11111000+584100+20000+1182990+1095900-175365+408000</f>
        <v>42179021</v>
      </c>
      <c r="E94" s="294">
        <f>481000+2215000</f>
        <v>2696000</v>
      </c>
      <c r="F94" s="312">
        <v>454281366</v>
      </c>
    </row>
    <row r="95" spans="1:6" ht="12" customHeight="1" x14ac:dyDescent="0.25">
      <c r="A95" s="13" t="s">
        <v>101</v>
      </c>
      <c r="B95" s="7" t="s">
        <v>147</v>
      </c>
      <c r="C95" s="503">
        <f t="shared" si="2"/>
        <v>105647066</v>
      </c>
      <c r="D95" s="285">
        <f>500965+4771305+2167000+14000+207615+213701-18991+71604+3298</f>
        <v>7930497</v>
      </c>
      <c r="E95" s="134">
        <f>114000+461687</f>
        <v>575687</v>
      </c>
      <c r="F95" s="311">
        <v>97140882</v>
      </c>
    </row>
    <row r="96" spans="1:6" ht="12" customHeight="1" x14ac:dyDescent="0.25">
      <c r="A96" s="13" t="s">
        <v>102</v>
      </c>
      <c r="B96" s="7" t="s">
        <v>123</v>
      </c>
      <c r="C96" s="503">
        <f t="shared" si="2"/>
        <v>639924744</v>
      </c>
      <c r="D96" s="289">
        <f>13447475+835000+50000+52909601+6787092+2456000+4504030+871220+34163000+50473064+3285067+9000000+443000+120000+17207888+17042731+48545760+500000+381000-83792+60000+110000</f>
        <v>263108136</v>
      </c>
      <c r="E96" s="200">
        <f>324000+352000+137126+419550</f>
        <v>1232676</v>
      </c>
      <c r="F96" s="311">
        <v>375583932</v>
      </c>
    </row>
    <row r="97" spans="1:6" ht="12" customHeight="1" x14ac:dyDescent="0.25">
      <c r="A97" s="13" t="s">
        <v>103</v>
      </c>
      <c r="B97" s="7" t="s">
        <v>148</v>
      </c>
      <c r="C97" s="363">
        <f t="shared" si="2"/>
        <v>97250000</v>
      </c>
      <c r="D97" s="289">
        <f>69500000+3500000</f>
        <v>73000000</v>
      </c>
      <c r="E97" s="200">
        <v>24250000</v>
      </c>
      <c r="F97" s="311"/>
    </row>
    <row r="98" spans="1:6" ht="12" customHeight="1" x14ac:dyDescent="0.25">
      <c r="A98" s="13" t="s">
        <v>114</v>
      </c>
      <c r="B98" s="6" t="s">
        <v>149</v>
      </c>
      <c r="C98" s="363">
        <f t="shared" si="2"/>
        <v>122218084</v>
      </c>
      <c r="D98" s="289">
        <f>5697126+16985629+16551218+32866801+100000+660000+49357310</f>
        <v>122218084</v>
      </c>
      <c r="E98" s="200"/>
      <c r="F98" s="200"/>
    </row>
    <row r="99" spans="1:6" ht="12" customHeight="1" x14ac:dyDescent="0.25">
      <c r="A99" s="13" t="s">
        <v>104</v>
      </c>
      <c r="B99" s="7" t="s">
        <v>463</v>
      </c>
      <c r="C99" s="363">
        <f t="shared" si="2"/>
        <v>100000</v>
      </c>
      <c r="D99" s="289">
        <v>100000</v>
      </c>
      <c r="E99" s="200"/>
      <c r="F99" s="200"/>
    </row>
    <row r="100" spans="1:6" ht="12" customHeight="1" x14ac:dyDescent="0.25">
      <c r="A100" s="13" t="s">
        <v>105</v>
      </c>
      <c r="B100" s="74" t="s">
        <v>464</v>
      </c>
      <c r="C100" s="363">
        <f t="shared" si="2"/>
        <v>0</v>
      </c>
      <c r="D100" s="289"/>
      <c r="E100" s="200"/>
      <c r="F100" s="200"/>
    </row>
    <row r="101" spans="1:6" ht="12" customHeight="1" x14ac:dyDescent="0.25">
      <c r="A101" s="13" t="s">
        <v>115</v>
      </c>
      <c r="B101" s="74" t="s">
        <v>465</v>
      </c>
      <c r="C101" s="363">
        <f t="shared" si="2"/>
        <v>0</v>
      </c>
      <c r="D101" s="289"/>
      <c r="E101" s="200"/>
      <c r="F101" s="200"/>
    </row>
    <row r="102" spans="1:6" ht="12" customHeight="1" x14ac:dyDescent="0.25">
      <c r="A102" s="13" t="s">
        <v>116</v>
      </c>
      <c r="B102" s="72" t="s">
        <v>298</v>
      </c>
      <c r="C102" s="363">
        <f t="shared" si="2"/>
        <v>0</v>
      </c>
      <c r="D102" s="289"/>
      <c r="E102" s="200"/>
      <c r="F102" s="200"/>
    </row>
    <row r="103" spans="1:6" ht="12" customHeight="1" x14ac:dyDescent="0.25">
      <c r="A103" s="13" t="s">
        <v>117</v>
      </c>
      <c r="B103" s="73" t="s">
        <v>299</v>
      </c>
      <c r="C103" s="363">
        <f t="shared" si="2"/>
        <v>0</v>
      </c>
      <c r="D103" s="289"/>
      <c r="E103" s="200"/>
      <c r="F103" s="200"/>
    </row>
    <row r="104" spans="1:6" ht="12" customHeight="1" x14ac:dyDescent="0.25">
      <c r="A104" s="13" t="s">
        <v>118</v>
      </c>
      <c r="B104" s="73" t="s">
        <v>300</v>
      </c>
      <c r="C104" s="363">
        <f t="shared" si="2"/>
        <v>0</v>
      </c>
      <c r="D104" s="289"/>
      <c r="E104" s="200"/>
      <c r="F104" s="200"/>
    </row>
    <row r="105" spans="1:6" ht="12" customHeight="1" x14ac:dyDescent="0.25">
      <c r="A105" s="13" t="s">
        <v>120</v>
      </c>
      <c r="B105" s="72" t="s">
        <v>301</v>
      </c>
      <c r="C105" s="503">
        <f t="shared" si="2"/>
        <v>660000</v>
      </c>
      <c r="D105" s="289">
        <v>660000</v>
      </c>
      <c r="E105" s="200"/>
      <c r="F105" s="200"/>
    </row>
    <row r="106" spans="1:6" ht="12" customHeight="1" x14ac:dyDescent="0.25">
      <c r="A106" s="13" t="s">
        <v>150</v>
      </c>
      <c r="B106" s="72" t="s">
        <v>302</v>
      </c>
      <c r="C106" s="363">
        <f t="shared" si="2"/>
        <v>0</v>
      </c>
      <c r="D106" s="361"/>
      <c r="E106" s="200"/>
      <c r="F106" s="200"/>
    </row>
    <row r="107" spans="1:6" ht="12" customHeight="1" x14ac:dyDescent="0.25">
      <c r="A107" s="13" t="s">
        <v>296</v>
      </c>
      <c r="B107" s="73" t="s">
        <v>303</v>
      </c>
      <c r="C107" s="363">
        <f t="shared" si="2"/>
        <v>0</v>
      </c>
      <c r="D107" s="289"/>
      <c r="E107" s="200"/>
      <c r="F107" s="200"/>
    </row>
    <row r="108" spans="1:6" ht="12" customHeight="1" x14ac:dyDescent="0.25">
      <c r="A108" s="12" t="s">
        <v>297</v>
      </c>
      <c r="B108" s="74" t="s">
        <v>304</v>
      </c>
      <c r="C108" s="363">
        <f t="shared" si="2"/>
        <v>0</v>
      </c>
      <c r="D108" s="289"/>
      <c r="E108" s="200"/>
      <c r="F108" s="200"/>
    </row>
    <row r="109" spans="1:6" ht="12" customHeight="1" x14ac:dyDescent="0.25">
      <c r="A109" s="13" t="s">
        <v>466</v>
      </c>
      <c r="B109" s="74" t="s">
        <v>305</v>
      </c>
      <c r="C109" s="363">
        <f t="shared" si="2"/>
        <v>0</v>
      </c>
      <c r="D109" s="289"/>
      <c r="E109" s="200"/>
      <c r="F109" s="200"/>
    </row>
    <row r="110" spans="1:6" ht="12" customHeight="1" x14ac:dyDescent="0.25">
      <c r="A110" s="15" t="s">
        <v>467</v>
      </c>
      <c r="B110" s="74" t="s">
        <v>306</v>
      </c>
      <c r="C110" s="503">
        <f t="shared" si="2"/>
        <v>121458084</v>
      </c>
      <c r="D110" s="285">
        <f>5697126+16985629+16551218+32866801+660000+49357310-660000</f>
        <v>121458084</v>
      </c>
      <c r="E110" s="134"/>
      <c r="F110" s="200"/>
    </row>
    <row r="111" spans="1:6" ht="12" customHeight="1" x14ac:dyDescent="0.25">
      <c r="A111" s="13" t="s">
        <v>468</v>
      </c>
      <c r="B111" s="7" t="s">
        <v>53</v>
      </c>
      <c r="C111" s="363">
        <f t="shared" si="2"/>
        <v>80824817</v>
      </c>
      <c r="D111" s="285">
        <f>SUM(D112:D113)</f>
        <v>80824817</v>
      </c>
      <c r="E111" s="134"/>
      <c r="F111" s="134">
        <f>SUM(F112:F113)</f>
        <v>0</v>
      </c>
    </row>
    <row r="112" spans="1:6" ht="12" customHeight="1" x14ac:dyDescent="0.25">
      <c r="A112" s="13" t="s">
        <v>469</v>
      </c>
      <c r="B112" s="7" t="s">
        <v>470</v>
      </c>
      <c r="C112" s="503">
        <f t="shared" si="2"/>
        <v>14978295</v>
      </c>
      <c r="D112" s="289">
        <f>15000000-21705</f>
        <v>14978295</v>
      </c>
      <c r="E112" s="200"/>
      <c r="F112" s="134"/>
    </row>
    <row r="113" spans="1:6" ht="12" customHeight="1" thickBot="1" x14ac:dyDescent="0.3">
      <c r="A113" s="17" t="s">
        <v>471</v>
      </c>
      <c r="B113" s="274" t="s">
        <v>472</v>
      </c>
      <c r="C113" s="364">
        <f t="shared" si="2"/>
        <v>65846522</v>
      </c>
      <c r="D113" s="356">
        <v>65846522</v>
      </c>
      <c r="E113" s="303"/>
      <c r="F113" s="303"/>
    </row>
    <row r="114" spans="1:6" ht="12" customHeight="1" thickBot="1" x14ac:dyDescent="0.3">
      <c r="A114" s="275" t="s">
        <v>23</v>
      </c>
      <c r="B114" s="276" t="s">
        <v>307</v>
      </c>
      <c r="C114" s="130">
        <f t="shared" si="2"/>
        <v>525042015</v>
      </c>
      <c r="D114" s="307">
        <f>+D115+D117+D119</f>
        <v>515768521</v>
      </c>
      <c r="E114" s="130">
        <f>+E115+E117+E119</f>
        <v>0</v>
      </c>
      <c r="F114" s="277">
        <f>+F115+F117+F119</f>
        <v>9273494</v>
      </c>
    </row>
    <row r="115" spans="1:6" ht="18.75" customHeight="1" x14ac:dyDescent="0.25">
      <c r="A115" s="14" t="s">
        <v>106</v>
      </c>
      <c r="B115" s="7" t="s">
        <v>170</v>
      </c>
      <c r="C115" s="504">
        <f t="shared" si="2"/>
        <v>276520332</v>
      </c>
      <c r="D115" s="313">
        <f>359410+2345001+219008101+381000+1500000+3139585+33894811+2338070+4950460-60000</f>
        <v>267856438</v>
      </c>
      <c r="E115" s="249"/>
      <c r="F115" s="249">
        <v>8663894</v>
      </c>
    </row>
    <row r="116" spans="1:6" ht="12" customHeight="1" x14ac:dyDescent="0.25">
      <c r="A116" s="14" t="s">
        <v>107</v>
      </c>
      <c r="B116" s="11" t="s">
        <v>311</v>
      </c>
      <c r="C116" s="362">
        <f t="shared" si="2"/>
        <v>251505912</v>
      </c>
      <c r="D116" s="313">
        <f>218246101+33259811</f>
        <v>251505912</v>
      </c>
      <c r="E116" s="249"/>
      <c r="F116" s="249"/>
    </row>
    <row r="117" spans="1:6" ht="12" customHeight="1" x14ac:dyDescent="0.25">
      <c r="A117" s="14" t="s">
        <v>108</v>
      </c>
      <c r="B117" s="11" t="s">
        <v>151</v>
      </c>
      <c r="C117" s="362">
        <f t="shared" si="2"/>
        <v>182810962</v>
      </c>
      <c r="D117" s="285">
        <f>180701362+1500000</f>
        <v>182201362</v>
      </c>
      <c r="E117" s="134"/>
      <c r="F117" s="134">
        <v>609600</v>
      </c>
    </row>
    <row r="118" spans="1:6" ht="12" customHeight="1" x14ac:dyDescent="0.25">
      <c r="A118" s="14" t="s">
        <v>109</v>
      </c>
      <c r="B118" s="11" t="s">
        <v>312</v>
      </c>
      <c r="C118" s="362">
        <f t="shared" si="2"/>
        <v>146098020</v>
      </c>
      <c r="D118" s="285">
        <v>146098020</v>
      </c>
      <c r="E118" s="297"/>
      <c r="F118" s="297"/>
    </row>
    <row r="119" spans="1:6" ht="12" customHeight="1" x14ac:dyDescent="0.25">
      <c r="A119" s="14" t="s">
        <v>110</v>
      </c>
      <c r="B119" s="127" t="s">
        <v>172</v>
      </c>
      <c r="C119" s="363">
        <f t="shared" si="2"/>
        <v>65710721</v>
      </c>
      <c r="D119" s="289">
        <v>65710721</v>
      </c>
      <c r="E119" s="285"/>
      <c r="F119" s="285"/>
    </row>
    <row r="120" spans="1:6" ht="12" customHeight="1" x14ac:dyDescent="0.25">
      <c r="A120" s="14" t="s">
        <v>119</v>
      </c>
      <c r="B120" s="126" t="s">
        <v>374</v>
      </c>
      <c r="C120" s="363">
        <f t="shared" si="2"/>
        <v>0</v>
      </c>
      <c r="D120" s="115"/>
      <c r="E120" s="115"/>
      <c r="F120" s="115"/>
    </row>
    <row r="121" spans="1:6" ht="12" customHeight="1" x14ac:dyDescent="0.25">
      <c r="A121" s="14" t="s">
        <v>121</v>
      </c>
      <c r="B121" s="207" t="s">
        <v>317</v>
      </c>
      <c r="C121" s="363">
        <f t="shared" si="2"/>
        <v>0</v>
      </c>
      <c r="D121" s="115"/>
      <c r="E121" s="115"/>
      <c r="F121" s="115"/>
    </row>
    <row r="122" spans="1:6" x14ac:dyDescent="0.25">
      <c r="A122" s="14" t="s">
        <v>152</v>
      </c>
      <c r="B122" s="73" t="s">
        <v>300</v>
      </c>
      <c r="C122" s="363">
        <f t="shared" si="2"/>
        <v>0</v>
      </c>
      <c r="D122" s="115"/>
      <c r="E122" s="115"/>
      <c r="F122" s="115"/>
    </row>
    <row r="123" spans="1:6" ht="12" customHeight="1" x14ac:dyDescent="0.25">
      <c r="A123" s="14" t="s">
        <v>153</v>
      </c>
      <c r="B123" s="73" t="s">
        <v>316</v>
      </c>
      <c r="C123" s="363">
        <f t="shared" si="2"/>
        <v>0</v>
      </c>
      <c r="D123" s="115"/>
      <c r="E123" s="115"/>
      <c r="F123" s="115"/>
    </row>
    <row r="124" spans="1:6" ht="12" customHeight="1" x14ac:dyDescent="0.25">
      <c r="A124" s="14" t="s">
        <v>154</v>
      </c>
      <c r="B124" s="73" t="s">
        <v>315</v>
      </c>
      <c r="C124" s="363">
        <f t="shared" si="2"/>
        <v>0</v>
      </c>
      <c r="D124" s="115"/>
      <c r="E124" s="115"/>
      <c r="F124" s="115"/>
    </row>
    <row r="125" spans="1:6" ht="12" customHeight="1" x14ac:dyDescent="0.25">
      <c r="A125" s="14" t="s">
        <v>308</v>
      </c>
      <c r="B125" s="73" t="s">
        <v>303</v>
      </c>
      <c r="C125" s="363">
        <f t="shared" si="2"/>
        <v>0</v>
      </c>
      <c r="D125" s="115"/>
      <c r="E125" s="115"/>
      <c r="F125" s="115"/>
    </row>
    <row r="126" spans="1:6" ht="12" customHeight="1" x14ac:dyDescent="0.25">
      <c r="A126" s="14" t="s">
        <v>309</v>
      </c>
      <c r="B126" s="73" t="s">
        <v>314</v>
      </c>
      <c r="C126" s="363">
        <f t="shared" si="2"/>
        <v>0</v>
      </c>
      <c r="D126" s="115"/>
      <c r="E126" s="115"/>
      <c r="F126" s="115"/>
    </row>
    <row r="127" spans="1:6" ht="16.5" thickBot="1" x14ac:dyDescent="0.3">
      <c r="A127" s="12" t="s">
        <v>310</v>
      </c>
      <c r="B127" s="73" t="s">
        <v>313</v>
      </c>
      <c r="C127" s="364">
        <f t="shared" si="2"/>
        <v>65710721</v>
      </c>
      <c r="D127" s="116">
        <v>65710721</v>
      </c>
      <c r="E127" s="289"/>
      <c r="F127" s="116"/>
    </row>
    <row r="128" spans="1:6" ht="12" customHeight="1" thickBot="1" x14ac:dyDescent="0.3">
      <c r="A128" s="19" t="s">
        <v>24</v>
      </c>
      <c r="B128" s="68" t="s">
        <v>473</v>
      </c>
      <c r="C128" s="130">
        <f t="shared" si="2"/>
        <v>2070063113</v>
      </c>
      <c r="D128" s="307">
        <f>+D93+D114</f>
        <v>1105029076</v>
      </c>
      <c r="E128" s="130">
        <f>+E93+E114</f>
        <v>28754363</v>
      </c>
      <c r="F128" s="130">
        <f>+F93+F114</f>
        <v>936279674</v>
      </c>
    </row>
    <row r="129" spans="1:6" ht="12" customHeight="1" thickBot="1" x14ac:dyDescent="0.3">
      <c r="A129" s="19" t="s">
        <v>25</v>
      </c>
      <c r="B129" s="68" t="s">
        <v>474</v>
      </c>
      <c r="C129" s="370">
        <f t="shared" si="2"/>
        <v>104042704</v>
      </c>
      <c r="D129" s="307">
        <f>+D130+D131+D132</f>
        <v>104042704</v>
      </c>
      <c r="E129" s="130">
        <f>+E130+E131+E132</f>
        <v>0</v>
      </c>
      <c r="F129" s="130">
        <f>+F130+F131+F132</f>
        <v>0</v>
      </c>
    </row>
    <row r="130" spans="1:6" ht="12" customHeight="1" x14ac:dyDescent="0.25">
      <c r="A130" s="14" t="s">
        <v>208</v>
      </c>
      <c r="B130" s="11" t="s">
        <v>475</v>
      </c>
      <c r="C130" s="206">
        <f t="shared" si="2"/>
        <v>4042704</v>
      </c>
      <c r="D130" s="285">
        <v>4042704</v>
      </c>
      <c r="E130" s="285"/>
      <c r="F130" s="285"/>
    </row>
    <row r="131" spans="1:6" ht="12" customHeight="1" x14ac:dyDescent="0.25">
      <c r="A131" s="14" t="s">
        <v>211</v>
      </c>
      <c r="B131" s="11" t="s">
        <v>476</v>
      </c>
      <c r="C131" s="368">
        <f t="shared" si="2"/>
        <v>100000000</v>
      </c>
      <c r="D131" s="115">
        <v>100000000</v>
      </c>
      <c r="E131" s="115"/>
      <c r="F131" s="115"/>
    </row>
    <row r="132" spans="1:6" ht="12" customHeight="1" thickBot="1" x14ac:dyDescent="0.3">
      <c r="A132" s="12" t="s">
        <v>212</v>
      </c>
      <c r="B132" s="11" t="s">
        <v>477</v>
      </c>
      <c r="C132" s="369">
        <f t="shared" si="2"/>
        <v>0</v>
      </c>
      <c r="D132" s="115"/>
      <c r="E132" s="115"/>
      <c r="F132" s="115"/>
    </row>
    <row r="133" spans="1:6" ht="12" customHeight="1" thickBot="1" x14ac:dyDescent="0.3">
      <c r="A133" s="19" t="s">
        <v>26</v>
      </c>
      <c r="B133" s="68" t="s">
        <v>478</v>
      </c>
      <c r="C133" s="370">
        <f t="shared" si="2"/>
        <v>0</v>
      </c>
      <c r="D133" s="307">
        <f>+D134+D135+D136+D137+D138+D139</f>
        <v>0</v>
      </c>
      <c r="E133" s="130">
        <f>+E134+E135+E136+E137+E138+E139</f>
        <v>0</v>
      </c>
      <c r="F133" s="130">
        <f>SUM(F134:F139)</f>
        <v>0</v>
      </c>
    </row>
    <row r="134" spans="1:6" ht="12" customHeight="1" x14ac:dyDescent="0.25">
      <c r="A134" s="14" t="s">
        <v>93</v>
      </c>
      <c r="B134" s="8" t="s">
        <v>479</v>
      </c>
      <c r="C134" s="206">
        <f t="shared" si="2"/>
        <v>0</v>
      </c>
      <c r="D134" s="115"/>
      <c r="E134" s="115"/>
      <c r="F134" s="115"/>
    </row>
    <row r="135" spans="1:6" ht="12" customHeight="1" x14ac:dyDescent="0.25">
      <c r="A135" s="14" t="s">
        <v>94</v>
      </c>
      <c r="B135" s="8" t="s">
        <v>480</v>
      </c>
      <c r="C135" s="368">
        <f t="shared" si="2"/>
        <v>0</v>
      </c>
      <c r="D135" s="115"/>
      <c r="E135" s="115"/>
      <c r="F135" s="115"/>
    </row>
    <row r="136" spans="1:6" ht="12" customHeight="1" x14ac:dyDescent="0.25">
      <c r="A136" s="14" t="s">
        <v>95</v>
      </c>
      <c r="B136" s="8" t="s">
        <v>481</v>
      </c>
      <c r="C136" s="368">
        <f t="shared" si="2"/>
        <v>0</v>
      </c>
      <c r="D136" s="115"/>
      <c r="E136" s="115"/>
      <c r="F136" s="115"/>
    </row>
    <row r="137" spans="1:6" ht="12" customHeight="1" x14ac:dyDescent="0.25">
      <c r="A137" s="14" t="s">
        <v>139</v>
      </c>
      <c r="B137" s="8" t="s">
        <v>482</v>
      </c>
      <c r="C137" s="368">
        <f t="shared" si="2"/>
        <v>0</v>
      </c>
      <c r="D137" s="115"/>
      <c r="E137" s="115"/>
      <c r="F137" s="115"/>
    </row>
    <row r="138" spans="1:6" ht="12" customHeight="1" x14ac:dyDescent="0.25">
      <c r="A138" s="14" t="s">
        <v>140</v>
      </c>
      <c r="B138" s="8" t="s">
        <v>483</v>
      </c>
      <c r="C138" s="368">
        <f t="shared" si="2"/>
        <v>0</v>
      </c>
      <c r="D138" s="115"/>
      <c r="E138" s="115"/>
      <c r="F138" s="115"/>
    </row>
    <row r="139" spans="1:6" ht="12" customHeight="1" thickBot="1" x14ac:dyDescent="0.3">
      <c r="A139" s="12" t="s">
        <v>141</v>
      </c>
      <c r="B139" s="8" t="s">
        <v>484</v>
      </c>
      <c r="C139" s="369">
        <f t="shared" si="2"/>
        <v>0</v>
      </c>
      <c r="D139" s="115"/>
      <c r="E139" s="115"/>
      <c r="F139" s="115"/>
    </row>
    <row r="140" spans="1:6" ht="12" customHeight="1" thickBot="1" x14ac:dyDescent="0.3">
      <c r="A140" s="19" t="s">
        <v>27</v>
      </c>
      <c r="B140" s="68" t="s">
        <v>485</v>
      </c>
      <c r="C140" s="130">
        <f t="shared" si="2"/>
        <v>38167591</v>
      </c>
      <c r="D140" s="310">
        <f>+D141+D142+D143+D144</f>
        <v>38167591</v>
      </c>
      <c r="E140" s="135">
        <f>+E141+E142+E143+E144</f>
        <v>0</v>
      </c>
      <c r="F140" s="135">
        <f>+F141+F142+F143+F144</f>
        <v>0</v>
      </c>
    </row>
    <row r="141" spans="1:6" ht="12" customHeight="1" x14ac:dyDescent="0.25">
      <c r="A141" s="14" t="s">
        <v>96</v>
      </c>
      <c r="B141" s="8" t="s">
        <v>318</v>
      </c>
      <c r="C141" s="206">
        <f t="shared" si="2"/>
        <v>0</v>
      </c>
      <c r="D141" s="115"/>
      <c r="E141" s="115"/>
      <c r="F141" s="115"/>
    </row>
    <row r="142" spans="1:6" ht="12" customHeight="1" x14ac:dyDescent="0.25">
      <c r="A142" s="14" t="s">
        <v>97</v>
      </c>
      <c r="B142" s="8" t="s">
        <v>319</v>
      </c>
      <c r="C142" s="368">
        <f t="shared" si="2"/>
        <v>38167591</v>
      </c>
      <c r="D142" s="115">
        <v>38167591</v>
      </c>
      <c r="E142" s="115"/>
      <c r="F142" s="115"/>
    </row>
    <row r="143" spans="1:6" ht="12" customHeight="1" x14ac:dyDescent="0.25">
      <c r="A143" s="14" t="s">
        <v>232</v>
      </c>
      <c r="B143" s="8" t="s">
        <v>486</v>
      </c>
      <c r="C143" s="368">
        <f t="shared" si="2"/>
        <v>0</v>
      </c>
      <c r="D143" s="115"/>
      <c r="E143" s="115"/>
      <c r="F143" s="115"/>
    </row>
    <row r="144" spans="1:6" ht="12" customHeight="1" thickBot="1" x14ac:dyDescent="0.3">
      <c r="A144" s="12" t="s">
        <v>233</v>
      </c>
      <c r="B144" s="6" t="s">
        <v>337</v>
      </c>
      <c r="C144" s="369">
        <f t="shared" si="2"/>
        <v>0</v>
      </c>
      <c r="D144" s="115"/>
      <c r="E144" s="115"/>
      <c r="F144" s="115"/>
    </row>
    <row r="145" spans="1:9" ht="12" customHeight="1" thickBot="1" x14ac:dyDescent="0.3">
      <c r="A145" s="19" t="s">
        <v>28</v>
      </c>
      <c r="B145" s="68" t="s">
        <v>487</v>
      </c>
      <c r="C145" s="370">
        <f t="shared" si="2"/>
        <v>0</v>
      </c>
      <c r="D145" s="319">
        <f>+D146+D147+D148+D149+D150</f>
        <v>0</v>
      </c>
      <c r="E145" s="138">
        <f>+E146+E147+E148+E149+E150</f>
        <v>0</v>
      </c>
      <c r="F145" s="138">
        <f>SUM(F146:F150)</f>
        <v>0</v>
      </c>
    </row>
    <row r="146" spans="1:9" ht="12" customHeight="1" x14ac:dyDescent="0.25">
      <c r="A146" s="14" t="s">
        <v>98</v>
      </c>
      <c r="B146" s="8" t="s">
        <v>488</v>
      </c>
      <c r="C146" s="206">
        <f t="shared" si="2"/>
        <v>0</v>
      </c>
      <c r="D146" s="115"/>
      <c r="E146" s="115"/>
      <c r="F146" s="115"/>
    </row>
    <row r="147" spans="1:9" ht="12" customHeight="1" x14ac:dyDescent="0.25">
      <c r="A147" s="14" t="s">
        <v>99</v>
      </c>
      <c r="B147" s="8" t="s">
        <v>489</v>
      </c>
      <c r="C147" s="368">
        <f t="shared" si="2"/>
        <v>0</v>
      </c>
      <c r="D147" s="115"/>
      <c r="E147" s="115"/>
      <c r="F147" s="115"/>
    </row>
    <row r="148" spans="1:9" ht="12" customHeight="1" x14ac:dyDescent="0.25">
      <c r="A148" s="14" t="s">
        <v>244</v>
      </c>
      <c r="B148" s="8" t="s">
        <v>490</v>
      </c>
      <c r="C148" s="368">
        <f t="shared" si="2"/>
        <v>0</v>
      </c>
      <c r="D148" s="115"/>
      <c r="E148" s="115"/>
      <c r="F148" s="115"/>
    </row>
    <row r="149" spans="1:9" ht="12" customHeight="1" x14ac:dyDescent="0.25">
      <c r="A149" s="14" t="s">
        <v>245</v>
      </c>
      <c r="B149" s="8" t="s">
        <v>491</v>
      </c>
      <c r="C149" s="368">
        <f t="shared" si="2"/>
        <v>0</v>
      </c>
      <c r="D149" s="115"/>
      <c r="E149" s="115"/>
      <c r="F149" s="115"/>
    </row>
    <row r="150" spans="1:9" ht="12" customHeight="1" thickBot="1" x14ac:dyDescent="0.3">
      <c r="A150" s="14" t="s">
        <v>492</v>
      </c>
      <c r="B150" s="8" t="s">
        <v>493</v>
      </c>
      <c r="C150" s="369">
        <f t="shared" si="2"/>
        <v>0</v>
      </c>
      <c r="D150" s="116"/>
      <c r="E150" s="116"/>
      <c r="F150" s="115"/>
    </row>
    <row r="151" spans="1:9" ht="12" customHeight="1" thickBot="1" x14ac:dyDescent="0.3">
      <c r="A151" s="19" t="s">
        <v>29</v>
      </c>
      <c r="B151" s="68" t="s">
        <v>494</v>
      </c>
      <c r="C151" s="130">
        <f t="shared" si="2"/>
        <v>0</v>
      </c>
      <c r="D151" s="319"/>
      <c r="E151" s="138"/>
      <c r="F151" s="278"/>
    </row>
    <row r="152" spans="1:9" ht="12" customHeight="1" thickBot="1" x14ac:dyDescent="0.3">
      <c r="A152" s="19" t="s">
        <v>30</v>
      </c>
      <c r="B152" s="68" t="s">
        <v>495</v>
      </c>
      <c r="C152" s="129">
        <f t="shared" si="2"/>
        <v>0</v>
      </c>
      <c r="D152" s="319"/>
      <c r="E152" s="138"/>
      <c r="F152" s="278"/>
    </row>
    <row r="153" spans="1:9" ht="15" customHeight="1" thickBot="1" x14ac:dyDescent="0.3">
      <c r="A153" s="19" t="s">
        <v>31</v>
      </c>
      <c r="B153" s="68" t="s">
        <v>496</v>
      </c>
      <c r="C153" s="129">
        <f t="shared" si="2"/>
        <v>142210295</v>
      </c>
      <c r="D153" s="320">
        <f>+D129+D133+D140+D145+D151+D152</f>
        <v>142210295</v>
      </c>
      <c r="E153" s="221">
        <f>+E129+E133+E140+E145+E151+E152</f>
        <v>0</v>
      </c>
      <c r="F153" s="221">
        <f>+F129+F133+F140+F145+F151+F152</f>
        <v>0</v>
      </c>
      <c r="G153" s="222"/>
      <c r="H153" s="222"/>
      <c r="I153" s="222"/>
    </row>
    <row r="154" spans="1:9" s="210" customFormat="1" ht="12.95" customHeight="1" thickBot="1" x14ac:dyDescent="0.25">
      <c r="A154" s="128" t="s">
        <v>32</v>
      </c>
      <c r="B154" s="196" t="s">
        <v>497</v>
      </c>
      <c r="C154" s="130">
        <f t="shared" si="2"/>
        <v>2212273408</v>
      </c>
      <c r="D154" s="320">
        <f>+D128+D153</f>
        <v>1247239371</v>
      </c>
      <c r="E154" s="221">
        <f>+E128+E153</f>
        <v>28754363</v>
      </c>
      <c r="F154" s="221">
        <f>+F128+F153</f>
        <v>936279674</v>
      </c>
    </row>
    <row r="155" spans="1:9" ht="7.5" customHeight="1" x14ac:dyDescent="0.25"/>
    <row r="156" spans="1:9" x14ac:dyDescent="0.25">
      <c r="A156" s="942" t="s">
        <v>320</v>
      </c>
      <c r="B156" s="942"/>
      <c r="C156" s="942"/>
    </row>
    <row r="157" spans="1:9" ht="15" customHeight="1" thickBot="1" x14ac:dyDescent="0.3">
      <c r="A157" s="939" t="s">
        <v>129</v>
      </c>
      <c r="B157" s="939"/>
      <c r="C157" s="139" t="s">
        <v>571</v>
      </c>
    </row>
    <row r="158" spans="1:9" ht="13.5" customHeight="1" thickBot="1" x14ac:dyDescent="0.3">
      <c r="A158" s="19">
        <v>1</v>
      </c>
      <c r="B158" s="24" t="s">
        <v>498</v>
      </c>
      <c r="C158" s="130">
        <f>+C62-C128</f>
        <v>-285795517</v>
      </c>
    </row>
    <row r="159" spans="1:9" ht="27.75" customHeight="1" thickBot="1" x14ac:dyDescent="0.3">
      <c r="A159" s="19" t="s">
        <v>23</v>
      </c>
      <c r="B159" s="24" t="s">
        <v>499</v>
      </c>
      <c r="C159" s="130">
        <f>+C86-C153</f>
        <v>628471032</v>
      </c>
    </row>
    <row r="160" spans="1:9" x14ac:dyDescent="0.25">
      <c r="F160" s="37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4/2018.(III.29.)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Layout" zoomScaleNormal="100" workbookViewId="0">
      <selection activeCell="I9" sqref="I9"/>
    </sheetView>
  </sheetViews>
  <sheetFormatPr defaultColWidth="12.5" defaultRowHeight="12.75" x14ac:dyDescent="0.2"/>
  <cols>
    <col min="1" max="1" width="35.83203125" style="378" customWidth="1"/>
    <col min="2" max="2" width="12" style="378" customWidth="1"/>
    <col min="3" max="3" width="16" style="378" customWidth="1"/>
    <col min="4" max="4" width="15" style="378" customWidth="1"/>
    <col min="5" max="5" width="14" style="378" customWidth="1"/>
    <col min="6" max="6" width="13.6640625" style="378" customWidth="1"/>
    <col min="7" max="7" width="13.33203125" style="378" customWidth="1"/>
    <col min="8" max="9" width="12" style="378" customWidth="1"/>
    <col min="10" max="10" width="14.83203125" style="378" customWidth="1"/>
    <col min="11" max="11" width="12.6640625" style="378" bestFit="1" customWidth="1"/>
    <col min="12" max="256" width="12.5" style="378"/>
    <col min="257" max="257" width="34" style="378" bestFit="1" customWidth="1"/>
    <col min="258" max="258" width="13" style="378" bestFit="1" customWidth="1"/>
    <col min="259" max="260" width="14.83203125" style="378" bestFit="1" customWidth="1"/>
    <col min="261" max="261" width="13.1640625" style="378" customWidth="1"/>
    <col min="262" max="263" width="13" style="378" bestFit="1" customWidth="1"/>
    <col min="264" max="264" width="12.83203125" style="378" customWidth="1"/>
    <col min="265" max="265" width="11.83203125" style="378" bestFit="1" customWidth="1"/>
    <col min="266" max="266" width="14.83203125" style="378" bestFit="1" customWidth="1"/>
    <col min="267" max="512" width="12.5" style="378"/>
    <col min="513" max="513" width="34" style="378" bestFit="1" customWidth="1"/>
    <col min="514" max="514" width="13" style="378" bestFit="1" customWidth="1"/>
    <col min="515" max="516" width="14.83203125" style="378" bestFit="1" customWidth="1"/>
    <col min="517" max="517" width="13.1640625" style="378" customWidth="1"/>
    <col min="518" max="519" width="13" style="378" bestFit="1" customWidth="1"/>
    <col min="520" max="520" width="12.83203125" style="378" customWidth="1"/>
    <col min="521" max="521" width="11.83203125" style="378" bestFit="1" customWidth="1"/>
    <col min="522" max="522" width="14.83203125" style="378" bestFit="1" customWidth="1"/>
    <col min="523" max="768" width="12.5" style="378"/>
    <col min="769" max="769" width="34" style="378" bestFit="1" customWidth="1"/>
    <col min="770" max="770" width="13" style="378" bestFit="1" customWidth="1"/>
    <col min="771" max="772" width="14.83203125" style="378" bestFit="1" customWidth="1"/>
    <col min="773" max="773" width="13.1640625" style="378" customWidth="1"/>
    <col min="774" max="775" width="13" style="378" bestFit="1" customWidth="1"/>
    <col min="776" max="776" width="12.83203125" style="378" customWidth="1"/>
    <col min="777" max="777" width="11.83203125" style="378" bestFit="1" customWidth="1"/>
    <col min="778" max="778" width="14.83203125" style="378" bestFit="1" customWidth="1"/>
    <col min="779" max="1024" width="12.5" style="378"/>
    <col min="1025" max="1025" width="34" style="378" bestFit="1" customWidth="1"/>
    <col min="1026" max="1026" width="13" style="378" bestFit="1" customWidth="1"/>
    <col min="1027" max="1028" width="14.83203125" style="378" bestFit="1" customWidth="1"/>
    <col min="1029" max="1029" width="13.1640625" style="378" customWidth="1"/>
    <col min="1030" max="1031" width="13" style="378" bestFit="1" customWidth="1"/>
    <col min="1032" max="1032" width="12.83203125" style="378" customWidth="1"/>
    <col min="1033" max="1033" width="11.83203125" style="378" bestFit="1" customWidth="1"/>
    <col min="1034" max="1034" width="14.83203125" style="378" bestFit="1" customWidth="1"/>
    <col min="1035" max="1280" width="12.5" style="378"/>
    <col min="1281" max="1281" width="34" style="378" bestFit="1" customWidth="1"/>
    <col min="1282" max="1282" width="13" style="378" bestFit="1" customWidth="1"/>
    <col min="1283" max="1284" width="14.83203125" style="378" bestFit="1" customWidth="1"/>
    <col min="1285" max="1285" width="13.1640625" style="378" customWidth="1"/>
    <col min="1286" max="1287" width="13" style="378" bestFit="1" customWidth="1"/>
    <col min="1288" max="1288" width="12.83203125" style="378" customWidth="1"/>
    <col min="1289" max="1289" width="11.83203125" style="378" bestFit="1" customWidth="1"/>
    <col min="1290" max="1290" width="14.83203125" style="378" bestFit="1" customWidth="1"/>
    <col min="1291" max="1536" width="12.5" style="378"/>
    <col min="1537" max="1537" width="34" style="378" bestFit="1" customWidth="1"/>
    <col min="1538" max="1538" width="13" style="378" bestFit="1" customWidth="1"/>
    <col min="1539" max="1540" width="14.83203125" style="378" bestFit="1" customWidth="1"/>
    <col min="1541" max="1541" width="13.1640625" style="378" customWidth="1"/>
    <col min="1542" max="1543" width="13" style="378" bestFit="1" customWidth="1"/>
    <col min="1544" max="1544" width="12.83203125" style="378" customWidth="1"/>
    <col min="1545" max="1545" width="11.83203125" style="378" bestFit="1" customWidth="1"/>
    <col min="1546" max="1546" width="14.83203125" style="378" bestFit="1" customWidth="1"/>
    <col min="1547" max="1792" width="12.5" style="378"/>
    <col min="1793" max="1793" width="34" style="378" bestFit="1" customWidth="1"/>
    <col min="1794" max="1794" width="13" style="378" bestFit="1" customWidth="1"/>
    <col min="1795" max="1796" width="14.83203125" style="378" bestFit="1" customWidth="1"/>
    <col min="1797" max="1797" width="13.1640625" style="378" customWidth="1"/>
    <col min="1798" max="1799" width="13" style="378" bestFit="1" customWidth="1"/>
    <col min="1800" max="1800" width="12.83203125" style="378" customWidth="1"/>
    <col min="1801" max="1801" width="11.83203125" style="378" bestFit="1" customWidth="1"/>
    <col min="1802" max="1802" width="14.83203125" style="378" bestFit="1" customWidth="1"/>
    <col min="1803" max="2048" width="12.5" style="378"/>
    <col min="2049" max="2049" width="34" style="378" bestFit="1" customWidth="1"/>
    <col min="2050" max="2050" width="13" style="378" bestFit="1" customWidth="1"/>
    <col min="2051" max="2052" width="14.83203125" style="378" bestFit="1" customWidth="1"/>
    <col min="2053" max="2053" width="13.1640625" style="378" customWidth="1"/>
    <col min="2054" max="2055" width="13" style="378" bestFit="1" customWidth="1"/>
    <col min="2056" max="2056" width="12.83203125" style="378" customWidth="1"/>
    <col min="2057" max="2057" width="11.83203125" style="378" bestFit="1" customWidth="1"/>
    <col min="2058" max="2058" width="14.83203125" style="378" bestFit="1" customWidth="1"/>
    <col min="2059" max="2304" width="12.5" style="378"/>
    <col min="2305" max="2305" width="34" style="378" bestFit="1" customWidth="1"/>
    <col min="2306" max="2306" width="13" style="378" bestFit="1" customWidth="1"/>
    <col min="2307" max="2308" width="14.83203125" style="378" bestFit="1" customWidth="1"/>
    <col min="2309" max="2309" width="13.1640625" style="378" customWidth="1"/>
    <col min="2310" max="2311" width="13" style="378" bestFit="1" customWidth="1"/>
    <col min="2312" max="2312" width="12.83203125" style="378" customWidth="1"/>
    <col min="2313" max="2313" width="11.83203125" style="378" bestFit="1" customWidth="1"/>
    <col min="2314" max="2314" width="14.83203125" style="378" bestFit="1" customWidth="1"/>
    <col min="2315" max="2560" width="12.5" style="378"/>
    <col min="2561" max="2561" width="34" style="378" bestFit="1" customWidth="1"/>
    <col min="2562" max="2562" width="13" style="378" bestFit="1" customWidth="1"/>
    <col min="2563" max="2564" width="14.83203125" style="378" bestFit="1" customWidth="1"/>
    <col min="2565" max="2565" width="13.1640625" style="378" customWidth="1"/>
    <col min="2566" max="2567" width="13" style="378" bestFit="1" customWidth="1"/>
    <col min="2568" max="2568" width="12.83203125" style="378" customWidth="1"/>
    <col min="2569" max="2569" width="11.83203125" style="378" bestFit="1" customWidth="1"/>
    <col min="2570" max="2570" width="14.83203125" style="378" bestFit="1" customWidth="1"/>
    <col min="2571" max="2816" width="12.5" style="378"/>
    <col min="2817" max="2817" width="34" style="378" bestFit="1" customWidth="1"/>
    <col min="2818" max="2818" width="13" style="378" bestFit="1" customWidth="1"/>
    <col min="2819" max="2820" width="14.83203125" style="378" bestFit="1" customWidth="1"/>
    <col min="2821" max="2821" width="13.1640625" style="378" customWidth="1"/>
    <col min="2822" max="2823" width="13" style="378" bestFit="1" customWidth="1"/>
    <col min="2824" max="2824" width="12.83203125" style="378" customWidth="1"/>
    <col min="2825" max="2825" width="11.83203125" style="378" bestFit="1" customWidth="1"/>
    <col min="2826" max="2826" width="14.83203125" style="378" bestFit="1" customWidth="1"/>
    <col min="2827" max="3072" width="12.5" style="378"/>
    <col min="3073" max="3073" width="34" style="378" bestFit="1" customWidth="1"/>
    <col min="3074" max="3074" width="13" style="378" bestFit="1" customWidth="1"/>
    <col min="3075" max="3076" width="14.83203125" style="378" bestFit="1" customWidth="1"/>
    <col min="3077" max="3077" width="13.1640625" style="378" customWidth="1"/>
    <col min="3078" max="3079" width="13" style="378" bestFit="1" customWidth="1"/>
    <col min="3080" max="3080" width="12.83203125" style="378" customWidth="1"/>
    <col min="3081" max="3081" width="11.83203125" style="378" bestFit="1" customWidth="1"/>
    <col min="3082" max="3082" width="14.83203125" style="378" bestFit="1" customWidth="1"/>
    <col min="3083" max="3328" width="12.5" style="378"/>
    <col min="3329" max="3329" width="34" style="378" bestFit="1" customWidth="1"/>
    <col min="3330" max="3330" width="13" style="378" bestFit="1" customWidth="1"/>
    <col min="3331" max="3332" width="14.83203125" style="378" bestFit="1" customWidth="1"/>
    <col min="3333" max="3333" width="13.1640625" style="378" customWidth="1"/>
    <col min="3334" max="3335" width="13" style="378" bestFit="1" customWidth="1"/>
    <col min="3336" max="3336" width="12.83203125" style="378" customWidth="1"/>
    <col min="3337" max="3337" width="11.83203125" style="378" bestFit="1" customWidth="1"/>
    <col min="3338" max="3338" width="14.83203125" style="378" bestFit="1" customWidth="1"/>
    <col min="3339" max="3584" width="12.5" style="378"/>
    <col min="3585" max="3585" width="34" style="378" bestFit="1" customWidth="1"/>
    <col min="3586" max="3586" width="13" style="378" bestFit="1" customWidth="1"/>
    <col min="3587" max="3588" width="14.83203125" style="378" bestFit="1" customWidth="1"/>
    <col min="3589" max="3589" width="13.1640625" style="378" customWidth="1"/>
    <col min="3590" max="3591" width="13" style="378" bestFit="1" customWidth="1"/>
    <col min="3592" max="3592" width="12.83203125" style="378" customWidth="1"/>
    <col min="3593" max="3593" width="11.83203125" style="378" bestFit="1" customWidth="1"/>
    <col min="3594" max="3594" width="14.83203125" style="378" bestFit="1" customWidth="1"/>
    <col min="3595" max="3840" width="12.5" style="378"/>
    <col min="3841" max="3841" width="34" style="378" bestFit="1" customWidth="1"/>
    <col min="3842" max="3842" width="13" style="378" bestFit="1" customWidth="1"/>
    <col min="3843" max="3844" width="14.83203125" style="378" bestFit="1" customWidth="1"/>
    <col min="3845" max="3845" width="13.1640625" style="378" customWidth="1"/>
    <col min="3846" max="3847" width="13" style="378" bestFit="1" customWidth="1"/>
    <col min="3848" max="3848" width="12.83203125" style="378" customWidth="1"/>
    <col min="3849" max="3849" width="11.83203125" style="378" bestFit="1" customWidth="1"/>
    <col min="3850" max="3850" width="14.83203125" style="378" bestFit="1" customWidth="1"/>
    <col min="3851" max="4096" width="12.5" style="378"/>
    <col min="4097" max="4097" width="34" style="378" bestFit="1" customWidth="1"/>
    <col min="4098" max="4098" width="13" style="378" bestFit="1" customWidth="1"/>
    <col min="4099" max="4100" width="14.83203125" style="378" bestFit="1" customWidth="1"/>
    <col min="4101" max="4101" width="13.1640625" style="378" customWidth="1"/>
    <col min="4102" max="4103" width="13" style="378" bestFit="1" customWidth="1"/>
    <col min="4104" max="4104" width="12.83203125" style="378" customWidth="1"/>
    <col min="4105" max="4105" width="11.83203125" style="378" bestFit="1" customWidth="1"/>
    <col min="4106" max="4106" width="14.83203125" style="378" bestFit="1" customWidth="1"/>
    <col min="4107" max="4352" width="12.5" style="378"/>
    <col min="4353" max="4353" width="34" style="378" bestFit="1" customWidth="1"/>
    <col min="4354" max="4354" width="13" style="378" bestFit="1" customWidth="1"/>
    <col min="4355" max="4356" width="14.83203125" style="378" bestFit="1" customWidth="1"/>
    <col min="4357" max="4357" width="13.1640625" style="378" customWidth="1"/>
    <col min="4358" max="4359" width="13" style="378" bestFit="1" customWidth="1"/>
    <col min="4360" max="4360" width="12.83203125" style="378" customWidth="1"/>
    <col min="4361" max="4361" width="11.83203125" style="378" bestFit="1" customWidth="1"/>
    <col min="4362" max="4362" width="14.83203125" style="378" bestFit="1" customWidth="1"/>
    <col min="4363" max="4608" width="12.5" style="378"/>
    <col min="4609" max="4609" width="34" style="378" bestFit="1" customWidth="1"/>
    <col min="4610" max="4610" width="13" style="378" bestFit="1" customWidth="1"/>
    <col min="4611" max="4612" width="14.83203125" style="378" bestFit="1" customWidth="1"/>
    <col min="4613" max="4613" width="13.1640625" style="378" customWidth="1"/>
    <col min="4614" max="4615" width="13" style="378" bestFit="1" customWidth="1"/>
    <col min="4616" max="4616" width="12.83203125" style="378" customWidth="1"/>
    <col min="4617" max="4617" width="11.83203125" style="378" bestFit="1" customWidth="1"/>
    <col min="4618" max="4618" width="14.83203125" style="378" bestFit="1" customWidth="1"/>
    <col min="4619" max="4864" width="12.5" style="378"/>
    <col min="4865" max="4865" width="34" style="378" bestFit="1" customWidth="1"/>
    <col min="4866" max="4866" width="13" style="378" bestFit="1" customWidth="1"/>
    <col min="4867" max="4868" width="14.83203125" style="378" bestFit="1" customWidth="1"/>
    <col min="4869" max="4869" width="13.1640625" style="378" customWidth="1"/>
    <col min="4870" max="4871" width="13" style="378" bestFit="1" customWidth="1"/>
    <col min="4872" max="4872" width="12.83203125" style="378" customWidth="1"/>
    <col min="4873" max="4873" width="11.83203125" style="378" bestFit="1" customWidth="1"/>
    <col min="4874" max="4874" width="14.83203125" style="378" bestFit="1" customWidth="1"/>
    <col min="4875" max="5120" width="12.5" style="378"/>
    <col min="5121" max="5121" width="34" style="378" bestFit="1" customWidth="1"/>
    <col min="5122" max="5122" width="13" style="378" bestFit="1" customWidth="1"/>
    <col min="5123" max="5124" width="14.83203125" style="378" bestFit="1" customWidth="1"/>
    <col min="5125" max="5125" width="13.1640625" style="378" customWidth="1"/>
    <col min="5126" max="5127" width="13" style="378" bestFit="1" customWidth="1"/>
    <col min="5128" max="5128" width="12.83203125" style="378" customWidth="1"/>
    <col min="5129" max="5129" width="11.83203125" style="378" bestFit="1" customWidth="1"/>
    <col min="5130" max="5130" width="14.83203125" style="378" bestFit="1" customWidth="1"/>
    <col min="5131" max="5376" width="12.5" style="378"/>
    <col min="5377" max="5377" width="34" style="378" bestFit="1" customWidth="1"/>
    <col min="5378" max="5378" width="13" style="378" bestFit="1" customWidth="1"/>
    <col min="5379" max="5380" width="14.83203125" style="378" bestFit="1" customWidth="1"/>
    <col min="5381" max="5381" width="13.1640625" style="378" customWidth="1"/>
    <col min="5382" max="5383" width="13" style="378" bestFit="1" customWidth="1"/>
    <col min="5384" max="5384" width="12.83203125" style="378" customWidth="1"/>
    <col min="5385" max="5385" width="11.83203125" style="378" bestFit="1" customWidth="1"/>
    <col min="5386" max="5386" width="14.83203125" style="378" bestFit="1" customWidth="1"/>
    <col min="5387" max="5632" width="12.5" style="378"/>
    <col min="5633" max="5633" width="34" style="378" bestFit="1" customWidth="1"/>
    <col min="5634" max="5634" width="13" style="378" bestFit="1" customWidth="1"/>
    <col min="5635" max="5636" width="14.83203125" style="378" bestFit="1" customWidth="1"/>
    <col min="5637" max="5637" width="13.1640625" style="378" customWidth="1"/>
    <col min="5638" max="5639" width="13" style="378" bestFit="1" customWidth="1"/>
    <col min="5640" max="5640" width="12.83203125" style="378" customWidth="1"/>
    <col min="5641" max="5641" width="11.83203125" style="378" bestFit="1" customWidth="1"/>
    <col min="5642" max="5642" width="14.83203125" style="378" bestFit="1" customWidth="1"/>
    <col min="5643" max="5888" width="12.5" style="378"/>
    <col min="5889" max="5889" width="34" style="378" bestFit="1" customWidth="1"/>
    <col min="5890" max="5890" width="13" style="378" bestFit="1" customWidth="1"/>
    <col min="5891" max="5892" width="14.83203125" style="378" bestFit="1" customWidth="1"/>
    <col min="5893" max="5893" width="13.1640625" style="378" customWidth="1"/>
    <col min="5894" max="5895" width="13" style="378" bestFit="1" customWidth="1"/>
    <col min="5896" max="5896" width="12.83203125" style="378" customWidth="1"/>
    <col min="5897" max="5897" width="11.83203125" style="378" bestFit="1" customWidth="1"/>
    <col min="5898" max="5898" width="14.83203125" style="378" bestFit="1" customWidth="1"/>
    <col min="5899" max="6144" width="12.5" style="378"/>
    <col min="6145" max="6145" width="34" style="378" bestFit="1" customWidth="1"/>
    <col min="6146" max="6146" width="13" style="378" bestFit="1" customWidth="1"/>
    <col min="6147" max="6148" width="14.83203125" style="378" bestFit="1" customWidth="1"/>
    <col min="6149" max="6149" width="13.1640625" style="378" customWidth="1"/>
    <col min="6150" max="6151" width="13" style="378" bestFit="1" customWidth="1"/>
    <col min="6152" max="6152" width="12.83203125" style="378" customWidth="1"/>
    <col min="6153" max="6153" width="11.83203125" style="378" bestFit="1" customWidth="1"/>
    <col min="6154" max="6154" width="14.83203125" style="378" bestFit="1" customWidth="1"/>
    <col min="6155" max="6400" width="12.5" style="378"/>
    <col min="6401" max="6401" width="34" style="378" bestFit="1" customWidth="1"/>
    <col min="6402" max="6402" width="13" style="378" bestFit="1" customWidth="1"/>
    <col min="6403" max="6404" width="14.83203125" style="378" bestFit="1" customWidth="1"/>
    <col min="6405" max="6405" width="13.1640625" style="378" customWidth="1"/>
    <col min="6406" max="6407" width="13" style="378" bestFit="1" customWidth="1"/>
    <col min="6408" max="6408" width="12.83203125" style="378" customWidth="1"/>
    <col min="6409" max="6409" width="11.83203125" style="378" bestFit="1" customWidth="1"/>
    <col min="6410" max="6410" width="14.83203125" style="378" bestFit="1" customWidth="1"/>
    <col min="6411" max="6656" width="12.5" style="378"/>
    <col min="6657" max="6657" width="34" style="378" bestFit="1" customWidth="1"/>
    <col min="6658" max="6658" width="13" style="378" bestFit="1" customWidth="1"/>
    <col min="6659" max="6660" width="14.83203125" style="378" bestFit="1" customWidth="1"/>
    <col min="6661" max="6661" width="13.1640625" style="378" customWidth="1"/>
    <col min="6662" max="6663" width="13" style="378" bestFit="1" customWidth="1"/>
    <col min="6664" max="6664" width="12.83203125" style="378" customWidth="1"/>
    <col min="6665" max="6665" width="11.83203125" style="378" bestFit="1" customWidth="1"/>
    <col min="6666" max="6666" width="14.83203125" style="378" bestFit="1" customWidth="1"/>
    <col min="6667" max="6912" width="12.5" style="378"/>
    <col min="6913" max="6913" width="34" style="378" bestFit="1" customWidth="1"/>
    <col min="6914" max="6914" width="13" style="378" bestFit="1" customWidth="1"/>
    <col min="6915" max="6916" width="14.83203125" style="378" bestFit="1" customWidth="1"/>
    <col min="6917" max="6917" width="13.1640625" style="378" customWidth="1"/>
    <col min="6918" max="6919" width="13" style="378" bestFit="1" customWidth="1"/>
    <col min="6920" max="6920" width="12.83203125" style="378" customWidth="1"/>
    <col min="6921" max="6921" width="11.83203125" style="378" bestFit="1" customWidth="1"/>
    <col min="6922" max="6922" width="14.83203125" style="378" bestFit="1" customWidth="1"/>
    <col min="6923" max="7168" width="12.5" style="378"/>
    <col min="7169" max="7169" width="34" style="378" bestFit="1" customWidth="1"/>
    <col min="7170" max="7170" width="13" style="378" bestFit="1" customWidth="1"/>
    <col min="7171" max="7172" width="14.83203125" style="378" bestFit="1" customWidth="1"/>
    <col min="7173" max="7173" width="13.1640625" style="378" customWidth="1"/>
    <col min="7174" max="7175" width="13" style="378" bestFit="1" customWidth="1"/>
    <col min="7176" max="7176" width="12.83203125" style="378" customWidth="1"/>
    <col min="7177" max="7177" width="11.83203125" style="378" bestFit="1" customWidth="1"/>
    <col min="7178" max="7178" width="14.83203125" style="378" bestFit="1" customWidth="1"/>
    <col min="7179" max="7424" width="12.5" style="378"/>
    <col min="7425" max="7425" width="34" style="378" bestFit="1" customWidth="1"/>
    <col min="7426" max="7426" width="13" style="378" bestFit="1" customWidth="1"/>
    <col min="7427" max="7428" width="14.83203125" style="378" bestFit="1" customWidth="1"/>
    <col min="7429" max="7429" width="13.1640625" style="378" customWidth="1"/>
    <col min="7430" max="7431" width="13" style="378" bestFit="1" customWidth="1"/>
    <col min="7432" max="7432" width="12.83203125" style="378" customWidth="1"/>
    <col min="7433" max="7433" width="11.83203125" style="378" bestFit="1" customWidth="1"/>
    <col min="7434" max="7434" width="14.83203125" style="378" bestFit="1" customWidth="1"/>
    <col min="7435" max="7680" width="12.5" style="378"/>
    <col min="7681" max="7681" width="34" style="378" bestFit="1" customWidth="1"/>
    <col min="7682" max="7682" width="13" style="378" bestFit="1" customWidth="1"/>
    <col min="7683" max="7684" width="14.83203125" style="378" bestFit="1" customWidth="1"/>
    <col min="7685" max="7685" width="13.1640625" style="378" customWidth="1"/>
    <col min="7686" max="7687" width="13" style="378" bestFit="1" customWidth="1"/>
    <col min="7688" max="7688" width="12.83203125" style="378" customWidth="1"/>
    <col min="7689" max="7689" width="11.83203125" style="378" bestFit="1" customWidth="1"/>
    <col min="7690" max="7690" width="14.83203125" style="378" bestFit="1" customWidth="1"/>
    <col min="7691" max="7936" width="12.5" style="378"/>
    <col min="7937" max="7937" width="34" style="378" bestFit="1" customWidth="1"/>
    <col min="7938" max="7938" width="13" style="378" bestFit="1" customWidth="1"/>
    <col min="7939" max="7940" width="14.83203125" style="378" bestFit="1" customWidth="1"/>
    <col min="7941" max="7941" width="13.1640625" style="378" customWidth="1"/>
    <col min="7942" max="7943" width="13" style="378" bestFit="1" customWidth="1"/>
    <col min="7944" max="7944" width="12.83203125" style="378" customWidth="1"/>
    <col min="7945" max="7945" width="11.83203125" style="378" bestFit="1" customWidth="1"/>
    <col min="7946" max="7946" width="14.83203125" style="378" bestFit="1" customWidth="1"/>
    <col min="7947" max="8192" width="12.5" style="378"/>
    <col min="8193" max="8193" width="34" style="378" bestFit="1" customWidth="1"/>
    <col min="8194" max="8194" width="13" style="378" bestFit="1" customWidth="1"/>
    <col min="8195" max="8196" width="14.83203125" style="378" bestFit="1" customWidth="1"/>
    <col min="8197" max="8197" width="13.1640625" style="378" customWidth="1"/>
    <col min="8198" max="8199" width="13" style="378" bestFit="1" customWidth="1"/>
    <col min="8200" max="8200" width="12.83203125" style="378" customWidth="1"/>
    <col min="8201" max="8201" width="11.83203125" style="378" bestFit="1" customWidth="1"/>
    <col min="8202" max="8202" width="14.83203125" style="378" bestFit="1" customWidth="1"/>
    <col min="8203" max="8448" width="12.5" style="378"/>
    <col min="8449" max="8449" width="34" style="378" bestFit="1" customWidth="1"/>
    <col min="8450" max="8450" width="13" style="378" bestFit="1" customWidth="1"/>
    <col min="8451" max="8452" width="14.83203125" style="378" bestFit="1" customWidth="1"/>
    <col min="8453" max="8453" width="13.1640625" style="378" customWidth="1"/>
    <col min="8454" max="8455" width="13" style="378" bestFit="1" customWidth="1"/>
    <col min="8456" max="8456" width="12.83203125" style="378" customWidth="1"/>
    <col min="8457" max="8457" width="11.83203125" style="378" bestFit="1" customWidth="1"/>
    <col min="8458" max="8458" width="14.83203125" style="378" bestFit="1" customWidth="1"/>
    <col min="8459" max="8704" width="12.5" style="378"/>
    <col min="8705" max="8705" width="34" style="378" bestFit="1" customWidth="1"/>
    <col min="8706" max="8706" width="13" style="378" bestFit="1" customWidth="1"/>
    <col min="8707" max="8708" width="14.83203125" style="378" bestFit="1" customWidth="1"/>
    <col min="8709" max="8709" width="13.1640625" style="378" customWidth="1"/>
    <col min="8710" max="8711" width="13" style="378" bestFit="1" customWidth="1"/>
    <col min="8712" max="8712" width="12.83203125" style="378" customWidth="1"/>
    <col min="8713" max="8713" width="11.83203125" style="378" bestFit="1" customWidth="1"/>
    <col min="8714" max="8714" width="14.83203125" style="378" bestFit="1" customWidth="1"/>
    <col min="8715" max="8960" width="12.5" style="378"/>
    <col min="8961" max="8961" width="34" style="378" bestFit="1" customWidth="1"/>
    <col min="8962" max="8962" width="13" style="378" bestFit="1" customWidth="1"/>
    <col min="8963" max="8964" width="14.83203125" style="378" bestFit="1" customWidth="1"/>
    <col min="8965" max="8965" width="13.1640625" style="378" customWidth="1"/>
    <col min="8966" max="8967" width="13" style="378" bestFit="1" customWidth="1"/>
    <col min="8968" max="8968" width="12.83203125" style="378" customWidth="1"/>
    <col min="8969" max="8969" width="11.83203125" style="378" bestFit="1" customWidth="1"/>
    <col min="8970" max="8970" width="14.83203125" style="378" bestFit="1" customWidth="1"/>
    <col min="8971" max="9216" width="12.5" style="378"/>
    <col min="9217" max="9217" width="34" style="378" bestFit="1" customWidth="1"/>
    <col min="9218" max="9218" width="13" style="378" bestFit="1" customWidth="1"/>
    <col min="9219" max="9220" width="14.83203125" style="378" bestFit="1" customWidth="1"/>
    <col min="9221" max="9221" width="13.1640625" style="378" customWidth="1"/>
    <col min="9222" max="9223" width="13" style="378" bestFit="1" customWidth="1"/>
    <col min="9224" max="9224" width="12.83203125" style="378" customWidth="1"/>
    <col min="9225" max="9225" width="11.83203125" style="378" bestFit="1" customWidth="1"/>
    <col min="9226" max="9226" width="14.83203125" style="378" bestFit="1" customWidth="1"/>
    <col min="9227" max="9472" width="12.5" style="378"/>
    <col min="9473" max="9473" width="34" style="378" bestFit="1" customWidth="1"/>
    <col min="9474" max="9474" width="13" style="378" bestFit="1" customWidth="1"/>
    <col min="9475" max="9476" width="14.83203125" style="378" bestFit="1" customWidth="1"/>
    <col min="9477" max="9477" width="13.1640625" style="378" customWidth="1"/>
    <col min="9478" max="9479" width="13" style="378" bestFit="1" customWidth="1"/>
    <col min="9480" max="9480" width="12.83203125" style="378" customWidth="1"/>
    <col min="9481" max="9481" width="11.83203125" style="378" bestFit="1" customWidth="1"/>
    <col min="9482" max="9482" width="14.83203125" style="378" bestFit="1" customWidth="1"/>
    <col min="9483" max="9728" width="12.5" style="378"/>
    <col min="9729" max="9729" width="34" style="378" bestFit="1" customWidth="1"/>
    <col min="9730" max="9730" width="13" style="378" bestFit="1" customWidth="1"/>
    <col min="9731" max="9732" width="14.83203125" style="378" bestFit="1" customWidth="1"/>
    <col min="9733" max="9733" width="13.1640625" style="378" customWidth="1"/>
    <col min="9734" max="9735" width="13" style="378" bestFit="1" customWidth="1"/>
    <col min="9736" max="9736" width="12.83203125" style="378" customWidth="1"/>
    <col min="9737" max="9737" width="11.83203125" style="378" bestFit="1" customWidth="1"/>
    <col min="9738" max="9738" width="14.83203125" style="378" bestFit="1" customWidth="1"/>
    <col min="9739" max="9984" width="12.5" style="378"/>
    <col min="9985" max="9985" width="34" style="378" bestFit="1" customWidth="1"/>
    <col min="9986" max="9986" width="13" style="378" bestFit="1" customWidth="1"/>
    <col min="9987" max="9988" width="14.83203125" style="378" bestFit="1" customWidth="1"/>
    <col min="9989" max="9989" width="13.1640625" style="378" customWidth="1"/>
    <col min="9990" max="9991" width="13" style="378" bestFit="1" customWidth="1"/>
    <col min="9992" max="9992" width="12.83203125" style="378" customWidth="1"/>
    <col min="9993" max="9993" width="11.83203125" style="378" bestFit="1" customWidth="1"/>
    <col min="9994" max="9994" width="14.83203125" style="378" bestFit="1" customWidth="1"/>
    <col min="9995" max="10240" width="12.5" style="378"/>
    <col min="10241" max="10241" width="34" style="378" bestFit="1" customWidth="1"/>
    <col min="10242" max="10242" width="13" style="378" bestFit="1" customWidth="1"/>
    <col min="10243" max="10244" width="14.83203125" style="378" bestFit="1" customWidth="1"/>
    <col min="10245" max="10245" width="13.1640625" style="378" customWidth="1"/>
    <col min="10246" max="10247" width="13" style="378" bestFit="1" customWidth="1"/>
    <col min="10248" max="10248" width="12.83203125" style="378" customWidth="1"/>
    <col min="10249" max="10249" width="11.83203125" style="378" bestFit="1" customWidth="1"/>
    <col min="10250" max="10250" width="14.83203125" style="378" bestFit="1" customWidth="1"/>
    <col min="10251" max="10496" width="12.5" style="378"/>
    <col min="10497" max="10497" width="34" style="378" bestFit="1" customWidth="1"/>
    <col min="10498" max="10498" width="13" style="378" bestFit="1" customWidth="1"/>
    <col min="10499" max="10500" width="14.83203125" style="378" bestFit="1" customWidth="1"/>
    <col min="10501" max="10501" width="13.1640625" style="378" customWidth="1"/>
    <col min="10502" max="10503" width="13" style="378" bestFit="1" customWidth="1"/>
    <col min="10504" max="10504" width="12.83203125" style="378" customWidth="1"/>
    <col min="10505" max="10505" width="11.83203125" style="378" bestFit="1" customWidth="1"/>
    <col min="10506" max="10506" width="14.83203125" style="378" bestFit="1" customWidth="1"/>
    <col min="10507" max="10752" width="12.5" style="378"/>
    <col min="10753" max="10753" width="34" style="378" bestFit="1" customWidth="1"/>
    <col min="10754" max="10754" width="13" style="378" bestFit="1" customWidth="1"/>
    <col min="10755" max="10756" width="14.83203125" style="378" bestFit="1" customWidth="1"/>
    <col min="10757" max="10757" width="13.1640625" style="378" customWidth="1"/>
    <col min="10758" max="10759" width="13" style="378" bestFit="1" customWidth="1"/>
    <col min="10760" max="10760" width="12.83203125" style="378" customWidth="1"/>
    <col min="10761" max="10761" width="11.83203125" style="378" bestFit="1" customWidth="1"/>
    <col min="10762" max="10762" width="14.83203125" style="378" bestFit="1" customWidth="1"/>
    <col min="10763" max="11008" width="12.5" style="378"/>
    <col min="11009" max="11009" width="34" style="378" bestFit="1" customWidth="1"/>
    <col min="11010" max="11010" width="13" style="378" bestFit="1" customWidth="1"/>
    <col min="11011" max="11012" width="14.83203125" style="378" bestFit="1" customWidth="1"/>
    <col min="11013" max="11013" width="13.1640625" style="378" customWidth="1"/>
    <col min="11014" max="11015" width="13" style="378" bestFit="1" customWidth="1"/>
    <col min="11016" max="11016" width="12.83203125" style="378" customWidth="1"/>
    <col min="11017" max="11017" width="11.83203125" style="378" bestFit="1" customWidth="1"/>
    <col min="11018" max="11018" width="14.83203125" style="378" bestFit="1" customWidth="1"/>
    <col min="11019" max="11264" width="12.5" style="378"/>
    <col min="11265" max="11265" width="34" style="378" bestFit="1" customWidth="1"/>
    <col min="11266" max="11266" width="13" style="378" bestFit="1" customWidth="1"/>
    <col min="11267" max="11268" width="14.83203125" style="378" bestFit="1" customWidth="1"/>
    <col min="11269" max="11269" width="13.1640625" style="378" customWidth="1"/>
    <col min="11270" max="11271" width="13" style="378" bestFit="1" customWidth="1"/>
    <col min="11272" max="11272" width="12.83203125" style="378" customWidth="1"/>
    <col min="11273" max="11273" width="11.83203125" style="378" bestFit="1" customWidth="1"/>
    <col min="11274" max="11274" width="14.83203125" style="378" bestFit="1" customWidth="1"/>
    <col min="11275" max="11520" width="12.5" style="378"/>
    <col min="11521" max="11521" width="34" style="378" bestFit="1" customWidth="1"/>
    <col min="11522" max="11522" width="13" style="378" bestFit="1" customWidth="1"/>
    <col min="11523" max="11524" width="14.83203125" style="378" bestFit="1" customWidth="1"/>
    <col min="11525" max="11525" width="13.1640625" style="378" customWidth="1"/>
    <col min="11526" max="11527" width="13" style="378" bestFit="1" customWidth="1"/>
    <col min="11528" max="11528" width="12.83203125" style="378" customWidth="1"/>
    <col min="11529" max="11529" width="11.83203125" style="378" bestFit="1" customWidth="1"/>
    <col min="11530" max="11530" width="14.83203125" style="378" bestFit="1" customWidth="1"/>
    <col min="11531" max="11776" width="12.5" style="378"/>
    <col min="11777" max="11777" width="34" style="378" bestFit="1" customWidth="1"/>
    <col min="11778" max="11778" width="13" style="378" bestFit="1" customWidth="1"/>
    <col min="11779" max="11780" width="14.83203125" style="378" bestFit="1" customWidth="1"/>
    <col min="11781" max="11781" width="13.1640625" style="378" customWidth="1"/>
    <col min="11782" max="11783" width="13" style="378" bestFit="1" customWidth="1"/>
    <col min="11784" max="11784" width="12.83203125" style="378" customWidth="1"/>
    <col min="11785" max="11785" width="11.83203125" style="378" bestFit="1" customWidth="1"/>
    <col min="11786" max="11786" width="14.83203125" style="378" bestFit="1" customWidth="1"/>
    <col min="11787" max="12032" width="12.5" style="378"/>
    <col min="12033" max="12033" width="34" style="378" bestFit="1" customWidth="1"/>
    <col min="12034" max="12034" width="13" style="378" bestFit="1" customWidth="1"/>
    <col min="12035" max="12036" width="14.83203125" style="378" bestFit="1" customWidth="1"/>
    <col min="12037" max="12037" width="13.1640625" style="378" customWidth="1"/>
    <col min="12038" max="12039" width="13" style="378" bestFit="1" customWidth="1"/>
    <col min="12040" max="12040" width="12.83203125" style="378" customWidth="1"/>
    <col min="12041" max="12041" width="11.83203125" style="378" bestFit="1" customWidth="1"/>
    <col min="12042" max="12042" width="14.83203125" style="378" bestFit="1" customWidth="1"/>
    <col min="12043" max="12288" width="12.5" style="378"/>
    <col min="12289" max="12289" width="34" style="378" bestFit="1" customWidth="1"/>
    <col min="12290" max="12290" width="13" style="378" bestFit="1" customWidth="1"/>
    <col min="12291" max="12292" width="14.83203125" style="378" bestFit="1" customWidth="1"/>
    <col min="12293" max="12293" width="13.1640625" style="378" customWidth="1"/>
    <col min="12294" max="12295" width="13" style="378" bestFit="1" customWidth="1"/>
    <col min="12296" max="12296" width="12.83203125" style="378" customWidth="1"/>
    <col min="12297" max="12297" width="11.83203125" style="378" bestFit="1" customWidth="1"/>
    <col min="12298" max="12298" width="14.83203125" style="378" bestFit="1" customWidth="1"/>
    <col min="12299" max="12544" width="12.5" style="378"/>
    <col min="12545" max="12545" width="34" style="378" bestFit="1" customWidth="1"/>
    <col min="12546" max="12546" width="13" style="378" bestFit="1" customWidth="1"/>
    <col min="12547" max="12548" width="14.83203125" style="378" bestFit="1" customWidth="1"/>
    <col min="12549" max="12549" width="13.1640625" style="378" customWidth="1"/>
    <col min="12550" max="12551" width="13" style="378" bestFit="1" customWidth="1"/>
    <col min="12552" max="12552" width="12.83203125" style="378" customWidth="1"/>
    <col min="12553" max="12553" width="11.83203125" style="378" bestFit="1" customWidth="1"/>
    <col min="12554" max="12554" width="14.83203125" style="378" bestFit="1" customWidth="1"/>
    <col min="12555" max="12800" width="12.5" style="378"/>
    <col min="12801" max="12801" width="34" style="378" bestFit="1" customWidth="1"/>
    <col min="12802" max="12802" width="13" style="378" bestFit="1" customWidth="1"/>
    <col min="12803" max="12804" width="14.83203125" style="378" bestFit="1" customWidth="1"/>
    <col min="12805" max="12805" width="13.1640625" style="378" customWidth="1"/>
    <col min="12806" max="12807" width="13" style="378" bestFit="1" customWidth="1"/>
    <col min="12808" max="12808" width="12.83203125" style="378" customWidth="1"/>
    <col min="12809" max="12809" width="11.83203125" style="378" bestFit="1" customWidth="1"/>
    <col min="12810" max="12810" width="14.83203125" style="378" bestFit="1" customWidth="1"/>
    <col min="12811" max="13056" width="12.5" style="378"/>
    <col min="13057" max="13057" width="34" style="378" bestFit="1" customWidth="1"/>
    <col min="13058" max="13058" width="13" style="378" bestFit="1" customWidth="1"/>
    <col min="13059" max="13060" width="14.83203125" style="378" bestFit="1" customWidth="1"/>
    <col min="13061" max="13061" width="13.1640625" style="378" customWidth="1"/>
    <col min="13062" max="13063" width="13" style="378" bestFit="1" customWidth="1"/>
    <col min="13064" max="13064" width="12.83203125" style="378" customWidth="1"/>
    <col min="13065" max="13065" width="11.83203125" style="378" bestFit="1" customWidth="1"/>
    <col min="13066" max="13066" width="14.83203125" style="378" bestFit="1" customWidth="1"/>
    <col min="13067" max="13312" width="12.5" style="378"/>
    <col min="13313" max="13313" width="34" style="378" bestFit="1" customWidth="1"/>
    <col min="13314" max="13314" width="13" style="378" bestFit="1" customWidth="1"/>
    <col min="13315" max="13316" width="14.83203125" style="378" bestFit="1" customWidth="1"/>
    <col min="13317" max="13317" width="13.1640625" style="378" customWidth="1"/>
    <col min="13318" max="13319" width="13" style="378" bestFit="1" customWidth="1"/>
    <col min="13320" max="13320" width="12.83203125" style="378" customWidth="1"/>
    <col min="13321" max="13321" width="11.83203125" style="378" bestFit="1" customWidth="1"/>
    <col min="13322" max="13322" width="14.83203125" style="378" bestFit="1" customWidth="1"/>
    <col min="13323" max="13568" width="12.5" style="378"/>
    <col min="13569" max="13569" width="34" style="378" bestFit="1" customWidth="1"/>
    <col min="13570" max="13570" width="13" style="378" bestFit="1" customWidth="1"/>
    <col min="13571" max="13572" width="14.83203125" style="378" bestFit="1" customWidth="1"/>
    <col min="13573" max="13573" width="13.1640625" style="378" customWidth="1"/>
    <col min="13574" max="13575" width="13" style="378" bestFit="1" customWidth="1"/>
    <col min="13576" max="13576" width="12.83203125" style="378" customWidth="1"/>
    <col min="13577" max="13577" width="11.83203125" style="378" bestFit="1" customWidth="1"/>
    <col min="13578" max="13578" width="14.83203125" style="378" bestFit="1" customWidth="1"/>
    <col min="13579" max="13824" width="12.5" style="378"/>
    <col min="13825" max="13825" width="34" style="378" bestFit="1" customWidth="1"/>
    <col min="13826" max="13826" width="13" style="378" bestFit="1" customWidth="1"/>
    <col min="13827" max="13828" width="14.83203125" style="378" bestFit="1" customWidth="1"/>
    <col min="13829" max="13829" width="13.1640625" style="378" customWidth="1"/>
    <col min="13830" max="13831" width="13" style="378" bestFit="1" customWidth="1"/>
    <col min="13832" max="13832" width="12.83203125" style="378" customWidth="1"/>
    <col min="13833" max="13833" width="11.83203125" style="378" bestFit="1" customWidth="1"/>
    <col min="13834" max="13834" width="14.83203125" style="378" bestFit="1" customWidth="1"/>
    <col min="13835" max="14080" width="12.5" style="378"/>
    <col min="14081" max="14081" width="34" style="378" bestFit="1" customWidth="1"/>
    <col min="14082" max="14082" width="13" style="378" bestFit="1" customWidth="1"/>
    <col min="14083" max="14084" width="14.83203125" style="378" bestFit="1" customWidth="1"/>
    <col min="14085" max="14085" width="13.1640625" style="378" customWidth="1"/>
    <col min="14086" max="14087" width="13" style="378" bestFit="1" customWidth="1"/>
    <col min="14088" max="14088" width="12.83203125" style="378" customWidth="1"/>
    <col min="14089" max="14089" width="11.83203125" style="378" bestFit="1" customWidth="1"/>
    <col min="14090" max="14090" width="14.83203125" style="378" bestFit="1" customWidth="1"/>
    <col min="14091" max="14336" width="12.5" style="378"/>
    <col min="14337" max="14337" width="34" style="378" bestFit="1" customWidth="1"/>
    <col min="14338" max="14338" width="13" style="378" bestFit="1" customWidth="1"/>
    <col min="14339" max="14340" width="14.83203125" style="378" bestFit="1" customWidth="1"/>
    <col min="14341" max="14341" width="13.1640625" style="378" customWidth="1"/>
    <col min="14342" max="14343" width="13" style="378" bestFit="1" customWidth="1"/>
    <col min="14344" max="14344" width="12.83203125" style="378" customWidth="1"/>
    <col min="14345" max="14345" width="11.83203125" style="378" bestFit="1" customWidth="1"/>
    <col min="14346" max="14346" width="14.83203125" style="378" bestFit="1" customWidth="1"/>
    <col min="14347" max="14592" width="12.5" style="378"/>
    <col min="14593" max="14593" width="34" style="378" bestFit="1" customWidth="1"/>
    <col min="14594" max="14594" width="13" style="378" bestFit="1" customWidth="1"/>
    <col min="14595" max="14596" width="14.83203125" style="378" bestFit="1" customWidth="1"/>
    <col min="14597" max="14597" width="13.1640625" style="378" customWidth="1"/>
    <col min="14598" max="14599" width="13" style="378" bestFit="1" customWidth="1"/>
    <col min="14600" max="14600" width="12.83203125" style="378" customWidth="1"/>
    <col min="14601" max="14601" width="11.83203125" style="378" bestFit="1" customWidth="1"/>
    <col min="14602" max="14602" width="14.83203125" style="378" bestFit="1" customWidth="1"/>
    <col min="14603" max="14848" width="12.5" style="378"/>
    <col min="14849" max="14849" width="34" style="378" bestFit="1" customWidth="1"/>
    <col min="14850" max="14850" width="13" style="378" bestFit="1" customWidth="1"/>
    <col min="14851" max="14852" width="14.83203125" style="378" bestFit="1" customWidth="1"/>
    <col min="14853" max="14853" width="13.1640625" style="378" customWidth="1"/>
    <col min="14854" max="14855" width="13" style="378" bestFit="1" customWidth="1"/>
    <col min="14856" max="14856" width="12.83203125" style="378" customWidth="1"/>
    <col min="14857" max="14857" width="11.83203125" style="378" bestFit="1" customWidth="1"/>
    <col min="14858" max="14858" width="14.83203125" style="378" bestFit="1" customWidth="1"/>
    <col min="14859" max="15104" width="12.5" style="378"/>
    <col min="15105" max="15105" width="34" style="378" bestFit="1" customWidth="1"/>
    <col min="15106" max="15106" width="13" style="378" bestFit="1" customWidth="1"/>
    <col min="15107" max="15108" width="14.83203125" style="378" bestFit="1" customWidth="1"/>
    <col min="15109" max="15109" width="13.1640625" style="378" customWidth="1"/>
    <col min="15110" max="15111" width="13" style="378" bestFit="1" customWidth="1"/>
    <col min="15112" max="15112" width="12.83203125" style="378" customWidth="1"/>
    <col min="15113" max="15113" width="11.83203125" style="378" bestFit="1" customWidth="1"/>
    <col min="15114" max="15114" width="14.83203125" style="378" bestFit="1" customWidth="1"/>
    <col min="15115" max="15360" width="12.5" style="378"/>
    <col min="15361" max="15361" width="34" style="378" bestFit="1" customWidth="1"/>
    <col min="15362" max="15362" width="13" style="378" bestFit="1" customWidth="1"/>
    <col min="15363" max="15364" width="14.83203125" style="378" bestFit="1" customWidth="1"/>
    <col min="15365" max="15365" width="13.1640625" style="378" customWidth="1"/>
    <col min="15366" max="15367" width="13" style="378" bestFit="1" customWidth="1"/>
    <col min="15368" max="15368" width="12.83203125" style="378" customWidth="1"/>
    <col min="15369" max="15369" width="11.83203125" style="378" bestFit="1" customWidth="1"/>
    <col min="15370" max="15370" width="14.83203125" style="378" bestFit="1" customWidth="1"/>
    <col min="15371" max="15616" width="12.5" style="378"/>
    <col min="15617" max="15617" width="34" style="378" bestFit="1" customWidth="1"/>
    <col min="15618" max="15618" width="13" style="378" bestFit="1" customWidth="1"/>
    <col min="15619" max="15620" width="14.83203125" style="378" bestFit="1" customWidth="1"/>
    <col min="15621" max="15621" width="13.1640625" style="378" customWidth="1"/>
    <col min="15622" max="15623" width="13" style="378" bestFit="1" customWidth="1"/>
    <col min="15624" max="15624" width="12.83203125" style="378" customWidth="1"/>
    <col min="15625" max="15625" width="11.83203125" style="378" bestFit="1" customWidth="1"/>
    <col min="15626" max="15626" width="14.83203125" style="378" bestFit="1" customWidth="1"/>
    <col min="15627" max="15872" width="12.5" style="378"/>
    <col min="15873" max="15873" width="34" style="378" bestFit="1" customWidth="1"/>
    <col min="15874" max="15874" width="13" style="378" bestFit="1" customWidth="1"/>
    <col min="15875" max="15876" width="14.83203125" style="378" bestFit="1" customWidth="1"/>
    <col min="15877" max="15877" width="13.1640625" style="378" customWidth="1"/>
    <col min="15878" max="15879" width="13" style="378" bestFit="1" customWidth="1"/>
    <col min="15880" max="15880" width="12.83203125" style="378" customWidth="1"/>
    <col min="15881" max="15881" width="11.83203125" style="378" bestFit="1" customWidth="1"/>
    <col min="15882" max="15882" width="14.83203125" style="378" bestFit="1" customWidth="1"/>
    <col min="15883" max="16128" width="12.5" style="378"/>
    <col min="16129" max="16129" width="34" style="378" bestFit="1" customWidth="1"/>
    <col min="16130" max="16130" width="13" style="378" bestFit="1" customWidth="1"/>
    <col min="16131" max="16132" width="14.83203125" style="378" bestFit="1" customWidth="1"/>
    <col min="16133" max="16133" width="13.1640625" style="378" customWidth="1"/>
    <col min="16134" max="16135" width="13" style="378" bestFit="1" customWidth="1"/>
    <col min="16136" max="16136" width="12.83203125" style="378" customWidth="1"/>
    <col min="16137" max="16137" width="11.83203125" style="378" bestFit="1" customWidth="1"/>
    <col min="16138" max="16138" width="14.83203125" style="378" bestFit="1" customWidth="1"/>
    <col min="16139" max="16384" width="12.5" style="378"/>
  </cols>
  <sheetData>
    <row r="1" spans="1:11" x14ac:dyDescent="0.2">
      <c r="A1" s="377"/>
      <c r="B1" s="377"/>
      <c r="C1" s="377"/>
      <c r="D1" s="377"/>
      <c r="E1" s="377"/>
      <c r="F1" s="377"/>
      <c r="H1" s="379"/>
      <c r="I1" s="379"/>
      <c r="J1" s="380"/>
    </row>
    <row r="2" spans="1:11" x14ac:dyDescent="0.2">
      <c r="A2" s="377"/>
      <c r="B2" s="377"/>
      <c r="C2" s="377"/>
      <c r="D2" s="377"/>
      <c r="E2" s="377"/>
      <c r="F2" s="377"/>
      <c r="G2" s="381"/>
      <c r="H2" s="381"/>
      <c r="I2" s="381"/>
      <c r="J2" s="382"/>
    </row>
    <row r="3" spans="1:11" x14ac:dyDescent="0.2">
      <c r="A3" s="377"/>
      <c r="B3" s="377"/>
      <c r="C3" s="377"/>
      <c r="D3" s="377"/>
      <c r="E3" s="377"/>
      <c r="F3" s="377"/>
      <c r="G3" s="381"/>
      <c r="H3" s="381"/>
      <c r="I3" s="381"/>
      <c r="J3" s="381"/>
    </row>
    <row r="4" spans="1:11" ht="19.5" x14ac:dyDescent="0.35">
      <c r="A4" s="383" t="s">
        <v>384</v>
      </c>
      <c r="B4" s="383"/>
      <c r="C4" s="383"/>
      <c r="D4" s="383"/>
      <c r="E4" s="383"/>
      <c r="F4" s="383"/>
      <c r="G4" s="383"/>
      <c r="H4" s="383"/>
      <c r="I4" s="383"/>
      <c r="J4" s="383"/>
    </row>
    <row r="5" spans="1:11" ht="19.5" x14ac:dyDescent="0.35">
      <c r="A5" s="383" t="s">
        <v>605</v>
      </c>
      <c r="B5" s="383"/>
      <c r="C5" s="383"/>
      <c r="D5" s="383"/>
      <c r="E5" s="383"/>
      <c r="F5" s="383"/>
      <c r="G5" s="383"/>
      <c r="H5" s="383"/>
      <c r="I5" s="383"/>
      <c r="J5" s="383"/>
    </row>
    <row r="6" spans="1:11" ht="13.5" thickBot="1" x14ac:dyDescent="0.25">
      <c r="A6" s="377"/>
      <c r="B6" s="377"/>
      <c r="C6" s="377"/>
      <c r="D6" s="377"/>
      <c r="E6" s="377"/>
      <c r="F6" s="377"/>
      <c r="G6" s="377"/>
      <c r="H6" s="377"/>
      <c r="I6" s="377"/>
      <c r="J6" s="384" t="s">
        <v>4</v>
      </c>
    </row>
    <row r="7" spans="1:11" ht="15.95" customHeight="1" x14ac:dyDescent="0.2">
      <c r="A7" s="964" t="s">
        <v>2</v>
      </c>
      <c r="B7" s="967" t="s">
        <v>385</v>
      </c>
      <c r="C7" s="968"/>
      <c r="D7" s="968"/>
      <c r="E7" s="969" t="s">
        <v>606</v>
      </c>
      <c r="F7" s="970"/>
      <c r="G7" s="970"/>
      <c r="H7" s="970"/>
      <c r="I7" s="970"/>
      <c r="J7" s="971"/>
    </row>
    <row r="8" spans="1:11" ht="15.95" customHeight="1" x14ac:dyDescent="0.2">
      <c r="A8" s="965"/>
      <c r="B8" s="385" t="s">
        <v>386</v>
      </c>
      <c r="C8" s="385" t="s">
        <v>387</v>
      </c>
      <c r="D8" s="385" t="s">
        <v>388</v>
      </c>
      <c r="E8" s="385" t="s">
        <v>389</v>
      </c>
      <c r="F8" s="385" t="s">
        <v>390</v>
      </c>
      <c r="G8" s="385" t="s">
        <v>391</v>
      </c>
      <c r="H8" s="385" t="s">
        <v>392</v>
      </c>
      <c r="I8" s="385" t="s">
        <v>393</v>
      </c>
      <c r="J8" s="386" t="s">
        <v>388</v>
      </c>
    </row>
    <row r="9" spans="1:11" ht="15.95" customHeight="1" x14ac:dyDescent="0.2">
      <c r="A9" s="966"/>
      <c r="B9" s="385" t="s">
        <v>394</v>
      </c>
      <c r="C9" s="385" t="s">
        <v>395</v>
      </c>
      <c r="D9" s="385" t="s">
        <v>396</v>
      </c>
      <c r="E9" s="385" t="s">
        <v>397</v>
      </c>
      <c r="F9" s="385" t="s">
        <v>398</v>
      </c>
      <c r="G9" s="385" t="s">
        <v>399</v>
      </c>
      <c r="H9" s="385" t="s">
        <v>400</v>
      </c>
      <c r="I9" s="385" t="s">
        <v>399</v>
      </c>
      <c r="J9" s="386" t="s">
        <v>401</v>
      </c>
    </row>
    <row r="10" spans="1:11" ht="15.95" customHeight="1" x14ac:dyDescent="0.2">
      <c r="A10" s="387" t="s">
        <v>402</v>
      </c>
      <c r="B10" s="650">
        <v>174100032</v>
      </c>
      <c r="C10" s="650">
        <f t="shared" ref="C10:C15" si="0">J10-B10</f>
        <v>133587210</v>
      </c>
      <c r="D10" s="660">
        <f t="shared" ref="D10:D14" si="1">SUM(B10:C10)</f>
        <v>307687242</v>
      </c>
      <c r="E10" s="650">
        <v>61703726</v>
      </c>
      <c r="F10" s="650">
        <v>14089304</v>
      </c>
      <c r="G10" s="650">
        <v>230665212</v>
      </c>
      <c r="H10" s="650"/>
      <c r="I10" s="650">
        <v>1229000</v>
      </c>
      <c r="J10" s="661">
        <f t="shared" ref="J10:J15" si="2">SUM(E10:I10)</f>
        <v>307687242</v>
      </c>
      <c r="K10" s="388"/>
    </row>
    <row r="11" spans="1:11" ht="15.95" customHeight="1" x14ac:dyDescent="0.2">
      <c r="A11" s="387" t="s">
        <v>0</v>
      </c>
      <c r="B11" s="650">
        <v>12280923</v>
      </c>
      <c r="C11" s="903">
        <f>J11-B11</f>
        <v>289747450</v>
      </c>
      <c r="D11" s="903">
        <f t="shared" si="1"/>
        <v>302028373</v>
      </c>
      <c r="E11" s="903">
        <f>187166011+408000</f>
        <v>187574011</v>
      </c>
      <c r="F11" s="903">
        <f>40197175+71604</f>
        <v>40268779</v>
      </c>
      <c r="G11" s="903">
        <f>71308603+110000+60000</f>
        <v>71478603</v>
      </c>
      <c r="H11" s="660"/>
      <c r="I11" s="903">
        <f>2766980-60000</f>
        <v>2706980</v>
      </c>
      <c r="J11" s="904">
        <f t="shared" si="2"/>
        <v>302028373</v>
      </c>
      <c r="K11" s="389"/>
    </row>
    <row r="12" spans="1:11" ht="15.95" customHeight="1" x14ac:dyDescent="0.2">
      <c r="A12" s="387" t="s">
        <v>582</v>
      </c>
      <c r="B12" s="650">
        <v>13275287</v>
      </c>
      <c r="C12" s="650">
        <f t="shared" si="0"/>
        <v>84577606</v>
      </c>
      <c r="D12" s="660">
        <f t="shared" si="1"/>
        <v>97852893</v>
      </c>
      <c r="E12" s="650">
        <v>44090923</v>
      </c>
      <c r="F12" s="650">
        <v>8671204</v>
      </c>
      <c r="G12" s="650">
        <v>42412062</v>
      </c>
      <c r="H12" s="650"/>
      <c r="I12" s="650">
        <v>2678704</v>
      </c>
      <c r="J12" s="661">
        <f t="shared" si="2"/>
        <v>97852893</v>
      </c>
    </row>
    <row r="13" spans="1:11" s="388" customFormat="1" ht="18" customHeight="1" x14ac:dyDescent="0.2">
      <c r="A13" s="365" t="s">
        <v>565</v>
      </c>
      <c r="B13" s="931">
        <f>224494113-28</f>
        <v>224494085</v>
      </c>
      <c r="C13" s="650">
        <f t="shared" si="0"/>
        <v>498671918</v>
      </c>
      <c r="D13" s="903">
        <f t="shared" si="1"/>
        <v>723166003</v>
      </c>
      <c r="E13" s="932">
        <f>432587281+258000</f>
        <v>432845281</v>
      </c>
      <c r="F13" s="932">
        <f>91161523+50310</f>
        <v>91211833</v>
      </c>
      <c r="G13" s="932">
        <f>186217978+192293</f>
        <v>186410271</v>
      </c>
      <c r="H13" s="933"/>
      <c r="I13" s="652">
        <v>12698618</v>
      </c>
      <c r="J13" s="904">
        <f t="shared" si="2"/>
        <v>723166003</v>
      </c>
    </row>
    <row r="14" spans="1:11" s="388" customFormat="1" ht="18" customHeight="1" x14ac:dyDescent="0.2">
      <c r="A14" s="365" t="s">
        <v>544</v>
      </c>
      <c r="B14" s="651">
        <v>944234</v>
      </c>
      <c r="C14" s="650">
        <f t="shared" si="0"/>
        <v>86651516</v>
      </c>
      <c r="D14" s="660">
        <f t="shared" si="1"/>
        <v>87595750</v>
      </c>
      <c r="E14" s="652">
        <v>58944411</v>
      </c>
      <c r="F14" s="652">
        <v>11728198</v>
      </c>
      <c r="G14" s="652">
        <v>15292331</v>
      </c>
      <c r="H14" s="652"/>
      <c r="I14" s="652">
        <v>1630810</v>
      </c>
      <c r="J14" s="661">
        <f t="shared" si="2"/>
        <v>87595750</v>
      </c>
    </row>
    <row r="15" spans="1:11" s="388" customFormat="1" ht="18" customHeight="1" x14ac:dyDescent="0.2">
      <c r="A15" s="365" t="s">
        <v>566</v>
      </c>
      <c r="B15" s="931">
        <v>14887546</v>
      </c>
      <c r="C15" s="650">
        <f t="shared" si="0"/>
        <v>228217724</v>
      </c>
      <c r="D15" s="660">
        <f t="shared" ref="D15" si="3">SUM(B15:C15)</f>
        <v>243105270</v>
      </c>
      <c r="E15" s="932">
        <v>139133390</v>
      </c>
      <c r="F15" s="932">
        <v>29443013</v>
      </c>
      <c r="G15" s="932">
        <v>45358887</v>
      </c>
      <c r="H15" s="652">
        <v>24250000</v>
      </c>
      <c r="I15" s="652">
        <v>4919980</v>
      </c>
      <c r="J15" s="661">
        <f t="shared" si="2"/>
        <v>243105270</v>
      </c>
    </row>
    <row r="16" spans="1:11" s="388" customFormat="1" ht="18" customHeight="1" thickBot="1" x14ac:dyDescent="0.25">
      <c r="A16" s="592" t="s">
        <v>404</v>
      </c>
      <c r="B16" s="593">
        <f t="shared" ref="B16:J16" si="4">SUM(B10:B15)</f>
        <v>439982107</v>
      </c>
      <c r="C16" s="593">
        <f t="shared" si="4"/>
        <v>1321453424</v>
      </c>
      <c r="D16" s="593">
        <f t="shared" si="4"/>
        <v>1761435531</v>
      </c>
      <c r="E16" s="593">
        <f t="shared" si="4"/>
        <v>924291742</v>
      </c>
      <c r="F16" s="593">
        <f t="shared" si="4"/>
        <v>195412331</v>
      </c>
      <c r="G16" s="593">
        <f t="shared" si="4"/>
        <v>591617366</v>
      </c>
      <c r="H16" s="593">
        <f t="shared" si="4"/>
        <v>24250000</v>
      </c>
      <c r="I16" s="593">
        <f t="shared" si="4"/>
        <v>25864092</v>
      </c>
      <c r="J16" s="594">
        <f t="shared" si="4"/>
        <v>1761435531</v>
      </c>
    </row>
    <row r="17" s="662" customFormat="1" ht="11.25" x14ac:dyDescent="0.2"/>
    <row r="18" s="662" customFormat="1" ht="11.25" x14ac:dyDescent="0.2"/>
    <row r="19" s="663" customFormat="1" x14ac:dyDescent="0.2"/>
    <row r="20" s="663" customFormat="1" x14ac:dyDescent="0.2"/>
    <row r="21" s="663" customFormat="1" x14ac:dyDescent="0.2"/>
    <row r="22" s="663" customFormat="1" x14ac:dyDescent="0.2"/>
    <row r="23" s="663" customFormat="1" x14ac:dyDescent="0.2"/>
    <row r="24" s="663" customFormat="1" x14ac:dyDescent="0.2"/>
    <row r="25" s="663" customFormat="1" x14ac:dyDescent="0.2"/>
    <row r="26" s="663" customFormat="1" x14ac:dyDescent="0.2"/>
    <row r="33" spans="10:10" x14ac:dyDescent="0.2">
      <c r="J33" s="390"/>
    </row>
  </sheetData>
  <mergeCells count="3">
    <mergeCell ref="A7:A9"/>
    <mergeCell ref="B7:D7"/>
    <mergeCell ref="E7:J7"/>
  </mergeCells>
  <pageMargins left="0.75" right="0.75" top="1" bottom="1" header="0.5" footer="0.5"/>
  <pageSetup paperSize="9" scale="91" fitToHeight="0" orientation="landscape" r:id="rId1"/>
  <headerFooter alignWithMargins="0">
    <oddHeader>&amp;R20. melléklet a 4/2018.(III.29.)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C67" sqref="C67"/>
    </sheetView>
  </sheetViews>
  <sheetFormatPr defaultColWidth="10.6640625" defaultRowHeight="12.75" x14ac:dyDescent="0.2"/>
  <cols>
    <col min="1" max="1" width="10" style="392" customWidth="1"/>
    <col min="2" max="2" width="37.33203125" style="392" customWidth="1"/>
    <col min="3" max="3" width="24.83203125" style="392" customWidth="1"/>
    <col min="4" max="4" width="22.6640625" style="392" customWidth="1"/>
    <col min="5" max="5" width="11.6640625" style="392" bestFit="1" customWidth="1"/>
    <col min="6" max="16384" width="10.6640625" style="392"/>
  </cols>
  <sheetData>
    <row r="1" spans="1:6" ht="15.75" x14ac:dyDescent="0.25">
      <c r="A1" s="391"/>
      <c r="B1" s="391"/>
      <c r="C1" s="391"/>
      <c r="D1" s="595"/>
    </row>
    <row r="2" spans="1:6" ht="15.75" x14ac:dyDescent="0.25">
      <c r="A2" s="391"/>
      <c r="B2" s="391"/>
      <c r="C2" s="391"/>
      <c r="D2" s="393"/>
    </row>
    <row r="3" spans="1:6" ht="15.75" x14ac:dyDescent="0.25">
      <c r="A3" s="391"/>
      <c r="B3" s="391"/>
      <c r="C3" s="391"/>
      <c r="D3" s="595"/>
    </row>
    <row r="4" spans="1:6" ht="15.75" x14ac:dyDescent="0.25">
      <c r="A4" s="391"/>
      <c r="B4" s="391"/>
      <c r="C4" s="391"/>
      <c r="D4" s="596"/>
    </row>
    <row r="5" spans="1:6" ht="15.75" x14ac:dyDescent="0.25">
      <c r="A5" s="391"/>
      <c r="B5" s="391"/>
      <c r="C5" s="391"/>
      <c r="D5" s="596"/>
    </row>
    <row r="6" spans="1:6" ht="15.75" x14ac:dyDescent="0.25">
      <c r="A6" s="391"/>
      <c r="B6" s="391"/>
      <c r="C6" s="391"/>
      <c r="D6" s="597"/>
    </row>
    <row r="7" spans="1:6" ht="19.5" x14ac:dyDescent="0.35">
      <c r="A7" s="394" t="s">
        <v>378</v>
      </c>
      <c r="B7" s="394"/>
      <c r="C7" s="394"/>
      <c r="D7" s="598"/>
    </row>
    <row r="8" spans="1:6" ht="19.5" x14ac:dyDescent="0.35">
      <c r="A8" s="394" t="s">
        <v>607</v>
      </c>
      <c r="B8" s="394"/>
      <c r="C8" s="394"/>
      <c r="D8" s="598"/>
    </row>
    <row r="9" spans="1:6" ht="19.5" x14ac:dyDescent="0.35">
      <c r="A9" s="394"/>
      <c r="B9" s="394"/>
      <c r="C9" s="394"/>
      <c r="D9" s="598"/>
    </row>
    <row r="10" spans="1:6" ht="19.5" x14ac:dyDescent="0.35">
      <c r="A10" s="394"/>
      <c r="B10" s="394"/>
      <c r="C10" s="394"/>
      <c r="D10" s="598"/>
    </row>
    <row r="11" spans="1:6" ht="19.5" x14ac:dyDescent="0.35">
      <c r="A11" s="394"/>
      <c r="B11" s="394"/>
      <c r="C11" s="394"/>
      <c r="D11" s="598"/>
    </row>
    <row r="12" spans="1:6" ht="19.5" x14ac:dyDescent="0.35">
      <c r="A12" s="394"/>
      <c r="B12" s="394"/>
      <c r="C12" s="394"/>
      <c r="D12" s="598"/>
    </row>
    <row r="13" spans="1:6" ht="16.5" thickBot="1" x14ac:dyDescent="0.3">
      <c r="A13" s="391"/>
      <c r="B13" s="391"/>
      <c r="C13" s="391"/>
      <c r="D13" s="599" t="s">
        <v>4</v>
      </c>
    </row>
    <row r="14" spans="1:6" s="398" customFormat="1" ht="33" customHeight="1" thickBot="1" x14ac:dyDescent="0.25">
      <c r="A14" s="395" t="s">
        <v>65</v>
      </c>
      <c r="B14" s="396"/>
      <c r="C14" s="397"/>
      <c r="D14" s="600" t="s">
        <v>58</v>
      </c>
    </row>
    <row r="15" spans="1:6" ht="16.5" thickBot="1" x14ac:dyDescent="0.3">
      <c r="A15" s="762" t="s">
        <v>62</v>
      </c>
      <c r="B15" s="763"/>
      <c r="C15" s="764"/>
      <c r="D15" s="934">
        <v>14978295</v>
      </c>
      <c r="E15" s="399"/>
      <c r="F15" s="400"/>
    </row>
    <row r="16" spans="1:6" ht="15.75" x14ac:dyDescent="0.25">
      <c r="A16" s="756" t="s">
        <v>380</v>
      </c>
      <c r="B16" s="766"/>
      <c r="C16" s="767"/>
      <c r="D16" s="768"/>
      <c r="E16" s="400"/>
      <c r="F16" s="400"/>
    </row>
    <row r="17" spans="1:6" x14ac:dyDescent="0.2">
      <c r="A17" s="603" t="s">
        <v>381</v>
      </c>
      <c r="B17" s="604"/>
      <c r="C17" s="757"/>
      <c r="D17" s="601">
        <v>10000000</v>
      </c>
      <c r="E17" s="605"/>
      <c r="F17" s="602"/>
    </row>
    <row r="18" spans="1:6" x14ac:dyDescent="0.2">
      <c r="A18" s="603" t="s">
        <v>689</v>
      </c>
      <c r="B18" s="604"/>
      <c r="C18" s="757"/>
      <c r="D18" s="601">
        <v>200000</v>
      </c>
      <c r="E18" s="605"/>
      <c r="F18" s="602"/>
    </row>
    <row r="19" spans="1:6" x14ac:dyDescent="0.2">
      <c r="A19" s="603" t="s">
        <v>538</v>
      </c>
      <c r="B19" s="604"/>
      <c r="C19" s="757"/>
      <c r="D19" s="601">
        <v>4504494</v>
      </c>
      <c r="E19" s="605"/>
      <c r="F19" s="607"/>
    </row>
    <row r="20" spans="1:6" x14ac:dyDescent="0.2">
      <c r="A20" s="603" t="s">
        <v>583</v>
      </c>
      <c r="B20" s="604"/>
      <c r="C20" s="757"/>
      <c r="D20" s="601">
        <v>2540590</v>
      </c>
      <c r="E20" s="605"/>
      <c r="F20" s="607"/>
    </row>
    <row r="21" spans="1:6" x14ac:dyDescent="0.2">
      <c r="A21" s="606" t="s">
        <v>405</v>
      </c>
      <c r="B21" s="604"/>
      <c r="C21" s="757"/>
      <c r="D21" s="601">
        <v>36771408</v>
      </c>
      <c r="E21" s="605"/>
      <c r="F21" s="602"/>
    </row>
    <row r="22" spans="1:6" x14ac:dyDescent="0.2">
      <c r="A22" s="695" t="s">
        <v>5</v>
      </c>
      <c r="B22" s="696"/>
      <c r="C22" s="757"/>
      <c r="D22" s="601">
        <v>400000</v>
      </c>
      <c r="E22" s="605"/>
      <c r="F22" s="602"/>
    </row>
    <row r="23" spans="1:6" x14ac:dyDescent="0.2">
      <c r="A23" s="695" t="s">
        <v>592</v>
      </c>
      <c r="B23" s="696"/>
      <c r="C23" s="757"/>
      <c r="D23" s="601">
        <v>846565</v>
      </c>
      <c r="E23" s="605"/>
      <c r="F23" s="602"/>
    </row>
    <row r="24" spans="1:6" x14ac:dyDescent="0.2">
      <c r="A24" s="695" t="s">
        <v>594</v>
      </c>
      <c r="B24" s="696"/>
      <c r="C24" s="757"/>
      <c r="D24" s="601">
        <v>6083465</v>
      </c>
      <c r="E24" s="605"/>
      <c r="F24" s="602"/>
    </row>
    <row r="25" spans="1:6" x14ac:dyDescent="0.2">
      <c r="A25" s="695" t="s">
        <v>688</v>
      </c>
      <c r="B25" s="696"/>
      <c r="C25" s="757"/>
      <c r="D25" s="601">
        <v>4500000</v>
      </c>
      <c r="E25" s="605"/>
      <c r="F25" s="602"/>
    </row>
    <row r="26" spans="1:6" ht="16.5" thickBot="1" x14ac:dyDescent="0.3">
      <c r="A26" s="758" t="s">
        <v>382</v>
      </c>
      <c r="B26" s="759"/>
      <c r="C26" s="760"/>
      <c r="D26" s="761">
        <f>SUM(D17:D25)</f>
        <v>65846522</v>
      </c>
    </row>
    <row r="27" spans="1:6" ht="16.5" thickBot="1" x14ac:dyDescent="0.3">
      <c r="A27" s="769"/>
      <c r="B27" s="770"/>
      <c r="C27" s="771"/>
      <c r="D27" s="771"/>
    </row>
    <row r="28" spans="1:6" ht="16.5" thickBot="1" x14ac:dyDescent="0.3">
      <c r="A28" s="762" t="s">
        <v>383</v>
      </c>
      <c r="B28" s="763"/>
      <c r="C28" s="764"/>
      <c r="D28" s="765">
        <f>SUM(D15,D26)</f>
        <v>80824817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&amp;R21. melléklet a 4/2018.(III.29.)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zoomScale="85" zoomScaleNormal="100" zoomScaleSheetLayoutView="85" zoomScalePageLayoutView="85" workbookViewId="0">
      <selection activeCell="L5" sqref="L5"/>
    </sheetView>
  </sheetViews>
  <sheetFormatPr defaultRowHeight="15.75" x14ac:dyDescent="0.25"/>
  <cols>
    <col min="1" max="1" width="9" style="321" customWidth="1"/>
    <col min="2" max="2" width="75.83203125" style="321" customWidth="1"/>
    <col min="3" max="3" width="16.5" style="881" customWidth="1"/>
    <col min="4" max="4" width="15.5" style="881" customWidth="1"/>
    <col min="5" max="7" width="15.5" style="881" hidden="1" customWidth="1"/>
    <col min="8" max="8" width="15.5" style="881" customWidth="1"/>
    <col min="9" max="9" width="14.33203125" style="305" hidden="1" customWidth="1"/>
    <col min="10" max="10" width="12.6640625" style="305" hidden="1" customWidth="1"/>
    <col min="11" max="11" width="14.33203125" style="305" hidden="1" customWidth="1"/>
    <col min="12" max="16384" width="9.33203125" style="305"/>
  </cols>
  <sheetData>
    <row r="1" spans="1:11" ht="35.25" customHeight="1" x14ac:dyDescent="0.25">
      <c r="A1" s="972" t="s">
        <v>710</v>
      </c>
      <c r="B1" s="973"/>
      <c r="C1" s="973"/>
      <c r="D1" s="973"/>
      <c r="E1" s="973"/>
      <c r="F1" s="973"/>
      <c r="G1" s="973"/>
      <c r="H1" s="973"/>
    </row>
    <row r="3" spans="1:11" ht="15.95" customHeight="1" x14ac:dyDescent="0.25">
      <c r="A3" s="940" t="s">
        <v>19</v>
      </c>
      <c r="B3" s="940"/>
      <c r="C3" s="940"/>
      <c r="D3" s="940"/>
      <c r="E3" s="940"/>
      <c r="F3" s="940"/>
      <c r="G3" s="940"/>
      <c r="H3" s="940"/>
    </row>
    <row r="4" spans="1:11" ht="15.95" customHeight="1" thickBot="1" x14ac:dyDescent="0.3">
      <c r="A4" s="939" t="s">
        <v>127</v>
      </c>
      <c r="B4" s="939"/>
      <c r="C4" s="864"/>
      <c r="D4" s="864"/>
      <c r="E4" s="865"/>
      <c r="F4" s="865"/>
      <c r="G4" s="865"/>
      <c r="H4" s="866" t="s">
        <v>581</v>
      </c>
    </row>
    <row r="5" spans="1:11" ht="38.1" customHeight="1" thickBot="1" x14ac:dyDescent="0.3">
      <c r="A5" s="22" t="s">
        <v>72</v>
      </c>
      <c r="B5" s="23" t="s">
        <v>21</v>
      </c>
      <c r="C5" s="867" t="s">
        <v>690</v>
      </c>
      <c r="D5" s="867" t="s">
        <v>608</v>
      </c>
      <c r="E5" s="868"/>
      <c r="F5" s="868"/>
      <c r="G5" s="868"/>
      <c r="H5" s="869" t="s">
        <v>600</v>
      </c>
    </row>
    <row r="6" spans="1:11" s="306" customFormat="1" ht="12" customHeight="1" thickBot="1" x14ac:dyDescent="0.25">
      <c r="A6" s="26" t="s">
        <v>446</v>
      </c>
      <c r="B6" s="27" t="s">
        <v>447</v>
      </c>
      <c r="C6" s="799" t="s">
        <v>448</v>
      </c>
      <c r="D6" s="799" t="s">
        <v>501</v>
      </c>
      <c r="E6" s="870"/>
      <c r="F6" s="870"/>
      <c r="G6" s="870"/>
      <c r="H6" s="840" t="s">
        <v>502</v>
      </c>
    </row>
    <row r="7" spans="1:11" s="308" customFormat="1" ht="12" customHeight="1" thickBot="1" x14ac:dyDescent="0.25">
      <c r="A7" s="19" t="s">
        <v>22</v>
      </c>
      <c r="B7" s="20" t="s">
        <v>192</v>
      </c>
      <c r="C7" s="799">
        <f>SUM(C8:C13)</f>
        <v>1024115149</v>
      </c>
      <c r="D7" s="800">
        <f>SUM(D8:D13)</f>
        <v>1157368280</v>
      </c>
      <c r="E7" s="801">
        <f>+E8+E9+E10+E11+E12+E13</f>
        <v>1133144785</v>
      </c>
      <c r="F7" s="800">
        <f>+F8+F9+F10+F11+F12+F13</f>
        <v>0</v>
      </c>
      <c r="G7" s="800">
        <f>+G8+G9+G10+G11+G12+G13</f>
        <v>0</v>
      </c>
      <c r="H7" s="130">
        <f>SUM(I7:K7)</f>
        <v>1318891068</v>
      </c>
      <c r="I7" s="307">
        <f>+I8+I9+I10+I11+I12+I13</f>
        <v>1318891068</v>
      </c>
      <c r="J7" s="130">
        <f>+J8+J9+J10+J11+J12+J13</f>
        <v>0</v>
      </c>
      <c r="K7" s="130">
        <f>+K8+K9+K10+K11+K12+K13</f>
        <v>0</v>
      </c>
    </row>
    <row r="8" spans="1:11" s="308" customFormat="1" ht="12" customHeight="1" x14ac:dyDescent="0.2">
      <c r="A8" s="14" t="s">
        <v>100</v>
      </c>
      <c r="B8" s="350" t="s">
        <v>193</v>
      </c>
      <c r="C8" s="802">
        <v>231987612</v>
      </c>
      <c r="D8" s="803">
        <f>SUM(E8:G8)+905743</f>
        <v>228418282</v>
      </c>
      <c r="E8" s="804">
        <v>227512539</v>
      </c>
      <c r="F8" s="805"/>
      <c r="G8" s="805"/>
      <c r="H8" s="889">
        <f t="shared" ref="H8:H71" si="0">SUM(I8:K8)</f>
        <v>227855923</v>
      </c>
      <c r="I8" s="249">
        <v>227855923</v>
      </c>
      <c r="J8" s="249"/>
      <c r="K8" s="249"/>
    </row>
    <row r="9" spans="1:11" s="308" customFormat="1" ht="12" customHeight="1" x14ac:dyDescent="0.2">
      <c r="A9" s="13" t="s">
        <v>101</v>
      </c>
      <c r="B9" s="351" t="s">
        <v>194</v>
      </c>
      <c r="C9" s="806">
        <v>218221810</v>
      </c>
      <c r="D9" s="807">
        <f>SUM(E9:G9)+10461768-4721982-4278000</f>
        <v>219569080</v>
      </c>
      <c r="E9" s="808">
        <v>218107294</v>
      </c>
      <c r="F9" s="809"/>
      <c r="G9" s="809"/>
      <c r="H9" s="363">
        <f t="shared" si="0"/>
        <v>224734134</v>
      </c>
      <c r="I9" s="134">
        <v>224734134</v>
      </c>
      <c r="J9" s="134"/>
      <c r="K9" s="134"/>
    </row>
    <row r="10" spans="1:11" s="308" customFormat="1" ht="12" customHeight="1" x14ac:dyDescent="0.2">
      <c r="A10" s="13" t="s">
        <v>102</v>
      </c>
      <c r="B10" s="351" t="s">
        <v>195</v>
      </c>
      <c r="C10" s="806">
        <v>534266192</v>
      </c>
      <c r="D10" s="807">
        <f>SUM(E10:G10)-35761000-1921230+31350000</f>
        <v>597207802</v>
      </c>
      <c r="E10" s="808">
        <f>121200000+67844165+118423160+15562200+177597260+4526280+11511000+24250000+62625967</f>
        <v>603540032</v>
      </c>
      <c r="F10" s="809"/>
      <c r="G10" s="809"/>
      <c r="H10" s="363">
        <f t="shared" si="0"/>
        <v>565964345</v>
      </c>
      <c r="I10" s="134">
        <f>126991000+65060600+119410000+192410145+62092600</f>
        <v>565964345</v>
      </c>
      <c r="J10" s="134"/>
      <c r="K10" s="134"/>
    </row>
    <row r="11" spans="1:11" s="308" customFormat="1" ht="12" customHeight="1" x14ac:dyDescent="0.2">
      <c r="A11" s="13" t="s">
        <v>103</v>
      </c>
      <c r="B11" s="351" t="s">
        <v>196</v>
      </c>
      <c r="C11" s="806">
        <v>26942276</v>
      </c>
      <c r="D11" s="807">
        <f>SUM(E11:G11)-4412740+4412740+1038248</f>
        <v>31342308</v>
      </c>
      <c r="E11" s="808">
        <f>4412740+15262320+10629000</f>
        <v>30304060</v>
      </c>
      <c r="F11" s="809"/>
      <c r="G11" s="809"/>
      <c r="H11" s="363">
        <f t="shared" si="0"/>
        <v>28744040</v>
      </c>
      <c r="I11" s="134">
        <f>16122040+12622000</f>
        <v>28744040</v>
      </c>
      <c r="J11" s="134"/>
      <c r="K11" s="134"/>
    </row>
    <row r="12" spans="1:11" s="308" customFormat="1" ht="12" customHeight="1" x14ac:dyDescent="0.2">
      <c r="A12" s="13" t="s">
        <v>124</v>
      </c>
      <c r="B12" s="773" t="s">
        <v>449</v>
      </c>
      <c r="C12" s="806">
        <v>1738907</v>
      </c>
      <c r="D12" s="807">
        <f>SUM(E12:G12)+23885805+49094027+4501192-4412740-15000000+306000-31224336</f>
        <v>80830808</v>
      </c>
      <c r="E12" s="808">
        <f>3551000+1060845+168707597+58000+128000-119824582</f>
        <v>53680860</v>
      </c>
      <c r="F12" s="809"/>
      <c r="G12" s="809"/>
      <c r="H12" s="503">
        <f t="shared" si="0"/>
        <v>271592626</v>
      </c>
      <c r="I12" s="134">
        <f>16254886+63796813+190231327+1309600</f>
        <v>271592626</v>
      </c>
      <c r="J12" s="134"/>
      <c r="K12" s="134"/>
    </row>
    <row r="13" spans="1:11" s="308" customFormat="1" ht="12" customHeight="1" thickBot="1" x14ac:dyDescent="0.25">
      <c r="A13" s="15" t="s">
        <v>104</v>
      </c>
      <c r="B13" s="774" t="s">
        <v>450</v>
      </c>
      <c r="C13" s="810">
        <v>10958352</v>
      </c>
      <c r="D13" s="811">
        <f>SUM(E13:G13)</f>
        <v>0</v>
      </c>
      <c r="E13" s="812"/>
      <c r="F13" s="813"/>
      <c r="G13" s="813"/>
      <c r="H13" s="890">
        <f t="shared" si="0"/>
        <v>0</v>
      </c>
      <c r="I13" s="115"/>
      <c r="J13" s="131"/>
      <c r="K13" s="131"/>
    </row>
    <row r="14" spans="1:11" s="308" customFormat="1" ht="12" customHeight="1" thickBot="1" x14ac:dyDescent="0.25">
      <c r="A14" s="19" t="s">
        <v>23</v>
      </c>
      <c r="B14" s="775" t="s">
        <v>197</v>
      </c>
      <c r="C14" s="814">
        <v>710827871</v>
      </c>
      <c r="D14" s="801">
        <f>SUM(D15:D19)</f>
        <v>335849323</v>
      </c>
      <c r="E14" s="801">
        <f>+E15+E16+E17+E18+E19</f>
        <v>-145452435</v>
      </c>
      <c r="F14" s="800">
        <f>+F15+F16+F17+F18+F19</f>
        <v>0</v>
      </c>
      <c r="G14" s="800">
        <f>+G15+G16+G17+G18+G19</f>
        <v>5485000</v>
      </c>
      <c r="H14" s="130">
        <f t="shared" si="0"/>
        <v>180621440</v>
      </c>
      <c r="I14" s="307">
        <f>+I15+I16+I17+I18+I19</f>
        <v>158012668</v>
      </c>
      <c r="J14" s="130">
        <f>+J15+J16+J17+J18+J19</f>
        <v>3096237</v>
      </c>
      <c r="K14" s="130">
        <f>+K15+K16+K17+K18+K19</f>
        <v>19512535</v>
      </c>
    </row>
    <row r="15" spans="1:11" s="308" customFormat="1" ht="12" customHeight="1" x14ac:dyDescent="0.2">
      <c r="A15" s="14" t="s">
        <v>106</v>
      </c>
      <c r="B15" s="350" t="s">
        <v>198</v>
      </c>
      <c r="C15" s="806"/>
      <c r="D15" s="803">
        <f>SUM(E15:G15)</f>
        <v>0</v>
      </c>
      <c r="E15" s="815"/>
      <c r="F15" s="816"/>
      <c r="G15" s="816"/>
      <c r="H15" s="885">
        <f t="shared" si="0"/>
        <v>0</v>
      </c>
      <c r="I15" s="309"/>
      <c r="J15" s="132"/>
      <c r="K15" s="132"/>
    </row>
    <row r="16" spans="1:11" s="308" customFormat="1" ht="12" customHeight="1" x14ac:dyDescent="0.2">
      <c r="A16" s="13" t="s">
        <v>107</v>
      </c>
      <c r="B16" s="351" t="s">
        <v>199</v>
      </c>
      <c r="C16" s="806"/>
      <c r="D16" s="817">
        <f>SUM(E16:G16)</f>
        <v>0</v>
      </c>
      <c r="E16" s="812"/>
      <c r="F16" s="813"/>
      <c r="G16" s="813"/>
      <c r="H16" s="363">
        <f t="shared" si="0"/>
        <v>0</v>
      </c>
      <c r="I16" s="115"/>
      <c r="J16" s="131"/>
      <c r="K16" s="131"/>
    </row>
    <row r="17" spans="1:11" s="308" customFormat="1" ht="12" customHeight="1" x14ac:dyDescent="0.2">
      <c r="A17" s="13" t="s">
        <v>108</v>
      </c>
      <c r="B17" s="351" t="s">
        <v>368</v>
      </c>
      <c r="C17" s="806"/>
      <c r="D17" s="807">
        <f>SUM(E17:G17)</f>
        <v>0</v>
      </c>
      <c r="E17" s="812"/>
      <c r="F17" s="813"/>
      <c r="G17" s="813"/>
      <c r="H17" s="363">
        <f t="shared" si="0"/>
        <v>0</v>
      </c>
      <c r="I17" s="115"/>
      <c r="J17" s="131"/>
      <c r="K17" s="131"/>
    </row>
    <row r="18" spans="1:11" s="308" customFormat="1" ht="12" customHeight="1" x14ac:dyDescent="0.2">
      <c r="A18" s="13" t="s">
        <v>109</v>
      </c>
      <c r="B18" s="351" t="s">
        <v>369</v>
      </c>
      <c r="C18" s="806"/>
      <c r="D18" s="807">
        <f>SUM(E18:G18)</f>
        <v>0</v>
      </c>
      <c r="E18" s="812"/>
      <c r="F18" s="813"/>
      <c r="G18" s="813"/>
      <c r="H18" s="363">
        <f t="shared" si="0"/>
        <v>0</v>
      </c>
      <c r="I18" s="115"/>
      <c r="J18" s="131"/>
      <c r="K18" s="131"/>
    </row>
    <row r="19" spans="1:11" s="308" customFormat="1" ht="12" customHeight="1" x14ac:dyDescent="0.2">
      <c r="A19" s="13" t="s">
        <v>110</v>
      </c>
      <c r="B19" s="351" t="s">
        <v>200</v>
      </c>
      <c r="C19" s="806">
        <v>710827871</v>
      </c>
      <c r="D19" s="807">
        <f>SUM(E19:G19)+326152588+94906504+10325405+7215044+33734217+3483000</f>
        <v>335849323</v>
      </c>
      <c r="E19" s="808">
        <f>2285000+210000+110446000+65342000-323735435</f>
        <v>-145452435</v>
      </c>
      <c r="F19" s="809"/>
      <c r="G19" s="809">
        <v>5485000</v>
      </c>
      <c r="H19" s="503">
        <f t="shared" si="0"/>
        <v>180621440</v>
      </c>
      <c r="I19" s="290">
        <f>3900000+4320000+125887110+24250000-344442</f>
        <v>158012668</v>
      </c>
      <c r="J19" s="287">
        <v>3096237</v>
      </c>
      <c r="K19" s="134">
        <v>19512535</v>
      </c>
    </row>
    <row r="20" spans="1:11" s="308" customFormat="1" ht="12" customHeight="1" thickBot="1" x14ac:dyDescent="0.25">
      <c r="A20" s="15" t="s">
        <v>119</v>
      </c>
      <c r="B20" s="774" t="s">
        <v>201</v>
      </c>
      <c r="C20" s="810"/>
      <c r="D20" s="811">
        <f>374405+16502729</f>
        <v>16877134</v>
      </c>
      <c r="E20" s="818"/>
      <c r="F20" s="819"/>
      <c r="G20" s="819"/>
      <c r="H20" s="890">
        <f t="shared" si="0"/>
        <v>399535</v>
      </c>
      <c r="I20" s="289"/>
      <c r="J20" s="200"/>
      <c r="K20" s="200">
        <v>399535</v>
      </c>
    </row>
    <row r="21" spans="1:11" s="308" customFormat="1" ht="12" customHeight="1" thickBot="1" x14ac:dyDescent="0.25">
      <c r="A21" s="19" t="s">
        <v>24</v>
      </c>
      <c r="B21" s="772" t="s">
        <v>202</v>
      </c>
      <c r="C21" s="814">
        <v>92052777</v>
      </c>
      <c r="D21" s="801">
        <f>SUM(D22:D26)</f>
        <v>532260298</v>
      </c>
      <c r="E21" s="801">
        <f>+E22+E23+E24+E25+E26</f>
        <v>-11381976</v>
      </c>
      <c r="F21" s="800">
        <f>+F22+F23+F24+F25+F26</f>
        <v>0</v>
      </c>
      <c r="G21" s="800">
        <f>+G22+G23+G24+G25+G26</f>
        <v>0</v>
      </c>
      <c r="H21" s="130">
        <f t="shared" si="0"/>
        <v>13442271</v>
      </c>
      <c r="I21" s="307">
        <f>+I22+I23+I24+I25+I26</f>
        <v>13442271</v>
      </c>
      <c r="J21" s="130">
        <f>+J22+J23+J24+J25+J26</f>
        <v>0</v>
      </c>
      <c r="K21" s="130">
        <f>+K22+K23+K24+K25+K26</f>
        <v>0</v>
      </c>
    </row>
    <row r="22" spans="1:11" s="308" customFormat="1" ht="12" customHeight="1" x14ac:dyDescent="0.2">
      <c r="A22" s="14" t="s">
        <v>89</v>
      </c>
      <c r="B22" s="350" t="s">
        <v>203</v>
      </c>
      <c r="C22" s="806">
        <v>20850665</v>
      </c>
      <c r="D22" s="803">
        <f>SUM(E22:G22)+15690532</f>
        <v>15690532</v>
      </c>
      <c r="E22" s="820"/>
      <c r="F22" s="821"/>
      <c r="G22" s="821"/>
      <c r="H22" s="885">
        <f t="shared" si="0"/>
        <v>0</v>
      </c>
      <c r="I22" s="353"/>
      <c r="J22" s="284"/>
      <c r="K22" s="284"/>
    </row>
    <row r="23" spans="1:11" s="308" customFormat="1" ht="12" customHeight="1" x14ac:dyDescent="0.2">
      <c r="A23" s="13" t="s">
        <v>90</v>
      </c>
      <c r="B23" s="351" t="s">
        <v>204</v>
      </c>
      <c r="C23" s="806"/>
      <c r="D23" s="817">
        <f>SUM(E23:G23)</f>
        <v>0</v>
      </c>
      <c r="E23" s="808"/>
      <c r="F23" s="809"/>
      <c r="G23" s="809"/>
      <c r="H23" s="886">
        <f t="shared" si="0"/>
        <v>0</v>
      </c>
      <c r="I23" s="285"/>
      <c r="J23" s="134"/>
      <c r="K23" s="134"/>
    </row>
    <row r="24" spans="1:11" s="308" customFormat="1" ht="12" customHeight="1" x14ac:dyDescent="0.2">
      <c r="A24" s="13" t="s">
        <v>91</v>
      </c>
      <c r="B24" s="351" t="s">
        <v>370</v>
      </c>
      <c r="C24" s="806"/>
      <c r="D24" s="817">
        <f>SUM(E24:G24)</f>
        <v>0</v>
      </c>
      <c r="E24" s="808"/>
      <c r="F24" s="809"/>
      <c r="G24" s="809"/>
      <c r="H24" s="363">
        <f t="shared" si="0"/>
        <v>0</v>
      </c>
      <c r="I24" s="285"/>
      <c r="J24" s="134"/>
      <c r="K24" s="134"/>
    </row>
    <row r="25" spans="1:11" s="308" customFormat="1" ht="12" customHeight="1" x14ac:dyDescent="0.2">
      <c r="A25" s="13" t="s">
        <v>92</v>
      </c>
      <c r="B25" s="351" t="s">
        <v>371</v>
      </c>
      <c r="C25" s="806"/>
      <c r="D25" s="817">
        <f>SUM(E25:G25)</f>
        <v>0</v>
      </c>
      <c r="E25" s="808"/>
      <c r="F25" s="809"/>
      <c r="G25" s="809"/>
      <c r="H25" s="363">
        <f t="shared" si="0"/>
        <v>0</v>
      </c>
      <c r="I25" s="285"/>
      <c r="J25" s="134"/>
      <c r="K25" s="134"/>
    </row>
    <row r="26" spans="1:11" s="308" customFormat="1" ht="12" customHeight="1" x14ac:dyDescent="0.2">
      <c r="A26" s="13" t="s">
        <v>135</v>
      </c>
      <c r="B26" s="351" t="s">
        <v>205</v>
      </c>
      <c r="C26" s="806">
        <v>71202112</v>
      </c>
      <c r="D26" s="817">
        <f>SUM(E26:G26)+15179276+93705029+216916507+202150930</f>
        <v>516569766</v>
      </c>
      <c r="E26" s="808">
        <f>3797300-15179276</f>
        <v>-11381976</v>
      </c>
      <c r="F26" s="809"/>
      <c r="G26" s="809"/>
      <c r="H26" s="503">
        <f t="shared" si="0"/>
        <v>13442271</v>
      </c>
      <c r="I26" s="285">
        <f>5866130+3779393+3796748</f>
        <v>13442271</v>
      </c>
      <c r="J26" s="134"/>
      <c r="K26" s="134"/>
    </row>
    <row r="27" spans="1:11" s="308" customFormat="1" ht="12" customHeight="1" thickBot="1" x14ac:dyDescent="0.25">
      <c r="A27" s="15" t="s">
        <v>136</v>
      </c>
      <c r="B27" s="352" t="s">
        <v>206</v>
      </c>
      <c r="C27" s="810">
        <v>71149405</v>
      </c>
      <c r="D27" s="822">
        <f>SUM(E27:G27)+91545029+214128350+202150930</f>
        <v>511621609</v>
      </c>
      <c r="E27" s="818">
        <v>3797300</v>
      </c>
      <c r="F27" s="819"/>
      <c r="G27" s="819"/>
      <c r="H27" s="891">
        <f t="shared" si="0"/>
        <v>13442271</v>
      </c>
      <c r="I27" s="289">
        <f>9645523+3796748</f>
        <v>13442271</v>
      </c>
      <c r="J27" s="200"/>
      <c r="K27" s="200"/>
    </row>
    <row r="28" spans="1:11" s="308" customFormat="1" ht="12" customHeight="1" thickBot="1" x14ac:dyDescent="0.25">
      <c r="A28" s="19" t="s">
        <v>137</v>
      </c>
      <c r="B28" s="772" t="s">
        <v>207</v>
      </c>
      <c r="C28" s="814">
        <f>C29+C33+C34+C35</f>
        <v>356945262</v>
      </c>
      <c r="D28" s="801">
        <f>SUM(D29)+SUM(D32:D35)</f>
        <v>366490000</v>
      </c>
      <c r="E28" s="823">
        <f>+E29+E33+E34+E35</f>
        <v>329390000</v>
      </c>
      <c r="F28" s="824">
        <f>+F29+F33+F34+F35</f>
        <v>0</v>
      </c>
      <c r="G28" s="824">
        <f>+G29+G33+G34+G35</f>
        <v>0</v>
      </c>
      <c r="H28" s="130">
        <f t="shared" si="0"/>
        <v>352658000</v>
      </c>
      <c r="I28" s="310">
        <f>+I29+I33+I34+I35</f>
        <v>352658000</v>
      </c>
      <c r="J28" s="135">
        <f>+J29+J33+J34+J35</f>
        <v>0</v>
      </c>
      <c r="K28" s="135">
        <f>+K29+K33+K34+K35</f>
        <v>0</v>
      </c>
    </row>
    <row r="29" spans="1:11" s="308" customFormat="1" ht="12" customHeight="1" x14ac:dyDescent="0.2">
      <c r="A29" s="14" t="s">
        <v>208</v>
      </c>
      <c r="B29" s="350" t="s">
        <v>6</v>
      </c>
      <c r="C29" s="806">
        <f>SUM(C30:C32)</f>
        <v>320366432</v>
      </c>
      <c r="D29" s="803">
        <f>SUM(D30:D31)</f>
        <v>327830000</v>
      </c>
      <c r="E29" s="803">
        <f>SUM(E30:E32)</f>
        <v>292830000</v>
      </c>
      <c r="F29" s="825"/>
      <c r="G29" s="825"/>
      <c r="H29" s="889">
        <f t="shared" si="0"/>
        <v>308654000</v>
      </c>
      <c r="I29" s="354">
        <f>SUM(I30:I32)</f>
        <v>308654000</v>
      </c>
      <c r="J29" s="206"/>
      <c r="K29" s="206"/>
    </row>
    <row r="30" spans="1:11" s="308" customFormat="1" ht="12" customHeight="1" x14ac:dyDescent="0.2">
      <c r="A30" s="13" t="s">
        <v>211</v>
      </c>
      <c r="B30" s="351" t="s">
        <v>8</v>
      </c>
      <c r="C30" s="806">
        <v>78837793</v>
      </c>
      <c r="D30" s="817">
        <f>SUM(E30:G30)</f>
        <v>78990000</v>
      </c>
      <c r="E30" s="812">
        <f>8990000+70000000</f>
        <v>78990000</v>
      </c>
      <c r="F30" s="813"/>
      <c r="G30" s="813"/>
      <c r="H30" s="363">
        <f t="shared" si="0"/>
        <v>77500000</v>
      </c>
      <c r="I30" s="115">
        <f>7500000+70000000</f>
        <v>77500000</v>
      </c>
      <c r="J30" s="131"/>
      <c r="K30" s="131"/>
    </row>
    <row r="31" spans="1:11" s="308" customFormat="1" ht="12" customHeight="1" x14ac:dyDescent="0.2">
      <c r="A31" s="13" t="s">
        <v>212</v>
      </c>
      <c r="B31" s="351" t="s">
        <v>554</v>
      </c>
      <c r="C31" s="806">
        <v>241343096</v>
      </c>
      <c r="D31" s="807">
        <f>SUM(E31:G31)+35000000</f>
        <v>248840000</v>
      </c>
      <c r="E31" s="812">
        <f>203840000+10000000</f>
        <v>213840000</v>
      </c>
      <c r="F31" s="813"/>
      <c r="G31" s="813"/>
      <c r="H31" s="363">
        <f t="shared" si="0"/>
        <v>231154000</v>
      </c>
      <c r="I31" s="115">
        <v>231154000</v>
      </c>
      <c r="J31" s="131"/>
      <c r="K31" s="131"/>
    </row>
    <row r="32" spans="1:11" s="308" customFormat="1" ht="12" customHeight="1" x14ac:dyDescent="0.2">
      <c r="A32" s="13" t="s">
        <v>213</v>
      </c>
      <c r="B32" s="351" t="s">
        <v>7</v>
      </c>
      <c r="C32" s="806">
        <v>185543</v>
      </c>
      <c r="D32" s="817">
        <f>SUM(E32:G32)</f>
        <v>0</v>
      </c>
      <c r="E32" s="808"/>
      <c r="F32" s="809"/>
      <c r="G32" s="809"/>
      <c r="H32" s="363">
        <f t="shared" si="0"/>
        <v>0</v>
      </c>
      <c r="I32" s="285"/>
      <c r="J32" s="134"/>
      <c r="K32" s="134"/>
    </row>
    <row r="33" spans="1:11" s="308" customFormat="1" ht="12" customHeight="1" x14ac:dyDescent="0.2">
      <c r="A33" s="13" t="s">
        <v>553</v>
      </c>
      <c r="B33" s="351" t="s">
        <v>216</v>
      </c>
      <c r="C33" s="806">
        <v>27707080</v>
      </c>
      <c r="D33" s="817">
        <f>SUM(E33:G33)</f>
        <v>27000000</v>
      </c>
      <c r="E33" s="812">
        <f>27000000</f>
        <v>27000000</v>
      </c>
      <c r="F33" s="813"/>
      <c r="G33" s="813"/>
      <c r="H33" s="363">
        <f t="shared" si="0"/>
        <v>28000000</v>
      </c>
      <c r="I33" s="115">
        <v>28000000</v>
      </c>
      <c r="J33" s="131"/>
      <c r="K33" s="131"/>
    </row>
    <row r="34" spans="1:11" s="308" customFormat="1" ht="12" customHeight="1" x14ac:dyDescent="0.2">
      <c r="A34" s="13" t="s">
        <v>567</v>
      </c>
      <c r="B34" s="351" t="s">
        <v>217</v>
      </c>
      <c r="C34" s="806">
        <v>3865671</v>
      </c>
      <c r="D34" s="817">
        <f>SUM(E34:G34)-4000000</f>
        <v>60000</v>
      </c>
      <c r="E34" s="812">
        <v>4060000</v>
      </c>
      <c r="F34" s="813"/>
      <c r="G34" s="813"/>
      <c r="H34" s="363">
        <f t="shared" si="0"/>
        <v>4504000</v>
      </c>
      <c r="I34" s="115">
        <f>4000+4500000</f>
        <v>4504000</v>
      </c>
      <c r="J34" s="131"/>
      <c r="K34" s="131"/>
    </row>
    <row r="35" spans="1:11" s="308" customFormat="1" ht="12" customHeight="1" thickBot="1" x14ac:dyDescent="0.25">
      <c r="A35" s="15" t="s">
        <v>568</v>
      </c>
      <c r="B35" s="352" t="s">
        <v>218</v>
      </c>
      <c r="C35" s="810">
        <v>5006079</v>
      </c>
      <c r="D35" s="822">
        <f>SUM(E35:G35)+4000000+2100000</f>
        <v>11600000</v>
      </c>
      <c r="E35" s="818">
        <v>5500000</v>
      </c>
      <c r="F35" s="819"/>
      <c r="G35" s="819"/>
      <c r="H35" s="890">
        <f t="shared" si="0"/>
        <v>11500000</v>
      </c>
      <c r="I35" s="289">
        <f>1500000+2000000+1000000+7000000</f>
        <v>11500000</v>
      </c>
      <c r="J35" s="200"/>
      <c r="K35" s="200"/>
    </row>
    <row r="36" spans="1:11" s="308" customFormat="1" ht="12" customHeight="1" thickBot="1" x14ac:dyDescent="0.25">
      <c r="A36" s="19" t="s">
        <v>26</v>
      </c>
      <c r="B36" s="772" t="s">
        <v>454</v>
      </c>
      <c r="C36" s="814">
        <f>SUM(C37:C47)</f>
        <v>438590106</v>
      </c>
      <c r="D36" s="801">
        <f>SUM(D37:D47)</f>
        <v>464679145</v>
      </c>
      <c r="E36" s="801">
        <f>SUM(E37:E47)</f>
        <v>54395907</v>
      </c>
      <c r="F36" s="800">
        <f>SUM(F37:F47)</f>
        <v>9416500</v>
      </c>
      <c r="G36" s="800">
        <f>SUM(G37:G47)</f>
        <v>385266178</v>
      </c>
      <c r="H36" s="130">
        <f t="shared" si="0"/>
        <v>431892325</v>
      </c>
      <c r="I36" s="307">
        <f>SUM(I37:I47)</f>
        <v>40852127</v>
      </c>
      <c r="J36" s="130">
        <f>SUM(J37:J47)</f>
        <v>8419440</v>
      </c>
      <c r="K36" s="130">
        <f>SUM(K37:K47)</f>
        <v>382620758</v>
      </c>
    </row>
    <row r="37" spans="1:11" s="308" customFormat="1" ht="12" customHeight="1" x14ac:dyDescent="0.2">
      <c r="A37" s="14" t="s">
        <v>93</v>
      </c>
      <c r="B37" s="350" t="s">
        <v>221</v>
      </c>
      <c r="C37" s="806">
        <v>13801743</v>
      </c>
      <c r="D37" s="826">
        <f>SUM(E37:G37)+5500000+275371-130000+3954000</f>
        <v>19744849</v>
      </c>
      <c r="E37" s="804">
        <f>3937000+4000000+5000000-2941522</f>
        <v>9995478</v>
      </c>
      <c r="F37" s="805"/>
      <c r="G37" s="805">
        <v>150000</v>
      </c>
      <c r="H37" s="889">
        <f t="shared" si="0"/>
        <v>12179000</v>
      </c>
      <c r="I37" s="313">
        <v>12159000</v>
      </c>
      <c r="J37" s="249"/>
      <c r="K37" s="249">
        <v>20000</v>
      </c>
    </row>
    <row r="38" spans="1:11" s="308" customFormat="1" ht="12" customHeight="1" x14ac:dyDescent="0.2">
      <c r="A38" s="13" t="s">
        <v>94</v>
      </c>
      <c r="B38" s="351" t="s">
        <v>222</v>
      </c>
      <c r="C38" s="806">
        <v>92246962</v>
      </c>
      <c r="D38" s="807">
        <f>SUM(E38:G38)+1813568-195228+4055000-5885856+1800934</f>
        <v>96708620</v>
      </c>
      <c r="E38" s="808">
        <f>100000+12004000+160000+7128864</f>
        <v>19392864</v>
      </c>
      <c r="F38" s="809">
        <v>7533500</v>
      </c>
      <c r="G38" s="805">
        <v>68193838</v>
      </c>
      <c r="H38" s="363">
        <f t="shared" si="0"/>
        <v>72301925</v>
      </c>
      <c r="I38" s="285">
        <f>13910169+100000</f>
        <v>14010169</v>
      </c>
      <c r="J38" s="134">
        <f>500000+1198440+380000+4150000</f>
        <v>6228440</v>
      </c>
      <c r="K38" s="249">
        <v>52063316</v>
      </c>
    </row>
    <row r="39" spans="1:11" s="308" customFormat="1" ht="12" customHeight="1" x14ac:dyDescent="0.2">
      <c r="A39" s="13" t="s">
        <v>95</v>
      </c>
      <c r="B39" s="351" t="s">
        <v>223</v>
      </c>
      <c r="C39" s="806">
        <v>87133464</v>
      </c>
      <c r="D39" s="807">
        <f>SUM(E39:G39)+1061599-195228+364027-3376000-189000-42520+2246520</f>
        <v>95492738</v>
      </c>
      <c r="E39" s="808">
        <f>8458000+947000</f>
        <v>9405000</v>
      </c>
      <c r="F39" s="809">
        <v>500000</v>
      </c>
      <c r="G39" s="805">
        <v>85718340</v>
      </c>
      <c r="H39" s="503">
        <f t="shared" si="0"/>
        <v>103069200</v>
      </c>
      <c r="I39" s="285">
        <f>500000+300000+50000+1400000+947000+300000+52200</f>
        <v>3549200</v>
      </c>
      <c r="J39" s="134">
        <v>300000</v>
      </c>
      <c r="K39" s="249">
        <v>99220000</v>
      </c>
    </row>
    <row r="40" spans="1:11" s="308" customFormat="1" ht="12" customHeight="1" x14ac:dyDescent="0.2">
      <c r="A40" s="13" t="s">
        <v>139</v>
      </c>
      <c r="B40" s="351" t="s">
        <v>224</v>
      </c>
      <c r="C40" s="806">
        <v>7452660</v>
      </c>
      <c r="D40" s="807">
        <f>SUM(E40:G40)</f>
        <v>430000</v>
      </c>
      <c r="E40" s="808">
        <f>430000</f>
        <v>430000</v>
      </c>
      <c r="F40" s="809"/>
      <c r="G40" s="805"/>
      <c r="H40" s="363">
        <f t="shared" si="0"/>
        <v>430000</v>
      </c>
      <c r="I40" s="285">
        <v>430000</v>
      </c>
      <c r="J40" s="134"/>
      <c r="K40" s="249"/>
    </row>
    <row r="41" spans="1:11" s="308" customFormat="1" ht="12" customHeight="1" x14ac:dyDescent="0.2">
      <c r="A41" s="13" t="s">
        <v>140</v>
      </c>
      <c r="B41" s="351" t="s">
        <v>225</v>
      </c>
      <c r="C41" s="806">
        <v>175650577</v>
      </c>
      <c r="D41" s="807">
        <f>SUM(E41:G41)-1800934</f>
        <v>176438468</v>
      </c>
      <c r="E41" s="808"/>
      <c r="F41" s="809"/>
      <c r="G41" s="805">
        <f>182811402-4572000</f>
        <v>178239402</v>
      </c>
      <c r="H41" s="363">
        <f t="shared" si="0"/>
        <v>179085653</v>
      </c>
      <c r="I41" s="285"/>
      <c r="J41" s="134"/>
      <c r="K41" s="249">
        <v>179085653</v>
      </c>
    </row>
    <row r="42" spans="1:11" s="308" customFormat="1" ht="12" customHeight="1" x14ac:dyDescent="0.2">
      <c r="A42" s="13" t="s">
        <v>141</v>
      </c>
      <c r="B42" s="351" t="s">
        <v>226</v>
      </c>
      <c r="C42" s="806">
        <v>40626143</v>
      </c>
      <c r="D42" s="807">
        <f>SUM(E42:G42)+270000+1485000+976640+195228+195228+246410+2609072+189000+42520-2463811</f>
        <v>50887450</v>
      </c>
      <c r="E42" s="808">
        <f>1063000+3242000+5853000+44000+378000+600000+1350000+1408565</f>
        <v>13938565</v>
      </c>
      <c r="F42" s="809">
        <v>1283000</v>
      </c>
      <c r="G42" s="805">
        <v>31920598</v>
      </c>
      <c r="H42" s="503">
        <f t="shared" si="0"/>
        <v>44824383</v>
      </c>
      <c r="I42" s="285">
        <f>3283000+5162000+81000+13500+378000+81000+14094</f>
        <v>9012594</v>
      </c>
      <c r="J42" s="134">
        <f>135000+324000+103000+1229000</f>
        <v>1791000</v>
      </c>
      <c r="K42" s="249">
        <v>34020789</v>
      </c>
    </row>
    <row r="43" spans="1:11" s="308" customFormat="1" ht="12" customHeight="1" x14ac:dyDescent="0.2">
      <c r="A43" s="13" t="s">
        <v>142</v>
      </c>
      <c r="B43" s="351" t="s">
        <v>227</v>
      </c>
      <c r="C43" s="806">
        <v>19170000</v>
      </c>
      <c r="D43" s="807">
        <f>SUM(E43:G43)-1286000+1924793</f>
        <v>21672793</v>
      </c>
      <c r="E43" s="808"/>
      <c r="F43" s="809"/>
      <c r="G43" s="805">
        <v>21034000</v>
      </c>
      <c r="H43" s="363">
        <f t="shared" si="0"/>
        <v>18210000</v>
      </c>
      <c r="I43" s="285"/>
      <c r="J43" s="134"/>
      <c r="K43" s="249">
        <v>18210000</v>
      </c>
    </row>
    <row r="44" spans="1:11" s="308" customFormat="1" ht="12" customHeight="1" x14ac:dyDescent="0.2">
      <c r="A44" s="13" t="s">
        <v>143</v>
      </c>
      <c r="B44" s="351" t="s">
        <v>569</v>
      </c>
      <c r="C44" s="806">
        <v>132091</v>
      </c>
      <c r="D44" s="807">
        <f>SUM(E44:G44)</f>
        <v>40000</v>
      </c>
      <c r="E44" s="808">
        <v>30000</v>
      </c>
      <c r="F44" s="809"/>
      <c r="G44" s="805">
        <v>10000</v>
      </c>
      <c r="H44" s="363">
        <f t="shared" si="0"/>
        <v>31000</v>
      </c>
      <c r="I44" s="285">
        <v>30000</v>
      </c>
      <c r="J44" s="134"/>
      <c r="K44" s="249">
        <v>1000</v>
      </c>
    </row>
    <row r="45" spans="1:11" s="308" customFormat="1" ht="12" customHeight="1" x14ac:dyDescent="0.2">
      <c r="A45" s="13" t="s">
        <v>219</v>
      </c>
      <c r="B45" s="351" t="s">
        <v>229</v>
      </c>
      <c r="C45" s="806"/>
      <c r="D45" s="807">
        <f>SUM(E45:G45)</f>
        <v>0</v>
      </c>
      <c r="E45" s="808"/>
      <c r="F45" s="809"/>
      <c r="G45" s="805"/>
      <c r="H45" s="363">
        <f t="shared" si="0"/>
        <v>0</v>
      </c>
      <c r="I45" s="285"/>
      <c r="J45" s="134"/>
      <c r="K45" s="249"/>
    </row>
    <row r="46" spans="1:11" s="308" customFormat="1" ht="12" customHeight="1" x14ac:dyDescent="0.2">
      <c r="A46" s="15" t="s">
        <v>220</v>
      </c>
      <c r="B46" s="352" t="s">
        <v>455</v>
      </c>
      <c r="C46" s="806">
        <v>812271</v>
      </c>
      <c r="D46" s="817">
        <f>SUM(E46:G46)</f>
        <v>500000</v>
      </c>
      <c r="E46" s="818">
        <f>500000</f>
        <v>500000</v>
      </c>
      <c r="F46" s="819"/>
      <c r="G46" s="805"/>
      <c r="H46" s="363">
        <f t="shared" si="0"/>
        <v>500000</v>
      </c>
      <c r="I46" s="289">
        <v>500000</v>
      </c>
      <c r="J46" s="200"/>
      <c r="K46" s="249"/>
    </row>
    <row r="47" spans="1:11" s="308" customFormat="1" ht="12" customHeight="1" thickBot="1" x14ac:dyDescent="0.25">
      <c r="A47" s="15" t="s">
        <v>456</v>
      </c>
      <c r="B47" s="774" t="s">
        <v>230</v>
      </c>
      <c r="C47" s="810">
        <v>1564195</v>
      </c>
      <c r="D47" s="811">
        <f>SUM(E47:G47)+200318+416514+1343395</f>
        <v>2764227</v>
      </c>
      <c r="E47" s="818">
        <f>704000</f>
        <v>704000</v>
      </c>
      <c r="F47" s="819">
        <v>100000</v>
      </c>
      <c r="G47" s="805"/>
      <c r="H47" s="891">
        <f t="shared" si="0"/>
        <v>1261164</v>
      </c>
      <c r="I47" s="289">
        <f>60000+600000+501164</f>
        <v>1161164</v>
      </c>
      <c r="J47" s="200">
        <v>100000</v>
      </c>
      <c r="K47" s="249"/>
    </row>
    <row r="48" spans="1:11" s="308" customFormat="1" ht="12" customHeight="1" thickBot="1" x14ac:dyDescent="0.25">
      <c r="A48" s="19" t="s">
        <v>27</v>
      </c>
      <c r="B48" s="772" t="s">
        <v>231</v>
      </c>
      <c r="C48" s="814">
        <f>SUM(C49:C53)</f>
        <v>1786175</v>
      </c>
      <c r="D48" s="801">
        <f>SUM(D49:D53)</f>
        <v>47429000</v>
      </c>
      <c r="E48" s="801">
        <f>SUM(E49:E53)</f>
        <v>25179000</v>
      </c>
      <c r="F48" s="800">
        <f>SUM(F49:F53)</f>
        <v>0</v>
      </c>
      <c r="G48" s="800">
        <f>SUM(G49:G53)</f>
        <v>0</v>
      </c>
      <c r="H48" s="130">
        <f t="shared" si="0"/>
        <v>30332500</v>
      </c>
      <c r="I48" s="307">
        <f>SUM(I49:I53)</f>
        <v>30332500</v>
      </c>
      <c r="J48" s="130">
        <f>SUM(J49:J53)</f>
        <v>0</v>
      </c>
      <c r="K48" s="130">
        <f>SUM(K49:K53)</f>
        <v>0</v>
      </c>
    </row>
    <row r="49" spans="1:11" s="308" customFormat="1" ht="12" customHeight="1" x14ac:dyDescent="0.2">
      <c r="A49" s="14" t="s">
        <v>96</v>
      </c>
      <c r="B49" s="350" t="s">
        <v>235</v>
      </c>
      <c r="C49" s="806"/>
      <c r="D49" s="803">
        <f>SUM(E49:G49)</f>
        <v>0</v>
      </c>
      <c r="E49" s="804"/>
      <c r="F49" s="805"/>
      <c r="G49" s="805"/>
      <c r="H49" s="885">
        <f t="shared" si="0"/>
        <v>0</v>
      </c>
      <c r="I49" s="313"/>
      <c r="J49" s="249"/>
      <c r="K49" s="249"/>
    </row>
    <row r="50" spans="1:11" s="308" customFormat="1" ht="12" customHeight="1" x14ac:dyDescent="0.2">
      <c r="A50" s="13" t="s">
        <v>97</v>
      </c>
      <c r="B50" s="351" t="s">
        <v>236</v>
      </c>
      <c r="C50" s="806">
        <v>778000</v>
      </c>
      <c r="D50" s="817">
        <f>SUM(E50:G50)+22000000</f>
        <v>47179000</v>
      </c>
      <c r="E50" s="808">
        <f>25179000</f>
        <v>25179000</v>
      </c>
      <c r="F50" s="809"/>
      <c r="G50" s="809"/>
      <c r="H50" s="363">
        <f t="shared" si="0"/>
        <v>30332500</v>
      </c>
      <c r="I50" s="285">
        <v>30332500</v>
      </c>
      <c r="J50" s="134"/>
      <c r="K50" s="134"/>
    </row>
    <row r="51" spans="1:11" s="308" customFormat="1" ht="12" customHeight="1" x14ac:dyDescent="0.2">
      <c r="A51" s="13" t="s">
        <v>232</v>
      </c>
      <c r="B51" s="351" t="s">
        <v>237</v>
      </c>
      <c r="C51" s="806">
        <v>1008175</v>
      </c>
      <c r="D51" s="817">
        <v>250000</v>
      </c>
      <c r="E51" s="808"/>
      <c r="F51" s="809"/>
      <c r="G51" s="809"/>
      <c r="H51" s="363">
        <f t="shared" si="0"/>
        <v>0</v>
      </c>
      <c r="I51" s="285"/>
      <c r="J51" s="134"/>
      <c r="K51" s="134"/>
    </row>
    <row r="52" spans="1:11" s="308" customFormat="1" ht="12" customHeight="1" x14ac:dyDescent="0.2">
      <c r="A52" s="13" t="s">
        <v>233</v>
      </c>
      <c r="B52" s="351" t="s">
        <v>238</v>
      </c>
      <c r="C52" s="806"/>
      <c r="D52" s="817">
        <f>SUM(E52:G52)</f>
        <v>0</v>
      </c>
      <c r="E52" s="808"/>
      <c r="F52" s="809"/>
      <c r="G52" s="809"/>
      <c r="H52" s="363">
        <f t="shared" si="0"/>
        <v>0</v>
      </c>
      <c r="I52" s="285"/>
      <c r="J52" s="134"/>
      <c r="K52" s="134"/>
    </row>
    <row r="53" spans="1:11" s="308" customFormat="1" ht="12" customHeight="1" thickBot="1" x14ac:dyDescent="0.25">
      <c r="A53" s="15" t="s">
        <v>234</v>
      </c>
      <c r="B53" s="774" t="s">
        <v>239</v>
      </c>
      <c r="C53" s="810"/>
      <c r="D53" s="822">
        <f>SUM(E53:G53)</f>
        <v>0</v>
      </c>
      <c r="E53" s="818"/>
      <c r="F53" s="819"/>
      <c r="G53" s="819"/>
      <c r="H53" s="887">
        <f t="shared" si="0"/>
        <v>0</v>
      </c>
      <c r="I53" s="289"/>
      <c r="J53" s="200"/>
      <c r="K53" s="200"/>
    </row>
    <row r="54" spans="1:11" s="308" customFormat="1" ht="12" customHeight="1" thickBot="1" x14ac:dyDescent="0.25">
      <c r="A54" s="19" t="s">
        <v>144</v>
      </c>
      <c r="B54" s="772" t="s">
        <v>240</v>
      </c>
      <c r="C54" s="814">
        <f>SUM(C55:C57)</f>
        <v>11113183</v>
      </c>
      <c r="D54" s="801">
        <f>SUM(D55:D57)</f>
        <v>24244433</v>
      </c>
      <c r="E54" s="801">
        <f>SUM(E55:E57)</f>
        <v>6164433</v>
      </c>
      <c r="F54" s="800">
        <f>SUM(F55:F57)</f>
        <v>0</v>
      </c>
      <c r="G54" s="800">
        <f>SUM(G55:G57)</f>
        <v>0</v>
      </c>
      <c r="H54" s="349">
        <f t="shared" si="0"/>
        <v>4766000</v>
      </c>
      <c r="I54" s="307">
        <f>SUM(I55:I57)</f>
        <v>4766000</v>
      </c>
      <c r="J54" s="130">
        <f>SUM(J55:J57)</f>
        <v>0</v>
      </c>
      <c r="K54" s="130">
        <f>SUM(K55:K57)</f>
        <v>0</v>
      </c>
    </row>
    <row r="55" spans="1:11" s="308" customFormat="1" ht="12" customHeight="1" x14ac:dyDescent="0.2">
      <c r="A55" s="14" t="s">
        <v>98</v>
      </c>
      <c r="B55" s="350" t="s">
        <v>241</v>
      </c>
      <c r="C55" s="806"/>
      <c r="D55" s="826">
        <f>SUM(E55:G55)</f>
        <v>0</v>
      </c>
      <c r="E55" s="815"/>
      <c r="F55" s="816"/>
      <c r="G55" s="816"/>
      <c r="H55" s="888">
        <f t="shared" si="0"/>
        <v>0</v>
      </c>
      <c r="I55" s="309"/>
      <c r="J55" s="132"/>
      <c r="K55" s="132"/>
    </row>
    <row r="56" spans="1:11" s="308" customFormat="1" ht="12" customHeight="1" x14ac:dyDescent="0.2">
      <c r="A56" s="13" t="s">
        <v>99</v>
      </c>
      <c r="B56" s="351" t="s">
        <v>372</v>
      </c>
      <c r="C56" s="806">
        <v>1170155</v>
      </c>
      <c r="D56" s="807">
        <f>SUM(E56:G56)+18000000</f>
        <v>19949000</v>
      </c>
      <c r="E56" s="808">
        <f>383000+1566000</f>
        <v>1949000</v>
      </c>
      <c r="F56" s="809"/>
      <c r="G56" s="809"/>
      <c r="H56" s="363">
        <f t="shared" si="0"/>
        <v>1866000</v>
      </c>
      <c r="I56" s="285">
        <f>1566000+300000</f>
        <v>1866000</v>
      </c>
      <c r="J56" s="134"/>
      <c r="K56" s="134"/>
    </row>
    <row r="57" spans="1:11" s="308" customFormat="1" ht="12" customHeight="1" x14ac:dyDescent="0.2">
      <c r="A57" s="13" t="s">
        <v>244</v>
      </c>
      <c r="B57" s="351" t="s">
        <v>242</v>
      </c>
      <c r="C57" s="806">
        <v>9943028</v>
      </c>
      <c r="D57" s="807">
        <f>SUM(E57:G57)+80000</f>
        <v>4295433</v>
      </c>
      <c r="E57" s="808">
        <f>4075000+140433</f>
        <v>4215433</v>
      </c>
      <c r="F57" s="809"/>
      <c r="G57" s="809"/>
      <c r="H57" s="363">
        <f t="shared" si="0"/>
        <v>2900000</v>
      </c>
      <c r="I57" s="285">
        <v>2900000</v>
      </c>
      <c r="J57" s="134"/>
      <c r="K57" s="134"/>
    </row>
    <row r="58" spans="1:11" s="308" customFormat="1" ht="12" customHeight="1" thickBot="1" x14ac:dyDescent="0.25">
      <c r="A58" s="15" t="s">
        <v>245</v>
      </c>
      <c r="B58" s="774" t="s">
        <v>243</v>
      </c>
      <c r="C58" s="810"/>
      <c r="D58" s="822">
        <f>SUM(E58:G58)</f>
        <v>0</v>
      </c>
      <c r="E58" s="827"/>
      <c r="F58" s="828"/>
      <c r="G58" s="828"/>
      <c r="H58" s="890">
        <f t="shared" si="0"/>
        <v>0</v>
      </c>
      <c r="I58" s="116"/>
      <c r="J58" s="133"/>
      <c r="K58" s="133"/>
    </row>
    <row r="59" spans="1:11" s="308" customFormat="1" ht="12" customHeight="1" thickBot="1" x14ac:dyDescent="0.25">
      <c r="A59" s="19" t="s">
        <v>29</v>
      </c>
      <c r="B59" s="775" t="s">
        <v>246</v>
      </c>
      <c r="C59" s="814">
        <f>SUM(C60:C62)</f>
        <v>3841537</v>
      </c>
      <c r="D59" s="801">
        <f>SUM(D60:D62)</f>
        <v>1400000</v>
      </c>
      <c r="E59" s="801">
        <f>SUM(E60:E62)</f>
        <v>0</v>
      </c>
      <c r="F59" s="800">
        <f>SUM(F60:F62)</f>
        <v>0</v>
      </c>
      <c r="G59" s="800">
        <f>SUM(G60:G62)</f>
        <v>0</v>
      </c>
      <c r="H59" s="130">
        <f t="shared" si="0"/>
        <v>0</v>
      </c>
      <c r="I59" s="307">
        <f>SUM(I60:I62)</f>
        <v>0</v>
      </c>
      <c r="J59" s="130">
        <f>SUM(J60:J62)</f>
        <v>0</v>
      </c>
      <c r="K59" s="130">
        <f>SUM(K60:K62)</f>
        <v>0</v>
      </c>
    </row>
    <row r="60" spans="1:11" s="308" customFormat="1" ht="12" customHeight="1" x14ac:dyDescent="0.2">
      <c r="A60" s="14" t="s">
        <v>145</v>
      </c>
      <c r="B60" s="350" t="s">
        <v>248</v>
      </c>
      <c r="C60" s="806"/>
      <c r="D60" s="826">
        <f>SUM(E60:G60)</f>
        <v>0</v>
      </c>
      <c r="E60" s="808"/>
      <c r="F60" s="809"/>
      <c r="G60" s="809"/>
      <c r="H60" s="885">
        <f t="shared" si="0"/>
        <v>0</v>
      </c>
      <c r="I60" s="285"/>
      <c r="J60" s="134"/>
      <c r="K60" s="134"/>
    </row>
    <row r="61" spans="1:11" s="308" customFormat="1" ht="12" customHeight="1" x14ac:dyDescent="0.2">
      <c r="A61" s="13" t="s">
        <v>146</v>
      </c>
      <c r="B61" s="351" t="s">
        <v>373</v>
      </c>
      <c r="C61" s="806">
        <v>13837</v>
      </c>
      <c r="D61" s="807">
        <f>SUM(E61:G61)</f>
        <v>0</v>
      </c>
      <c r="E61" s="808"/>
      <c r="F61" s="809"/>
      <c r="G61" s="809"/>
      <c r="H61" s="886">
        <f t="shared" si="0"/>
        <v>0</v>
      </c>
      <c r="I61" s="285"/>
      <c r="J61" s="134"/>
      <c r="K61" s="134"/>
    </row>
    <row r="62" spans="1:11" s="308" customFormat="1" ht="12" customHeight="1" x14ac:dyDescent="0.2">
      <c r="A62" s="13" t="s">
        <v>171</v>
      </c>
      <c r="B62" s="351" t="s">
        <v>249</v>
      </c>
      <c r="C62" s="806">
        <v>3827700</v>
      </c>
      <c r="D62" s="807">
        <f>1200000+200000</f>
        <v>1400000</v>
      </c>
      <c r="E62" s="808"/>
      <c r="F62" s="809"/>
      <c r="G62" s="809"/>
      <c r="H62" s="886">
        <f t="shared" si="0"/>
        <v>0</v>
      </c>
      <c r="I62" s="285"/>
      <c r="J62" s="134"/>
      <c r="K62" s="134"/>
    </row>
    <row r="63" spans="1:11" s="308" customFormat="1" ht="12" customHeight="1" thickBot="1" x14ac:dyDescent="0.25">
      <c r="A63" s="15" t="s">
        <v>247</v>
      </c>
      <c r="B63" s="774" t="s">
        <v>250</v>
      </c>
      <c r="C63" s="810"/>
      <c r="D63" s="811">
        <f>SUM(E63:G63)</f>
        <v>0</v>
      </c>
      <c r="E63" s="808"/>
      <c r="F63" s="809"/>
      <c r="G63" s="809"/>
      <c r="H63" s="887">
        <f t="shared" si="0"/>
        <v>0</v>
      </c>
      <c r="I63" s="285"/>
      <c r="J63" s="134"/>
      <c r="K63" s="134"/>
    </row>
    <row r="64" spans="1:11" s="308" customFormat="1" ht="12" customHeight="1" thickBot="1" x14ac:dyDescent="0.25">
      <c r="A64" s="270" t="s">
        <v>457</v>
      </c>
      <c r="B64" s="772" t="s">
        <v>251</v>
      </c>
      <c r="C64" s="801">
        <f>C59+C54+C48+C36+C28+C21+C14+C7</f>
        <v>2639272060</v>
      </c>
      <c r="D64" s="801">
        <f>D59+D54+D48+D36+D28+D21+D14+D7</f>
        <v>2929720479</v>
      </c>
      <c r="E64" s="823">
        <f>+E7+E14+E21+E28+E36+E48+E54+E59</f>
        <v>1391439714</v>
      </c>
      <c r="F64" s="824">
        <f>+F7+F14+F21+F28+F36+F48+F54+F59</f>
        <v>9416500</v>
      </c>
      <c r="G64" s="824">
        <f>+G7+G14+G21+G28+G36+G48+G54+G59</f>
        <v>390751178</v>
      </c>
      <c r="H64" s="130">
        <f t="shared" si="0"/>
        <v>2332603604</v>
      </c>
      <c r="I64" s="310">
        <f>+I7+I14+I21+I28+I36+I48+I54+I59</f>
        <v>1918954634</v>
      </c>
      <c r="J64" s="135">
        <f>+J7+J14+J21+J28+J36+J48+J54+J59</f>
        <v>11515677</v>
      </c>
      <c r="K64" s="135">
        <f>+K7+K14+K21+K28+K36+K48+K54+K59</f>
        <v>402133293</v>
      </c>
    </row>
    <row r="65" spans="1:11" s="308" customFormat="1" ht="12" customHeight="1" thickBot="1" x14ac:dyDescent="0.25">
      <c r="A65" s="271" t="s">
        <v>252</v>
      </c>
      <c r="B65" s="775" t="s">
        <v>570</v>
      </c>
      <c r="C65" s="829">
        <f>SUM(C66:C68)</f>
        <v>20303000</v>
      </c>
      <c r="D65" s="830">
        <f>SUM(D66:D68)</f>
        <v>187500000</v>
      </c>
      <c r="E65" s="801">
        <f>SUM(E66:E68)</f>
        <v>144100000</v>
      </c>
      <c r="F65" s="800">
        <f>SUM(F66:F68)</f>
        <v>0</v>
      </c>
      <c r="G65" s="800">
        <f>SUM(G66:G68)</f>
        <v>0</v>
      </c>
      <c r="H65" s="130">
        <f t="shared" si="0"/>
        <v>193478462</v>
      </c>
      <c r="I65" s="307">
        <f>SUM(I66:I68)</f>
        <v>193478462</v>
      </c>
      <c r="J65" s="130">
        <f>SUM(J66:J68)</f>
        <v>0</v>
      </c>
      <c r="K65" s="130">
        <f>SUM(K66:K68)</f>
        <v>0</v>
      </c>
    </row>
    <row r="66" spans="1:11" s="308" customFormat="1" ht="12" customHeight="1" x14ac:dyDescent="0.2">
      <c r="A66" s="14" t="s">
        <v>284</v>
      </c>
      <c r="B66" s="350" t="s">
        <v>254</v>
      </c>
      <c r="C66" s="806">
        <v>20303000</v>
      </c>
      <c r="D66" s="803">
        <f>SUM(E66:G66)+37900000+5500000</f>
        <v>87500000</v>
      </c>
      <c r="E66" s="808">
        <v>44100000</v>
      </c>
      <c r="F66" s="809"/>
      <c r="G66" s="809"/>
      <c r="H66" s="889">
        <f t="shared" si="0"/>
        <v>93478462</v>
      </c>
      <c r="I66" s="285">
        <v>93478462</v>
      </c>
      <c r="J66" s="134"/>
      <c r="K66" s="134"/>
    </row>
    <row r="67" spans="1:11" s="308" customFormat="1" ht="12" customHeight="1" x14ac:dyDescent="0.2">
      <c r="A67" s="13" t="s">
        <v>293</v>
      </c>
      <c r="B67" s="351" t="s">
        <v>255</v>
      </c>
      <c r="C67" s="806"/>
      <c r="D67" s="817">
        <f>SUM(E67:G67)</f>
        <v>100000000</v>
      </c>
      <c r="E67" s="808">
        <v>100000000</v>
      </c>
      <c r="F67" s="809"/>
      <c r="G67" s="809"/>
      <c r="H67" s="363">
        <f t="shared" si="0"/>
        <v>100000000</v>
      </c>
      <c r="I67" s="285">
        <v>100000000</v>
      </c>
      <c r="J67" s="134"/>
      <c r="K67" s="134"/>
    </row>
    <row r="68" spans="1:11" s="308" customFormat="1" ht="12" customHeight="1" thickBot="1" x14ac:dyDescent="0.25">
      <c r="A68" s="15" t="s">
        <v>294</v>
      </c>
      <c r="B68" s="776" t="s">
        <v>458</v>
      </c>
      <c r="C68" s="810"/>
      <c r="D68" s="822">
        <f>SUM(E68:G68)</f>
        <v>0</v>
      </c>
      <c r="E68" s="808"/>
      <c r="F68" s="809"/>
      <c r="G68" s="809"/>
      <c r="H68" s="887">
        <f t="shared" si="0"/>
        <v>0</v>
      </c>
      <c r="I68" s="285"/>
      <c r="J68" s="134"/>
      <c r="K68" s="134"/>
    </row>
    <row r="69" spans="1:11" s="308" customFormat="1" ht="12" customHeight="1" thickBot="1" x14ac:dyDescent="0.25">
      <c r="A69" s="271" t="s">
        <v>257</v>
      </c>
      <c r="B69" s="775" t="s">
        <v>258</v>
      </c>
      <c r="C69" s="831">
        <f>SUM(C70:C73)</f>
        <v>0</v>
      </c>
      <c r="D69" s="831">
        <f>SUM(D70:D73)</f>
        <v>0</v>
      </c>
      <c r="E69" s="801">
        <f>SUM(E70:E73)</f>
        <v>0</v>
      </c>
      <c r="F69" s="800">
        <f>SUM(F70:F73)</f>
        <v>0</v>
      </c>
      <c r="G69" s="800">
        <f>SUM(G70:G73)</f>
        <v>0</v>
      </c>
      <c r="H69" s="130">
        <f t="shared" si="0"/>
        <v>0</v>
      </c>
      <c r="I69" s="307">
        <f>SUM(I70:I73)</f>
        <v>0</v>
      </c>
      <c r="J69" s="130">
        <f>SUM(J70:J73)</f>
        <v>0</v>
      </c>
      <c r="K69" s="130">
        <f>SUM(K70:K73)</f>
        <v>0</v>
      </c>
    </row>
    <row r="70" spans="1:11" s="308" customFormat="1" ht="12" customHeight="1" x14ac:dyDescent="0.2">
      <c r="A70" s="14" t="s">
        <v>125</v>
      </c>
      <c r="B70" s="350" t="s">
        <v>259</v>
      </c>
      <c r="C70" s="806"/>
      <c r="D70" s="803">
        <f>SUM(E70:G70)</f>
        <v>0</v>
      </c>
      <c r="E70" s="808"/>
      <c r="F70" s="809"/>
      <c r="G70" s="809"/>
      <c r="H70" s="885">
        <f t="shared" si="0"/>
        <v>0</v>
      </c>
      <c r="I70" s="285"/>
      <c r="J70" s="134"/>
      <c r="K70" s="134"/>
    </row>
    <row r="71" spans="1:11" s="308" customFormat="1" ht="17.25" customHeight="1" x14ac:dyDescent="0.2">
      <c r="A71" s="13" t="s">
        <v>126</v>
      </c>
      <c r="B71" s="351" t="s">
        <v>260</v>
      </c>
      <c r="C71" s="806"/>
      <c r="D71" s="817">
        <f>SUM(E71:G71)</f>
        <v>0</v>
      </c>
      <c r="E71" s="808"/>
      <c r="F71" s="809"/>
      <c r="G71" s="809"/>
      <c r="H71" s="886">
        <f t="shared" si="0"/>
        <v>0</v>
      </c>
      <c r="I71" s="285"/>
      <c r="J71" s="134"/>
      <c r="K71" s="134"/>
    </row>
    <row r="72" spans="1:11" s="308" customFormat="1" ht="12" customHeight="1" x14ac:dyDescent="0.2">
      <c r="A72" s="13" t="s">
        <v>285</v>
      </c>
      <c r="B72" s="351" t="s">
        <v>261</v>
      </c>
      <c r="C72" s="806"/>
      <c r="D72" s="817">
        <f>SUM(E72:G72)</f>
        <v>0</v>
      </c>
      <c r="E72" s="808"/>
      <c r="F72" s="809"/>
      <c r="G72" s="809"/>
      <c r="H72" s="886">
        <f t="shared" ref="H72:H89" si="1">SUM(I72:K72)</f>
        <v>0</v>
      </c>
      <c r="I72" s="285"/>
      <c r="J72" s="134"/>
      <c r="K72" s="134"/>
    </row>
    <row r="73" spans="1:11" s="308" customFormat="1" ht="12" customHeight="1" thickBot="1" x14ac:dyDescent="0.25">
      <c r="A73" s="15" t="s">
        <v>286</v>
      </c>
      <c r="B73" s="774" t="s">
        <v>262</v>
      </c>
      <c r="C73" s="810"/>
      <c r="D73" s="822">
        <f>SUM(E73:G73)</f>
        <v>0</v>
      </c>
      <c r="E73" s="808"/>
      <c r="F73" s="809"/>
      <c r="G73" s="809"/>
      <c r="H73" s="887">
        <f t="shared" si="1"/>
        <v>0</v>
      </c>
      <c r="I73" s="285"/>
      <c r="J73" s="134"/>
      <c r="K73" s="134"/>
    </row>
    <row r="74" spans="1:11" s="308" customFormat="1" ht="12" customHeight="1" thickBot="1" x14ac:dyDescent="0.25">
      <c r="A74" s="271" t="s">
        <v>263</v>
      </c>
      <c r="B74" s="775" t="s">
        <v>264</v>
      </c>
      <c r="C74" s="801">
        <f>SUM(C75:C76)</f>
        <v>264950190</v>
      </c>
      <c r="D74" s="801">
        <f>SUM(D75:D76)</f>
        <v>292999415</v>
      </c>
      <c r="E74" s="801">
        <f>SUM(E75:E76)</f>
        <v>289331423</v>
      </c>
      <c r="F74" s="800">
        <f>SUM(F75:F76)</f>
        <v>447404</v>
      </c>
      <c r="G74" s="800">
        <f>SUM(G75:G76)</f>
        <v>3220588</v>
      </c>
      <c r="H74" s="130">
        <f t="shared" si="1"/>
        <v>595229825</v>
      </c>
      <c r="I74" s="307">
        <f>SUM(I75:I76)</f>
        <v>569119676</v>
      </c>
      <c r="J74" s="130">
        <f>SUM(J75:J76)</f>
        <v>3148853</v>
      </c>
      <c r="K74" s="130">
        <f>SUM(K75:K76)</f>
        <v>22961296</v>
      </c>
    </row>
    <row r="75" spans="1:11" s="308" customFormat="1" ht="12" customHeight="1" x14ac:dyDescent="0.2">
      <c r="A75" s="14" t="s">
        <v>287</v>
      </c>
      <c r="B75" s="350" t="s">
        <v>265</v>
      </c>
      <c r="C75" s="806">
        <v>264950190</v>
      </c>
      <c r="D75" s="803">
        <f>SUM(E75:G75)</f>
        <v>292999415</v>
      </c>
      <c r="E75" s="808">
        <v>289331423</v>
      </c>
      <c r="F75" s="809">
        <v>447404</v>
      </c>
      <c r="G75" s="809">
        <v>3220588</v>
      </c>
      <c r="H75" s="892">
        <f t="shared" si="1"/>
        <v>595229825</v>
      </c>
      <c r="I75" s="285">
        <f>569119704-28</f>
        <v>569119676</v>
      </c>
      <c r="J75" s="134">
        <v>3148853</v>
      </c>
      <c r="K75" s="134">
        <f>22961296</f>
        <v>22961296</v>
      </c>
    </row>
    <row r="76" spans="1:11" s="308" customFormat="1" ht="12" customHeight="1" thickBot="1" x14ac:dyDescent="0.25">
      <c r="A76" s="15" t="s">
        <v>288</v>
      </c>
      <c r="B76" s="774" t="s">
        <v>266</v>
      </c>
      <c r="C76" s="810"/>
      <c r="D76" s="822">
        <f>SUM(E76:G76)</f>
        <v>0</v>
      </c>
      <c r="E76" s="808"/>
      <c r="F76" s="809"/>
      <c r="G76" s="809"/>
      <c r="H76" s="887">
        <f t="shared" si="1"/>
        <v>0</v>
      </c>
      <c r="I76" s="285"/>
      <c r="J76" s="134"/>
      <c r="K76" s="134"/>
    </row>
    <row r="77" spans="1:11" s="308" customFormat="1" ht="12" customHeight="1" thickBot="1" x14ac:dyDescent="0.25">
      <c r="A77" s="271" t="s">
        <v>267</v>
      </c>
      <c r="B77" s="775" t="s">
        <v>268</v>
      </c>
      <c r="C77" s="832">
        <f>SUM(C78:C80)</f>
        <v>35164932</v>
      </c>
      <c r="D77" s="831">
        <f>SUM(D78:D80)</f>
        <v>0</v>
      </c>
      <c r="E77" s="801">
        <f>SUM(E78:E80)</f>
        <v>0</v>
      </c>
      <c r="F77" s="800">
        <f>SUM(F78:F80)</f>
        <v>0</v>
      </c>
      <c r="G77" s="800">
        <f>SUM(G78:G80)</f>
        <v>0</v>
      </c>
      <c r="H77" s="130">
        <f t="shared" si="1"/>
        <v>0</v>
      </c>
      <c r="I77" s="307">
        <f>SUM(I78:I80)</f>
        <v>0</v>
      </c>
      <c r="J77" s="130">
        <f>SUM(J78:J80)</f>
        <v>0</v>
      </c>
      <c r="K77" s="130">
        <f>SUM(K78:K80)</f>
        <v>0</v>
      </c>
    </row>
    <row r="78" spans="1:11" s="308" customFormat="1" ht="12" customHeight="1" x14ac:dyDescent="0.2">
      <c r="A78" s="14" t="s">
        <v>289</v>
      </c>
      <c r="B78" s="350" t="s">
        <v>269</v>
      </c>
      <c r="C78" s="806">
        <v>35164932</v>
      </c>
      <c r="D78" s="803">
        <f>SUM(E78:G78)</f>
        <v>0</v>
      </c>
      <c r="E78" s="808"/>
      <c r="F78" s="809"/>
      <c r="G78" s="809"/>
      <c r="H78" s="885">
        <f t="shared" si="1"/>
        <v>0</v>
      </c>
      <c r="I78" s="285"/>
      <c r="J78" s="134"/>
      <c r="K78" s="134"/>
    </row>
    <row r="79" spans="1:11" s="308" customFormat="1" ht="12" customHeight="1" x14ac:dyDescent="0.2">
      <c r="A79" s="13" t="s">
        <v>290</v>
      </c>
      <c r="B79" s="351" t="s">
        <v>270</v>
      </c>
      <c r="C79" s="806"/>
      <c r="D79" s="817">
        <f>SUM(E79:G79)</f>
        <v>0</v>
      </c>
      <c r="E79" s="808"/>
      <c r="F79" s="809"/>
      <c r="G79" s="809"/>
      <c r="H79" s="886">
        <f t="shared" si="1"/>
        <v>0</v>
      </c>
      <c r="I79" s="285"/>
      <c r="J79" s="134"/>
      <c r="K79" s="134"/>
    </row>
    <row r="80" spans="1:11" s="308" customFormat="1" ht="12" customHeight="1" thickBot="1" x14ac:dyDescent="0.25">
      <c r="A80" s="15" t="s">
        <v>291</v>
      </c>
      <c r="B80" s="774" t="s">
        <v>271</v>
      </c>
      <c r="C80" s="810"/>
      <c r="D80" s="822">
        <f>SUM(E80:G80)</f>
        <v>0</v>
      </c>
      <c r="E80" s="808"/>
      <c r="F80" s="809"/>
      <c r="G80" s="809"/>
      <c r="H80" s="887">
        <f t="shared" si="1"/>
        <v>0</v>
      </c>
      <c r="I80" s="285"/>
      <c r="J80" s="134"/>
      <c r="K80" s="134"/>
    </row>
    <row r="81" spans="1:11" s="308" customFormat="1" ht="12" customHeight="1" thickBot="1" x14ac:dyDescent="0.25">
      <c r="A81" s="271" t="s">
        <v>272</v>
      </c>
      <c r="B81" s="775" t="s">
        <v>292</v>
      </c>
      <c r="C81" s="831">
        <f>SUM(C82:C85)</f>
        <v>0</v>
      </c>
      <c r="D81" s="831">
        <f>SUM(D82:D85)</f>
        <v>0</v>
      </c>
      <c r="E81" s="801">
        <f>SUM(E82:E85)</f>
        <v>0</v>
      </c>
      <c r="F81" s="800">
        <f>SUM(F82:F85)</f>
        <v>0</v>
      </c>
      <c r="G81" s="800">
        <f>SUM(G82:G85)</f>
        <v>0</v>
      </c>
      <c r="H81" s="130">
        <f t="shared" si="1"/>
        <v>0</v>
      </c>
      <c r="I81" s="307">
        <f>SUM(I82:I85)</f>
        <v>0</v>
      </c>
      <c r="J81" s="130">
        <f>SUM(J82:J85)</f>
        <v>0</v>
      </c>
      <c r="K81" s="130">
        <f>SUM(K82:K85)</f>
        <v>0</v>
      </c>
    </row>
    <row r="82" spans="1:11" s="308" customFormat="1" ht="12" customHeight="1" x14ac:dyDescent="0.2">
      <c r="A82" s="215" t="s">
        <v>273</v>
      </c>
      <c r="B82" s="350" t="s">
        <v>274</v>
      </c>
      <c r="C82" s="806"/>
      <c r="D82" s="803">
        <f t="shared" ref="D82:D87" si="2">SUM(E82:G82)</f>
        <v>0</v>
      </c>
      <c r="E82" s="808"/>
      <c r="F82" s="809"/>
      <c r="G82" s="809"/>
      <c r="H82" s="885">
        <f t="shared" si="1"/>
        <v>0</v>
      </c>
      <c r="I82" s="285"/>
      <c r="J82" s="134"/>
      <c r="K82" s="134"/>
    </row>
    <row r="83" spans="1:11" s="308" customFormat="1" ht="12" customHeight="1" x14ac:dyDescent="0.2">
      <c r="A83" s="216" t="s">
        <v>275</v>
      </c>
      <c r="B83" s="351" t="s">
        <v>276</v>
      </c>
      <c r="C83" s="806"/>
      <c r="D83" s="817">
        <f t="shared" si="2"/>
        <v>0</v>
      </c>
      <c r="E83" s="808"/>
      <c r="F83" s="809"/>
      <c r="G83" s="809"/>
      <c r="H83" s="886">
        <f t="shared" si="1"/>
        <v>0</v>
      </c>
      <c r="I83" s="285"/>
      <c r="J83" s="134"/>
      <c r="K83" s="134"/>
    </row>
    <row r="84" spans="1:11" s="308" customFormat="1" ht="12" customHeight="1" x14ac:dyDescent="0.2">
      <c r="A84" s="216" t="s">
        <v>277</v>
      </c>
      <c r="B84" s="351" t="s">
        <v>278</v>
      </c>
      <c r="C84" s="806"/>
      <c r="D84" s="817">
        <f t="shared" si="2"/>
        <v>0</v>
      </c>
      <c r="E84" s="808"/>
      <c r="F84" s="809"/>
      <c r="G84" s="809"/>
      <c r="H84" s="886">
        <f t="shared" si="1"/>
        <v>0</v>
      </c>
      <c r="I84" s="285"/>
      <c r="J84" s="134"/>
      <c r="K84" s="134"/>
    </row>
    <row r="85" spans="1:11" s="308" customFormat="1" ht="12" customHeight="1" thickBot="1" x14ac:dyDescent="0.25">
      <c r="A85" s="217" t="s">
        <v>279</v>
      </c>
      <c r="B85" s="774" t="s">
        <v>280</v>
      </c>
      <c r="C85" s="810"/>
      <c r="D85" s="822">
        <f t="shared" si="2"/>
        <v>0</v>
      </c>
      <c r="E85" s="808"/>
      <c r="F85" s="809"/>
      <c r="G85" s="809"/>
      <c r="H85" s="887">
        <f t="shared" si="1"/>
        <v>0</v>
      </c>
      <c r="I85" s="285"/>
      <c r="J85" s="134"/>
      <c r="K85" s="134"/>
    </row>
    <row r="86" spans="1:11" s="308" customFormat="1" ht="12" customHeight="1" thickBot="1" x14ac:dyDescent="0.25">
      <c r="A86" s="271" t="s">
        <v>281</v>
      </c>
      <c r="B86" s="775" t="s">
        <v>459</v>
      </c>
      <c r="C86" s="833"/>
      <c r="D86" s="834">
        <f t="shared" si="2"/>
        <v>0</v>
      </c>
      <c r="E86" s="835"/>
      <c r="F86" s="836"/>
      <c r="G86" s="836"/>
      <c r="H86" s="130">
        <f t="shared" si="1"/>
        <v>0</v>
      </c>
      <c r="I86" s="314"/>
      <c r="J86" s="250"/>
      <c r="K86" s="250"/>
    </row>
    <row r="87" spans="1:11" s="308" customFormat="1" ht="12" customHeight="1" thickBot="1" x14ac:dyDescent="0.25">
      <c r="A87" s="271" t="s">
        <v>283</v>
      </c>
      <c r="B87" s="775" t="s">
        <v>282</v>
      </c>
      <c r="C87" s="833"/>
      <c r="D87" s="801">
        <f t="shared" si="2"/>
        <v>0</v>
      </c>
      <c r="E87" s="835"/>
      <c r="F87" s="836"/>
      <c r="G87" s="836"/>
      <c r="H87" s="130">
        <f t="shared" si="1"/>
        <v>0</v>
      </c>
      <c r="I87" s="314"/>
      <c r="J87" s="250"/>
      <c r="K87" s="250"/>
    </row>
    <row r="88" spans="1:11" s="308" customFormat="1" ht="12" customHeight="1" thickBot="1" x14ac:dyDescent="0.25">
      <c r="A88" s="271" t="s">
        <v>295</v>
      </c>
      <c r="B88" s="777" t="s">
        <v>460</v>
      </c>
      <c r="C88" s="829">
        <f>C87+C86+C81+C77+C74+C69+C65</f>
        <v>320418122</v>
      </c>
      <c r="D88" s="801">
        <f>D87+D86+D81+D77+D74+D69+D65</f>
        <v>480499415</v>
      </c>
      <c r="E88" s="823">
        <f>+E65+E69+E74+E77+E81+E87+E86</f>
        <v>433431423</v>
      </c>
      <c r="F88" s="824">
        <f>+F65+F69+F74+F77+F81+F87+F86</f>
        <v>447404</v>
      </c>
      <c r="G88" s="824">
        <f>+G65+G69+G74+G77+G81+G87+G86</f>
        <v>3220588</v>
      </c>
      <c r="H88" s="130">
        <f t="shared" si="1"/>
        <v>788708287</v>
      </c>
      <c r="I88" s="310">
        <f>+I65+I69+I74+I77+I81+I87+I86</f>
        <v>762598138</v>
      </c>
      <c r="J88" s="135">
        <f>+J65+J69+J74+J77+J81+J87+J86</f>
        <v>3148853</v>
      </c>
      <c r="K88" s="135">
        <f>+K65+K69+K74+K77+K81+K87+K86</f>
        <v>22961296</v>
      </c>
    </row>
    <row r="89" spans="1:11" s="308" customFormat="1" ht="12" customHeight="1" thickBot="1" x14ac:dyDescent="0.25">
      <c r="A89" s="273" t="s">
        <v>461</v>
      </c>
      <c r="B89" s="778" t="s">
        <v>462</v>
      </c>
      <c r="C89" s="829">
        <f>C64+C88</f>
        <v>2959690182</v>
      </c>
      <c r="D89" s="801">
        <f>D64+D88</f>
        <v>3410219894</v>
      </c>
      <c r="E89" s="823">
        <f>+E64+E88</f>
        <v>1824871137</v>
      </c>
      <c r="F89" s="824">
        <f>+F64+F88</f>
        <v>9863904</v>
      </c>
      <c r="G89" s="824">
        <f>+G64+G88</f>
        <v>393971766</v>
      </c>
      <c r="H89" s="130">
        <f t="shared" si="1"/>
        <v>3121311891</v>
      </c>
      <c r="I89" s="310">
        <f>+I64+I88</f>
        <v>2681552772</v>
      </c>
      <c r="J89" s="135">
        <f>+J64+J88</f>
        <v>14664530</v>
      </c>
      <c r="K89" s="135">
        <f>+K64+K88</f>
        <v>425094589</v>
      </c>
    </row>
    <row r="90" spans="1:11" s="308" customFormat="1" ht="12" customHeight="1" x14ac:dyDescent="0.2">
      <c r="A90" s="315"/>
      <c r="B90" s="316"/>
      <c r="C90" s="871"/>
      <c r="D90" s="837"/>
      <c r="E90" s="838"/>
      <c r="F90" s="838"/>
      <c r="G90" s="838"/>
      <c r="H90" s="839"/>
    </row>
    <row r="91" spans="1:11" s="308" customFormat="1" ht="12" customHeight="1" x14ac:dyDescent="0.2">
      <c r="A91" s="940" t="s">
        <v>50</v>
      </c>
      <c r="B91" s="940"/>
      <c r="C91" s="940"/>
      <c r="D91" s="940"/>
      <c r="E91" s="940"/>
      <c r="F91" s="940"/>
      <c r="G91" s="940"/>
      <c r="H91" s="940"/>
    </row>
    <row r="92" spans="1:11" s="308" customFormat="1" ht="12" customHeight="1" thickBot="1" x14ac:dyDescent="0.25">
      <c r="A92" s="941" t="s">
        <v>128</v>
      </c>
      <c r="B92" s="941"/>
      <c r="C92" s="872"/>
      <c r="D92" s="864"/>
      <c r="E92" s="864"/>
      <c r="F92" s="864"/>
      <c r="G92" s="864"/>
      <c r="H92" s="873" t="str">
        <f>H4</f>
        <v>Forintban!</v>
      </c>
    </row>
    <row r="93" spans="1:11" s="308" customFormat="1" ht="36.75" customHeight="1" thickBot="1" x14ac:dyDescent="0.25">
      <c r="A93" s="22" t="s">
        <v>20</v>
      </c>
      <c r="B93" s="790" t="s">
        <v>51</v>
      </c>
      <c r="C93" s="874" t="s">
        <v>690</v>
      </c>
      <c r="D93" s="875" t="str">
        <f>+D5</f>
        <v>2017. évi módosított előirányzat</v>
      </c>
      <c r="E93" s="868"/>
      <c r="F93" s="868"/>
      <c r="G93" s="868"/>
      <c r="H93" s="869" t="str">
        <f>+H5</f>
        <v>2018. évi előirányzat</v>
      </c>
    </row>
    <row r="94" spans="1:11" s="308" customFormat="1" ht="12" customHeight="1" thickBot="1" x14ac:dyDescent="0.25">
      <c r="A94" s="26" t="s">
        <v>446</v>
      </c>
      <c r="B94" s="366" t="s">
        <v>447</v>
      </c>
      <c r="C94" s="829" t="s">
        <v>448</v>
      </c>
      <c r="D94" s="876" t="s">
        <v>501</v>
      </c>
      <c r="E94" s="870"/>
      <c r="F94" s="870"/>
      <c r="G94" s="870"/>
      <c r="H94" s="840" t="s">
        <v>502</v>
      </c>
    </row>
    <row r="95" spans="1:11" s="308" customFormat="1" ht="15" customHeight="1" thickBot="1" x14ac:dyDescent="0.25">
      <c r="A95" s="21" t="s">
        <v>22</v>
      </c>
      <c r="B95" s="779" t="s">
        <v>500</v>
      </c>
      <c r="C95" s="829">
        <f>SUM(C96:C100)+SUM(C113)</f>
        <v>2510000576</v>
      </c>
      <c r="D95" s="801">
        <f>SUM(D96:D100)+SUM(D113)</f>
        <v>2537502119</v>
      </c>
      <c r="E95" s="834">
        <f>+E96+E97+E98+E99+E100+E113</f>
        <v>336688965</v>
      </c>
      <c r="F95" s="840">
        <f>+F96+F97+F98+F99+F100+F113</f>
        <v>223822850</v>
      </c>
      <c r="G95" s="829">
        <f>G96+G97+G98+G99+G100+G113</f>
        <v>1388014694</v>
      </c>
      <c r="H95" s="371">
        <f>SUM(I95:K95)</f>
        <v>2419714310</v>
      </c>
      <c r="I95" s="317">
        <f>+I96+I97+I98+I99+I100+I113</f>
        <v>684130573</v>
      </c>
      <c r="J95" s="129">
        <f>+J96+J97+J98+J99+J100+J113</f>
        <v>239347795</v>
      </c>
      <c r="K95" s="349">
        <f>K96+K97+K98+K99+K100+K113</f>
        <v>1496235942</v>
      </c>
    </row>
    <row r="96" spans="1:11" s="308" customFormat="1" ht="12.95" customHeight="1" x14ac:dyDescent="0.2">
      <c r="A96" s="16" t="s">
        <v>100</v>
      </c>
      <c r="B96" s="780" t="s">
        <v>52</v>
      </c>
      <c r="C96" s="841">
        <v>1207786084</v>
      </c>
      <c r="D96" s="826">
        <f>SUM(E96:G96)+252096521+85501355+27232396-1393308+7410662+5711096+12960546+166800</f>
        <v>1094113234</v>
      </c>
      <c r="E96" s="842">
        <f>25364000+485000+6010000+3749000+165142000+48000+105000-275033584+150179</f>
        <v>-73980405</v>
      </c>
      <c r="F96" s="843">
        <v>119212000</v>
      </c>
      <c r="G96" s="843">
        <v>659195571</v>
      </c>
      <c r="H96" s="561">
        <f>SUM(I96:K96)</f>
        <v>973206020</v>
      </c>
      <c r="I96" s="355">
        <f>2854500+25097896+75000+16116992+1182990+2491000+1016699</f>
        <v>48835077</v>
      </c>
      <c r="J96" s="294">
        <f>2528076+481000+134654515+2215000</f>
        <v>139878591</v>
      </c>
      <c r="K96" s="300">
        <v>784492352</v>
      </c>
    </row>
    <row r="97" spans="1:11" ht="16.5" customHeight="1" x14ac:dyDescent="0.25">
      <c r="A97" s="13" t="s">
        <v>101</v>
      </c>
      <c r="B97" s="781" t="s">
        <v>147</v>
      </c>
      <c r="C97" s="844">
        <v>271747480</v>
      </c>
      <c r="D97" s="807">
        <f>SUM(E97:G97)+28812821+9405149+5800271-280382+2089507-570939+1438961+3013037+175648</f>
        <v>230642127</v>
      </c>
      <c r="E97" s="808">
        <f>5239000+143000+1233000+14000+1652000+19299000+10000+23000-28480392-1528915</f>
        <v>-2396307</v>
      </c>
      <c r="F97" s="809">
        <v>28323500</v>
      </c>
      <c r="G97" s="809">
        <v>154830861</v>
      </c>
      <c r="H97" s="561">
        <f t="shared" ref="H97:H156" si="3">SUM(I97:K97)</f>
        <v>205386585</v>
      </c>
      <c r="I97" s="285">
        <f>500965+4771305+13275+17258+2940000+14000+207615+1015000+283238</f>
        <v>9762656</v>
      </c>
      <c r="J97" s="134">
        <f>443678+114000+28757160+461687</f>
        <v>29776525</v>
      </c>
      <c r="K97" s="287">
        <v>165847404</v>
      </c>
    </row>
    <row r="98" spans="1:11" x14ac:dyDescent="0.25">
      <c r="A98" s="13" t="s">
        <v>102</v>
      </c>
      <c r="B98" s="781" t="s">
        <v>123</v>
      </c>
      <c r="C98" s="845">
        <v>776462763</v>
      </c>
      <c r="D98" s="807">
        <f>SUM(E98:G98)+41579904+1600000+22320920+28158088+9295882+11813400+570939+10565807+4029458+20547308</f>
        <v>953351741</v>
      </c>
      <c r="E98" s="818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819">
        <v>52037350</v>
      </c>
      <c r="G98" s="809">
        <v>573988262</v>
      </c>
      <c r="H98" s="561">
        <f t="shared" si="3"/>
        <v>914785804</v>
      </c>
      <c r="I98" s="289">
        <f>13447475+835000+16099000+50000+52909601+3082677+6787092+2456000+4504030+871220+397000+194467+34163000+50473064+34200000+3285067+156511+9000000+563000+17207888+2681000+3300000+17042731+48545760+500000+381000+314356</f>
        <v>323446939</v>
      </c>
      <c r="J98" s="200">
        <f>4096000+324000+352000+40114003+137126+419550</f>
        <v>45442679</v>
      </c>
      <c r="K98" s="287">
        <v>545896186</v>
      </c>
    </row>
    <row r="99" spans="1:11" s="306" customFormat="1" ht="12" customHeight="1" x14ac:dyDescent="0.2">
      <c r="A99" s="13" t="s">
        <v>103</v>
      </c>
      <c r="B99" s="784" t="s">
        <v>148</v>
      </c>
      <c r="C99" s="844">
        <v>72060693</v>
      </c>
      <c r="D99" s="807">
        <f>SUM(E99:G99)-6901260-4000000</f>
        <v>77248740</v>
      </c>
      <c r="E99" s="818">
        <f>70980000-5080000-2000000</f>
        <v>63900000</v>
      </c>
      <c r="F99" s="819">
        <v>24250000</v>
      </c>
      <c r="G99" s="819"/>
      <c r="H99" s="699">
        <f t="shared" si="3"/>
        <v>97250000</v>
      </c>
      <c r="I99" s="289">
        <f>69500000+3500000</f>
        <v>73000000</v>
      </c>
      <c r="J99" s="200">
        <v>24250000</v>
      </c>
      <c r="K99" s="299"/>
    </row>
    <row r="100" spans="1:11" ht="12" customHeight="1" x14ac:dyDescent="0.25">
      <c r="A100" s="13" t="s">
        <v>114</v>
      </c>
      <c r="B100" s="18" t="s">
        <v>149</v>
      </c>
      <c r="C100" s="844">
        <v>181943556</v>
      </c>
      <c r="D100" s="807">
        <f>SUM(D101:D112)</f>
        <v>117690011</v>
      </c>
      <c r="E100" s="818">
        <f>SUM(E101:E112)</f>
        <v>76126000</v>
      </c>
      <c r="F100" s="819">
        <f>SUM(F101:F112)</f>
        <v>0</v>
      </c>
      <c r="G100" s="819"/>
      <c r="H100" s="699">
        <f t="shared" si="3"/>
        <v>148261084</v>
      </c>
      <c r="I100" s="289">
        <f>45183973+52959801+660000+100000+49357310</f>
        <v>148261084</v>
      </c>
      <c r="J100" s="200"/>
      <c r="K100" s="299"/>
    </row>
    <row r="101" spans="1:11" ht="12" customHeight="1" x14ac:dyDescent="0.25">
      <c r="A101" s="13" t="s">
        <v>104</v>
      </c>
      <c r="B101" s="781" t="s">
        <v>463</v>
      </c>
      <c r="C101" s="845">
        <v>6261128</v>
      </c>
      <c r="D101" s="807">
        <f>SUM(E101:G101)+1500+7242044+114463+2792500+6504</f>
        <v>10157011</v>
      </c>
      <c r="E101" s="818"/>
      <c r="F101" s="819"/>
      <c r="G101" s="819"/>
      <c r="H101" s="699">
        <f t="shared" si="3"/>
        <v>100000</v>
      </c>
      <c r="I101" s="289">
        <v>100000</v>
      </c>
      <c r="J101" s="200"/>
      <c r="K101" s="299"/>
    </row>
    <row r="102" spans="1:11" ht="12" customHeight="1" x14ac:dyDescent="0.25">
      <c r="A102" s="13" t="s">
        <v>105</v>
      </c>
      <c r="B102" s="783" t="s">
        <v>464</v>
      </c>
      <c r="C102" s="845"/>
      <c r="D102" s="807">
        <f>SUM(E102:G102)</f>
        <v>0</v>
      </c>
      <c r="E102" s="818"/>
      <c r="F102" s="819"/>
      <c r="G102" s="819"/>
      <c r="H102" s="561">
        <f t="shared" si="3"/>
        <v>0</v>
      </c>
      <c r="I102" s="289"/>
      <c r="J102" s="200"/>
      <c r="K102" s="299"/>
    </row>
    <row r="103" spans="1:11" ht="12" customHeight="1" x14ac:dyDescent="0.25">
      <c r="A103" s="13" t="s">
        <v>115</v>
      </c>
      <c r="B103" s="783" t="s">
        <v>465</v>
      </c>
      <c r="C103" s="845"/>
      <c r="D103" s="807">
        <f>SUM(E103:G103)</f>
        <v>0</v>
      </c>
      <c r="E103" s="818"/>
      <c r="F103" s="819"/>
      <c r="G103" s="819"/>
      <c r="H103" s="561">
        <f t="shared" si="3"/>
        <v>0</v>
      </c>
      <c r="I103" s="289"/>
      <c r="J103" s="200"/>
      <c r="K103" s="299"/>
    </row>
    <row r="104" spans="1:11" ht="12" customHeight="1" x14ac:dyDescent="0.25">
      <c r="A104" s="13" t="s">
        <v>116</v>
      </c>
      <c r="B104" s="798" t="s">
        <v>298</v>
      </c>
      <c r="C104" s="877"/>
      <c r="D104" s="807">
        <f>SUM(E104:G104)</f>
        <v>0</v>
      </c>
      <c r="E104" s="818"/>
      <c r="F104" s="819"/>
      <c r="G104" s="819"/>
      <c r="H104" s="561">
        <f t="shared" si="3"/>
        <v>0</v>
      </c>
      <c r="I104" s="289"/>
      <c r="J104" s="200"/>
      <c r="K104" s="299"/>
    </row>
    <row r="105" spans="1:11" ht="12" customHeight="1" x14ac:dyDescent="0.25">
      <c r="A105" s="13" t="s">
        <v>117</v>
      </c>
      <c r="B105" s="789" t="s">
        <v>299</v>
      </c>
      <c r="C105" s="845"/>
      <c r="D105" s="807">
        <f>SUM(E105:G105)</f>
        <v>0</v>
      </c>
      <c r="E105" s="818"/>
      <c r="F105" s="819"/>
      <c r="G105" s="819"/>
      <c r="H105" s="561">
        <f t="shared" si="3"/>
        <v>0</v>
      </c>
      <c r="I105" s="289"/>
      <c r="J105" s="200"/>
      <c r="K105" s="299"/>
    </row>
    <row r="106" spans="1:11" ht="12" customHeight="1" x14ac:dyDescent="0.25">
      <c r="A106" s="13" t="s">
        <v>118</v>
      </c>
      <c r="B106" s="789" t="s">
        <v>300</v>
      </c>
      <c r="C106" s="845"/>
      <c r="D106" s="807">
        <f>SUM(E106:G106)</f>
        <v>0</v>
      </c>
      <c r="E106" s="818"/>
      <c r="F106" s="819"/>
      <c r="G106" s="819"/>
      <c r="H106" s="561">
        <f t="shared" si="3"/>
        <v>0</v>
      </c>
      <c r="I106" s="289"/>
      <c r="J106" s="200"/>
      <c r="K106" s="299"/>
    </row>
    <row r="107" spans="1:11" ht="12" customHeight="1" x14ac:dyDescent="0.25">
      <c r="A107" s="13" t="s">
        <v>120</v>
      </c>
      <c r="B107" s="798" t="s">
        <v>301</v>
      </c>
      <c r="C107" s="846">
        <v>113441217</v>
      </c>
      <c r="D107" s="807">
        <f>SUM(E107:G107)+60754-60754</f>
        <v>0</v>
      </c>
      <c r="E107" s="818"/>
      <c r="F107" s="819"/>
      <c r="G107" s="819"/>
      <c r="H107" s="561">
        <f t="shared" si="3"/>
        <v>660000</v>
      </c>
      <c r="I107" s="289">
        <v>660000</v>
      </c>
      <c r="J107" s="200"/>
      <c r="K107" s="299"/>
    </row>
    <row r="108" spans="1:11" ht="12" customHeight="1" x14ac:dyDescent="0.25">
      <c r="A108" s="13" t="s">
        <v>150</v>
      </c>
      <c r="B108" s="798" t="s">
        <v>302</v>
      </c>
      <c r="C108" s="877"/>
      <c r="D108" s="807">
        <f>SUM(E108:G108)</f>
        <v>0</v>
      </c>
      <c r="E108" s="818"/>
      <c r="F108" s="819"/>
      <c r="G108" s="819"/>
      <c r="H108" s="561">
        <f t="shared" si="3"/>
        <v>0</v>
      </c>
      <c r="I108" s="289"/>
      <c r="J108" s="200"/>
      <c r="K108" s="299"/>
    </row>
    <row r="109" spans="1:11" ht="12" customHeight="1" x14ac:dyDescent="0.25">
      <c r="A109" s="13" t="s">
        <v>296</v>
      </c>
      <c r="B109" s="789" t="s">
        <v>303</v>
      </c>
      <c r="C109" s="846"/>
      <c r="D109" s="807">
        <f>SUM(E109:G109)</f>
        <v>0</v>
      </c>
      <c r="E109" s="818"/>
      <c r="F109" s="819"/>
      <c r="G109" s="819"/>
      <c r="H109" s="561">
        <f t="shared" si="3"/>
        <v>0</v>
      </c>
      <c r="I109" s="289"/>
      <c r="J109" s="200"/>
      <c r="K109" s="299"/>
    </row>
    <row r="110" spans="1:11" ht="12" customHeight="1" x14ac:dyDescent="0.25">
      <c r="A110" s="12" t="s">
        <v>297</v>
      </c>
      <c r="B110" s="783" t="s">
        <v>304</v>
      </c>
      <c r="C110" s="846"/>
      <c r="D110" s="807">
        <f>SUM(E110:G110)</f>
        <v>0</v>
      </c>
      <c r="E110" s="818"/>
      <c r="F110" s="819"/>
      <c r="G110" s="819"/>
      <c r="H110" s="561">
        <f t="shared" si="3"/>
        <v>0</v>
      </c>
      <c r="I110" s="289"/>
      <c r="J110" s="200"/>
      <c r="K110" s="299"/>
    </row>
    <row r="111" spans="1:11" ht="12" customHeight="1" x14ac:dyDescent="0.25">
      <c r="A111" s="13" t="s">
        <v>466</v>
      </c>
      <c r="B111" s="783" t="s">
        <v>305</v>
      </c>
      <c r="C111" s="846"/>
      <c r="D111" s="807">
        <f>SUM(E111:G111)</f>
        <v>0</v>
      </c>
      <c r="E111" s="818"/>
      <c r="F111" s="819"/>
      <c r="G111" s="819"/>
      <c r="H111" s="561">
        <f t="shared" si="3"/>
        <v>0</v>
      </c>
      <c r="I111" s="289"/>
      <c r="J111" s="200"/>
      <c r="K111" s="299"/>
    </row>
    <row r="112" spans="1:11" ht="12" customHeight="1" x14ac:dyDescent="0.25">
      <c r="A112" s="15" t="s">
        <v>467</v>
      </c>
      <c r="B112" s="783" t="s">
        <v>306</v>
      </c>
      <c r="C112" s="846">
        <v>62241211</v>
      </c>
      <c r="D112" s="807">
        <f>SUM(E112:G112)+3500000+6600000+2000000+16082000+3225000</f>
        <v>107533000</v>
      </c>
      <c r="E112" s="808">
        <f>536000+11389000+8562000+16678000+6401000+32560000</f>
        <v>76126000</v>
      </c>
      <c r="F112" s="809"/>
      <c r="G112" s="819"/>
      <c r="H112" s="561">
        <f t="shared" si="3"/>
        <v>147501084</v>
      </c>
      <c r="I112" s="285">
        <f>5697126+16985629+22501218+52959801+660000+49357310-660000</f>
        <v>147501084</v>
      </c>
      <c r="J112" s="134"/>
      <c r="K112" s="299"/>
    </row>
    <row r="113" spans="1:11" ht="12" customHeight="1" x14ac:dyDescent="0.25">
      <c r="A113" s="13" t="s">
        <v>468</v>
      </c>
      <c r="B113" s="784" t="s">
        <v>53</v>
      </c>
      <c r="C113" s="878">
        <f>SUM(C114:C115)</f>
        <v>0</v>
      </c>
      <c r="D113" s="807">
        <f>SUM(D114:D115)</f>
        <v>64456266</v>
      </c>
      <c r="E113" s="808">
        <f>E114+E115</f>
        <v>96195254</v>
      </c>
      <c r="F113" s="809"/>
      <c r="G113" s="809">
        <f>G114+G115</f>
        <v>0</v>
      </c>
      <c r="H113" s="561">
        <f t="shared" si="3"/>
        <v>80824817</v>
      </c>
      <c r="I113" s="285">
        <f>SUM(I114:I115)</f>
        <v>80824817</v>
      </c>
      <c r="J113" s="134"/>
      <c r="K113" s="287">
        <f>K114+K115</f>
        <v>0</v>
      </c>
    </row>
    <row r="114" spans="1:11" ht="12" customHeight="1" x14ac:dyDescent="0.25">
      <c r="A114" s="13" t="s">
        <v>469</v>
      </c>
      <c r="B114" s="781" t="s">
        <v>470</v>
      </c>
      <c r="C114" s="847"/>
      <c r="D114" s="807">
        <f>SUM(E114:G114)-9172313+8719388-4010722-1042502-1846399+5485909+8185627+3000000</f>
        <v>4036034</v>
      </c>
      <c r="E114" s="818">
        <f>20000000+1656508-26939462</f>
        <v>-5282954</v>
      </c>
      <c r="F114" s="819"/>
      <c r="G114" s="809"/>
      <c r="H114" s="561">
        <f t="shared" si="3"/>
        <v>14978295</v>
      </c>
      <c r="I114" s="289">
        <f>15000000-21705</f>
        <v>14978295</v>
      </c>
      <c r="J114" s="200"/>
      <c r="K114" s="287"/>
    </row>
    <row r="115" spans="1:11" ht="12" customHeight="1" thickBot="1" x14ac:dyDescent="0.3">
      <c r="A115" s="17" t="s">
        <v>471</v>
      </c>
      <c r="B115" s="785" t="s">
        <v>472</v>
      </c>
      <c r="C115" s="879"/>
      <c r="D115" s="811">
        <f>SUM(E115:G115)-8373330-1600000-8539600-6323156-7948000-7343244+31158286-32066515+411581-433998</f>
        <v>60420232</v>
      </c>
      <c r="E115" s="848">
        <f>110613300+500000-3261000-6374092</f>
        <v>101478208</v>
      </c>
      <c r="F115" s="849"/>
      <c r="G115" s="849"/>
      <c r="H115" s="705">
        <f t="shared" si="3"/>
        <v>65846522</v>
      </c>
      <c r="I115" s="356">
        <v>65846522</v>
      </c>
      <c r="J115" s="303"/>
      <c r="K115" s="301"/>
    </row>
    <row r="116" spans="1:11" ht="12" customHeight="1" thickBot="1" x14ac:dyDescent="0.3">
      <c r="A116" s="275" t="s">
        <v>23</v>
      </c>
      <c r="B116" s="703" t="s">
        <v>307</v>
      </c>
      <c r="C116" s="829">
        <f>SUM(C117:C119)</f>
        <v>120343408</v>
      </c>
      <c r="D116" s="801">
        <f>D117+D119+D121</f>
        <v>734391843</v>
      </c>
      <c r="E116" s="801">
        <f>+E117+E119+E121</f>
        <v>132599368</v>
      </c>
      <c r="F116" s="800">
        <f>+F117+F119+F121</f>
        <v>1901000</v>
      </c>
      <c r="G116" s="850">
        <f>+G117+G119+G121</f>
        <v>9272287</v>
      </c>
      <c r="H116" s="707">
        <f t="shared" si="3"/>
        <v>554943286</v>
      </c>
      <c r="I116" s="307">
        <f>+I117+I119+I121</f>
        <v>529019194</v>
      </c>
      <c r="J116" s="130">
        <f>+J117+J119+J121</f>
        <v>4919980</v>
      </c>
      <c r="K116" s="277">
        <f>+K117+K119+K121</f>
        <v>21004112</v>
      </c>
    </row>
    <row r="117" spans="1:11" ht="12" customHeight="1" x14ac:dyDescent="0.25">
      <c r="A117" s="14" t="s">
        <v>106</v>
      </c>
      <c r="B117" s="781" t="s">
        <v>170</v>
      </c>
      <c r="C117" s="851">
        <v>64203415</v>
      </c>
      <c r="D117" s="826">
        <f>SUM(E117:G117)+15239176+979170-265000+63976+93988736+220065714+8904148-1752617</f>
        <v>340602433</v>
      </c>
      <c r="E117" s="804">
        <f>6621000+2963001+787402+10624171+3081125+300001+529000+1654000+447000+2237000+90200+6604000+301000+204000-18155486-25581571</f>
        <v>-7294157</v>
      </c>
      <c r="F117" s="805">
        <v>1901000</v>
      </c>
      <c r="G117" s="805">
        <v>8772287</v>
      </c>
      <c r="H117" s="561">
        <f t="shared" si="3"/>
        <v>306421603</v>
      </c>
      <c r="I117" s="313">
        <f>359410+2345001+219008101+12873483+381000+1500000+3139585+33894811+377190+2338070+4950460-60000</f>
        <v>281107111</v>
      </c>
      <c r="J117" s="249">
        <v>4919980</v>
      </c>
      <c r="K117" s="302">
        <v>20394512</v>
      </c>
    </row>
    <row r="118" spans="1:11" x14ac:dyDescent="0.25">
      <c r="A118" s="14" t="s">
        <v>107</v>
      </c>
      <c r="B118" s="782" t="s">
        <v>311</v>
      </c>
      <c r="C118" s="852">
        <v>45795826</v>
      </c>
      <c r="D118" s="807">
        <f>SUM(E118:G118)-1000000+87765636+214128350+2959448</f>
        <v>304218048</v>
      </c>
      <c r="E118" s="804">
        <f>14492698-14128084</f>
        <v>364614</v>
      </c>
      <c r="F118" s="805"/>
      <c r="G118" s="805"/>
      <c r="H118" s="561">
        <f t="shared" si="3"/>
        <v>266452313</v>
      </c>
      <c r="I118" s="701">
        <f>12873483+33259811+218246101</f>
        <v>264379395</v>
      </c>
      <c r="J118" s="249"/>
      <c r="K118" s="302">
        <v>2072918</v>
      </c>
    </row>
    <row r="119" spans="1:11" ht="12" customHeight="1" x14ac:dyDescent="0.25">
      <c r="A119" s="14" t="s">
        <v>108</v>
      </c>
      <c r="B119" s="782" t="s">
        <v>151</v>
      </c>
      <c r="C119" s="846">
        <v>10344167</v>
      </c>
      <c r="D119" s="807">
        <f>SUM(E119:G119)-134607+7509510+735000+1000000+839841+49594413+188498728</f>
        <v>345284910</v>
      </c>
      <c r="E119" s="808">
        <f>53340000+21000000+1513000+2996000+809000+9333667+7750358</f>
        <v>96742025</v>
      </c>
      <c r="F119" s="809"/>
      <c r="G119" s="809">
        <v>500000</v>
      </c>
      <c r="H119" s="699">
        <f t="shared" si="3"/>
        <v>182810962</v>
      </c>
      <c r="I119" s="285">
        <f>180701362+1500000</f>
        <v>182201362</v>
      </c>
      <c r="J119" s="134"/>
      <c r="K119" s="287">
        <v>609600</v>
      </c>
    </row>
    <row r="120" spans="1:11" ht="12" customHeight="1" x14ac:dyDescent="0.25">
      <c r="A120" s="14" t="s">
        <v>109</v>
      </c>
      <c r="B120" s="782" t="s">
        <v>312</v>
      </c>
      <c r="C120" s="853"/>
      <c r="D120" s="807">
        <f>SUM(E120:G120)+1000000+3795044+189429682-203244</f>
        <v>247361482</v>
      </c>
      <c r="E120" s="808">
        <v>53340000</v>
      </c>
      <c r="F120" s="854"/>
      <c r="G120" s="808"/>
      <c r="H120" s="561">
        <f t="shared" si="3"/>
        <v>146098020</v>
      </c>
      <c r="I120" s="700">
        <v>146098020</v>
      </c>
      <c r="J120" s="297"/>
      <c r="K120" s="285"/>
    </row>
    <row r="121" spans="1:11" ht="12" customHeight="1" x14ac:dyDescent="0.25">
      <c r="A121" s="14" t="s">
        <v>110</v>
      </c>
      <c r="B121" s="774" t="s">
        <v>172</v>
      </c>
      <c r="C121" s="855"/>
      <c r="D121" s="807">
        <f>SUM(D122:D129)</f>
        <v>48504500</v>
      </c>
      <c r="E121" s="808">
        <f>SUM(E122:E129)</f>
        <v>43151500</v>
      </c>
      <c r="F121" s="808"/>
      <c r="G121" s="808"/>
      <c r="H121" s="699">
        <f t="shared" si="3"/>
        <v>65710721</v>
      </c>
      <c r="I121" s="285">
        <v>65710721</v>
      </c>
      <c r="J121" s="285"/>
      <c r="K121" s="285"/>
    </row>
    <row r="122" spans="1:11" ht="12" customHeight="1" x14ac:dyDescent="0.25">
      <c r="A122" s="14" t="s">
        <v>119</v>
      </c>
      <c r="B122" s="773" t="s">
        <v>374</v>
      </c>
      <c r="C122" s="856"/>
      <c r="D122" s="807">
        <f t="shared" ref="D122:D128" si="4">SUM(E122:G122)</f>
        <v>0</v>
      </c>
      <c r="E122" s="812"/>
      <c r="F122" s="812"/>
      <c r="G122" s="808"/>
      <c r="H122" s="561">
        <f t="shared" si="3"/>
        <v>0</v>
      </c>
      <c r="I122" s="115"/>
      <c r="J122" s="115"/>
      <c r="K122" s="285"/>
    </row>
    <row r="123" spans="1:11" ht="12" customHeight="1" x14ac:dyDescent="0.25">
      <c r="A123" s="14" t="s">
        <v>121</v>
      </c>
      <c r="B123" s="788" t="s">
        <v>317</v>
      </c>
      <c r="C123" s="857"/>
      <c r="D123" s="807">
        <f t="shared" si="4"/>
        <v>0</v>
      </c>
      <c r="E123" s="812"/>
      <c r="F123" s="812"/>
      <c r="G123" s="808"/>
      <c r="H123" s="561">
        <f t="shared" si="3"/>
        <v>0</v>
      </c>
      <c r="I123" s="115"/>
      <c r="J123" s="115"/>
      <c r="K123" s="285"/>
    </row>
    <row r="124" spans="1:11" ht="12" customHeight="1" x14ac:dyDescent="0.25">
      <c r="A124" s="14" t="s">
        <v>152</v>
      </c>
      <c r="B124" s="789" t="s">
        <v>300</v>
      </c>
      <c r="C124" s="880"/>
      <c r="D124" s="807">
        <f t="shared" si="4"/>
        <v>0</v>
      </c>
      <c r="E124" s="812"/>
      <c r="F124" s="812"/>
      <c r="G124" s="808"/>
      <c r="H124" s="561">
        <f t="shared" si="3"/>
        <v>0</v>
      </c>
      <c r="I124" s="115"/>
      <c r="J124" s="115"/>
      <c r="K124" s="285"/>
    </row>
    <row r="125" spans="1:11" ht="12" customHeight="1" x14ac:dyDescent="0.25">
      <c r="A125" s="14" t="s">
        <v>153</v>
      </c>
      <c r="B125" s="789" t="s">
        <v>316</v>
      </c>
      <c r="C125" s="880"/>
      <c r="D125" s="807">
        <f t="shared" si="4"/>
        <v>0</v>
      </c>
      <c r="E125" s="812"/>
      <c r="F125" s="812"/>
      <c r="G125" s="808"/>
      <c r="H125" s="561">
        <f t="shared" si="3"/>
        <v>0</v>
      </c>
      <c r="I125" s="115"/>
      <c r="J125" s="115"/>
      <c r="K125" s="285"/>
    </row>
    <row r="126" spans="1:11" ht="12" customHeight="1" x14ac:dyDescent="0.25">
      <c r="A126" s="14" t="s">
        <v>154</v>
      </c>
      <c r="B126" s="789" t="s">
        <v>315</v>
      </c>
      <c r="C126" s="880"/>
      <c r="D126" s="807">
        <f t="shared" si="4"/>
        <v>0</v>
      </c>
      <c r="E126" s="812"/>
      <c r="F126" s="812"/>
      <c r="G126" s="808"/>
      <c r="H126" s="561">
        <f t="shared" si="3"/>
        <v>0</v>
      </c>
      <c r="I126" s="115"/>
      <c r="J126" s="115"/>
      <c r="K126" s="285"/>
    </row>
    <row r="127" spans="1:11" ht="12" customHeight="1" x14ac:dyDescent="0.25">
      <c r="A127" s="14" t="s">
        <v>308</v>
      </c>
      <c r="B127" s="789" t="s">
        <v>303</v>
      </c>
      <c r="C127" s="880"/>
      <c r="D127" s="807">
        <f>SUM(E127:G127)+5000</f>
        <v>5000</v>
      </c>
      <c r="E127" s="812"/>
      <c r="F127" s="812"/>
      <c r="G127" s="808"/>
      <c r="H127" s="561">
        <f t="shared" si="3"/>
        <v>0</v>
      </c>
      <c r="I127" s="115"/>
      <c r="J127" s="115"/>
      <c r="K127" s="285"/>
    </row>
    <row r="128" spans="1:11" ht="12" customHeight="1" x14ac:dyDescent="0.25">
      <c r="A128" s="14" t="s">
        <v>309</v>
      </c>
      <c r="B128" s="789" t="s">
        <v>314</v>
      </c>
      <c r="C128" s="880"/>
      <c r="D128" s="807">
        <f t="shared" si="4"/>
        <v>0</v>
      </c>
      <c r="E128" s="812"/>
      <c r="F128" s="812"/>
      <c r="G128" s="808"/>
      <c r="H128" s="561">
        <f t="shared" si="3"/>
        <v>0</v>
      </c>
      <c r="I128" s="115"/>
      <c r="J128" s="115"/>
      <c r="K128" s="285"/>
    </row>
    <row r="129" spans="1:11" ht="12" customHeight="1" thickBot="1" x14ac:dyDescent="0.3">
      <c r="A129" s="12" t="s">
        <v>310</v>
      </c>
      <c r="B129" s="789" t="s">
        <v>313</v>
      </c>
      <c r="C129" s="846">
        <v>10344167</v>
      </c>
      <c r="D129" s="811">
        <f>SUM(E129:G129)+2400000+1348000+600000+1000000</f>
        <v>48499500</v>
      </c>
      <c r="E129" s="818">
        <f>42072000+1079500</f>
        <v>43151500</v>
      </c>
      <c r="F129" s="818"/>
      <c r="G129" s="818"/>
      <c r="H129" s="705">
        <f t="shared" si="3"/>
        <v>65710721</v>
      </c>
      <c r="I129" s="289">
        <v>65710721</v>
      </c>
      <c r="J129" s="289"/>
      <c r="K129" s="289"/>
    </row>
    <row r="130" spans="1:11" ht="12" customHeight="1" thickBot="1" x14ac:dyDescent="0.3">
      <c r="A130" s="19" t="s">
        <v>24</v>
      </c>
      <c r="B130" s="704" t="s">
        <v>473</v>
      </c>
      <c r="C130" s="829">
        <f>C116+C95</f>
        <v>2630343984</v>
      </c>
      <c r="D130" s="801">
        <f>D116+D95</f>
        <v>3271893962</v>
      </c>
      <c r="E130" s="801">
        <f>+E95+E116</f>
        <v>469288333</v>
      </c>
      <c r="F130" s="800">
        <f>+F95+F116</f>
        <v>225723850</v>
      </c>
      <c r="G130" s="800">
        <f>+G95+G116</f>
        <v>1397286981</v>
      </c>
      <c r="H130" s="707">
        <f t="shared" si="3"/>
        <v>2974657596</v>
      </c>
      <c r="I130" s="307">
        <f>+I95+I116</f>
        <v>1213149767</v>
      </c>
      <c r="J130" s="130">
        <f>+J95+J116</f>
        <v>244267775</v>
      </c>
      <c r="K130" s="130">
        <f>+K95+K116</f>
        <v>1517240054</v>
      </c>
    </row>
    <row r="131" spans="1:11" ht="12" customHeight="1" thickBot="1" x14ac:dyDescent="0.3">
      <c r="A131" s="19" t="s">
        <v>25</v>
      </c>
      <c r="B131" s="704" t="s">
        <v>474</v>
      </c>
      <c r="C131" s="829">
        <f>SUM(C132:C134)</f>
        <v>3044789</v>
      </c>
      <c r="D131" s="801">
        <f>SUM(D132:D134)</f>
        <v>103161000</v>
      </c>
      <c r="E131" s="801">
        <f>+E132+E133+E134</f>
        <v>103161000</v>
      </c>
      <c r="F131" s="800">
        <f>+F132+F133+F134</f>
        <v>0</v>
      </c>
      <c r="G131" s="800">
        <f>+G132+G133+G134</f>
        <v>0</v>
      </c>
      <c r="H131" s="707">
        <f t="shared" si="3"/>
        <v>108486704</v>
      </c>
      <c r="I131" s="307">
        <f>+I132+I133+I134</f>
        <v>108486704</v>
      </c>
      <c r="J131" s="130">
        <f>+J132+J133+J134</f>
        <v>0</v>
      </c>
      <c r="K131" s="130">
        <f>+K132+K133+K134</f>
        <v>0</v>
      </c>
    </row>
    <row r="132" spans="1:11" ht="12" customHeight="1" x14ac:dyDescent="0.25">
      <c r="A132" s="14" t="s">
        <v>208</v>
      </c>
      <c r="B132" s="782" t="s">
        <v>475</v>
      </c>
      <c r="C132" s="846">
        <v>3044789</v>
      </c>
      <c r="D132" s="803">
        <f>SUM(E132:G132)</f>
        <v>3161000</v>
      </c>
      <c r="E132" s="808">
        <v>3161000</v>
      </c>
      <c r="F132" s="808"/>
      <c r="G132" s="808"/>
      <c r="H132" s="699">
        <f t="shared" si="3"/>
        <v>8486704</v>
      </c>
      <c r="I132" s="285">
        <f>4042704+4444000</f>
        <v>8486704</v>
      </c>
      <c r="J132" s="285"/>
      <c r="K132" s="285"/>
    </row>
    <row r="133" spans="1:11" ht="12" customHeight="1" x14ac:dyDescent="0.25">
      <c r="A133" s="14" t="s">
        <v>211</v>
      </c>
      <c r="B133" s="782" t="s">
        <v>476</v>
      </c>
      <c r="C133" s="853"/>
      <c r="D133" s="817">
        <f>SUM(E133:G133)</f>
        <v>100000000</v>
      </c>
      <c r="E133" s="812">
        <v>100000000</v>
      </c>
      <c r="F133" s="812"/>
      <c r="G133" s="812"/>
      <c r="H133" s="699">
        <f t="shared" si="3"/>
        <v>100000000</v>
      </c>
      <c r="I133" s="115">
        <v>100000000</v>
      </c>
      <c r="J133" s="115"/>
      <c r="K133" s="115"/>
    </row>
    <row r="134" spans="1:11" ht="12" customHeight="1" thickBot="1" x14ac:dyDescent="0.3">
      <c r="A134" s="12" t="s">
        <v>212</v>
      </c>
      <c r="B134" s="782" t="s">
        <v>477</v>
      </c>
      <c r="C134" s="853"/>
      <c r="D134" s="822">
        <f>SUM(E134:G134)</f>
        <v>0</v>
      </c>
      <c r="E134" s="812"/>
      <c r="F134" s="812"/>
      <c r="G134" s="812"/>
      <c r="H134" s="706">
        <f t="shared" si="3"/>
        <v>0</v>
      </c>
      <c r="I134" s="115"/>
      <c r="J134" s="115"/>
      <c r="K134" s="115"/>
    </row>
    <row r="135" spans="1:11" ht="12" customHeight="1" thickBot="1" x14ac:dyDescent="0.3">
      <c r="A135" s="19" t="s">
        <v>26</v>
      </c>
      <c r="B135" s="704" t="s">
        <v>478</v>
      </c>
      <c r="C135" s="882">
        <f>SUM(C136:C141)</f>
        <v>0</v>
      </c>
      <c r="D135" s="831">
        <f>SUM(D136:D141)</f>
        <v>0</v>
      </c>
      <c r="E135" s="801">
        <f>+E136+E137+E138+E139+E140+E141</f>
        <v>0</v>
      </c>
      <c r="F135" s="800">
        <f>+F136+F137+F138+F139+F140+F141</f>
        <v>0</v>
      </c>
      <c r="G135" s="800">
        <f>SUM(G136:G141)</f>
        <v>0</v>
      </c>
      <c r="H135" s="707">
        <f t="shared" si="3"/>
        <v>0</v>
      </c>
      <c r="I135" s="307">
        <f>+I136+I137+I138+I139+I140+I141</f>
        <v>0</v>
      </c>
      <c r="J135" s="130">
        <f>+J136+J137+J138+J139+J140+J141</f>
        <v>0</v>
      </c>
      <c r="K135" s="130">
        <f>SUM(K136:K141)</f>
        <v>0</v>
      </c>
    </row>
    <row r="136" spans="1:11" ht="12" customHeight="1" x14ac:dyDescent="0.25">
      <c r="A136" s="14" t="s">
        <v>93</v>
      </c>
      <c r="B136" s="786" t="s">
        <v>479</v>
      </c>
      <c r="C136" s="857"/>
      <c r="D136" s="803">
        <f t="shared" ref="D136:D141" si="5">SUM(E136:G136)</f>
        <v>0</v>
      </c>
      <c r="E136" s="812"/>
      <c r="F136" s="812"/>
      <c r="G136" s="812"/>
      <c r="H136" s="702">
        <f t="shared" si="3"/>
        <v>0</v>
      </c>
      <c r="I136" s="115"/>
      <c r="J136" s="115"/>
      <c r="K136" s="115"/>
    </row>
    <row r="137" spans="1:11" ht="12" customHeight="1" x14ac:dyDescent="0.25">
      <c r="A137" s="14" t="s">
        <v>94</v>
      </c>
      <c r="B137" s="786" t="s">
        <v>480</v>
      </c>
      <c r="C137" s="857"/>
      <c r="D137" s="817">
        <f t="shared" si="5"/>
        <v>0</v>
      </c>
      <c r="E137" s="812"/>
      <c r="F137" s="812"/>
      <c r="G137" s="812"/>
      <c r="H137" s="702">
        <f t="shared" si="3"/>
        <v>0</v>
      </c>
      <c r="I137" s="115"/>
      <c r="J137" s="115"/>
      <c r="K137" s="115"/>
    </row>
    <row r="138" spans="1:11" ht="12" customHeight="1" x14ac:dyDescent="0.25">
      <c r="A138" s="14" t="s">
        <v>95</v>
      </c>
      <c r="B138" s="786" t="s">
        <v>481</v>
      </c>
      <c r="C138" s="857"/>
      <c r="D138" s="817">
        <f t="shared" si="5"/>
        <v>0</v>
      </c>
      <c r="E138" s="812"/>
      <c r="F138" s="812"/>
      <c r="G138" s="812"/>
      <c r="H138" s="702">
        <f t="shared" si="3"/>
        <v>0</v>
      </c>
      <c r="I138" s="115"/>
      <c r="J138" s="115"/>
      <c r="K138" s="115"/>
    </row>
    <row r="139" spans="1:11" ht="12" customHeight="1" x14ac:dyDescent="0.25">
      <c r="A139" s="14" t="s">
        <v>139</v>
      </c>
      <c r="B139" s="786" t="s">
        <v>482</v>
      </c>
      <c r="C139" s="857"/>
      <c r="D139" s="817">
        <f t="shared" si="5"/>
        <v>0</v>
      </c>
      <c r="E139" s="812"/>
      <c r="F139" s="812"/>
      <c r="G139" s="812"/>
      <c r="H139" s="702">
        <f t="shared" si="3"/>
        <v>0</v>
      </c>
      <c r="I139" s="115"/>
      <c r="J139" s="115"/>
      <c r="K139" s="115"/>
    </row>
    <row r="140" spans="1:11" ht="12" customHeight="1" x14ac:dyDescent="0.25">
      <c r="A140" s="14" t="s">
        <v>140</v>
      </c>
      <c r="B140" s="786" t="s">
        <v>483</v>
      </c>
      <c r="C140" s="857"/>
      <c r="D140" s="817">
        <f t="shared" si="5"/>
        <v>0</v>
      </c>
      <c r="E140" s="812"/>
      <c r="F140" s="812"/>
      <c r="G140" s="812"/>
      <c r="H140" s="702">
        <f t="shared" si="3"/>
        <v>0</v>
      </c>
      <c r="I140" s="115"/>
      <c r="J140" s="115"/>
      <c r="K140" s="115"/>
    </row>
    <row r="141" spans="1:11" ht="12" customHeight="1" thickBot="1" x14ac:dyDescent="0.3">
      <c r="A141" s="12" t="s">
        <v>141</v>
      </c>
      <c r="B141" s="786" t="s">
        <v>484</v>
      </c>
      <c r="C141" s="857"/>
      <c r="D141" s="822">
        <f t="shared" si="5"/>
        <v>0</v>
      </c>
      <c r="E141" s="812"/>
      <c r="F141" s="812"/>
      <c r="G141" s="812"/>
      <c r="H141" s="706">
        <f t="shared" si="3"/>
        <v>0</v>
      </c>
      <c r="I141" s="115"/>
      <c r="J141" s="115"/>
      <c r="K141" s="115"/>
    </row>
    <row r="142" spans="1:11" ht="12" customHeight="1" thickBot="1" x14ac:dyDescent="0.3">
      <c r="A142" s="19" t="s">
        <v>27</v>
      </c>
      <c r="B142" s="704" t="s">
        <v>485</v>
      </c>
      <c r="C142" s="829">
        <f>SUM(C143:C146)</f>
        <v>33301994</v>
      </c>
      <c r="D142" s="801">
        <f>SUM(D143:D146)</f>
        <v>35164932</v>
      </c>
      <c r="E142" s="823">
        <f>+E143+E144+E145+E146</f>
        <v>35164932</v>
      </c>
      <c r="F142" s="824">
        <f>+F143+F144+F145+F146</f>
        <v>0</v>
      </c>
      <c r="G142" s="824">
        <f>+G143+G144+G145+G146</f>
        <v>0</v>
      </c>
      <c r="H142" s="707">
        <f t="shared" si="3"/>
        <v>38167591</v>
      </c>
      <c r="I142" s="310">
        <f>+I143+I144+I145+I146</f>
        <v>38167591</v>
      </c>
      <c r="J142" s="135">
        <f>+J143+J144+J145+J146</f>
        <v>0</v>
      </c>
      <c r="K142" s="135">
        <f>+K143+K144+K145+K146</f>
        <v>0</v>
      </c>
    </row>
    <row r="143" spans="1:11" ht="12" customHeight="1" x14ac:dyDescent="0.25">
      <c r="A143" s="14" t="s">
        <v>96</v>
      </c>
      <c r="B143" s="786" t="s">
        <v>318</v>
      </c>
      <c r="C143" s="857"/>
      <c r="D143" s="803">
        <f>SUM(E143:G143)</f>
        <v>0</v>
      </c>
      <c r="E143" s="812"/>
      <c r="F143" s="812"/>
      <c r="G143" s="812"/>
      <c r="H143" s="702">
        <f t="shared" si="3"/>
        <v>0</v>
      </c>
      <c r="I143" s="115"/>
      <c r="J143" s="115"/>
      <c r="K143" s="115"/>
    </row>
    <row r="144" spans="1:11" ht="12" customHeight="1" x14ac:dyDescent="0.25">
      <c r="A144" s="14" t="s">
        <v>97</v>
      </c>
      <c r="B144" s="786" t="s">
        <v>319</v>
      </c>
      <c r="C144" s="851">
        <v>33301994</v>
      </c>
      <c r="D144" s="817">
        <f>SUM(E144:G144)</f>
        <v>35164932</v>
      </c>
      <c r="E144" s="812">
        <f>35164932</f>
        <v>35164932</v>
      </c>
      <c r="F144" s="812"/>
      <c r="G144" s="812"/>
      <c r="H144" s="699">
        <f t="shared" si="3"/>
        <v>38167591</v>
      </c>
      <c r="I144" s="115">
        <v>38167591</v>
      </c>
      <c r="J144" s="115"/>
      <c r="K144" s="115"/>
    </row>
    <row r="145" spans="1:11" ht="12" customHeight="1" x14ac:dyDescent="0.25">
      <c r="A145" s="14" t="s">
        <v>232</v>
      </c>
      <c r="B145" s="786" t="s">
        <v>486</v>
      </c>
      <c r="C145" s="857"/>
      <c r="D145" s="817">
        <f>SUM(E145:G145)</f>
        <v>0</v>
      </c>
      <c r="E145" s="812"/>
      <c r="F145" s="812"/>
      <c r="G145" s="812"/>
      <c r="H145" s="702">
        <f t="shared" si="3"/>
        <v>0</v>
      </c>
      <c r="I145" s="115"/>
      <c r="J145" s="115"/>
      <c r="K145" s="115"/>
    </row>
    <row r="146" spans="1:11" ht="12" customHeight="1" thickBot="1" x14ac:dyDescent="0.3">
      <c r="A146" s="12" t="s">
        <v>233</v>
      </c>
      <c r="B146" s="787" t="s">
        <v>337</v>
      </c>
      <c r="C146" s="858"/>
      <c r="D146" s="822">
        <f>SUM(E146:G146)</f>
        <v>0</v>
      </c>
      <c r="E146" s="812"/>
      <c r="F146" s="812"/>
      <c r="G146" s="812"/>
      <c r="H146" s="706">
        <f t="shared" si="3"/>
        <v>0</v>
      </c>
      <c r="I146" s="115"/>
      <c r="J146" s="115"/>
      <c r="K146" s="115"/>
    </row>
    <row r="147" spans="1:11" ht="12" customHeight="1" thickBot="1" x14ac:dyDescent="0.3">
      <c r="A147" s="19" t="s">
        <v>28</v>
      </c>
      <c r="B147" s="704" t="s">
        <v>487</v>
      </c>
      <c r="C147" s="832">
        <f>SUM(C148:C152)</f>
        <v>0</v>
      </c>
      <c r="D147" s="831">
        <f>SUM(D148:D152)</f>
        <v>0</v>
      </c>
      <c r="E147" s="859">
        <f>+E148+E149+E150+E151+E152</f>
        <v>0</v>
      </c>
      <c r="F147" s="860">
        <f>+F148+F149+F150+F151+F152</f>
        <v>0</v>
      </c>
      <c r="G147" s="860">
        <f>SUM(G148:G152)</f>
        <v>0</v>
      </c>
      <c r="H147" s="707">
        <f t="shared" si="3"/>
        <v>0</v>
      </c>
      <c r="I147" s="319">
        <f>+I148+I149+I150+I151+I152</f>
        <v>0</v>
      </c>
      <c r="J147" s="138">
        <f>+J148+J149+J150+J151+J152</f>
        <v>0</v>
      </c>
      <c r="K147" s="138">
        <f>SUM(K148:K152)</f>
        <v>0</v>
      </c>
    </row>
    <row r="148" spans="1:11" ht="12" customHeight="1" x14ac:dyDescent="0.25">
      <c r="A148" s="14" t="s">
        <v>98</v>
      </c>
      <c r="B148" s="786" t="s">
        <v>488</v>
      </c>
      <c r="C148" s="857"/>
      <c r="D148" s="803">
        <f t="shared" ref="D148:D154" si="6">SUM(E148:G148)</f>
        <v>0</v>
      </c>
      <c r="E148" s="812"/>
      <c r="F148" s="812"/>
      <c r="G148" s="812"/>
      <c r="H148" s="702">
        <f t="shared" si="3"/>
        <v>0</v>
      </c>
      <c r="I148" s="115"/>
      <c r="J148" s="115"/>
      <c r="K148" s="115"/>
    </row>
    <row r="149" spans="1:11" ht="12" customHeight="1" x14ac:dyDescent="0.25">
      <c r="A149" s="14" t="s">
        <v>99</v>
      </c>
      <c r="B149" s="786" t="s">
        <v>489</v>
      </c>
      <c r="C149" s="851"/>
      <c r="D149" s="817">
        <f t="shared" si="6"/>
        <v>0</v>
      </c>
      <c r="E149" s="812"/>
      <c r="F149" s="812"/>
      <c r="G149" s="812"/>
      <c r="H149" s="702">
        <f t="shared" si="3"/>
        <v>0</v>
      </c>
      <c r="I149" s="115"/>
      <c r="J149" s="115"/>
      <c r="K149" s="115"/>
    </row>
    <row r="150" spans="1:11" ht="12" customHeight="1" x14ac:dyDescent="0.25">
      <c r="A150" s="14" t="s">
        <v>244</v>
      </c>
      <c r="B150" s="786" t="s">
        <v>490</v>
      </c>
      <c r="C150" s="857"/>
      <c r="D150" s="817">
        <f t="shared" si="6"/>
        <v>0</v>
      </c>
      <c r="E150" s="812"/>
      <c r="F150" s="812"/>
      <c r="G150" s="812"/>
      <c r="H150" s="702">
        <f t="shared" si="3"/>
        <v>0</v>
      </c>
      <c r="I150" s="115"/>
      <c r="J150" s="115"/>
      <c r="K150" s="115"/>
    </row>
    <row r="151" spans="1:11" ht="12" customHeight="1" x14ac:dyDescent="0.25">
      <c r="A151" s="14" t="s">
        <v>245</v>
      </c>
      <c r="B151" s="786" t="s">
        <v>491</v>
      </c>
      <c r="C151" s="857"/>
      <c r="D151" s="817">
        <f t="shared" si="6"/>
        <v>0</v>
      </c>
      <c r="E151" s="812"/>
      <c r="F151" s="812"/>
      <c r="G151" s="812"/>
      <c r="H151" s="702">
        <f t="shared" si="3"/>
        <v>0</v>
      </c>
      <c r="I151" s="115"/>
      <c r="J151" s="115"/>
      <c r="K151" s="115"/>
    </row>
    <row r="152" spans="1:11" ht="12" customHeight="1" thickBot="1" x14ac:dyDescent="0.3">
      <c r="A152" s="14" t="s">
        <v>492</v>
      </c>
      <c r="B152" s="786" t="s">
        <v>493</v>
      </c>
      <c r="C152" s="857"/>
      <c r="D152" s="822">
        <f t="shared" si="6"/>
        <v>0</v>
      </c>
      <c r="E152" s="827"/>
      <c r="F152" s="827"/>
      <c r="G152" s="812"/>
      <c r="H152" s="706">
        <f t="shared" si="3"/>
        <v>0</v>
      </c>
      <c r="I152" s="116"/>
      <c r="J152" s="116"/>
      <c r="K152" s="115"/>
    </row>
    <row r="153" spans="1:11" ht="12" customHeight="1" thickBot="1" x14ac:dyDescent="0.3">
      <c r="A153" s="19" t="s">
        <v>29</v>
      </c>
      <c r="B153" s="704" t="s">
        <v>494</v>
      </c>
      <c r="C153" s="832"/>
      <c r="D153" s="831">
        <f t="shared" si="6"/>
        <v>0</v>
      </c>
      <c r="E153" s="859"/>
      <c r="F153" s="860"/>
      <c r="G153" s="861"/>
      <c r="H153" s="707">
        <f t="shared" si="3"/>
        <v>0</v>
      </c>
      <c r="I153" s="319"/>
      <c r="J153" s="138"/>
      <c r="K153" s="278"/>
    </row>
    <row r="154" spans="1:11" ht="12" customHeight="1" thickBot="1" x14ac:dyDescent="0.3">
      <c r="A154" s="19" t="s">
        <v>30</v>
      </c>
      <c r="B154" s="704" t="s">
        <v>495</v>
      </c>
      <c r="C154" s="832"/>
      <c r="D154" s="831">
        <f t="shared" si="6"/>
        <v>0</v>
      </c>
      <c r="E154" s="859"/>
      <c r="F154" s="860"/>
      <c r="G154" s="861"/>
      <c r="H154" s="707">
        <f t="shared" si="3"/>
        <v>0</v>
      </c>
      <c r="I154" s="319"/>
      <c r="J154" s="138"/>
      <c r="K154" s="278"/>
    </row>
    <row r="155" spans="1:11" ht="15" customHeight="1" thickBot="1" x14ac:dyDescent="0.3">
      <c r="A155" s="19" t="s">
        <v>31</v>
      </c>
      <c r="B155" s="704" t="s">
        <v>496</v>
      </c>
      <c r="C155" s="829">
        <f>C154+C153+C147+C142+C135+C131</f>
        <v>36346783</v>
      </c>
      <c r="D155" s="801">
        <f>D154+D153+D147+D142+D135+D131</f>
        <v>138325932</v>
      </c>
      <c r="E155" s="862">
        <f>+E131+E135+E142+E147+E153+E154</f>
        <v>138325932</v>
      </c>
      <c r="F155" s="863">
        <f>+F131+F135+F142+F147+F153+F154</f>
        <v>0</v>
      </c>
      <c r="G155" s="863">
        <f>+G131+G135+G142+G147+G153+G154</f>
        <v>0</v>
      </c>
      <c r="H155" s="707">
        <f t="shared" si="3"/>
        <v>146654295</v>
      </c>
      <c r="I155" s="320">
        <f>+I131+I135+I142+I147+I153+I154</f>
        <v>146654295</v>
      </c>
      <c r="J155" s="221">
        <f>+J131+J135+J142+J147+J153+J154</f>
        <v>0</v>
      </c>
      <c r="K155" s="221">
        <f>+K131+K135+K142+K147+K153+K154</f>
        <v>0</v>
      </c>
    </row>
    <row r="156" spans="1:11" s="308" customFormat="1" ht="12.95" customHeight="1" thickBot="1" x14ac:dyDescent="0.25">
      <c r="A156" s="128" t="s">
        <v>32</v>
      </c>
      <c r="B156" s="708" t="s">
        <v>497</v>
      </c>
      <c r="C156" s="829">
        <f>C155+C130</f>
        <v>2666690767</v>
      </c>
      <c r="D156" s="801">
        <f>D155+D130</f>
        <v>3410219894</v>
      </c>
      <c r="E156" s="862">
        <f>+E130+E155</f>
        <v>607614265</v>
      </c>
      <c r="F156" s="863">
        <f>+F130+F155</f>
        <v>225723850</v>
      </c>
      <c r="G156" s="863">
        <f>+G130+G155</f>
        <v>1397286981</v>
      </c>
      <c r="H156" s="707">
        <f t="shared" si="3"/>
        <v>3121311891</v>
      </c>
      <c r="I156" s="320">
        <f>+I130+I155</f>
        <v>1359804062</v>
      </c>
      <c r="J156" s="221">
        <f>+J130+J155</f>
        <v>244267775</v>
      </c>
      <c r="K156" s="221">
        <f>+K130+K155</f>
        <v>1517240054</v>
      </c>
    </row>
    <row r="160" spans="1:11" ht="16.5" customHeight="1" x14ac:dyDescent="0.25"/>
  </sheetData>
  <mergeCells count="5">
    <mergeCell ref="A3:H3"/>
    <mergeCell ref="A4:B4"/>
    <mergeCell ref="A91:H91"/>
    <mergeCell ref="A92:B92"/>
    <mergeCell ref="A1:H1"/>
  </mergeCells>
  <pageMargins left="0.75" right="0.75" top="1" bottom="1" header="0.5" footer="0.5"/>
  <pageSetup paperSize="9" scale="70" orientation="portrait" r:id="rId1"/>
  <headerFooter alignWithMargins="0">
    <oddHeader>&amp;R22. melléklet a 4/2018.(III.29.) önkormányzati rendelethez
TÁJÉKOZTATÓ TÁBLA</oddHeader>
  </headerFooter>
  <rowBreaks count="1" manualBreakCount="1">
    <brk id="76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view="pageLayout" zoomScale="85" zoomScaleNormal="100" zoomScalePageLayoutView="85" workbookViewId="0">
      <selection activeCell="L7" sqref="L7"/>
    </sheetView>
  </sheetViews>
  <sheetFormatPr defaultRowHeight="12.75" x14ac:dyDescent="0.2"/>
  <cols>
    <col min="1" max="1" width="6.83203125" style="32" customWidth="1"/>
    <col min="2" max="2" width="49.6640625" style="31" customWidth="1"/>
    <col min="3" max="8" width="12.83203125" style="31" customWidth="1"/>
    <col min="9" max="9" width="13.83203125" style="31" customWidth="1"/>
    <col min="10" max="256" width="9.33203125" style="31"/>
    <col min="257" max="257" width="6.83203125" style="31" customWidth="1"/>
    <col min="258" max="258" width="49.6640625" style="31" customWidth="1"/>
    <col min="259" max="264" width="12.83203125" style="31" customWidth="1"/>
    <col min="265" max="265" width="13.83203125" style="31" customWidth="1"/>
    <col min="266" max="512" width="9.33203125" style="31"/>
    <col min="513" max="513" width="6.83203125" style="31" customWidth="1"/>
    <col min="514" max="514" width="49.6640625" style="31" customWidth="1"/>
    <col min="515" max="520" width="12.83203125" style="31" customWidth="1"/>
    <col min="521" max="521" width="13.83203125" style="31" customWidth="1"/>
    <col min="522" max="768" width="9.33203125" style="31"/>
    <col min="769" max="769" width="6.83203125" style="31" customWidth="1"/>
    <col min="770" max="770" width="49.6640625" style="31" customWidth="1"/>
    <col min="771" max="776" width="12.83203125" style="31" customWidth="1"/>
    <col min="777" max="777" width="13.83203125" style="31" customWidth="1"/>
    <col min="778" max="1024" width="9.33203125" style="31"/>
    <col min="1025" max="1025" width="6.83203125" style="31" customWidth="1"/>
    <col min="1026" max="1026" width="49.6640625" style="31" customWidth="1"/>
    <col min="1027" max="1032" width="12.83203125" style="31" customWidth="1"/>
    <col min="1033" max="1033" width="13.83203125" style="31" customWidth="1"/>
    <col min="1034" max="1280" width="9.33203125" style="31"/>
    <col min="1281" max="1281" width="6.83203125" style="31" customWidth="1"/>
    <col min="1282" max="1282" width="49.6640625" style="31" customWidth="1"/>
    <col min="1283" max="1288" width="12.83203125" style="31" customWidth="1"/>
    <col min="1289" max="1289" width="13.83203125" style="31" customWidth="1"/>
    <col min="1290" max="1536" width="9.33203125" style="31"/>
    <col min="1537" max="1537" width="6.83203125" style="31" customWidth="1"/>
    <col min="1538" max="1538" width="49.6640625" style="31" customWidth="1"/>
    <col min="1539" max="1544" width="12.83203125" style="31" customWidth="1"/>
    <col min="1545" max="1545" width="13.83203125" style="31" customWidth="1"/>
    <col min="1546" max="1792" width="9.33203125" style="31"/>
    <col min="1793" max="1793" width="6.83203125" style="31" customWidth="1"/>
    <col min="1794" max="1794" width="49.6640625" style="31" customWidth="1"/>
    <col min="1795" max="1800" width="12.83203125" style="31" customWidth="1"/>
    <col min="1801" max="1801" width="13.83203125" style="31" customWidth="1"/>
    <col min="1802" max="2048" width="9.33203125" style="31"/>
    <col min="2049" max="2049" width="6.83203125" style="31" customWidth="1"/>
    <col min="2050" max="2050" width="49.6640625" style="31" customWidth="1"/>
    <col min="2051" max="2056" width="12.83203125" style="31" customWidth="1"/>
    <col min="2057" max="2057" width="13.83203125" style="31" customWidth="1"/>
    <col min="2058" max="2304" width="9.33203125" style="31"/>
    <col min="2305" max="2305" width="6.83203125" style="31" customWidth="1"/>
    <col min="2306" max="2306" width="49.6640625" style="31" customWidth="1"/>
    <col min="2307" max="2312" width="12.83203125" style="31" customWidth="1"/>
    <col min="2313" max="2313" width="13.83203125" style="31" customWidth="1"/>
    <col min="2314" max="2560" width="9.33203125" style="31"/>
    <col min="2561" max="2561" width="6.83203125" style="31" customWidth="1"/>
    <col min="2562" max="2562" width="49.6640625" style="31" customWidth="1"/>
    <col min="2563" max="2568" width="12.83203125" style="31" customWidth="1"/>
    <col min="2569" max="2569" width="13.83203125" style="31" customWidth="1"/>
    <col min="2570" max="2816" width="9.33203125" style="31"/>
    <col min="2817" max="2817" width="6.83203125" style="31" customWidth="1"/>
    <col min="2818" max="2818" width="49.6640625" style="31" customWidth="1"/>
    <col min="2819" max="2824" width="12.83203125" style="31" customWidth="1"/>
    <col min="2825" max="2825" width="13.83203125" style="31" customWidth="1"/>
    <col min="2826" max="3072" width="9.33203125" style="31"/>
    <col min="3073" max="3073" width="6.83203125" style="31" customWidth="1"/>
    <col min="3074" max="3074" width="49.6640625" style="31" customWidth="1"/>
    <col min="3075" max="3080" width="12.83203125" style="31" customWidth="1"/>
    <col min="3081" max="3081" width="13.83203125" style="31" customWidth="1"/>
    <col min="3082" max="3328" width="9.33203125" style="31"/>
    <col min="3329" max="3329" width="6.83203125" style="31" customWidth="1"/>
    <col min="3330" max="3330" width="49.6640625" style="31" customWidth="1"/>
    <col min="3331" max="3336" width="12.83203125" style="31" customWidth="1"/>
    <col min="3337" max="3337" width="13.83203125" style="31" customWidth="1"/>
    <col min="3338" max="3584" width="9.33203125" style="31"/>
    <col min="3585" max="3585" width="6.83203125" style="31" customWidth="1"/>
    <col min="3586" max="3586" width="49.6640625" style="31" customWidth="1"/>
    <col min="3587" max="3592" width="12.83203125" style="31" customWidth="1"/>
    <col min="3593" max="3593" width="13.83203125" style="31" customWidth="1"/>
    <col min="3594" max="3840" width="9.33203125" style="31"/>
    <col min="3841" max="3841" width="6.83203125" style="31" customWidth="1"/>
    <col min="3842" max="3842" width="49.6640625" style="31" customWidth="1"/>
    <col min="3843" max="3848" width="12.83203125" style="31" customWidth="1"/>
    <col min="3849" max="3849" width="13.83203125" style="31" customWidth="1"/>
    <col min="3850" max="4096" width="9.33203125" style="31"/>
    <col min="4097" max="4097" width="6.83203125" style="31" customWidth="1"/>
    <col min="4098" max="4098" width="49.6640625" style="31" customWidth="1"/>
    <col min="4099" max="4104" width="12.83203125" style="31" customWidth="1"/>
    <col min="4105" max="4105" width="13.83203125" style="31" customWidth="1"/>
    <col min="4106" max="4352" width="9.33203125" style="31"/>
    <col min="4353" max="4353" width="6.83203125" style="31" customWidth="1"/>
    <col min="4354" max="4354" width="49.6640625" style="31" customWidth="1"/>
    <col min="4355" max="4360" width="12.83203125" style="31" customWidth="1"/>
    <col min="4361" max="4361" width="13.83203125" style="31" customWidth="1"/>
    <col min="4362" max="4608" width="9.33203125" style="31"/>
    <col min="4609" max="4609" width="6.83203125" style="31" customWidth="1"/>
    <col min="4610" max="4610" width="49.6640625" style="31" customWidth="1"/>
    <col min="4611" max="4616" width="12.83203125" style="31" customWidth="1"/>
    <col min="4617" max="4617" width="13.83203125" style="31" customWidth="1"/>
    <col min="4618" max="4864" width="9.33203125" style="31"/>
    <col min="4865" max="4865" width="6.83203125" style="31" customWidth="1"/>
    <col min="4866" max="4866" width="49.6640625" style="31" customWidth="1"/>
    <col min="4867" max="4872" width="12.83203125" style="31" customWidth="1"/>
    <col min="4873" max="4873" width="13.83203125" style="31" customWidth="1"/>
    <col min="4874" max="5120" width="9.33203125" style="31"/>
    <col min="5121" max="5121" width="6.83203125" style="31" customWidth="1"/>
    <col min="5122" max="5122" width="49.6640625" style="31" customWidth="1"/>
    <col min="5123" max="5128" width="12.83203125" style="31" customWidth="1"/>
    <col min="5129" max="5129" width="13.83203125" style="31" customWidth="1"/>
    <col min="5130" max="5376" width="9.33203125" style="31"/>
    <col min="5377" max="5377" width="6.83203125" style="31" customWidth="1"/>
    <col min="5378" max="5378" width="49.6640625" style="31" customWidth="1"/>
    <col min="5379" max="5384" width="12.83203125" style="31" customWidth="1"/>
    <col min="5385" max="5385" width="13.83203125" style="31" customWidth="1"/>
    <col min="5386" max="5632" width="9.33203125" style="31"/>
    <col min="5633" max="5633" width="6.83203125" style="31" customWidth="1"/>
    <col min="5634" max="5634" width="49.6640625" style="31" customWidth="1"/>
    <col min="5635" max="5640" width="12.83203125" style="31" customWidth="1"/>
    <col min="5641" max="5641" width="13.83203125" style="31" customWidth="1"/>
    <col min="5642" max="5888" width="9.33203125" style="31"/>
    <col min="5889" max="5889" width="6.83203125" style="31" customWidth="1"/>
    <col min="5890" max="5890" width="49.6640625" style="31" customWidth="1"/>
    <col min="5891" max="5896" width="12.83203125" style="31" customWidth="1"/>
    <col min="5897" max="5897" width="13.83203125" style="31" customWidth="1"/>
    <col min="5898" max="6144" width="9.33203125" style="31"/>
    <col min="6145" max="6145" width="6.83203125" style="31" customWidth="1"/>
    <col min="6146" max="6146" width="49.6640625" style="31" customWidth="1"/>
    <col min="6147" max="6152" width="12.83203125" style="31" customWidth="1"/>
    <col min="6153" max="6153" width="13.83203125" style="31" customWidth="1"/>
    <col min="6154" max="6400" width="9.33203125" style="31"/>
    <col min="6401" max="6401" width="6.83203125" style="31" customWidth="1"/>
    <col min="6402" max="6402" width="49.6640625" style="31" customWidth="1"/>
    <col min="6403" max="6408" width="12.83203125" style="31" customWidth="1"/>
    <col min="6409" max="6409" width="13.83203125" style="31" customWidth="1"/>
    <col min="6410" max="6656" width="9.33203125" style="31"/>
    <col min="6657" max="6657" width="6.83203125" style="31" customWidth="1"/>
    <col min="6658" max="6658" width="49.6640625" style="31" customWidth="1"/>
    <col min="6659" max="6664" width="12.83203125" style="31" customWidth="1"/>
    <col min="6665" max="6665" width="13.83203125" style="31" customWidth="1"/>
    <col min="6666" max="6912" width="9.33203125" style="31"/>
    <col min="6913" max="6913" width="6.83203125" style="31" customWidth="1"/>
    <col min="6914" max="6914" width="49.6640625" style="31" customWidth="1"/>
    <col min="6915" max="6920" width="12.83203125" style="31" customWidth="1"/>
    <col min="6921" max="6921" width="13.83203125" style="31" customWidth="1"/>
    <col min="6922" max="7168" width="9.33203125" style="31"/>
    <col min="7169" max="7169" width="6.83203125" style="31" customWidth="1"/>
    <col min="7170" max="7170" width="49.6640625" style="31" customWidth="1"/>
    <col min="7171" max="7176" width="12.83203125" style="31" customWidth="1"/>
    <col min="7177" max="7177" width="13.83203125" style="31" customWidth="1"/>
    <col min="7178" max="7424" width="9.33203125" style="31"/>
    <col min="7425" max="7425" width="6.83203125" style="31" customWidth="1"/>
    <col min="7426" max="7426" width="49.6640625" style="31" customWidth="1"/>
    <col min="7427" max="7432" width="12.83203125" style="31" customWidth="1"/>
    <col min="7433" max="7433" width="13.83203125" style="31" customWidth="1"/>
    <col min="7434" max="7680" width="9.33203125" style="31"/>
    <col min="7681" max="7681" width="6.83203125" style="31" customWidth="1"/>
    <col min="7682" max="7682" width="49.6640625" style="31" customWidth="1"/>
    <col min="7683" max="7688" width="12.83203125" style="31" customWidth="1"/>
    <col min="7689" max="7689" width="13.83203125" style="31" customWidth="1"/>
    <col min="7690" max="7936" width="9.33203125" style="31"/>
    <col min="7937" max="7937" width="6.83203125" style="31" customWidth="1"/>
    <col min="7938" max="7938" width="49.6640625" style="31" customWidth="1"/>
    <col min="7939" max="7944" width="12.83203125" style="31" customWidth="1"/>
    <col min="7945" max="7945" width="13.83203125" style="31" customWidth="1"/>
    <col min="7946" max="8192" width="9.33203125" style="31"/>
    <col min="8193" max="8193" width="6.83203125" style="31" customWidth="1"/>
    <col min="8194" max="8194" width="49.6640625" style="31" customWidth="1"/>
    <col min="8195" max="8200" width="12.83203125" style="31" customWidth="1"/>
    <col min="8201" max="8201" width="13.83203125" style="31" customWidth="1"/>
    <col min="8202" max="8448" width="9.33203125" style="31"/>
    <col min="8449" max="8449" width="6.83203125" style="31" customWidth="1"/>
    <col min="8450" max="8450" width="49.6640625" style="31" customWidth="1"/>
    <col min="8451" max="8456" width="12.83203125" style="31" customWidth="1"/>
    <col min="8457" max="8457" width="13.83203125" style="31" customWidth="1"/>
    <col min="8458" max="8704" width="9.33203125" style="31"/>
    <col min="8705" max="8705" width="6.83203125" style="31" customWidth="1"/>
    <col min="8706" max="8706" width="49.6640625" style="31" customWidth="1"/>
    <col min="8707" max="8712" width="12.83203125" style="31" customWidth="1"/>
    <col min="8713" max="8713" width="13.83203125" style="31" customWidth="1"/>
    <col min="8714" max="8960" width="9.33203125" style="31"/>
    <col min="8961" max="8961" width="6.83203125" style="31" customWidth="1"/>
    <col min="8962" max="8962" width="49.6640625" style="31" customWidth="1"/>
    <col min="8963" max="8968" width="12.83203125" style="31" customWidth="1"/>
    <col min="8969" max="8969" width="13.83203125" style="31" customWidth="1"/>
    <col min="8970" max="9216" width="9.33203125" style="31"/>
    <col min="9217" max="9217" width="6.83203125" style="31" customWidth="1"/>
    <col min="9218" max="9218" width="49.6640625" style="31" customWidth="1"/>
    <col min="9219" max="9224" width="12.83203125" style="31" customWidth="1"/>
    <col min="9225" max="9225" width="13.83203125" style="31" customWidth="1"/>
    <col min="9226" max="9472" width="9.33203125" style="31"/>
    <col min="9473" max="9473" width="6.83203125" style="31" customWidth="1"/>
    <col min="9474" max="9474" width="49.6640625" style="31" customWidth="1"/>
    <col min="9475" max="9480" width="12.83203125" style="31" customWidth="1"/>
    <col min="9481" max="9481" width="13.83203125" style="31" customWidth="1"/>
    <col min="9482" max="9728" width="9.33203125" style="31"/>
    <col min="9729" max="9729" width="6.83203125" style="31" customWidth="1"/>
    <col min="9730" max="9730" width="49.6640625" style="31" customWidth="1"/>
    <col min="9731" max="9736" width="12.83203125" style="31" customWidth="1"/>
    <col min="9737" max="9737" width="13.83203125" style="31" customWidth="1"/>
    <col min="9738" max="9984" width="9.33203125" style="31"/>
    <col min="9985" max="9985" width="6.83203125" style="31" customWidth="1"/>
    <col min="9986" max="9986" width="49.6640625" style="31" customWidth="1"/>
    <col min="9987" max="9992" width="12.83203125" style="31" customWidth="1"/>
    <col min="9993" max="9993" width="13.83203125" style="31" customWidth="1"/>
    <col min="9994" max="10240" width="9.33203125" style="31"/>
    <col min="10241" max="10241" width="6.83203125" style="31" customWidth="1"/>
    <col min="10242" max="10242" width="49.6640625" style="31" customWidth="1"/>
    <col min="10243" max="10248" width="12.83203125" style="31" customWidth="1"/>
    <col min="10249" max="10249" width="13.83203125" style="31" customWidth="1"/>
    <col min="10250" max="10496" width="9.33203125" style="31"/>
    <col min="10497" max="10497" width="6.83203125" style="31" customWidth="1"/>
    <col min="10498" max="10498" width="49.6640625" style="31" customWidth="1"/>
    <col min="10499" max="10504" width="12.83203125" style="31" customWidth="1"/>
    <col min="10505" max="10505" width="13.83203125" style="31" customWidth="1"/>
    <col min="10506" max="10752" width="9.33203125" style="31"/>
    <col min="10753" max="10753" width="6.83203125" style="31" customWidth="1"/>
    <col min="10754" max="10754" width="49.6640625" style="31" customWidth="1"/>
    <col min="10755" max="10760" width="12.83203125" style="31" customWidth="1"/>
    <col min="10761" max="10761" width="13.83203125" style="31" customWidth="1"/>
    <col min="10762" max="11008" width="9.33203125" style="31"/>
    <col min="11009" max="11009" width="6.83203125" style="31" customWidth="1"/>
    <col min="11010" max="11010" width="49.6640625" style="31" customWidth="1"/>
    <col min="11011" max="11016" width="12.83203125" style="31" customWidth="1"/>
    <col min="11017" max="11017" width="13.83203125" style="31" customWidth="1"/>
    <col min="11018" max="11264" width="9.33203125" style="31"/>
    <col min="11265" max="11265" width="6.83203125" style="31" customWidth="1"/>
    <col min="11266" max="11266" width="49.6640625" style="31" customWidth="1"/>
    <col min="11267" max="11272" width="12.83203125" style="31" customWidth="1"/>
    <col min="11273" max="11273" width="13.83203125" style="31" customWidth="1"/>
    <col min="11274" max="11520" width="9.33203125" style="31"/>
    <col min="11521" max="11521" width="6.83203125" style="31" customWidth="1"/>
    <col min="11522" max="11522" width="49.6640625" style="31" customWidth="1"/>
    <col min="11523" max="11528" width="12.83203125" style="31" customWidth="1"/>
    <col min="11529" max="11529" width="13.83203125" style="31" customWidth="1"/>
    <col min="11530" max="11776" width="9.33203125" style="31"/>
    <col min="11777" max="11777" width="6.83203125" style="31" customWidth="1"/>
    <col min="11778" max="11778" width="49.6640625" style="31" customWidth="1"/>
    <col min="11779" max="11784" width="12.83203125" style="31" customWidth="1"/>
    <col min="11785" max="11785" width="13.83203125" style="31" customWidth="1"/>
    <col min="11786" max="12032" width="9.33203125" style="31"/>
    <col min="12033" max="12033" width="6.83203125" style="31" customWidth="1"/>
    <col min="12034" max="12034" width="49.6640625" style="31" customWidth="1"/>
    <col min="12035" max="12040" width="12.83203125" style="31" customWidth="1"/>
    <col min="12041" max="12041" width="13.83203125" style="31" customWidth="1"/>
    <col min="12042" max="12288" width="9.33203125" style="31"/>
    <col min="12289" max="12289" width="6.83203125" style="31" customWidth="1"/>
    <col min="12290" max="12290" width="49.6640625" style="31" customWidth="1"/>
    <col min="12291" max="12296" width="12.83203125" style="31" customWidth="1"/>
    <col min="12297" max="12297" width="13.83203125" style="31" customWidth="1"/>
    <col min="12298" max="12544" width="9.33203125" style="31"/>
    <col min="12545" max="12545" width="6.83203125" style="31" customWidth="1"/>
    <col min="12546" max="12546" width="49.6640625" style="31" customWidth="1"/>
    <col min="12547" max="12552" width="12.83203125" style="31" customWidth="1"/>
    <col min="12553" max="12553" width="13.83203125" style="31" customWidth="1"/>
    <col min="12554" max="12800" width="9.33203125" style="31"/>
    <col min="12801" max="12801" width="6.83203125" style="31" customWidth="1"/>
    <col min="12802" max="12802" width="49.6640625" style="31" customWidth="1"/>
    <col min="12803" max="12808" width="12.83203125" style="31" customWidth="1"/>
    <col min="12809" max="12809" width="13.83203125" style="31" customWidth="1"/>
    <col min="12810" max="13056" width="9.33203125" style="31"/>
    <col min="13057" max="13057" width="6.83203125" style="31" customWidth="1"/>
    <col min="13058" max="13058" width="49.6640625" style="31" customWidth="1"/>
    <col min="13059" max="13064" width="12.83203125" style="31" customWidth="1"/>
    <col min="13065" max="13065" width="13.83203125" style="31" customWidth="1"/>
    <col min="13066" max="13312" width="9.33203125" style="31"/>
    <col min="13313" max="13313" width="6.83203125" style="31" customWidth="1"/>
    <col min="13314" max="13314" width="49.6640625" style="31" customWidth="1"/>
    <col min="13315" max="13320" width="12.83203125" style="31" customWidth="1"/>
    <col min="13321" max="13321" width="13.83203125" style="31" customWidth="1"/>
    <col min="13322" max="13568" width="9.33203125" style="31"/>
    <col min="13569" max="13569" width="6.83203125" style="31" customWidth="1"/>
    <col min="13570" max="13570" width="49.6640625" style="31" customWidth="1"/>
    <col min="13571" max="13576" width="12.83203125" style="31" customWidth="1"/>
    <col min="13577" max="13577" width="13.83203125" style="31" customWidth="1"/>
    <col min="13578" max="13824" width="9.33203125" style="31"/>
    <col min="13825" max="13825" width="6.83203125" style="31" customWidth="1"/>
    <col min="13826" max="13826" width="49.6640625" style="31" customWidth="1"/>
    <col min="13827" max="13832" width="12.83203125" style="31" customWidth="1"/>
    <col min="13833" max="13833" width="13.83203125" style="31" customWidth="1"/>
    <col min="13834" max="14080" width="9.33203125" style="31"/>
    <col min="14081" max="14081" width="6.83203125" style="31" customWidth="1"/>
    <col min="14082" max="14082" width="49.6640625" style="31" customWidth="1"/>
    <col min="14083" max="14088" width="12.83203125" style="31" customWidth="1"/>
    <col min="14089" max="14089" width="13.83203125" style="31" customWidth="1"/>
    <col min="14090" max="14336" width="9.33203125" style="31"/>
    <col min="14337" max="14337" width="6.83203125" style="31" customWidth="1"/>
    <col min="14338" max="14338" width="49.6640625" style="31" customWidth="1"/>
    <col min="14339" max="14344" width="12.83203125" style="31" customWidth="1"/>
    <col min="14345" max="14345" width="13.83203125" style="31" customWidth="1"/>
    <col min="14346" max="14592" width="9.33203125" style="31"/>
    <col min="14593" max="14593" width="6.83203125" style="31" customWidth="1"/>
    <col min="14594" max="14594" width="49.6640625" style="31" customWidth="1"/>
    <col min="14595" max="14600" width="12.83203125" style="31" customWidth="1"/>
    <col min="14601" max="14601" width="13.83203125" style="31" customWidth="1"/>
    <col min="14602" max="14848" width="9.33203125" style="31"/>
    <col min="14849" max="14849" width="6.83203125" style="31" customWidth="1"/>
    <col min="14850" max="14850" width="49.6640625" style="31" customWidth="1"/>
    <col min="14851" max="14856" width="12.83203125" style="31" customWidth="1"/>
    <col min="14857" max="14857" width="13.83203125" style="31" customWidth="1"/>
    <col min="14858" max="15104" width="9.33203125" style="31"/>
    <col min="15105" max="15105" width="6.83203125" style="31" customWidth="1"/>
    <col min="15106" max="15106" width="49.6640625" style="31" customWidth="1"/>
    <col min="15107" max="15112" width="12.83203125" style="31" customWidth="1"/>
    <col min="15113" max="15113" width="13.83203125" style="31" customWidth="1"/>
    <col min="15114" max="15360" width="9.33203125" style="31"/>
    <col min="15361" max="15361" width="6.83203125" style="31" customWidth="1"/>
    <col min="15362" max="15362" width="49.6640625" style="31" customWidth="1"/>
    <col min="15363" max="15368" width="12.83203125" style="31" customWidth="1"/>
    <col min="15369" max="15369" width="13.83203125" style="31" customWidth="1"/>
    <col min="15370" max="15616" width="9.33203125" style="31"/>
    <col min="15617" max="15617" width="6.83203125" style="31" customWidth="1"/>
    <col min="15618" max="15618" width="49.6640625" style="31" customWidth="1"/>
    <col min="15619" max="15624" width="12.83203125" style="31" customWidth="1"/>
    <col min="15625" max="15625" width="13.83203125" style="31" customWidth="1"/>
    <col min="15626" max="15872" width="9.33203125" style="31"/>
    <col min="15873" max="15873" width="6.83203125" style="31" customWidth="1"/>
    <col min="15874" max="15874" width="49.6640625" style="31" customWidth="1"/>
    <col min="15875" max="15880" width="12.83203125" style="31" customWidth="1"/>
    <col min="15881" max="15881" width="13.83203125" style="31" customWidth="1"/>
    <col min="15882" max="16128" width="9.33203125" style="31"/>
    <col min="16129" max="16129" width="6.83203125" style="31" customWidth="1"/>
    <col min="16130" max="16130" width="49.6640625" style="31" customWidth="1"/>
    <col min="16131" max="16136" width="12.83203125" style="31" customWidth="1"/>
    <col min="16137" max="16137" width="13.83203125" style="31" customWidth="1"/>
    <col min="16138" max="16384" width="9.33203125" style="31"/>
  </cols>
  <sheetData>
    <row r="1" spans="1:9" ht="27.75" customHeight="1" x14ac:dyDescent="0.2">
      <c r="A1" s="959" t="s">
        <v>12</v>
      </c>
      <c r="B1" s="959"/>
      <c r="C1" s="959"/>
      <c r="D1" s="959"/>
      <c r="E1" s="959"/>
      <c r="F1" s="959"/>
      <c r="G1" s="959"/>
      <c r="H1" s="959"/>
      <c r="I1" s="959"/>
    </row>
    <row r="2" spans="1:9" ht="20.25" customHeight="1" thickBot="1" x14ac:dyDescent="0.3">
      <c r="B2" s="254"/>
      <c r="I2" s="255" t="s">
        <v>584</v>
      </c>
    </row>
    <row r="3" spans="1:9" s="256" customFormat="1" ht="22.5" customHeight="1" x14ac:dyDescent="0.2">
      <c r="A3" s="976" t="s">
        <v>72</v>
      </c>
      <c r="B3" s="978" t="s">
        <v>86</v>
      </c>
      <c r="C3" s="976" t="s">
        <v>87</v>
      </c>
      <c r="D3" s="976" t="s">
        <v>609</v>
      </c>
      <c r="E3" s="980" t="s">
        <v>71</v>
      </c>
      <c r="F3" s="981"/>
      <c r="G3" s="981"/>
      <c r="H3" s="982"/>
      <c r="I3" s="978" t="s">
        <v>54</v>
      </c>
    </row>
    <row r="4" spans="1:9" s="257" customFormat="1" ht="17.25" customHeight="1" thickBot="1" x14ac:dyDescent="0.25">
      <c r="A4" s="977"/>
      <c r="B4" s="979"/>
      <c r="C4" s="979"/>
      <c r="D4" s="977"/>
      <c r="E4" s="117">
        <v>2018</v>
      </c>
      <c r="F4" s="117">
        <v>2019</v>
      </c>
      <c r="G4" s="117">
        <v>2020</v>
      </c>
      <c r="H4" s="118" t="s">
        <v>610</v>
      </c>
      <c r="I4" s="979"/>
    </row>
    <row r="5" spans="1:9" s="258" customFormat="1" ht="18" customHeight="1" thickBot="1" x14ac:dyDescent="0.25">
      <c r="A5" s="330">
        <v>1</v>
      </c>
      <c r="B5" s="328">
        <v>2</v>
      </c>
      <c r="C5" s="329">
        <v>3</v>
      </c>
      <c r="D5" s="328">
        <v>4</v>
      </c>
      <c r="E5" s="330">
        <v>5</v>
      </c>
      <c r="F5" s="329">
        <v>6</v>
      </c>
      <c r="G5" s="329">
        <v>7</v>
      </c>
      <c r="H5" s="331">
        <v>8</v>
      </c>
      <c r="I5" s="120" t="s">
        <v>88</v>
      </c>
    </row>
    <row r="6" spans="1:9" ht="24.75" customHeight="1" x14ac:dyDescent="0.2">
      <c r="A6" s="344" t="s">
        <v>23</v>
      </c>
      <c r="B6" s="664" t="s">
        <v>13</v>
      </c>
      <c r="C6" s="345"/>
      <c r="D6" s="337"/>
      <c r="E6" s="337"/>
      <c r="F6" s="337"/>
      <c r="G6" s="337"/>
      <c r="H6" s="337"/>
      <c r="I6" s="346">
        <f t="shared" ref="I6:I14" si="0">SUM(D6:H6)</f>
        <v>0</v>
      </c>
    </row>
    <row r="7" spans="1:9" ht="24.75" customHeight="1" thickBot="1" x14ac:dyDescent="0.25">
      <c r="A7" s="347" t="s">
        <v>24</v>
      </c>
      <c r="B7" s="665" t="s">
        <v>535</v>
      </c>
      <c r="C7" s="348">
        <v>2018</v>
      </c>
      <c r="D7" s="341">
        <v>0</v>
      </c>
      <c r="E7" s="341">
        <v>0</v>
      </c>
      <c r="F7" s="341">
        <v>0</v>
      </c>
      <c r="G7" s="341">
        <v>0</v>
      </c>
      <c r="H7" s="341">
        <v>0</v>
      </c>
      <c r="I7" s="342">
        <f t="shared" si="0"/>
        <v>0</v>
      </c>
    </row>
    <row r="8" spans="1:9" ht="24" customHeight="1" thickBot="1" x14ac:dyDescent="0.25">
      <c r="A8" s="327" t="s">
        <v>25</v>
      </c>
      <c r="B8" s="666" t="s">
        <v>14</v>
      </c>
      <c r="C8" s="326"/>
      <c r="D8" s="343"/>
      <c r="E8" s="343"/>
      <c r="F8" s="343"/>
      <c r="G8" s="343"/>
      <c r="H8" s="343"/>
      <c r="I8" s="332">
        <f>SUM(I9:I22)</f>
        <v>140628782</v>
      </c>
    </row>
    <row r="9" spans="1:9" ht="23.25" customHeight="1" x14ac:dyDescent="0.2">
      <c r="A9" s="344" t="s">
        <v>26</v>
      </c>
      <c r="B9" s="667" t="s">
        <v>536</v>
      </c>
      <c r="C9" s="336">
        <v>2013</v>
      </c>
      <c r="D9" s="337">
        <v>2310000</v>
      </c>
      <c r="E9" s="668">
        <v>570704</v>
      </c>
      <c r="F9" s="668">
        <v>0</v>
      </c>
      <c r="G9" s="668">
        <v>0</v>
      </c>
      <c r="H9" s="338">
        <v>0</v>
      </c>
      <c r="I9" s="339">
        <f t="shared" si="0"/>
        <v>2880704</v>
      </c>
    </row>
    <row r="10" spans="1:9" ht="32.25" customHeight="1" x14ac:dyDescent="0.2">
      <c r="A10" s="402" t="s">
        <v>27</v>
      </c>
      <c r="B10" s="334" t="s">
        <v>585</v>
      </c>
      <c r="C10" s="259">
        <v>2016</v>
      </c>
      <c r="D10" s="283">
        <v>0</v>
      </c>
      <c r="E10" s="669">
        <v>4444000</v>
      </c>
      <c r="F10" s="669">
        <v>4444000</v>
      </c>
      <c r="G10" s="333">
        <v>1806590</v>
      </c>
      <c r="H10" s="333">
        <v>0</v>
      </c>
      <c r="I10" s="340">
        <f t="shared" si="0"/>
        <v>10694590</v>
      </c>
    </row>
    <row r="11" spans="1:9" ht="33" customHeight="1" x14ac:dyDescent="0.2">
      <c r="A11" s="402" t="s">
        <v>28</v>
      </c>
      <c r="B11" s="334" t="s">
        <v>586</v>
      </c>
      <c r="C11" s="259">
        <v>2016</v>
      </c>
      <c r="D11" s="283">
        <v>0</v>
      </c>
      <c r="E11" s="669">
        <v>1472000</v>
      </c>
      <c r="F11" s="669">
        <v>1472000</v>
      </c>
      <c r="G11" s="669">
        <v>1472000</v>
      </c>
      <c r="H11" s="333">
        <v>5887000</v>
      </c>
      <c r="I11" s="340">
        <f t="shared" si="0"/>
        <v>10303000</v>
      </c>
    </row>
    <row r="12" spans="1:9" ht="35.25" customHeight="1" x14ac:dyDescent="0.2">
      <c r="A12" s="402" t="s">
        <v>29</v>
      </c>
      <c r="B12" s="334" t="s">
        <v>587</v>
      </c>
      <c r="C12" s="259">
        <v>2016</v>
      </c>
      <c r="D12" s="283">
        <v>1330500</v>
      </c>
      <c r="E12" s="283">
        <v>887000</v>
      </c>
      <c r="F12" s="283">
        <v>887000</v>
      </c>
      <c r="G12" s="283">
        <v>887000</v>
      </c>
      <c r="H12" s="283">
        <v>443461</v>
      </c>
      <c r="I12" s="340">
        <f t="shared" si="0"/>
        <v>4434961</v>
      </c>
    </row>
    <row r="13" spans="1:9" ht="30" customHeight="1" x14ac:dyDescent="0.2">
      <c r="A13" s="402" t="s">
        <v>30</v>
      </c>
      <c r="B13" s="334" t="s">
        <v>588</v>
      </c>
      <c r="C13" s="259">
        <v>2016</v>
      </c>
      <c r="D13" s="283">
        <v>1669500</v>
      </c>
      <c r="E13" s="283">
        <v>1113000</v>
      </c>
      <c r="F13" s="283">
        <v>1113000</v>
      </c>
      <c r="G13" s="283">
        <v>1113000</v>
      </c>
      <c r="H13" s="283">
        <v>556539</v>
      </c>
      <c r="I13" s="340">
        <f t="shared" si="0"/>
        <v>5565039</v>
      </c>
    </row>
    <row r="14" spans="1:9" ht="30" customHeight="1" x14ac:dyDescent="0.2">
      <c r="A14" s="402" t="s">
        <v>31</v>
      </c>
      <c r="B14" s="334" t="s">
        <v>703</v>
      </c>
      <c r="C14" s="259">
        <v>2017</v>
      </c>
      <c r="D14" s="283">
        <v>0</v>
      </c>
      <c r="E14" s="283">
        <v>0</v>
      </c>
      <c r="F14" s="283">
        <v>4940000</v>
      </c>
      <c r="G14" s="283">
        <v>4940000</v>
      </c>
      <c r="H14" s="283">
        <v>32120000</v>
      </c>
      <c r="I14" s="340">
        <f t="shared" si="0"/>
        <v>42000000</v>
      </c>
    </row>
    <row r="15" spans="1:9" ht="30" customHeight="1" x14ac:dyDescent="0.2">
      <c r="A15" s="793" t="s">
        <v>32</v>
      </c>
      <c r="B15" s="334" t="s">
        <v>602</v>
      </c>
      <c r="C15" s="259">
        <v>2017</v>
      </c>
      <c r="D15" s="283">
        <v>0</v>
      </c>
      <c r="E15" s="283">
        <v>0</v>
      </c>
      <c r="F15" s="283">
        <v>1464000</v>
      </c>
      <c r="G15" s="283">
        <v>1464000</v>
      </c>
      <c r="H15" s="283">
        <v>2572000</v>
      </c>
      <c r="I15" s="340">
        <f t="shared" ref="I15:I22" si="1">SUM(D15:H15)</f>
        <v>5500000</v>
      </c>
    </row>
    <row r="16" spans="1:9" ht="30" customHeight="1" x14ac:dyDescent="0.2">
      <c r="A16" s="793" t="s">
        <v>33</v>
      </c>
      <c r="B16" s="334" t="s">
        <v>704</v>
      </c>
      <c r="C16" s="259">
        <v>2018</v>
      </c>
      <c r="D16" s="794">
        <v>0</v>
      </c>
      <c r="E16" s="669">
        <v>0</v>
      </c>
      <c r="F16" s="669">
        <v>533576</v>
      </c>
      <c r="G16" s="669">
        <v>1067152</v>
      </c>
      <c r="H16" s="283">
        <v>1600724</v>
      </c>
      <c r="I16" s="340">
        <f t="shared" si="1"/>
        <v>3201452</v>
      </c>
    </row>
    <row r="17" spans="1:10" ht="30" customHeight="1" x14ac:dyDescent="0.2">
      <c r="A17" s="793" t="s">
        <v>34</v>
      </c>
      <c r="B17" s="334" t="s">
        <v>705</v>
      </c>
      <c r="C17" s="259">
        <v>2018</v>
      </c>
      <c r="D17" s="794">
        <v>0</v>
      </c>
      <c r="E17" s="669">
        <v>0</v>
      </c>
      <c r="F17" s="669">
        <v>363696</v>
      </c>
      <c r="G17" s="669">
        <v>1454784</v>
      </c>
      <c r="H17" s="283">
        <v>4000660</v>
      </c>
      <c r="I17" s="340">
        <f t="shared" si="1"/>
        <v>5819140</v>
      </c>
    </row>
    <row r="18" spans="1:10" ht="30" customHeight="1" x14ac:dyDescent="0.2">
      <c r="A18" s="793" t="s">
        <v>35</v>
      </c>
      <c r="B18" s="334" t="s">
        <v>709</v>
      </c>
      <c r="C18" s="259">
        <v>2018</v>
      </c>
      <c r="D18" s="794">
        <v>0</v>
      </c>
      <c r="E18" s="669">
        <v>0</v>
      </c>
      <c r="F18" s="669">
        <v>620958</v>
      </c>
      <c r="G18" s="669">
        <v>1241916</v>
      </c>
      <c r="H18" s="283">
        <v>1862876</v>
      </c>
      <c r="I18" s="340">
        <f t="shared" si="1"/>
        <v>3725750</v>
      </c>
    </row>
    <row r="19" spans="1:10" ht="26.25" customHeight="1" x14ac:dyDescent="0.2">
      <c r="A19" s="793" t="s">
        <v>36</v>
      </c>
      <c r="B19" s="334" t="s">
        <v>699</v>
      </c>
      <c r="C19" s="259">
        <v>2018</v>
      </c>
      <c r="D19" s="794">
        <v>0</v>
      </c>
      <c r="E19" s="669">
        <v>0</v>
      </c>
      <c r="F19" s="669">
        <v>317500</v>
      </c>
      <c r="G19" s="669">
        <v>1270000</v>
      </c>
      <c r="H19" s="283">
        <v>3492500</v>
      </c>
      <c r="I19" s="340">
        <f t="shared" si="1"/>
        <v>5080000</v>
      </c>
    </row>
    <row r="20" spans="1:10" ht="30" customHeight="1" x14ac:dyDescent="0.2">
      <c r="A20" s="793" t="s">
        <v>37</v>
      </c>
      <c r="B20" s="656" t="s">
        <v>706</v>
      </c>
      <c r="C20" s="259">
        <v>2018</v>
      </c>
      <c r="D20" s="794">
        <v>0</v>
      </c>
      <c r="E20" s="669">
        <v>0</v>
      </c>
      <c r="F20" s="669">
        <v>833334</v>
      </c>
      <c r="G20" s="918">
        <v>1666668</v>
      </c>
      <c r="H20" s="919">
        <v>7499998</v>
      </c>
      <c r="I20" s="340">
        <f t="shared" si="1"/>
        <v>10000000</v>
      </c>
    </row>
    <row r="21" spans="1:10" ht="30" customHeight="1" x14ac:dyDescent="0.2">
      <c r="A21" s="793" t="s">
        <v>38</v>
      </c>
      <c r="B21" s="334" t="s">
        <v>707</v>
      </c>
      <c r="C21" s="259">
        <v>2018</v>
      </c>
      <c r="D21" s="283">
        <v>0</v>
      </c>
      <c r="E21" s="283">
        <v>0</v>
      </c>
      <c r="F21" s="283">
        <v>0</v>
      </c>
      <c r="G21" s="918">
        <v>1844392</v>
      </c>
      <c r="H21" s="919">
        <v>7377557</v>
      </c>
      <c r="I21" s="340">
        <f t="shared" si="1"/>
        <v>9221949</v>
      </c>
    </row>
    <row r="22" spans="1:10" ht="30" customHeight="1" x14ac:dyDescent="0.2">
      <c r="A22" s="793" t="s">
        <v>39</v>
      </c>
      <c r="B22" s="334" t="s">
        <v>708</v>
      </c>
      <c r="C22" s="259">
        <v>2018</v>
      </c>
      <c r="D22" s="283">
        <v>0</v>
      </c>
      <c r="E22" s="283">
        <v>0</v>
      </c>
      <c r="F22" s="283">
        <v>0</v>
      </c>
      <c r="G22" s="918">
        <v>3171744</v>
      </c>
      <c r="H22" s="919">
        <v>19030453</v>
      </c>
      <c r="I22" s="340">
        <f t="shared" si="1"/>
        <v>22202197</v>
      </c>
    </row>
    <row r="23" spans="1:10" ht="20.100000000000001" customHeight="1" thickBot="1" x14ac:dyDescent="0.25">
      <c r="A23" s="401"/>
      <c r="B23" s="795"/>
      <c r="C23" s="671"/>
      <c r="D23" s="335"/>
      <c r="E23" s="335"/>
      <c r="F23" s="335"/>
      <c r="G23" s="335"/>
      <c r="H23" s="335"/>
      <c r="I23" s="796"/>
    </row>
    <row r="24" spans="1:10" ht="20.100000000000001" customHeight="1" x14ac:dyDescent="0.2">
      <c r="A24" s="344"/>
      <c r="B24" s="670" t="s">
        <v>166</v>
      </c>
      <c r="C24" s="671"/>
      <c r="D24" s="335"/>
      <c r="E24" s="335"/>
      <c r="F24" s="335"/>
      <c r="G24" s="335"/>
      <c r="H24" s="335"/>
      <c r="I24" s="339"/>
      <c r="J24" s="260"/>
    </row>
    <row r="25" spans="1:10" ht="20.100000000000001" customHeight="1" x14ac:dyDescent="0.2">
      <c r="A25" s="401"/>
      <c r="B25" s="672"/>
      <c r="C25" s="673"/>
      <c r="D25" s="283"/>
      <c r="E25" s="283"/>
      <c r="F25" s="283"/>
      <c r="G25" s="283"/>
      <c r="H25" s="283"/>
      <c r="I25" s="340"/>
      <c r="J25" s="260"/>
    </row>
    <row r="26" spans="1:10" ht="20.100000000000001" customHeight="1" thickBot="1" x14ac:dyDescent="0.25">
      <c r="A26" s="327"/>
      <c r="B26" s="674"/>
      <c r="C26" s="675"/>
      <c r="D26" s="341"/>
      <c r="E26" s="341"/>
      <c r="F26" s="341"/>
      <c r="G26" s="341"/>
      <c r="H26" s="341"/>
      <c r="I26" s="342"/>
    </row>
    <row r="27" spans="1:10" ht="20.100000000000001" customHeight="1" thickBot="1" x14ac:dyDescent="0.25">
      <c r="A27" s="974" t="s">
        <v>55</v>
      </c>
      <c r="B27" s="975"/>
      <c r="C27" s="676"/>
      <c r="D27" s="677">
        <f>SUM(D6:D26)</f>
        <v>5310000</v>
      </c>
      <c r="E27" s="677">
        <f>SUM(E6:E26)</f>
        <v>8486704</v>
      </c>
      <c r="F27" s="678">
        <f>SUM(F6:F26)</f>
        <v>16989064</v>
      </c>
      <c r="G27" s="678">
        <f>SUM(G6:G26)</f>
        <v>23399246</v>
      </c>
      <c r="H27" s="332">
        <f>SUM(H6:H26)</f>
        <v>86443768</v>
      </c>
      <c r="I27" s="679">
        <f>I23+I24+I8+I6</f>
        <v>140628782</v>
      </c>
    </row>
    <row r="29" spans="1:10" ht="15" x14ac:dyDescent="0.25">
      <c r="B29" s="76" t="s">
        <v>537</v>
      </c>
      <c r="C29" s="76"/>
      <c r="D29" s="76"/>
      <c r="E29" s="76"/>
      <c r="F29" s="76"/>
      <c r="G29" s="76"/>
      <c r="H29" s="76"/>
    </row>
    <row r="31" spans="1:10" ht="15.75" x14ac:dyDescent="0.2">
      <c r="B31" s="797"/>
    </row>
    <row r="32" spans="1:10" ht="15.75" x14ac:dyDescent="0.2">
      <c r="B32" s="261"/>
      <c r="C32" s="262"/>
      <c r="D32" s="262"/>
      <c r="E32" s="262"/>
      <c r="F32" s="262"/>
      <c r="G32" s="262"/>
      <c r="H32" s="262"/>
    </row>
    <row r="33" spans="2:4" x14ac:dyDescent="0.2">
      <c r="B33" s="262"/>
      <c r="C33" s="32"/>
    </row>
    <row r="34" spans="2:4" x14ac:dyDescent="0.2">
      <c r="B34" s="262"/>
      <c r="C34" s="32"/>
    </row>
    <row r="35" spans="2:4" x14ac:dyDescent="0.2">
      <c r="B35" s="262"/>
      <c r="C35" s="263"/>
    </row>
    <row r="36" spans="2:4" x14ac:dyDescent="0.2">
      <c r="B36" s="262"/>
      <c r="C36" s="32"/>
    </row>
    <row r="37" spans="2:4" x14ac:dyDescent="0.2">
      <c r="B37" s="262"/>
      <c r="C37" s="32"/>
    </row>
    <row r="38" spans="2:4" x14ac:dyDescent="0.2">
      <c r="B38" s="262"/>
      <c r="C38" s="32"/>
    </row>
    <row r="39" spans="2:4" x14ac:dyDescent="0.2">
      <c r="B39" s="262"/>
      <c r="C39" s="32"/>
    </row>
    <row r="40" spans="2:4" x14ac:dyDescent="0.2">
      <c r="B40" s="262"/>
      <c r="C40" s="32"/>
    </row>
    <row r="41" spans="2:4" x14ac:dyDescent="0.2">
      <c r="B41" s="262"/>
      <c r="C41" s="32"/>
    </row>
    <row r="42" spans="2:4" ht="17.25" customHeight="1" x14ac:dyDescent="0.2">
      <c r="B42" s="264"/>
      <c r="C42" s="263"/>
    </row>
    <row r="43" spans="2:4" x14ac:dyDescent="0.2">
      <c r="B43" s="262"/>
    </row>
    <row r="44" spans="2:4" x14ac:dyDescent="0.2">
      <c r="B44" s="265"/>
      <c r="C44" s="263"/>
    </row>
    <row r="45" spans="2:4" x14ac:dyDescent="0.2">
      <c r="C45" s="32"/>
      <c r="D45" s="32"/>
    </row>
    <row r="46" spans="2:4" x14ac:dyDescent="0.2">
      <c r="C46" s="32"/>
      <c r="D46" s="32"/>
    </row>
    <row r="47" spans="2:4" x14ac:dyDescent="0.2">
      <c r="C47" s="32"/>
      <c r="D47" s="32"/>
    </row>
    <row r="49" spans="2:4" x14ac:dyDescent="0.2">
      <c r="B49" s="265"/>
      <c r="C49" s="263"/>
    </row>
    <row r="50" spans="2:4" x14ac:dyDescent="0.2">
      <c r="D50" s="32"/>
    </row>
    <row r="51" spans="2:4" x14ac:dyDescent="0.2">
      <c r="D51" s="32"/>
    </row>
    <row r="52" spans="2:4" x14ac:dyDescent="0.2">
      <c r="D52" s="32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2" orientation="landscape" verticalDpi="300" r:id="rId1"/>
  <headerFooter alignWithMargins="0">
    <oddHeader>&amp;R23. melléklet a 4/2018.(III.29.) önkormányzati rendelethez
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2"/>
  <sheetViews>
    <sheetView view="pageLayout" zoomScale="85" zoomScaleNormal="100" zoomScalePageLayoutView="85" workbookViewId="0">
      <selection activeCell="B107" sqref="B107"/>
    </sheetView>
  </sheetViews>
  <sheetFormatPr defaultRowHeight="15.75" x14ac:dyDescent="0.25"/>
  <cols>
    <col min="1" max="1" width="4.83203125" style="51" customWidth="1"/>
    <col min="2" max="2" width="31.1640625" style="63" customWidth="1"/>
    <col min="3" max="6" width="11.1640625" style="63" bestFit="1" customWidth="1"/>
    <col min="7" max="7" width="11.83203125" style="63" bestFit="1" customWidth="1"/>
    <col min="8" max="8" width="11.1640625" style="63" bestFit="1" customWidth="1"/>
    <col min="9" max="9" width="12.6640625" style="63" bestFit="1" customWidth="1"/>
    <col min="10" max="10" width="11.1640625" style="63" bestFit="1" customWidth="1"/>
    <col min="11" max="11" width="12.6640625" style="63" bestFit="1" customWidth="1"/>
    <col min="12" max="12" width="11.1640625" style="63" customWidth="1"/>
    <col min="13" max="13" width="11.6640625" style="63" customWidth="1"/>
    <col min="14" max="14" width="11" style="63" customWidth="1"/>
    <col min="15" max="15" width="12.6640625" style="51" customWidth="1"/>
    <col min="16" max="16" width="12.6640625" style="51" hidden="1" customWidth="1"/>
    <col min="17" max="17" width="5.83203125" style="636" hidden="1" customWidth="1"/>
    <col min="18" max="18" width="14.6640625" style="609" hidden="1" customWidth="1"/>
    <col min="19" max="19" width="16.6640625" style="609" hidden="1" customWidth="1"/>
    <col min="20" max="16384" width="9.33203125" style="63"/>
  </cols>
  <sheetData>
    <row r="1" spans="1:19" ht="31.5" customHeight="1" x14ac:dyDescent="0.25">
      <c r="A1" s="983" t="s">
        <v>611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551"/>
      <c r="Q1" s="608"/>
    </row>
    <row r="2" spans="1:19" ht="16.5" thickBot="1" x14ac:dyDescent="0.3">
      <c r="O2" s="3" t="s">
        <v>572</v>
      </c>
      <c r="P2" s="3"/>
      <c r="Q2" s="610"/>
    </row>
    <row r="3" spans="1:19" ht="35.25" customHeight="1" thickBot="1" x14ac:dyDescent="0.3">
      <c r="A3" s="493" t="s">
        <v>20</v>
      </c>
      <c r="B3" s="494" t="s">
        <v>65</v>
      </c>
      <c r="C3" s="494" t="s">
        <v>73</v>
      </c>
      <c r="D3" s="494" t="s">
        <v>74</v>
      </c>
      <c r="E3" s="494" t="s">
        <v>75</v>
      </c>
      <c r="F3" s="494" t="s">
        <v>76</v>
      </c>
      <c r="G3" s="494" t="s">
        <v>77</v>
      </c>
      <c r="H3" s="494" t="s">
        <v>78</v>
      </c>
      <c r="I3" s="494" t="s">
        <v>79</v>
      </c>
      <c r="J3" s="494" t="s">
        <v>80</v>
      </c>
      <c r="K3" s="494" t="s">
        <v>81</v>
      </c>
      <c r="L3" s="494" t="s">
        <v>82</v>
      </c>
      <c r="M3" s="494" t="s">
        <v>83</v>
      </c>
      <c r="N3" s="494" t="s">
        <v>84</v>
      </c>
      <c r="O3" s="495" t="s">
        <v>55</v>
      </c>
      <c r="P3" s="611"/>
      <c r="Q3" s="611"/>
    </row>
    <row r="4" spans="1:19" s="53" customFormat="1" ht="15" customHeight="1" thickBot="1" x14ac:dyDescent="0.25">
      <c r="A4" s="52" t="s">
        <v>22</v>
      </c>
      <c r="B4" s="985" t="s">
        <v>59</v>
      </c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7"/>
      <c r="P4" s="612"/>
      <c r="Q4" s="612"/>
      <c r="R4" s="613"/>
      <c r="S4" s="613"/>
    </row>
    <row r="5" spans="1:19" s="53" customFormat="1" ht="22.5" x14ac:dyDescent="0.2">
      <c r="A5" s="54" t="s">
        <v>23</v>
      </c>
      <c r="B5" s="251" t="s">
        <v>321</v>
      </c>
      <c r="C5" s="288">
        <v>70000000</v>
      </c>
      <c r="D5" s="288">
        <v>105000000</v>
      </c>
      <c r="E5" s="288">
        <f>110000000+1309600</f>
        <v>111309600</v>
      </c>
      <c r="F5" s="288">
        <v>110000000</v>
      </c>
      <c r="G5" s="288">
        <v>110000000</v>
      </c>
      <c r="H5" s="288">
        <v>115000000</v>
      </c>
      <c r="I5" s="288">
        <v>125500000</v>
      </c>
      <c r="J5" s="288">
        <v>125000000</v>
      </c>
      <c r="K5" s="288">
        <v>117000000</v>
      </c>
      <c r="L5" s="288">
        <v>110000000</v>
      </c>
      <c r="M5" s="288">
        <v>110000000</v>
      </c>
      <c r="N5" s="288">
        <v>110081468</v>
      </c>
      <c r="O5" s="614">
        <f t="shared" ref="O5:O14" si="0">SUM(C5:N5)</f>
        <v>1318891068</v>
      </c>
      <c r="P5" s="621"/>
      <c r="Q5" s="615"/>
      <c r="R5" s="616">
        <v>1318891068</v>
      </c>
      <c r="S5" s="617">
        <f t="shared" ref="S5:S8" si="1">O5-R5</f>
        <v>0</v>
      </c>
    </row>
    <row r="6" spans="1:19" s="57" customFormat="1" ht="22.5" x14ac:dyDescent="0.2">
      <c r="A6" s="55" t="s">
        <v>24</v>
      </c>
      <c r="B6" s="123" t="s">
        <v>365</v>
      </c>
      <c r="C6" s="267"/>
      <c r="D6" s="267">
        <v>40000000</v>
      </c>
      <c r="E6" s="267"/>
      <c r="F6" s="267">
        <f>40000000-344442</f>
        <v>39655558</v>
      </c>
      <c r="G6" s="267"/>
      <c r="H6" s="267">
        <v>10965882</v>
      </c>
      <c r="I6" s="267">
        <v>40000000</v>
      </c>
      <c r="J6" s="267">
        <v>10000000</v>
      </c>
      <c r="K6" s="267"/>
      <c r="L6" s="267">
        <v>40000000</v>
      </c>
      <c r="M6" s="267"/>
      <c r="N6" s="267"/>
      <c r="O6" s="618">
        <f t="shared" si="0"/>
        <v>180621440</v>
      </c>
      <c r="P6" s="621"/>
      <c r="Q6" s="615"/>
      <c r="R6" s="619">
        <v>180621440</v>
      </c>
      <c r="S6" s="620">
        <f t="shared" si="1"/>
        <v>0</v>
      </c>
    </row>
    <row r="7" spans="1:19" s="57" customFormat="1" ht="22.5" x14ac:dyDescent="0.2">
      <c r="A7" s="55" t="s">
        <v>25</v>
      </c>
      <c r="B7" s="122" t="s">
        <v>366</v>
      </c>
      <c r="C7" s="268"/>
      <c r="D7" s="268"/>
      <c r="E7" s="268"/>
      <c r="F7" s="268"/>
      <c r="G7" s="268">
        <v>3796748</v>
      </c>
      <c r="H7" s="268"/>
      <c r="I7" s="268"/>
      <c r="J7" s="268"/>
      <c r="K7" s="268"/>
      <c r="L7" s="268"/>
      <c r="M7" s="268">
        <v>5866130</v>
      </c>
      <c r="N7" s="268">
        <v>3779393</v>
      </c>
      <c r="O7" s="618">
        <f t="shared" si="0"/>
        <v>13442271</v>
      </c>
      <c r="P7" s="621"/>
      <c r="Q7" s="621"/>
      <c r="R7" s="619">
        <v>13442271</v>
      </c>
      <c r="S7" s="620">
        <f t="shared" si="1"/>
        <v>0</v>
      </c>
    </row>
    <row r="8" spans="1:19" s="57" customFormat="1" ht="14.1" customHeight="1" x14ac:dyDescent="0.2">
      <c r="A8" s="55" t="s">
        <v>26</v>
      </c>
      <c r="B8" s="121" t="s">
        <v>138</v>
      </c>
      <c r="C8" s="267">
        <v>3000000</v>
      </c>
      <c r="D8" s="267">
        <v>3000000</v>
      </c>
      <c r="E8" s="267">
        <v>120000000</v>
      </c>
      <c r="F8" s="267">
        <v>15000000</v>
      </c>
      <c r="G8" s="267">
        <v>7000000</v>
      </c>
      <c r="H8" s="267">
        <v>9000000</v>
      </c>
      <c r="I8" s="267">
        <v>5000000</v>
      </c>
      <c r="J8" s="267">
        <v>20000000</v>
      </c>
      <c r="K8" s="267">
        <v>120000000</v>
      </c>
      <c r="L8" s="267">
        <v>5000000</v>
      </c>
      <c r="M8" s="267">
        <v>5000000</v>
      </c>
      <c r="N8" s="267">
        <v>40658000</v>
      </c>
      <c r="O8" s="618">
        <f t="shared" si="0"/>
        <v>352658000</v>
      </c>
      <c r="P8" s="615"/>
      <c r="Q8" s="622"/>
      <c r="R8" s="619">
        <v>352658000</v>
      </c>
      <c r="S8" s="620">
        <f t="shared" si="1"/>
        <v>0</v>
      </c>
    </row>
    <row r="9" spans="1:19" s="57" customFormat="1" ht="14.1" customHeight="1" x14ac:dyDescent="0.2">
      <c r="A9" s="55" t="s">
        <v>27</v>
      </c>
      <c r="B9" s="121" t="s">
        <v>367</v>
      </c>
      <c r="C9" s="267">
        <v>36000000</v>
      </c>
      <c r="D9" s="267">
        <f>35000000+200000</f>
        <v>35200000</v>
      </c>
      <c r="E9" s="267">
        <f>36000000</f>
        <v>36000000</v>
      </c>
      <c r="F9" s="267">
        <f>35000000+52200+14094+10000</f>
        <v>35076294</v>
      </c>
      <c r="G9" s="267">
        <f>38000000+10000</f>
        <v>38010000</v>
      </c>
      <c r="H9" s="267">
        <f>35000000+40000</f>
        <v>35040000</v>
      </c>
      <c r="I9" s="267">
        <f>33000000+41164</f>
        <v>33041164</v>
      </c>
      <c r="J9" s="267">
        <f>33000000+40000</f>
        <v>33040000</v>
      </c>
      <c r="K9" s="267">
        <f>39000000+40000</f>
        <v>39040000</v>
      </c>
      <c r="L9" s="267">
        <f>38000000+40000</f>
        <v>38040000</v>
      </c>
      <c r="M9" s="267">
        <f>38000000+40000</f>
        <v>38040000</v>
      </c>
      <c r="N9" s="267">
        <f>35324867+40000</f>
        <v>35364867</v>
      </c>
      <c r="O9" s="618">
        <f t="shared" si="0"/>
        <v>431892325</v>
      </c>
      <c r="P9" s="615"/>
      <c r="Q9" s="621"/>
      <c r="R9" s="619">
        <v>431892325</v>
      </c>
      <c r="S9" s="620">
        <f>O9-R9</f>
        <v>0</v>
      </c>
    </row>
    <row r="10" spans="1:19" s="57" customFormat="1" ht="14.1" customHeight="1" x14ac:dyDescent="0.2">
      <c r="A10" s="55" t="s">
        <v>28</v>
      </c>
      <c r="B10" s="121" t="s">
        <v>15</v>
      </c>
      <c r="C10" s="267"/>
      <c r="D10" s="267"/>
      <c r="E10" s="267">
        <v>2625000</v>
      </c>
      <c r="F10" s="267"/>
      <c r="G10" s="267">
        <v>1920000</v>
      </c>
      <c r="H10" s="267"/>
      <c r="I10" s="267">
        <v>3000000</v>
      </c>
      <c r="J10" s="267"/>
      <c r="K10" s="267">
        <v>7787500</v>
      </c>
      <c r="L10" s="267"/>
      <c r="M10" s="267">
        <v>15000000</v>
      </c>
      <c r="N10" s="267"/>
      <c r="O10" s="618">
        <f t="shared" si="0"/>
        <v>30332500</v>
      </c>
      <c r="P10" s="622"/>
      <c r="Q10" s="622"/>
      <c r="R10" s="619">
        <v>30332500</v>
      </c>
      <c r="S10" s="620">
        <f t="shared" ref="S10:S26" si="2">O10-R10</f>
        <v>0</v>
      </c>
    </row>
    <row r="11" spans="1:19" s="57" customFormat="1" ht="14.1" customHeight="1" x14ac:dyDescent="0.2">
      <c r="A11" s="55" t="s">
        <v>29</v>
      </c>
      <c r="B11" s="121" t="s">
        <v>323</v>
      </c>
      <c r="C11" s="267">
        <v>1566000</v>
      </c>
      <c r="D11" s="267">
        <v>250000</v>
      </c>
      <c r="E11" s="267">
        <v>300000</v>
      </c>
      <c r="F11" s="267">
        <v>350000</v>
      </c>
      <c r="G11" s="267">
        <v>250000</v>
      </c>
      <c r="H11" s="267">
        <v>200000</v>
      </c>
      <c r="I11" s="267">
        <v>350000</v>
      </c>
      <c r="J11" s="267">
        <v>250000</v>
      </c>
      <c r="K11" s="267">
        <v>400000</v>
      </c>
      <c r="L11" s="267">
        <v>300000</v>
      </c>
      <c r="M11" s="267">
        <v>300000</v>
      </c>
      <c r="N11" s="267">
        <v>250000</v>
      </c>
      <c r="O11" s="618">
        <f t="shared" si="0"/>
        <v>4766000</v>
      </c>
      <c r="P11" s="621"/>
      <c r="Q11" s="621"/>
      <c r="R11" s="619">
        <v>4766000</v>
      </c>
      <c r="S11" s="620">
        <f t="shared" si="2"/>
        <v>0</v>
      </c>
    </row>
    <row r="12" spans="1:19" s="57" customFormat="1" ht="22.5" x14ac:dyDescent="0.2">
      <c r="A12" s="55" t="s">
        <v>30</v>
      </c>
      <c r="B12" s="123" t="s">
        <v>353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618">
        <f t="shared" si="0"/>
        <v>0</v>
      </c>
      <c r="P12" s="622"/>
      <c r="Q12" s="622"/>
      <c r="R12" s="619">
        <v>0</v>
      </c>
      <c r="S12" s="620">
        <f t="shared" si="2"/>
        <v>0</v>
      </c>
    </row>
    <row r="13" spans="1:19" s="57" customFormat="1" ht="14.1" customHeight="1" thickBot="1" x14ac:dyDescent="0.25">
      <c r="A13" s="55" t="s">
        <v>31</v>
      </c>
      <c r="B13" s="121" t="s">
        <v>16</v>
      </c>
      <c r="C13" s="56">
        <f>595229853-28</f>
        <v>595229825</v>
      </c>
      <c r="D13" s="56">
        <v>40000000</v>
      </c>
      <c r="E13" s="56"/>
      <c r="F13" s="56">
        <v>35000000</v>
      </c>
      <c r="G13" s="56"/>
      <c r="H13" s="56">
        <v>25000000</v>
      </c>
      <c r="I13" s="56">
        <v>20000000</v>
      </c>
      <c r="J13" s="56">
        <v>20000000</v>
      </c>
      <c r="K13" s="267">
        <v>33478462</v>
      </c>
      <c r="L13" s="267">
        <v>10000000</v>
      </c>
      <c r="M13" s="267">
        <v>10000000</v>
      </c>
      <c r="N13" s="267"/>
      <c r="O13" s="618">
        <f t="shared" si="0"/>
        <v>788708287</v>
      </c>
      <c r="P13" s="622"/>
      <c r="Q13" s="622"/>
      <c r="R13" s="623">
        <v>788708287</v>
      </c>
      <c r="S13" s="624">
        <f t="shared" si="2"/>
        <v>0</v>
      </c>
    </row>
    <row r="14" spans="1:19" s="53" customFormat="1" ht="15.95" customHeight="1" thickBot="1" x14ac:dyDescent="0.25">
      <c r="A14" s="52" t="s">
        <v>32</v>
      </c>
      <c r="B14" s="29" t="s">
        <v>111</v>
      </c>
      <c r="C14" s="58">
        <f t="shared" ref="C14:N14" si="3">SUM(C5:C13)</f>
        <v>705795825</v>
      </c>
      <c r="D14" s="58">
        <f t="shared" si="3"/>
        <v>223450000</v>
      </c>
      <c r="E14" s="58">
        <f t="shared" si="3"/>
        <v>270234600</v>
      </c>
      <c r="F14" s="58">
        <f t="shared" si="3"/>
        <v>235081852</v>
      </c>
      <c r="G14" s="58">
        <f t="shared" si="3"/>
        <v>160976748</v>
      </c>
      <c r="H14" s="58">
        <f t="shared" si="3"/>
        <v>195205882</v>
      </c>
      <c r="I14" s="58">
        <f t="shared" si="3"/>
        <v>226891164</v>
      </c>
      <c r="J14" s="58">
        <f t="shared" si="3"/>
        <v>208290000</v>
      </c>
      <c r="K14" s="58">
        <f t="shared" si="3"/>
        <v>317705962</v>
      </c>
      <c r="L14" s="58">
        <f t="shared" si="3"/>
        <v>203340000</v>
      </c>
      <c r="M14" s="58">
        <f t="shared" si="3"/>
        <v>184206130</v>
      </c>
      <c r="N14" s="58">
        <f t="shared" si="3"/>
        <v>190133728</v>
      </c>
      <c r="O14" s="59">
        <f t="shared" si="0"/>
        <v>3121311891</v>
      </c>
      <c r="P14" s="625"/>
      <c r="Q14" s="625"/>
      <c r="R14" s="626">
        <f>SUM(R5:R13)</f>
        <v>3121311891</v>
      </c>
      <c r="S14" s="627">
        <f t="shared" si="2"/>
        <v>0</v>
      </c>
    </row>
    <row r="15" spans="1:19" s="53" customFormat="1" ht="15" customHeight="1" thickBot="1" x14ac:dyDescent="0.25">
      <c r="A15" s="52" t="s">
        <v>33</v>
      </c>
      <c r="B15" s="985" t="s">
        <v>60</v>
      </c>
      <c r="C15" s="986"/>
      <c r="D15" s="986"/>
      <c r="E15" s="986"/>
      <c r="F15" s="986"/>
      <c r="G15" s="986"/>
      <c r="H15" s="986"/>
      <c r="I15" s="986"/>
      <c r="J15" s="986"/>
      <c r="K15" s="986"/>
      <c r="L15" s="986"/>
      <c r="M15" s="986"/>
      <c r="N15" s="986"/>
      <c r="O15" s="987"/>
      <c r="P15" s="612"/>
      <c r="Q15" s="612"/>
      <c r="R15" s="613"/>
      <c r="S15" s="628">
        <f t="shared" si="2"/>
        <v>0</v>
      </c>
    </row>
    <row r="16" spans="1:19" s="57" customFormat="1" ht="14.1" customHeight="1" x14ac:dyDescent="0.2">
      <c r="A16" s="629" t="s">
        <v>34</v>
      </c>
      <c r="B16" s="630" t="s">
        <v>66</v>
      </c>
      <c r="C16" s="631">
        <v>80000000</v>
      </c>
      <c r="D16" s="631">
        <f>81000000-569836</f>
        <v>80430164</v>
      </c>
      <c r="E16" s="631">
        <f>83100000</f>
        <v>83100000</v>
      </c>
      <c r="F16" s="631">
        <f>81000000+666000+1095900-175365</f>
        <v>82586535</v>
      </c>
      <c r="G16" s="631">
        <v>80000000</v>
      </c>
      <c r="H16" s="631">
        <v>82000000</v>
      </c>
      <c r="I16" s="631">
        <v>80000000</v>
      </c>
      <c r="J16" s="631">
        <v>81000000</v>
      </c>
      <c r="K16" s="631">
        <v>83100000</v>
      </c>
      <c r="L16" s="631">
        <v>80000000</v>
      </c>
      <c r="M16" s="631">
        <v>80000000</v>
      </c>
      <c r="N16" s="631">
        <v>80989321</v>
      </c>
      <c r="O16" s="632">
        <f t="shared" ref="O16:O26" si="4">SUM(C16:N16)</f>
        <v>973206020</v>
      </c>
      <c r="P16" s="621"/>
      <c r="Q16" s="621"/>
      <c r="R16" s="633">
        <v>973206020</v>
      </c>
      <c r="S16" s="617">
        <f t="shared" si="2"/>
        <v>0</v>
      </c>
    </row>
    <row r="17" spans="1:19" s="57" customFormat="1" ht="27" customHeight="1" x14ac:dyDescent="0.2">
      <c r="A17" s="55" t="s">
        <v>35</v>
      </c>
      <c r="B17" s="123" t="s">
        <v>147</v>
      </c>
      <c r="C17" s="267">
        <v>16500000</v>
      </c>
      <c r="D17" s="267">
        <f>17000000-416745</f>
        <v>16583255</v>
      </c>
      <c r="E17" s="267">
        <v>18500000</v>
      </c>
      <c r="F17" s="267">
        <f>17000000+213701-18991+3298+121914</f>
        <v>17319922</v>
      </c>
      <c r="G17" s="267">
        <f>16500000+20000</f>
        <v>16520000</v>
      </c>
      <c r="H17" s="267">
        <f>18000000+20000</f>
        <v>18020000</v>
      </c>
      <c r="I17" s="267">
        <f>16500000+20000</f>
        <v>16520000</v>
      </c>
      <c r="J17" s="267">
        <f>17000000+20000</f>
        <v>17020000</v>
      </c>
      <c r="K17" s="267">
        <f>18500000+20000</f>
        <v>18520000</v>
      </c>
      <c r="L17" s="267">
        <f>16500000+20000</f>
        <v>16520000</v>
      </c>
      <c r="M17" s="267">
        <f>16500000+20000</f>
        <v>16520000</v>
      </c>
      <c r="N17" s="267">
        <f>16603347+240061</f>
        <v>16843408</v>
      </c>
      <c r="O17" s="618">
        <f t="shared" si="4"/>
        <v>205386585</v>
      </c>
      <c r="P17" s="621"/>
      <c r="Q17" s="621"/>
      <c r="R17" s="619">
        <v>205386585</v>
      </c>
      <c r="S17" s="620">
        <f t="shared" si="2"/>
        <v>0</v>
      </c>
    </row>
    <row r="18" spans="1:19" s="57" customFormat="1" ht="14.1" customHeight="1" x14ac:dyDescent="0.2">
      <c r="A18" s="55" t="s">
        <v>36</v>
      </c>
      <c r="B18" s="121" t="s">
        <v>123</v>
      </c>
      <c r="C18" s="267">
        <v>80000000</v>
      </c>
      <c r="D18" s="267">
        <v>75000000</v>
      </c>
      <c r="E18" s="267">
        <v>77400000</v>
      </c>
      <c r="F18" s="267">
        <f>83000000+44100-83792-8245+60000+302293</f>
        <v>83314356</v>
      </c>
      <c r="G18" s="267">
        <v>71000000</v>
      </c>
      <c r="H18" s="267">
        <v>74000000</v>
      </c>
      <c r="I18" s="267">
        <v>77000000</v>
      </c>
      <c r="J18" s="267">
        <v>76000000</v>
      </c>
      <c r="K18" s="267">
        <v>80000000</v>
      </c>
      <c r="L18" s="267">
        <v>76071448</v>
      </c>
      <c r="M18" s="267">
        <v>75000000</v>
      </c>
      <c r="N18" s="267">
        <v>70000000</v>
      </c>
      <c r="O18" s="618">
        <f t="shared" si="4"/>
        <v>914785804</v>
      </c>
      <c r="P18" s="621"/>
      <c r="Q18" s="621"/>
      <c r="R18" s="619">
        <v>914785804</v>
      </c>
      <c r="S18" s="620">
        <f t="shared" si="2"/>
        <v>0</v>
      </c>
    </row>
    <row r="19" spans="1:19" s="57" customFormat="1" ht="14.1" customHeight="1" x14ac:dyDescent="0.2">
      <c r="A19" s="55" t="s">
        <v>37</v>
      </c>
      <c r="B19" s="121" t="s">
        <v>148</v>
      </c>
      <c r="C19" s="267">
        <v>5100000</v>
      </c>
      <c r="D19" s="267">
        <v>5200000</v>
      </c>
      <c r="E19" s="267">
        <v>5400000</v>
      </c>
      <c r="F19" s="267">
        <v>5300000</v>
      </c>
      <c r="G19" s="267">
        <v>5150000</v>
      </c>
      <c r="H19" s="267">
        <v>5000000</v>
      </c>
      <c r="I19" s="267">
        <v>5000000</v>
      </c>
      <c r="J19" s="267">
        <v>15000000</v>
      </c>
      <c r="K19" s="267">
        <v>5000000</v>
      </c>
      <c r="L19" s="267">
        <v>5100000</v>
      </c>
      <c r="M19" s="267">
        <v>15000000</v>
      </c>
      <c r="N19" s="267">
        <v>21000000</v>
      </c>
      <c r="O19" s="618">
        <f t="shared" si="4"/>
        <v>97250000</v>
      </c>
      <c r="P19" s="621"/>
      <c r="Q19" s="621"/>
      <c r="R19" s="619">
        <v>97250000</v>
      </c>
      <c r="S19" s="620">
        <f t="shared" si="2"/>
        <v>0</v>
      </c>
    </row>
    <row r="20" spans="1:19" s="57" customFormat="1" ht="14.1" customHeight="1" x14ac:dyDescent="0.2">
      <c r="A20" s="55" t="s">
        <v>38</v>
      </c>
      <c r="B20" s="121" t="s">
        <v>17</v>
      </c>
      <c r="C20" s="267"/>
      <c r="D20" s="267"/>
      <c r="E20" s="267">
        <v>10000000</v>
      </c>
      <c r="F20" s="267">
        <v>12000000</v>
      </c>
      <c r="G20" s="267">
        <v>15000000</v>
      </c>
      <c r="H20" s="267">
        <v>20000000</v>
      </c>
      <c r="I20" s="267">
        <v>15000000</v>
      </c>
      <c r="J20" s="267">
        <v>14000000</v>
      </c>
      <c r="K20" s="267">
        <v>15000000</v>
      </c>
      <c r="L20" s="267">
        <v>20000000</v>
      </c>
      <c r="M20" s="267">
        <v>15000000</v>
      </c>
      <c r="N20" s="267">
        <v>12261084</v>
      </c>
      <c r="O20" s="618">
        <f t="shared" si="4"/>
        <v>148261084</v>
      </c>
      <c r="P20" s="621"/>
      <c r="Q20" s="621"/>
      <c r="R20" s="619">
        <v>148261084</v>
      </c>
      <c r="S20" s="620">
        <f t="shared" si="2"/>
        <v>0</v>
      </c>
    </row>
    <row r="21" spans="1:19" s="57" customFormat="1" ht="14.1" customHeight="1" x14ac:dyDescent="0.2">
      <c r="A21" s="55" t="s">
        <v>39</v>
      </c>
      <c r="B21" s="121" t="s">
        <v>170</v>
      </c>
      <c r="C21" s="267">
        <v>3000000</v>
      </c>
      <c r="D21" s="267">
        <v>3000000</v>
      </c>
      <c r="E21" s="267">
        <v>40000000</v>
      </c>
      <c r="F21" s="267">
        <f>3000000-60000</f>
        <v>2940000</v>
      </c>
      <c r="G21" s="267">
        <v>57000000</v>
      </c>
      <c r="H21" s="267">
        <v>37000000</v>
      </c>
      <c r="I21" s="267">
        <v>60000000</v>
      </c>
      <c r="J21" s="267">
        <v>3000000</v>
      </c>
      <c r="K21" s="267">
        <v>50000000</v>
      </c>
      <c r="L21" s="267">
        <v>30481603</v>
      </c>
      <c r="M21" s="267">
        <v>15000000</v>
      </c>
      <c r="N21" s="267">
        <v>5000000</v>
      </c>
      <c r="O21" s="618">
        <f t="shared" si="4"/>
        <v>306421603</v>
      </c>
      <c r="P21" s="621"/>
      <c r="Q21" s="621"/>
      <c r="R21" s="634">
        <v>306421603</v>
      </c>
      <c r="S21" s="620">
        <f t="shared" si="2"/>
        <v>0</v>
      </c>
    </row>
    <row r="22" spans="1:19" s="57" customFormat="1" x14ac:dyDescent="0.2">
      <c r="A22" s="55" t="s">
        <v>40</v>
      </c>
      <c r="B22" s="123" t="s">
        <v>151</v>
      </c>
      <c r="C22" s="267">
        <v>1000000</v>
      </c>
      <c r="D22" s="267">
        <v>10000000</v>
      </c>
      <c r="E22" s="267">
        <v>5000000</v>
      </c>
      <c r="F22" s="267">
        <v>7000000</v>
      </c>
      <c r="G22" s="267">
        <v>30000000</v>
      </c>
      <c r="H22" s="267">
        <v>10000000</v>
      </c>
      <c r="I22" s="267">
        <v>50000000</v>
      </c>
      <c r="J22" s="267">
        <v>12000000</v>
      </c>
      <c r="K22" s="267">
        <v>50000000</v>
      </c>
      <c r="L22" s="267">
        <v>3000000</v>
      </c>
      <c r="M22" s="267">
        <v>2810962</v>
      </c>
      <c r="N22" s="267">
        <v>2000000</v>
      </c>
      <c r="O22" s="618">
        <f t="shared" si="4"/>
        <v>182810962</v>
      </c>
      <c r="P22" s="621"/>
      <c r="Q22" s="621"/>
      <c r="R22" s="619">
        <v>182810962</v>
      </c>
      <c r="S22" s="620">
        <f t="shared" si="2"/>
        <v>0</v>
      </c>
    </row>
    <row r="23" spans="1:19" s="57" customFormat="1" ht="14.1" customHeight="1" x14ac:dyDescent="0.2">
      <c r="A23" s="55" t="s">
        <v>41</v>
      </c>
      <c r="B23" s="121" t="s">
        <v>172</v>
      </c>
      <c r="C23" s="267"/>
      <c r="D23" s="267"/>
      <c r="E23" s="267">
        <v>34286575</v>
      </c>
      <c r="F23" s="267"/>
      <c r="G23" s="267"/>
      <c r="H23" s="267">
        <v>9221949</v>
      </c>
      <c r="I23" s="267">
        <f>3094850+1988342</f>
        <v>5083192</v>
      </c>
      <c r="J23" s="267">
        <v>17119005</v>
      </c>
      <c r="K23" s="267"/>
      <c r="L23" s="267"/>
      <c r="M23" s="267"/>
      <c r="N23" s="267"/>
      <c r="O23" s="618">
        <f t="shared" si="4"/>
        <v>65710721</v>
      </c>
      <c r="P23" s="621"/>
      <c r="Q23" s="621"/>
      <c r="R23" s="619">
        <v>65710721</v>
      </c>
      <c r="S23" s="620">
        <f t="shared" si="2"/>
        <v>0</v>
      </c>
    </row>
    <row r="24" spans="1:19" s="57" customFormat="1" ht="14.1" customHeight="1" x14ac:dyDescent="0.2">
      <c r="A24" s="55" t="s">
        <v>42</v>
      </c>
      <c r="B24" s="121" t="s">
        <v>53</v>
      </c>
      <c r="C24" s="267"/>
      <c r="D24" s="267"/>
      <c r="E24" s="267">
        <v>3000000</v>
      </c>
      <c r="F24" s="267">
        <f>4000000-21705</f>
        <v>3978295</v>
      </c>
      <c r="G24" s="267">
        <v>4800000</v>
      </c>
      <c r="H24" s="267">
        <v>10000000</v>
      </c>
      <c r="I24" s="267">
        <v>8000000</v>
      </c>
      <c r="J24" s="267">
        <v>9000000</v>
      </c>
      <c r="K24" s="267">
        <v>10000000</v>
      </c>
      <c r="L24" s="267">
        <v>9000000</v>
      </c>
      <c r="M24" s="267">
        <v>15046522</v>
      </c>
      <c r="N24" s="267">
        <v>8000000</v>
      </c>
      <c r="O24" s="618">
        <f t="shared" si="4"/>
        <v>80824817</v>
      </c>
      <c r="P24" s="621"/>
      <c r="Q24" s="621"/>
      <c r="R24" s="619">
        <v>80824817</v>
      </c>
      <c r="S24" s="620">
        <f t="shared" si="2"/>
        <v>0</v>
      </c>
    </row>
    <row r="25" spans="1:19" s="57" customFormat="1" ht="14.1" customHeight="1" thickBot="1" x14ac:dyDescent="0.25">
      <c r="A25" s="55" t="s">
        <v>43</v>
      </c>
      <c r="B25" s="121" t="s">
        <v>18</v>
      </c>
      <c r="C25" s="56">
        <v>38167591</v>
      </c>
      <c r="D25" s="56"/>
      <c r="E25" s="56">
        <v>2121676</v>
      </c>
      <c r="F25" s="267"/>
      <c r="G25" s="56"/>
      <c r="H25" s="267">
        <v>2121676</v>
      </c>
      <c r="I25" s="267"/>
      <c r="J25" s="267"/>
      <c r="K25" s="267">
        <v>2121676</v>
      </c>
      <c r="L25" s="267">
        <v>30000000</v>
      </c>
      <c r="M25" s="267"/>
      <c r="N25" s="267">
        <v>72121676</v>
      </c>
      <c r="O25" s="496">
        <f t="shared" si="4"/>
        <v>146654295</v>
      </c>
      <c r="P25" s="622"/>
      <c r="Q25" s="622"/>
      <c r="R25" s="623">
        <v>146654295</v>
      </c>
      <c r="S25" s="624">
        <f t="shared" si="2"/>
        <v>0</v>
      </c>
    </row>
    <row r="26" spans="1:19" s="53" customFormat="1" ht="15.95" customHeight="1" thickBot="1" x14ac:dyDescent="0.25">
      <c r="A26" s="60" t="s">
        <v>44</v>
      </c>
      <c r="B26" s="29" t="s">
        <v>112</v>
      </c>
      <c r="C26" s="58">
        <f t="shared" ref="C26:N26" si="5">SUM(C16:C25)</f>
        <v>223767591</v>
      </c>
      <c r="D26" s="58">
        <f t="shared" si="5"/>
        <v>190213419</v>
      </c>
      <c r="E26" s="58">
        <f t="shared" si="5"/>
        <v>278808251</v>
      </c>
      <c r="F26" s="58">
        <f t="shared" si="5"/>
        <v>214439108</v>
      </c>
      <c r="G26" s="58">
        <f t="shared" si="5"/>
        <v>279470000</v>
      </c>
      <c r="H26" s="58">
        <f t="shared" si="5"/>
        <v>267363625</v>
      </c>
      <c r="I26" s="58">
        <f t="shared" si="5"/>
        <v>316603192</v>
      </c>
      <c r="J26" s="58">
        <f t="shared" si="5"/>
        <v>244139005</v>
      </c>
      <c r="K26" s="58">
        <f t="shared" si="5"/>
        <v>313741676</v>
      </c>
      <c r="L26" s="58">
        <f t="shared" si="5"/>
        <v>270173051</v>
      </c>
      <c r="M26" s="58">
        <f t="shared" si="5"/>
        <v>234377484</v>
      </c>
      <c r="N26" s="58">
        <f t="shared" si="5"/>
        <v>288215489</v>
      </c>
      <c r="O26" s="59">
        <f t="shared" si="4"/>
        <v>3121311891</v>
      </c>
      <c r="P26" s="625"/>
      <c r="Q26" s="625"/>
      <c r="R26" s="626">
        <f>SUM(R16:R25)</f>
        <v>3121311891</v>
      </c>
      <c r="S26" s="627">
        <f t="shared" si="2"/>
        <v>0</v>
      </c>
    </row>
    <row r="27" spans="1:19" ht="16.5" thickBot="1" x14ac:dyDescent="0.3">
      <c r="A27" s="60" t="s">
        <v>45</v>
      </c>
      <c r="B27" s="124" t="s">
        <v>113</v>
      </c>
      <c r="C27" s="61">
        <f t="shared" ref="C27:O27" si="6">C14-C26</f>
        <v>482028234</v>
      </c>
      <c r="D27" s="61">
        <f t="shared" si="6"/>
        <v>33236581</v>
      </c>
      <c r="E27" s="61">
        <f t="shared" si="6"/>
        <v>-8573651</v>
      </c>
      <c r="F27" s="61">
        <f t="shared" si="6"/>
        <v>20642744</v>
      </c>
      <c r="G27" s="61">
        <f t="shared" si="6"/>
        <v>-118493252</v>
      </c>
      <c r="H27" s="61">
        <f t="shared" si="6"/>
        <v>-72157743</v>
      </c>
      <c r="I27" s="61">
        <f t="shared" si="6"/>
        <v>-89712028</v>
      </c>
      <c r="J27" s="61">
        <f t="shared" si="6"/>
        <v>-35849005</v>
      </c>
      <c r="K27" s="61">
        <f t="shared" si="6"/>
        <v>3964286</v>
      </c>
      <c r="L27" s="61">
        <f t="shared" si="6"/>
        <v>-66833051</v>
      </c>
      <c r="M27" s="61">
        <f t="shared" si="6"/>
        <v>-50171354</v>
      </c>
      <c r="N27" s="61">
        <f t="shared" si="6"/>
        <v>-98081761</v>
      </c>
      <c r="O27" s="62">
        <f t="shared" si="6"/>
        <v>0</v>
      </c>
      <c r="P27" s="635"/>
      <c r="Q27" s="635"/>
    </row>
    <row r="28" spans="1:19" x14ac:dyDescent="0.25">
      <c r="A28" s="64"/>
    </row>
    <row r="29" spans="1:19" x14ac:dyDescent="0.25">
      <c r="B29" s="65"/>
      <c r="C29" s="66"/>
      <c r="D29" s="66"/>
      <c r="O29" s="63"/>
      <c r="P29" s="63"/>
      <c r="Q29" s="637"/>
    </row>
    <row r="30" spans="1:19" x14ac:dyDescent="0.25">
      <c r="O30" s="63"/>
      <c r="P30" s="63"/>
      <c r="Q30" s="637"/>
    </row>
    <row r="31" spans="1:19" x14ac:dyDescent="0.25">
      <c r="O31" s="63"/>
      <c r="P31" s="63"/>
      <c r="Q31" s="637"/>
    </row>
    <row r="32" spans="1:19" x14ac:dyDescent="0.25">
      <c r="O32" s="63"/>
      <c r="P32" s="63"/>
      <c r="Q32" s="637"/>
    </row>
    <row r="33" spans="15:17" x14ac:dyDescent="0.25">
      <c r="O33" s="63"/>
      <c r="P33" s="63"/>
      <c r="Q33" s="637"/>
    </row>
    <row r="34" spans="15:17" x14ac:dyDescent="0.25">
      <c r="O34" s="63"/>
      <c r="P34" s="63"/>
      <c r="Q34" s="637"/>
    </row>
    <row r="35" spans="15:17" x14ac:dyDescent="0.25">
      <c r="O35" s="63"/>
      <c r="P35" s="63"/>
      <c r="Q35" s="637"/>
    </row>
    <row r="36" spans="15:17" x14ac:dyDescent="0.25">
      <c r="O36" s="63"/>
      <c r="P36" s="63"/>
      <c r="Q36" s="637"/>
    </row>
    <row r="37" spans="15:17" x14ac:dyDescent="0.25">
      <c r="O37" s="63"/>
      <c r="P37" s="63"/>
      <c r="Q37" s="637"/>
    </row>
    <row r="38" spans="15:17" x14ac:dyDescent="0.25">
      <c r="O38" s="63"/>
      <c r="P38" s="63"/>
      <c r="Q38" s="637"/>
    </row>
    <row r="39" spans="15:17" x14ac:dyDescent="0.25">
      <c r="O39" s="63"/>
      <c r="P39" s="63"/>
      <c r="Q39" s="637"/>
    </row>
    <row r="40" spans="15:17" x14ac:dyDescent="0.25">
      <c r="O40" s="63"/>
      <c r="P40" s="63"/>
      <c r="Q40" s="637"/>
    </row>
    <row r="41" spans="15:17" x14ac:dyDescent="0.25">
      <c r="O41" s="63"/>
      <c r="P41" s="63"/>
      <c r="Q41" s="637"/>
    </row>
    <row r="42" spans="15:17" x14ac:dyDescent="0.25">
      <c r="O42" s="63"/>
      <c r="P42" s="63"/>
      <c r="Q42" s="637"/>
    </row>
    <row r="43" spans="15:17" x14ac:dyDescent="0.25">
      <c r="O43" s="63"/>
      <c r="P43" s="63"/>
      <c r="Q43" s="637"/>
    </row>
    <row r="44" spans="15:17" x14ac:dyDescent="0.25">
      <c r="O44" s="63"/>
      <c r="P44" s="63"/>
      <c r="Q44" s="637"/>
    </row>
    <row r="45" spans="15:17" x14ac:dyDescent="0.25">
      <c r="O45" s="63"/>
      <c r="P45" s="63"/>
      <c r="Q45" s="637"/>
    </row>
    <row r="46" spans="15:17" x14ac:dyDescent="0.25">
      <c r="O46" s="63"/>
      <c r="P46" s="63"/>
      <c r="Q46" s="637"/>
    </row>
    <row r="47" spans="15:17" x14ac:dyDescent="0.25">
      <c r="O47" s="63"/>
      <c r="P47" s="63"/>
      <c r="Q47" s="637"/>
    </row>
    <row r="48" spans="15:17" x14ac:dyDescent="0.25">
      <c r="O48" s="63"/>
      <c r="P48" s="63"/>
      <c r="Q48" s="637"/>
    </row>
    <row r="49" spans="15:17" x14ac:dyDescent="0.25">
      <c r="O49" s="63"/>
      <c r="P49" s="63"/>
      <c r="Q49" s="637"/>
    </row>
    <row r="50" spans="15:17" x14ac:dyDescent="0.25">
      <c r="O50" s="63"/>
      <c r="P50" s="63"/>
      <c r="Q50" s="637"/>
    </row>
    <row r="51" spans="15:17" x14ac:dyDescent="0.25">
      <c r="O51" s="63"/>
      <c r="P51" s="63"/>
      <c r="Q51" s="637"/>
    </row>
    <row r="52" spans="15:17" x14ac:dyDescent="0.25">
      <c r="O52" s="63"/>
      <c r="P52" s="63"/>
      <c r="Q52" s="637"/>
    </row>
    <row r="53" spans="15:17" x14ac:dyDescent="0.25">
      <c r="O53" s="63"/>
      <c r="P53" s="63"/>
      <c r="Q53" s="637"/>
    </row>
    <row r="54" spans="15:17" x14ac:dyDescent="0.25">
      <c r="O54" s="63"/>
      <c r="P54" s="63"/>
      <c r="Q54" s="637"/>
    </row>
    <row r="55" spans="15:17" x14ac:dyDescent="0.25">
      <c r="O55" s="63"/>
      <c r="P55" s="63"/>
      <c r="Q55" s="637"/>
    </row>
    <row r="56" spans="15:17" x14ac:dyDescent="0.25">
      <c r="O56" s="63"/>
      <c r="P56" s="63"/>
      <c r="Q56" s="637"/>
    </row>
    <row r="57" spans="15:17" x14ac:dyDescent="0.25">
      <c r="O57" s="63"/>
      <c r="P57" s="63"/>
      <c r="Q57" s="637"/>
    </row>
    <row r="58" spans="15:17" x14ac:dyDescent="0.25">
      <c r="O58" s="63"/>
      <c r="P58" s="63"/>
      <c r="Q58" s="637"/>
    </row>
    <row r="59" spans="15:17" x14ac:dyDescent="0.25">
      <c r="O59" s="63"/>
      <c r="P59" s="63"/>
      <c r="Q59" s="637"/>
    </row>
    <row r="60" spans="15:17" x14ac:dyDescent="0.25">
      <c r="O60" s="63"/>
      <c r="P60" s="63"/>
      <c r="Q60" s="637"/>
    </row>
    <row r="61" spans="15:17" x14ac:dyDescent="0.25">
      <c r="O61" s="63"/>
      <c r="P61" s="63"/>
      <c r="Q61" s="637"/>
    </row>
    <row r="62" spans="15:17" x14ac:dyDescent="0.25">
      <c r="O62" s="63"/>
      <c r="P62" s="63"/>
      <c r="Q62" s="637"/>
    </row>
    <row r="63" spans="15:17" x14ac:dyDescent="0.25">
      <c r="O63" s="63"/>
      <c r="P63" s="63"/>
      <c r="Q63" s="637"/>
    </row>
    <row r="64" spans="15:17" x14ac:dyDescent="0.25">
      <c r="O64" s="63"/>
      <c r="P64" s="63"/>
      <c r="Q64" s="637"/>
    </row>
    <row r="65" spans="15:17" x14ac:dyDescent="0.25">
      <c r="O65" s="63"/>
      <c r="P65" s="63"/>
      <c r="Q65" s="637"/>
    </row>
    <row r="66" spans="15:17" x14ac:dyDescent="0.25">
      <c r="O66" s="63"/>
      <c r="P66" s="63"/>
      <c r="Q66" s="637"/>
    </row>
    <row r="67" spans="15:17" x14ac:dyDescent="0.25">
      <c r="O67" s="63"/>
      <c r="P67" s="63"/>
      <c r="Q67" s="637"/>
    </row>
    <row r="68" spans="15:17" x14ac:dyDescent="0.25">
      <c r="O68" s="63"/>
      <c r="P68" s="63"/>
      <c r="Q68" s="637"/>
    </row>
    <row r="69" spans="15:17" x14ac:dyDescent="0.25">
      <c r="O69" s="63"/>
      <c r="P69" s="63"/>
      <c r="Q69" s="637"/>
    </row>
    <row r="70" spans="15:17" x14ac:dyDescent="0.25">
      <c r="O70" s="63"/>
      <c r="P70" s="63"/>
      <c r="Q70" s="637"/>
    </row>
    <row r="71" spans="15:17" x14ac:dyDescent="0.25">
      <c r="O71" s="63"/>
      <c r="P71" s="63"/>
      <c r="Q71" s="637"/>
    </row>
    <row r="72" spans="15:17" x14ac:dyDescent="0.25">
      <c r="O72" s="63"/>
      <c r="P72" s="63"/>
      <c r="Q72" s="637"/>
    </row>
    <row r="73" spans="15:17" x14ac:dyDescent="0.25">
      <c r="O73" s="63"/>
      <c r="P73" s="63"/>
      <c r="Q73" s="637"/>
    </row>
    <row r="74" spans="15:17" x14ac:dyDescent="0.25">
      <c r="O74" s="63"/>
      <c r="P74" s="63"/>
      <c r="Q74" s="637"/>
    </row>
    <row r="75" spans="15:17" x14ac:dyDescent="0.25">
      <c r="O75" s="63"/>
      <c r="P75" s="63"/>
      <c r="Q75" s="637"/>
    </row>
    <row r="76" spans="15:17" x14ac:dyDescent="0.25">
      <c r="O76" s="63"/>
      <c r="P76" s="63"/>
      <c r="Q76" s="637"/>
    </row>
    <row r="77" spans="15:17" x14ac:dyDescent="0.25">
      <c r="O77" s="63"/>
      <c r="P77" s="63"/>
      <c r="Q77" s="637"/>
    </row>
    <row r="78" spans="15:17" x14ac:dyDescent="0.25">
      <c r="O78" s="63"/>
      <c r="P78" s="63"/>
      <c r="Q78" s="637"/>
    </row>
    <row r="79" spans="15:17" x14ac:dyDescent="0.25">
      <c r="O79" s="63"/>
      <c r="P79" s="63"/>
      <c r="Q79" s="637"/>
    </row>
    <row r="80" spans="15:17" x14ac:dyDescent="0.25">
      <c r="O80" s="63"/>
      <c r="P80" s="63"/>
      <c r="Q80" s="637"/>
    </row>
    <row r="81" spans="15:17" x14ac:dyDescent="0.25">
      <c r="O81" s="63"/>
      <c r="P81" s="63"/>
      <c r="Q81" s="637"/>
    </row>
    <row r="82" spans="15:17" x14ac:dyDescent="0.25">
      <c r="O82" s="63"/>
      <c r="P82" s="63"/>
      <c r="Q82" s="63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24. melléklet a 4/2018.(III.29.) önkormányzati rendelethez
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zoomScaleNormal="100" zoomScalePageLayoutView="85" workbookViewId="0">
      <selection activeCell="D18" sqref="D18"/>
    </sheetView>
  </sheetViews>
  <sheetFormatPr defaultColWidth="10.6640625" defaultRowHeight="12.75" x14ac:dyDescent="0.2"/>
  <cols>
    <col min="1" max="1" width="42.33203125" style="403" customWidth="1"/>
    <col min="2" max="2" width="13" style="404" bestFit="1" customWidth="1"/>
    <col min="3" max="4" width="11.1640625" style="404" bestFit="1" customWidth="1"/>
    <col min="5" max="5" width="11.33203125" style="404" bestFit="1" customWidth="1"/>
    <col min="6" max="6" width="11.83203125" style="404" bestFit="1" customWidth="1"/>
    <col min="7" max="7" width="13.6640625" style="405" bestFit="1" customWidth="1"/>
    <col min="8" max="8" width="1.1640625" style="405" customWidth="1"/>
    <col min="9" max="9" width="12.6640625" style="403" bestFit="1" customWidth="1"/>
    <col min="10" max="10" width="11.1640625" style="403" bestFit="1" customWidth="1"/>
    <col min="11" max="11" width="13" style="403" bestFit="1" customWidth="1"/>
    <col min="12" max="13" width="11.1640625" style="403" bestFit="1" customWidth="1"/>
    <col min="14" max="14" width="15.1640625" style="406" bestFit="1" customWidth="1"/>
    <col min="15" max="15" width="15.1640625" style="403" bestFit="1" customWidth="1"/>
    <col min="16" max="16384" width="10.6640625" style="403"/>
  </cols>
  <sheetData>
    <row r="1" spans="1:194" x14ac:dyDescent="0.2">
      <c r="J1" s="988"/>
      <c r="K1" s="988"/>
      <c r="L1" s="988"/>
      <c r="M1" s="988"/>
    </row>
    <row r="2" spans="1:194" x14ac:dyDescent="0.2">
      <c r="A2" s="407"/>
      <c r="E2" s="408"/>
      <c r="I2" s="407"/>
      <c r="J2" s="989"/>
      <c r="K2" s="989"/>
      <c r="L2" s="989"/>
      <c r="M2" s="989"/>
      <c r="N2" s="409"/>
    </row>
    <row r="3" spans="1:194" ht="17.25" customHeight="1" x14ac:dyDescent="0.35">
      <c r="A3" s="410" t="s">
        <v>612</v>
      </c>
      <c r="B3" s="411"/>
      <c r="C3" s="411"/>
      <c r="D3" s="411"/>
      <c r="E3" s="411"/>
      <c r="F3" s="411"/>
      <c r="G3" s="412"/>
      <c r="H3" s="412"/>
      <c r="I3" s="413"/>
      <c r="J3" s="413"/>
      <c r="K3" s="413"/>
      <c r="L3" s="413"/>
      <c r="M3" s="413"/>
      <c r="N3" s="414"/>
    </row>
    <row r="4" spans="1:194" ht="19.5" x14ac:dyDescent="0.35">
      <c r="A4" s="415" t="s">
        <v>406</v>
      </c>
      <c r="B4" s="411"/>
      <c r="C4" s="411"/>
      <c r="D4" s="411"/>
      <c r="E4" s="411"/>
      <c r="F4" s="411"/>
      <c r="G4" s="412"/>
      <c r="H4" s="412"/>
      <c r="I4" s="413"/>
      <c r="J4" s="413"/>
      <c r="K4" s="413"/>
      <c r="L4" s="413"/>
      <c r="M4" s="413"/>
      <c r="N4" s="414"/>
    </row>
    <row r="5" spans="1:194" ht="0.75" customHeight="1" thickBot="1" x14ac:dyDescent="0.35">
      <c r="A5" s="416"/>
      <c r="B5" s="411"/>
      <c r="C5" s="411"/>
      <c r="D5" s="411"/>
      <c r="E5" s="411"/>
      <c r="F5" s="411"/>
      <c r="G5" s="412"/>
      <c r="H5" s="412"/>
      <c r="I5" s="413"/>
      <c r="J5" s="413"/>
      <c r="K5" s="413"/>
      <c r="L5" s="413"/>
      <c r="M5" s="413"/>
      <c r="N5" s="409" t="s">
        <v>379</v>
      </c>
    </row>
    <row r="6" spans="1:194" ht="15.75" x14ac:dyDescent="0.25">
      <c r="A6" s="417" t="s">
        <v>162</v>
      </c>
      <c r="B6" s="990" t="s">
        <v>407</v>
      </c>
      <c r="C6" s="991"/>
      <c r="D6" s="991"/>
      <c r="E6" s="991"/>
      <c r="F6" s="991"/>
      <c r="G6" s="992"/>
      <c r="H6" s="418"/>
      <c r="I6" s="990" t="s">
        <v>408</v>
      </c>
      <c r="J6" s="991"/>
      <c r="K6" s="991"/>
      <c r="L6" s="991"/>
      <c r="M6" s="991"/>
      <c r="N6" s="992"/>
    </row>
    <row r="7" spans="1:194" x14ac:dyDescent="0.2">
      <c r="A7" s="419"/>
      <c r="B7" s="420" t="s">
        <v>409</v>
      </c>
      <c r="C7" s="421" t="s">
        <v>393</v>
      </c>
      <c r="D7" s="421" t="s">
        <v>431</v>
      </c>
      <c r="E7" s="421" t="s">
        <v>410</v>
      </c>
      <c r="F7" s="421" t="s">
        <v>555</v>
      </c>
      <c r="G7" s="422" t="s">
        <v>613</v>
      </c>
      <c r="H7" s="423"/>
      <c r="I7" s="420" t="s">
        <v>409</v>
      </c>
      <c r="J7" s="421" t="s">
        <v>393</v>
      </c>
      <c r="K7" s="421" t="s">
        <v>440</v>
      </c>
      <c r="L7" s="421" t="s">
        <v>122</v>
      </c>
      <c r="M7" s="421" t="s">
        <v>432</v>
      </c>
      <c r="N7" s="422" t="s">
        <v>614</v>
      </c>
    </row>
    <row r="8" spans="1:194" ht="13.5" thickBot="1" x14ac:dyDescent="0.25">
      <c r="A8" s="424"/>
      <c r="B8" s="425" t="s">
        <v>411</v>
      </c>
      <c r="C8" s="426" t="s">
        <v>411</v>
      </c>
      <c r="D8" s="426" t="s">
        <v>411</v>
      </c>
      <c r="E8" s="426" t="s">
        <v>412</v>
      </c>
      <c r="F8" s="426"/>
      <c r="G8" s="427" t="s">
        <v>413</v>
      </c>
      <c r="H8" s="428"/>
      <c r="I8" s="497" t="s">
        <v>414</v>
      </c>
      <c r="J8" s="498" t="s">
        <v>399</v>
      </c>
      <c r="K8" s="498" t="s">
        <v>395</v>
      </c>
      <c r="L8" s="498"/>
      <c r="M8" s="498"/>
      <c r="N8" s="499" t="s">
        <v>415</v>
      </c>
    </row>
    <row r="9" spans="1:194" x14ac:dyDescent="0.2">
      <c r="A9" s="500" t="s">
        <v>433</v>
      </c>
      <c r="B9" s="429">
        <v>2900000</v>
      </c>
      <c r="C9" s="430"/>
      <c r="D9" s="431"/>
      <c r="E9" s="430"/>
      <c r="F9" s="430"/>
      <c r="G9" s="432">
        <f>SUM(B9:F9)</f>
        <v>2900000</v>
      </c>
      <c r="H9" s="433"/>
      <c r="I9" s="434"/>
      <c r="J9" s="430">
        <v>359410</v>
      </c>
      <c r="K9" s="435"/>
      <c r="L9" s="430"/>
      <c r="M9" s="430"/>
      <c r="N9" s="436">
        <f t="shared" ref="N9:N16" si="0">SUM(I9:M9)</f>
        <v>359410</v>
      </c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7"/>
      <c r="CC9" s="437"/>
      <c r="CD9" s="437"/>
      <c r="CE9" s="437"/>
      <c r="CF9" s="437"/>
      <c r="CG9" s="437"/>
      <c r="CH9" s="437"/>
      <c r="CI9" s="437"/>
      <c r="CJ9" s="437"/>
      <c r="CK9" s="437"/>
      <c r="CL9" s="437"/>
      <c r="CM9" s="437"/>
      <c r="CN9" s="437"/>
      <c r="CO9" s="437"/>
      <c r="CP9" s="437"/>
      <c r="CQ9" s="437"/>
      <c r="CR9" s="437"/>
      <c r="CS9" s="437"/>
      <c r="CT9" s="437"/>
      <c r="CU9" s="437"/>
      <c r="CV9" s="437"/>
      <c r="CW9" s="437"/>
      <c r="CX9" s="437"/>
      <c r="CY9" s="437"/>
      <c r="CZ9" s="437"/>
      <c r="DA9" s="437"/>
      <c r="DB9" s="437"/>
      <c r="DC9" s="437"/>
      <c r="DD9" s="437"/>
      <c r="DE9" s="437"/>
      <c r="DF9" s="437"/>
      <c r="DG9" s="437"/>
      <c r="DH9" s="437"/>
      <c r="DI9" s="437"/>
      <c r="DJ9" s="437"/>
      <c r="DK9" s="437"/>
      <c r="DL9" s="437"/>
      <c r="DM9" s="437"/>
      <c r="DN9" s="437"/>
      <c r="DO9" s="437"/>
      <c r="DP9" s="437"/>
      <c r="DQ9" s="437"/>
      <c r="DR9" s="437"/>
      <c r="DS9" s="437"/>
      <c r="DT9" s="437"/>
      <c r="DU9" s="437"/>
      <c r="DV9" s="437"/>
      <c r="DW9" s="437"/>
      <c r="DX9" s="437"/>
      <c r="DY9" s="437"/>
      <c r="DZ9" s="437"/>
      <c r="EA9" s="437"/>
      <c r="EB9" s="437"/>
      <c r="EC9" s="437"/>
      <c r="ED9" s="437"/>
      <c r="EE9" s="437"/>
      <c r="EF9" s="437"/>
      <c r="EG9" s="437"/>
      <c r="EH9" s="437"/>
      <c r="EI9" s="437"/>
      <c r="EJ9" s="437"/>
      <c r="EK9" s="437"/>
      <c r="EL9" s="437"/>
      <c r="EM9" s="437"/>
      <c r="EN9" s="437"/>
      <c r="EO9" s="437"/>
      <c r="EP9" s="437"/>
      <c r="EQ9" s="437"/>
      <c r="ER9" s="437"/>
      <c r="ES9" s="437"/>
      <c r="ET9" s="437"/>
      <c r="EU9" s="437"/>
      <c r="EV9" s="437"/>
      <c r="EW9" s="437"/>
      <c r="EX9" s="437"/>
      <c r="EY9" s="437"/>
      <c r="EZ9" s="437"/>
      <c r="FA9" s="437"/>
      <c r="FB9" s="437"/>
      <c r="FC9" s="437"/>
      <c r="FD9" s="437"/>
      <c r="FE9" s="437"/>
      <c r="FF9" s="437"/>
      <c r="FG9" s="437"/>
      <c r="FH9" s="437"/>
      <c r="FI9" s="437"/>
      <c r="FJ9" s="437"/>
      <c r="FK9" s="437"/>
      <c r="FL9" s="437"/>
      <c r="FM9" s="437"/>
      <c r="FN9" s="437"/>
      <c r="FO9" s="437"/>
      <c r="FP9" s="437"/>
      <c r="FQ9" s="437"/>
      <c r="FR9" s="437"/>
      <c r="FS9" s="437"/>
      <c r="FT9" s="437"/>
      <c r="FU9" s="437"/>
      <c r="FV9" s="437"/>
      <c r="FW9" s="437"/>
      <c r="FX9" s="437"/>
      <c r="FY9" s="437"/>
      <c r="FZ9" s="437"/>
      <c r="GA9" s="437"/>
      <c r="GB9" s="437"/>
      <c r="GC9" s="437"/>
      <c r="GD9" s="437"/>
      <c r="GE9" s="437"/>
      <c r="GF9" s="437"/>
      <c r="GG9" s="437"/>
      <c r="GH9" s="437"/>
      <c r="GI9" s="437"/>
      <c r="GJ9" s="437"/>
      <c r="GK9" s="437"/>
      <c r="GL9" s="437"/>
    </row>
    <row r="10" spans="1:194" x14ac:dyDescent="0.2">
      <c r="A10" s="444" t="s">
        <v>545</v>
      </c>
      <c r="B10" s="438"/>
      <c r="C10" s="439"/>
      <c r="D10" s="439"/>
      <c r="E10" s="439"/>
      <c r="F10" s="439"/>
      <c r="G10" s="440">
        <f>SUM(B10:F10)</f>
        <v>0</v>
      </c>
      <c r="H10" s="441"/>
      <c r="I10" s="442">
        <v>13447475</v>
      </c>
      <c r="J10" s="439"/>
      <c r="K10" s="439"/>
      <c r="L10" s="439"/>
      <c r="M10" s="439"/>
      <c r="N10" s="443">
        <f t="shared" si="0"/>
        <v>13447475</v>
      </c>
    </row>
    <row r="11" spans="1:194" x14ac:dyDescent="0.2">
      <c r="A11" s="444" t="s">
        <v>556</v>
      </c>
      <c r="B11" s="438"/>
      <c r="C11" s="439"/>
      <c r="D11" s="439"/>
      <c r="E11" s="439"/>
      <c r="F11" s="439"/>
      <c r="G11" s="440">
        <f>SUM(B11:F11)</f>
        <v>0</v>
      </c>
      <c r="H11" s="441"/>
      <c r="I11" s="442">
        <v>835000</v>
      </c>
      <c r="J11" s="439"/>
      <c r="K11" s="439"/>
      <c r="L11" s="439"/>
      <c r="M11" s="439"/>
      <c r="N11" s="443">
        <f t="shared" si="0"/>
        <v>835000</v>
      </c>
    </row>
    <row r="12" spans="1:194" x14ac:dyDescent="0.2">
      <c r="A12" s="444" t="s">
        <v>557</v>
      </c>
      <c r="B12" s="438"/>
      <c r="C12" s="439">
        <f>15690532-15690532</f>
        <v>0</v>
      </c>
      <c r="D12" s="439"/>
      <c r="E12" s="439"/>
      <c r="F12" s="439"/>
      <c r="G12" s="440">
        <f>SUM(B12:F12)</f>
        <v>0</v>
      </c>
      <c r="H12" s="445"/>
      <c r="I12" s="442">
        <v>50000</v>
      </c>
      <c r="J12" s="439">
        <v>2345001</v>
      </c>
      <c r="K12" s="439"/>
      <c r="L12" s="439"/>
      <c r="M12" s="439"/>
      <c r="N12" s="443">
        <f t="shared" si="0"/>
        <v>2395001</v>
      </c>
    </row>
    <row r="13" spans="1:194" x14ac:dyDescent="0.2">
      <c r="A13" s="444" t="s">
        <v>434</v>
      </c>
      <c r="B13" s="438"/>
      <c r="C13" s="446"/>
      <c r="D13" s="439"/>
      <c r="E13" s="439"/>
      <c r="F13" s="439"/>
      <c r="G13" s="440">
        <f t="shared" ref="G13:G19" si="1">SUM(B13:F13)</f>
        <v>0</v>
      </c>
      <c r="H13" s="447" t="e">
        <f>SUM(#REF!)</f>
        <v>#REF!</v>
      </c>
      <c r="I13" s="442"/>
      <c r="J13" s="439"/>
      <c r="K13" s="439"/>
      <c r="L13" s="439"/>
      <c r="M13" s="439"/>
      <c r="N13" s="443">
        <f t="shared" si="0"/>
        <v>0</v>
      </c>
    </row>
    <row r="14" spans="1:194" x14ac:dyDescent="0.2">
      <c r="A14" s="448" t="s">
        <v>546</v>
      </c>
      <c r="B14" s="438">
        <v>19342000</v>
      </c>
      <c r="C14" s="449"/>
      <c r="D14" s="439"/>
      <c r="E14" s="449"/>
      <c r="F14" s="449"/>
      <c r="G14" s="443">
        <f t="shared" si="1"/>
        <v>19342000</v>
      </c>
      <c r="H14" s="441"/>
      <c r="I14" s="442">
        <v>16099000</v>
      </c>
      <c r="J14" s="439"/>
      <c r="K14" s="449"/>
      <c r="L14" s="449"/>
      <c r="M14" s="449"/>
      <c r="N14" s="443">
        <f t="shared" si="0"/>
        <v>16099000</v>
      </c>
    </row>
    <row r="15" spans="1:194" x14ac:dyDescent="0.2">
      <c r="A15" s="444" t="s">
        <v>416</v>
      </c>
      <c r="B15" s="438"/>
      <c r="C15" s="439"/>
      <c r="D15" s="439"/>
      <c r="E15" s="439"/>
      <c r="F15" s="439"/>
      <c r="G15" s="440">
        <f t="shared" si="1"/>
        <v>0</v>
      </c>
      <c r="H15" s="441"/>
      <c r="I15" s="442">
        <v>12484218</v>
      </c>
      <c r="J15" s="439">
        <v>1881000</v>
      </c>
      <c r="K15" s="439"/>
      <c r="L15" s="439"/>
      <c r="M15" s="439"/>
      <c r="N15" s="443">
        <f t="shared" si="0"/>
        <v>14365218</v>
      </c>
    </row>
    <row r="16" spans="1:194" x14ac:dyDescent="0.2">
      <c r="A16" s="444" t="s">
        <v>417</v>
      </c>
      <c r="B16" s="438">
        <v>481000</v>
      </c>
      <c r="C16" s="439"/>
      <c r="D16" s="439"/>
      <c r="E16" s="439"/>
      <c r="F16" s="439"/>
      <c r="G16" s="440">
        <f t="shared" si="1"/>
        <v>481000</v>
      </c>
      <c r="H16" s="441"/>
      <c r="I16" s="442">
        <v>2456000</v>
      </c>
      <c r="J16" s="550"/>
      <c r="K16" s="439"/>
      <c r="L16" s="439"/>
      <c r="M16" s="439"/>
      <c r="N16" s="443">
        <f t="shared" si="0"/>
        <v>2456000</v>
      </c>
    </row>
    <row r="17" spans="1:14" x14ac:dyDescent="0.2">
      <c r="A17" s="444" t="s">
        <v>418</v>
      </c>
      <c r="B17" s="438"/>
      <c r="C17" s="439"/>
      <c r="D17" s="439"/>
      <c r="E17" s="439"/>
      <c r="F17" s="439"/>
      <c r="G17" s="440">
        <f t="shared" si="1"/>
        <v>0</v>
      </c>
      <c r="H17" s="441"/>
      <c r="I17" s="442"/>
      <c r="J17" s="439"/>
      <c r="K17" s="439"/>
      <c r="L17" s="439"/>
      <c r="M17" s="439"/>
      <c r="N17" s="443">
        <f t="shared" ref="N17:N51" si="2">SUM(I17:M17)</f>
        <v>0</v>
      </c>
    </row>
    <row r="18" spans="1:14" x14ac:dyDescent="0.2">
      <c r="A18" s="444" t="s">
        <v>419</v>
      </c>
      <c r="B18" s="450">
        <f>63500</f>
        <v>63500</v>
      </c>
      <c r="C18" s="449"/>
      <c r="D18" s="449"/>
      <c r="E18" s="449"/>
      <c r="F18" s="449"/>
      <c r="G18" s="443">
        <f t="shared" si="1"/>
        <v>63500</v>
      </c>
      <c r="H18" s="451"/>
      <c r="I18" s="935">
        <f>34373231+1095900+213701</f>
        <v>35682832</v>
      </c>
      <c r="J18" s="439"/>
      <c r="K18" s="449"/>
      <c r="L18" s="449"/>
      <c r="M18" s="449"/>
      <c r="N18" s="443">
        <f t="shared" si="2"/>
        <v>35682832</v>
      </c>
    </row>
    <row r="19" spans="1:14" x14ac:dyDescent="0.2">
      <c r="A19" s="448" t="s">
        <v>420</v>
      </c>
      <c r="B19" s="450"/>
      <c r="C19" s="449"/>
      <c r="D19" s="449"/>
      <c r="E19" s="449"/>
      <c r="F19" s="449"/>
      <c r="G19" s="443">
        <f t="shared" si="1"/>
        <v>0</v>
      </c>
      <c r="H19" s="451"/>
      <c r="I19" s="442">
        <v>17856849</v>
      </c>
      <c r="J19" s="449"/>
      <c r="K19" s="449"/>
      <c r="L19" s="449"/>
      <c r="M19" s="449"/>
      <c r="N19" s="443">
        <f t="shared" si="2"/>
        <v>17856849</v>
      </c>
    </row>
    <row r="20" spans="1:14" x14ac:dyDescent="0.2">
      <c r="A20" s="444" t="s">
        <v>421</v>
      </c>
      <c r="B20" s="438">
        <f>SUM(B21:B23)</f>
        <v>0</v>
      </c>
      <c r="C20" s="439">
        <f>SUM(C21:C23)</f>
        <v>0</v>
      </c>
      <c r="D20" s="439">
        <f>SUM(D21:D23)</f>
        <v>345658000</v>
      </c>
      <c r="E20" s="439"/>
      <c r="F20" s="439"/>
      <c r="G20" s="443">
        <f>SUM(G21:G23)</f>
        <v>345658000</v>
      </c>
      <c r="H20" s="451"/>
      <c r="I20" s="452"/>
      <c r="J20" s="449"/>
      <c r="K20" s="449">
        <f>SUM(K21:K23)</f>
        <v>0</v>
      </c>
      <c r="L20" s="449"/>
      <c r="M20" s="449"/>
      <c r="N20" s="443">
        <f t="shared" si="2"/>
        <v>0</v>
      </c>
    </row>
    <row r="21" spans="1:14" x14ac:dyDescent="0.2">
      <c r="A21" s="453" t="s">
        <v>435</v>
      </c>
      <c r="B21" s="438"/>
      <c r="C21" s="449"/>
      <c r="D21" s="438">
        <f>308658000+3500000</f>
        <v>312158000</v>
      </c>
      <c r="E21" s="449"/>
      <c r="F21" s="449"/>
      <c r="G21" s="454">
        <f t="shared" ref="G21:G27" si="3">SUM(B21:F21)</f>
        <v>312158000</v>
      </c>
      <c r="H21" s="451"/>
      <c r="I21" s="452"/>
      <c r="J21" s="449"/>
      <c r="K21" s="449"/>
      <c r="L21" s="449"/>
      <c r="M21" s="449"/>
      <c r="N21" s="455">
        <f t="shared" si="2"/>
        <v>0</v>
      </c>
    </row>
    <row r="22" spans="1:14" x14ac:dyDescent="0.2">
      <c r="A22" s="453" t="s">
        <v>422</v>
      </c>
      <c r="B22" s="438"/>
      <c r="C22" s="449"/>
      <c r="D22" s="438">
        <v>28000000</v>
      </c>
      <c r="E22" s="449"/>
      <c r="F22" s="449"/>
      <c r="G22" s="454">
        <f t="shared" si="3"/>
        <v>28000000</v>
      </c>
      <c r="H22" s="451"/>
      <c r="I22" s="452"/>
      <c r="J22" s="449"/>
      <c r="K22" s="449"/>
      <c r="L22" s="449"/>
      <c r="M22" s="449"/>
      <c r="N22" s="455">
        <f t="shared" si="2"/>
        <v>0</v>
      </c>
    </row>
    <row r="23" spans="1:14" x14ac:dyDescent="0.2">
      <c r="A23" s="453" t="s">
        <v>547</v>
      </c>
      <c r="B23" s="438"/>
      <c r="C23" s="449"/>
      <c r="D23" s="438">
        <v>5500000</v>
      </c>
      <c r="E23" s="449"/>
      <c r="F23" s="449"/>
      <c r="G23" s="454">
        <f t="shared" si="3"/>
        <v>5500000</v>
      </c>
      <c r="H23" s="451"/>
      <c r="I23" s="452"/>
      <c r="J23" s="449"/>
      <c r="K23" s="449"/>
      <c r="L23" s="449"/>
      <c r="M23" s="449"/>
      <c r="N23" s="455">
        <f t="shared" si="2"/>
        <v>0</v>
      </c>
    </row>
    <row r="24" spans="1:14" x14ac:dyDescent="0.2">
      <c r="A24" s="638" t="s">
        <v>1</v>
      </c>
      <c r="B24" s="450"/>
      <c r="C24" s="449"/>
      <c r="D24" s="449"/>
      <c r="E24" s="449"/>
      <c r="F24" s="449"/>
      <c r="G24" s="454">
        <f t="shared" si="3"/>
        <v>0</v>
      </c>
      <c r="H24" s="451"/>
      <c r="I24" s="442">
        <v>34200000</v>
      </c>
      <c r="J24" s="439"/>
      <c r="K24" s="449"/>
      <c r="L24" s="449"/>
      <c r="M24" s="449"/>
      <c r="N24" s="443">
        <f t="shared" si="2"/>
        <v>34200000</v>
      </c>
    </row>
    <row r="25" spans="1:14" x14ac:dyDescent="0.2">
      <c r="A25" s="444" t="s">
        <v>445</v>
      </c>
      <c r="B25" s="450"/>
      <c r="C25" s="449"/>
      <c r="D25" s="449"/>
      <c r="E25" s="449"/>
      <c r="F25" s="449"/>
      <c r="G25" s="443">
        <f t="shared" si="3"/>
        <v>0</v>
      </c>
      <c r="H25" s="451"/>
      <c r="I25" s="442"/>
      <c r="J25" s="449"/>
      <c r="K25" s="449"/>
      <c r="L25" s="449"/>
      <c r="M25" s="449"/>
      <c r="N25" s="443">
        <f t="shared" si="2"/>
        <v>0</v>
      </c>
    </row>
    <row r="26" spans="1:14" x14ac:dyDescent="0.2">
      <c r="A26" s="444" t="s">
        <v>423</v>
      </c>
      <c r="B26" s="450"/>
      <c r="C26" s="449"/>
      <c r="D26" s="449"/>
      <c r="E26" s="449"/>
      <c r="F26" s="449"/>
      <c r="G26" s="443">
        <f t="shared" si="3"/>
        <v>0</v>
      </c>
      <c r="H26" s="451"/>
      <c r="I26" s="442">
        <v>34163000</v>
      </c>
      <c r="J26" s="449">
        <v>1500000</v>
      </c>
      <c r="K26" s="449"/>
      <c r="L26" s="449"/>
      <c r="M26" s="449"/>
      <c r="N26" s="443">
        <f t="shared" si="2"/>
        <v>35663000</v>
      </c>
    </row>
    <row r="27" spans="1:14" ht="13.5" customHeight="1" x14ac:dyDescent="0.2">
      <c r="A27" s="501" t="s">
        <v>424</v>
      </c>
      <c r="B27" s="456">
        <f>4320000+1400000+378000+60000+300000</f>
        <v>6458000</v>
      </c>
      <c r="C27" s="457"/>
      <c r="D27" s="457">
        <v>7000000</v>
      </c>
      <c r="E27" s="458"/>
      <c r="F27" s="457"/>
      <c r="G27" s="459">
        <f t="shared" si="3"/>
        <v>13458000</v>
      </c>
      <c r="H27" s="451"/>
      <c r="I27" s="461">
        <f>16116992+2940000+50473064+52959801</f>
        <v>122489857</v>
      </c>
      <c r="J27" s="457">
        <v>3139585</v>
      </c>
      <c r="K27" s="457"/>
      <c r="L27" s="458"/>
      <c r="M27" s="458"/>
      <c r="N27" s="459">
        <f t="shared" si="2"/>
        <v>125629442</v>
      </c>
    </row>
    <row r="28" spans="1:14" x14ac:dyDescent="0.2">
      <c r="A28" s="444" t="s">
        <v>436</v>
      </c>
      <c r="B28" s="438">
        <f t="shared" ref="B28:G28" si="4">SUM(B29:B31)</f>
        <v>1469028178</v>
      </c>
      <c r="C28" s="438">
        <f t="shared" si="4"/>
        <v>0</v>
      </c>
      <c r="D28" s="438">
        <f t="shared" si="4"/>
        <v>0</v>
      </c>
      <c r="E28" s="438">
        <f t="shared" si="4"/>
        <v>0</v>
      </c>
      <c r="F28" s="438">
        <f t="shared" si="4"/>
        <v>0</v>
      </c>
      <c r="G28" s="443">
        <f t="shared" si="4"/>
        <v>1469028178</v>
      </c>
      <c r="H28" s="460"/>
      <c r="I28" s="452">
        <f>SUM(I29:I30)</f>
        <v>38267591</v>
      </c>
      <c r="J28" s="452">
        <f>SUM(J29:J30)</f>
        <v>0</v>
      </c>
      <c r="K28" s="452">
        <f>SUM(K29:K30)</f>
        <v>0</v>
      </c>
      <c r="L28" s="452">
        <f>SUM(L29:L30)</f>
        <v>0</v>
      </c>
      <c r="M28" s="452">
        <f>SUM(M29:M30)</f>
        <v>0</v>
      </c>
      <c r="N28" s="443">
        <f t="shared" si="2"/>
        <v>38267591</v>
      </c>
    </row>
    <row r="29" spans="1:14" x14ac:dyDescent="0.2">
      <c r="A29" s="453" t="s">
        <v>437</v>
      </c>
      <c r="B29" s="438">
        <f>227855923+224734134+126991000+65060600+119410000+192410145+62092600+16122040+12622000</f>
        <v>1047298442</v>
      </c>
      <c r="C29" s="439"/>
      <c r="D29" s="449"/>
      <c r="E29" s="449"/>
      <c r="F29" s="449"/>
      <c r="G29" s="454">
        <f t="shared" ref="G29:G51" si="5">SUM(B29:F29)</f>
        <v>1047298442</v>
      </c>
      <c r="H29" s="451"/>
      <c r="I29" s="442"/>
      <c r="J29" s="449"/>
      <c r="K29" s="449"/>
      <c r="L29" s="449"/>
      <c r="M29" s="449"/>
      <c r="N29" s="455">
        <f t="shared" si="2"/>
        <v>0</v>
      </c>
    </row>
    <row r="30" spans="1:14" x14ac:dyDescent="0.2">
      <c r="A30" s="453" t="s">
        <v>438</v>
      </c>
      <c r="B30" s="936">
        <f>16254886+63796813+190231327+125887110+24250000+1309600</f>
        <v>421729736</v>
      </c>
      <c r="C30" s="439"/>
      <c r="D30" s="439"/>
      <c r="E30" s="449"/>
      <c r="F30" s="449"/>
      <c r="G30" s="454">
        <f t="shared" si="5"/>
        <v>421729736</v>
      </c>
      <c r="H30" s="451"/>
      <c r="I30" s="442">
        <v>38267591</v>
      </c>
      <c r="J30" s="449"/>
      <c r="K30" s="449"/>
      <c r="L30" s="449"/>
      <c r="M30" s="449"/>
      <c r="N30" s="443">
        <f t="shared" si="2"/>
        <v>38267591</v>
      </c>
    </row>
    <row r="31" spans="1:14" x14ac:dyDescent="0.2">
      <c r="A31" s="453" t="s">
        <v>595</v>
      </c>
      <c r="B31" s="549"/>
      <c r="C31" s="439"/>
      <c r="D31" s="439"/>
      <c r="E31" s="449"/>
      <c r="F31" s="449"/>
      <c r="G31" s="454">
        <f t="shared" si="5"/>
        <v>0</v>
      </c>
      <c r="H31" s="451"/>
      <c r="I31" s="442"/>
      <c r="J31" s="449"/>
      <c r="K31" s="449"/>
      <c r="L31" s="449"/>
      <c r="M31" s="449"/>
      <c r="N31" s="443"/>
    </row>
    <row r="32" spans="1:14" x14ac:dyDescent="0.2">
      <c r="A32" s="444" t="s">
        <v>425</v>
      </c>
      <c r="B32" s="438">
        <v>30000</v>
      </c>
      <c r="C32" s="439"/>
      <c r="D32" s="439"/>
      <c r="E32" s="439">
        <v>193478462</v>
      </c>
      <c r="F32" s="439"/>
      <c r="G32" s="440">
        <f t="shared" si="5"/>
        <v>193508462</v>
      </c>
      <c r="H32" s="441"/>
      <c r="I32" s="442">
        <f>3285067+156511+9000000</f>
        <v>12441578</v>
      </c>
      <c r="J32" s="439"/>
      <c r="K32" s="439"/>
      <c r="L32" s="439">
        <f>104042704+4444000</f>
        <v>108486704</v>
      </c>
      <c r="M32" s="439">
        <f>80846522-21705</f>
        <v>80824817</v>
      </c>
      <c r="N32" s="443">
        <f t="shared" si="2"/>
        <v>201753099</v>
      </c>
    </row>
    <row r="33" spans="1:14" x14ac:dyDescent="0.2">
      <c r="A33" s="444" t="s">
        <v>439</v>
      </c>
      <c r="B33" s="450"/>
      <c r="C33" s="449"/>
      <c r="D33" s="449"/>
      <c r="E33" s="449"/>
      <c r="F33" s="449">
        <v>569119704</v>
      </c>
      <c r="G33" s="443">
        <f t="shared" si="5"/>
        <v>569119704</v>
      </c>
      <c r="H33" s="451"/>
      <c r="I33" s="442"/>
      <c r="J33" s="439"/>
      <c r="K33" s="439">
        <v>1321453424</v>
      </c>
      <c r="L33" s="439"/>
      <c r="M33" s="439"/>
      <c r="N33" s="443">
        <f t="shared" si="2"/>
        <v>1321453424</v>
      </c>
    </row>
    <row r="34" spans="1:14" x14ac:dyDescent="0.2">
      <c r="A34" s="444" t="s">
        <v>426</v>
      </c>
      <c r="B34" s="438"/>
      <c r="C34" s="439"/>
      <c r="D34" s="439"/>
      <c r="E34" s="439"/>
      <c r="F34" s="439"/>
      <c r="G34" s="443">
        <f t="shared" si="5"/>
        <v>0</v>
      </c>
      <c r="H34" s="451"/>
      <c r="I34" s="442">
        <v>577000</v>
      </c>
      <c r="J34" s="439"/>
      <c r="K34" s="439"/>
      <c r="L34" s="439"/>
      <c r="M34" s="439"/>
      <c r="N34" s="443">
        <f t="shared" si="2"/>
        <v>577000</v>
      </c>
    </row>
    <row r="35" spans="1:14" x14ac:dyDescent="0.2">
      <c r="A35" s="501" t="s">
        <v>427</v>
      </c>
      <c r="B35" s="456"/>
      <c r="C35" s="457">
        <v>3779393</v>
      </c>
      <c r="D35" s="457"/>
      <c r="E35" s="457"/>
      <c r="F35" s="457"/>
      <c r="G35" s="443">
        <f t="shared" si="5"/>
        <v>3779393</v>
      </c>
      <c r="H35" s="451"/>
      <c r="I35" s="461">
        <f>1182990+207615+350000+1874803+200000+655000+14128085</f>
        <v>18598493</v>
      </c>
      <c r="J35" s="457">
        <v>33894811</v>
      </c>
      <c r="K35" s="457"/>
      <c r="L35" s="457"/>
      <c r="M35" s="457"/>
      <c r="N35" s="443">
        <f t="shared" si="2"/>
        <v>52493304</v>
      </c>
    </row>
    <row r="36" spans="1:14" x14ac:dyDescent="0.2">
      <c r="A36" s="501" t="s">
        <v>575</v>
      </c>
      <c r="B36" s="456"/>
      <c r="C36" s="457"/>
      <c r="D36" s="457"/>
      <c r="E36" s="457"/>
      <c r="F36" s="457"/>
      <c r="G36" s="443">
        <f t="shared" si="5"/>
        <v>0</v>
      </c>
      <c r="H36" s="451"/>
      <c r="I36" s="461"/>
      <c r="J36" s="457"/>
      <c r="K36" s="457"/>
      <c r="L36" s="457"/>
      <c r="M36" s="457"/>
      <c r="N36" s="443">
        <f t="shared" si="2"/>
        <v>0</v>
      </c>
    </row>
    <row r="37" spans="1:14" x14ac:dyDescent="0.2">
      <c r="A37" s="501" t="s">
        <v>441</v>
      </c>
      <c r="B37" s="456"/>
      <c r="C37" s="457"/>
      <c r="D37" s="457"/>
      <c r="E37" s="457"/>
      <c r="F37" s="457"/>
      <c r="G37" s="443">
        <f t="shared" si="5"/>
        <v>0</v>
      </c>
      <c r="H37" s="451"/>
      <c r="I37" s="938">
        <f>6187000+118952+153938</f>
        <v>6459890</v>
      </c>
      <c r="J37" s="457">
        <v>377190</v>
      </c>
      <c r="K37" s="457"/>
      <c r="L37" s="457"/>
      <c r="M37" s="457"/>
      <c r="N37" s="443">
        <f t="shared" si="2"/>
        <v>6837080</v>
      </c>
    </row>
    <row r="38" spans="1:14" x14ac:dyDescent="0.2">
      <c r="A38" s="501" t="s">
        <v>442</v>
      </c>
      <c r="B38" s="456">
        <v>947000</v>
      </c>
      <c r="C38" s="457"/>
      <c r="D38" s="457"/>
      <c r="E38" s="457"/>
      <c r="F38" s="457"/>
      <c r="G38" s="443">
        <f t="shared" si="5"/>
        <v>947000</v>
      </c>
      <c r="H38" s="451"/>
      <c r="I38" s="461">
        <v>17042731</v>
      </c>
      <c r="J38" s="457">
        <v>2338070</v>
      </c>
      <c r="K38" s="457"/>
      <c r="L38" s="457"/>
      <c r="M38" s="457"/>
      <c r="N38" s="443">
        <f t="shared" si="2"/>
        <v>19380801</v>
      </c>
    </row>
    <row r="39" spans="1:14" x14ac:dyDescent="0.2">
      <c r="A39" s="501" t="s">
        <v>549</v>
      </c>
      <c r="B39" s="456">
        <v>600000</v>
      </c>
      <c r="C39" s="457"/>
      <c r="D39" s="457"/>
      <c r="E39" s="457"/>
      <c r="F39" s="457"/>
      <c r="G39" s="443">
        <f t="shared" si="5"/>
        <v>600000</v>
      </c>
      <c r="H39" s="451"/>
      <c r="I39" s="937">
        <f>73660000+660000-660000</f>
        <v>73660000</v>
      </c>
      <c r="J39" s="457"/>
      <c r="K39" s="457"/>
      <c r="L39" s="457"/>
      <c r="M39" s="457"/>
      <c r="N39" s="443">
        <f t="shared" si="2"/>
        <v>73660000</v>
      </c>
    </row>
    <row r="40" spans="1:14" x14ac:dyDescent="0.2">
      <c r="A40" s="501" t="s">
        <v>596</v>
      </c>
      <c r="B40" s="456"/>
      <c r="C40" s="457"/>
      <c r="D40" s="457"/>
      <c r="E40" s="457"/>
      <c r="F40" s="457"/>
      <c r="G40" s="443">
        <f t="shared" si="5"/>
        <v>0</v>
      </c>
      <c r="H40" s="451"/>
      <c r="I40" s="461"/>
      <c r="J40" s="457"/>
      <c r="K40" s="457"/>
      <c r="L40" s="457"/>
      <c r="M40" s="457"/>
      <c r="N40" s="443">
        <f t="shared" si="2"/>
        <v>0</v>
      </c>
    </row>
    <row r="41" spans="1:14" x14ac:dyDescent="0.2">
      <c r="A41" s="501" t="s">
        <v>3</v>
      </c>
      <c r="B41" s="456"/>
      <c r="C41" s="457"/>
      <c r="D41" s="457"/>
      <c r="E41" s="457"/>
      <c r="F41" s="457"/>
      <c r="G41" s="443">
        <f t="shared" si="5"/>
        <v>0</v>
      </c>
      <c r="H41" s="451"/>
      <c r="I41" s="461">
        <v>3300000</v>
      </c>
      <c r="J41" s="457"/>
      <c r="K41" s="457"/>
      <c r="L41" s="457"/>
      <c r="M41" s="457"/>
      <c r="N41" s="443">
        <f t="shared" si="2"/>
        <v>3300000</v>
      </c>
    </row>
    <row r="42" spans="1:14" x14ac:dyDescent="0.2">
      <c r="A42" s="501" t="s">
        <v>597</v>
      </c>
      <c r="B42" s="456"/>
      <c r="C42" s="457"/>
      <c r="D42" s="457"/>
      <c r="E42" s="457"/>
      <c r="F42" s="457"/>
      <c r="G42" s="443">
        <f t="shared" si="5"/>
        <v>0</v>
      </c>
      <c r="H42" s="451"/>
      <c r="I42" s="461"/>
      <c r="J42" s="457"/>
      <c r="K42" s="457"/>
      <c r="L42" s="457"/>
      <c r="M42" s="457"/>
      <c r="N42" s="443">
        <f t="shared" si="2"/>
        <v>0</v>
      </c>
    </row>
    <row r="43" spans="1:14" x14ac:dyDescent="0.2">
      <c r="A43" s="444" t="s">
        <v>428</v>
      </c>
      <c r="B43" s="462">
        <v>1566000</v>
      </c>
      <c r="C43" s="457"/>
      <c r="D43" s="457"/>
      <c r="E43" s="457"/>
      <c r="F43" s="457"/>
      <c r="G43" s="443">
        <f t="shared" si="5"/>
        <v>1566000</v>
      </c>
      <c r="H43" s="451"/>
      <c r="I43" s="938">
        <f>22501218+397000+44100</f>
        <v>22942318</v>
      </c>
      <c r="J43" s="457">
        <v>65710721</v>
      </c>
      <c r="K43" s="463"/>
      <c r="L43" s="457"/>
      <c r="M43" s="457"/>
      <c r="N43" s="443">
        <f t="shared" si="2"/>
        <v>88653039</v>
      </c>
    </row>
    <row r="44" spans="1:14" x14ac:dyDescent="0.2">
      <c r="A44" s="502" t="s">
        <v>574</v>
      </c>
      <c r="B44" s="462"/>
      <c r="C44" s="457">
        <f>5866130+3796748</f>
        <v>9662878</v>
      </c>
      <c r="D44" s="457"/>
      <c r="E44" s="457"/>
      <c r="F44" s="457"/>
      <c r="G44" s="443">
        <f t="shared" si="5"/>
        <v>9662878</v>
      </c>
      <c r="H44" s="451"/>
      <c r="I44" s="461">
        <f>2854500+500965</f>
        <v>3355465</v>
      </c>
      <c r="J44" s="457">
        <f>218246101+144021480+2376540</f>
        <v>364644121</v>
      </c>
      <c r="K44" s="463"/>
      <c r="L44" s="457"/>
      <c r="M44" s="457"/>
      <c r="N44" s="443">
        <f t="shared" si="2"/>
        <v>367999586</v>
      </c>
    </row>
    <row r="45" spans="1:14" x14ac:dyDescent="0.2">
      <c r="A45" s="444" t="s">
        <v>429</v>
      </c>
      <c r="B45" s="462">
        <f>15340169+5162000</f>
        <v>20502169</v>
      </c>
      <c r="C45" s="457">
        <v>30332500</v>
      </c>
      <c r="D45" s="457"/>
      <c r="E45" s="457"/>
      <c r="F45" s="457"/>
      <c r="G45" s="443">
        <f t="shared" si="5"/>
        <v>50834669</v>
      </c>
      <c r="H45" s="451"/>
      <c r="I45" s="461">
        <v>52909601</v>
      </c>
      <c r="J45" s="457">
        <f>762000+27010505+7292837</f>
        <v>35065342</v>
      </c>
      <c r="K45" s="457"/>
      <c r="L45" s="457"/>
      <c r="M45" s="457"/>
      <c r="N45" s="443">
        <f t="shared" si="2"/>
        <v>87974943</v>
      </c>
    </row>
    <row r="46" spans="1:14" x14ac:dyDescent="0.2">
      <c r="A46" s="444" t="s">
        <v>9</v>
      </c>
      <c r="B46" s="456"/>
      <c r="C46" s="457"/>
      <c r="D46" s="457"/>
      <c r="E46" s="457"/>
      <c r="F46" s="457"/>
      <c r="G46" s="443">
        <f t="shared" si="5"/>
        <v>0</v>
      </c>
      <c r="H46" s="451"/>
      <c r="I46" s="461"/>
      <c r="J46" s="457"/>
      <c r="K46" s="457"/>
      <c r="L46" s="457"/>
      <c r="M46" s="457"/>
      <c r="N46" s="443">
        <f t="shared" si="2"/>
        <v>0</v>
      </c>
    </row>
    <row r="47" spans="1:14" x14ac:dyDescent="0.2">
      <c r="A47" s="502" t="s">
        <v>577</v>
      </c>
      <c r="B47" s="456">
        <v>381000</v>
      </c>
      <c r="C47" s="457"/>
      <c r="D47" s="457"/>
      <c r="E47" s="457"/>
      <c r="F47" s="457"/>
      <c r="G47" s="443">
        <f t="shared" si="5"/>
        <v>381000</v>
      </c>
      <c r="H47" s="451"/>
      <c r="I47" s="461">
        <f>49357310+381000</f>
        <v>49738310</v>
      </c>
      <c r="J47" s="457">
        <v>4950460</v>
      </c>
      <c r="K47" s="457"/>
      <c r="L47" s="457"/>
      <c r="M47" s="457"/>
      <c r="N47" s="443">
        <f t="shared" si="2"/>
        <v>54688770</v>
      </c>
    </row>
    <row r="48" spans="1:14" x14ac:dyDescent="0.2">
      <c r="A48" s="444" t="s">
        <v>593</v>
      </c>
      <c r="B48" s="456"/>
      <c r="C48" s="457"/>
      <c r="D48" s="457"/>
      <c r="E48" s="457"/>
      <c r="F48" s="457"/>
      <c r="G48" s="443">
        <f t="shared" si="5"/>
        <v>0</v>
      </c>
      <c r="H48" s="451"/>
      <c r="I48" s="461">
        <v>3082677</v>
      </c>
      <c r="J48" s="457">
        <v>12873483</v>
      </c>
      <c r="K48" s="457"/>
      <c r="L48" s="457"/>
      <c r="M48" s="457"/>
      <c r="N48" s="443">
        <f t="shared" si="2"/>
        <v>15956160</v>
      </c>
    </row>
    <row r="49" spans="1:15" x14ac:dyDescent="0.2">
      <c r="A49" s="501" t="s">
        <v>558</v>
      </c>
      <c r="B49" s="456"/>
      <c r="C49" s="457"/>
      <c r="D49" s="457"/>
      <c r="E49" s="457"/>
      <c r="F49" s="457"/>
      <c r="G49" s="459">
        <f t="shared" si="5"/>
        <v>0</v>
      </c>
      <c r="H49" s="451"/>
      <c r="I49" s="461">
        <v>48545760</v>
      </c>
      <c r="J49" s="457"/>
      <c r="K49" s="457"/>
      <c r="L49" s="457"/>
      <c r="M49" s="457"/>
      <c r="N49" s="443">
        <f t="shared" si="2"/>
        <v>48545760</v>
      </c>
    </row>
    <row r="50" spans="1:15" x14ac:dyDescent="0.2">
      <c r="A50" s="501" t="s">
        <v>548</v>
      </c>
      <c r="B50" s="456"/>
      <c r="C50" s="457"/>
      <c r="D50" s="457"/>
      <c r="E50" s="457"/>
      <c r="F50" s="457"/>
      <c r="G50" s="459">
        <f t="shared" si="5"/>
        <v>0</v>
      </c>
      <c r="H50" s="451"/>
      <c r="I50" s="938">
        <f>300000+3585+4660-6492-1753</f>
        <v>300000</v>
      </c>
      <c r="J50" s="457"/>
      <c r="K50" s="457"/>
      <c r="L50" s="457"/>
      <c r="M50" s="457"/>
      <c r="N50" s="459">
        <f t="shared" si="2"/>
        <v>300000</v>
      </c>
    </row>
    <row r="51" spans="1:15" ht="13.5" thickBot="1" x14ac:dyDescent="0.25">
      <c r="A51" s="444" t="s">
        <v>576</v>
      </c>
      <c r="B51" s="456"/>
      <c r="C51" s="457"/>
      <c r="D51" s="457"/>
      <c r="E51" s="457"/>
      <c r="F51" s="457"/>
      <c r="G51" s="459">
        <f t="shared" si="5"/>
        <v>0</v>
      </c>
      <c r="H51" s="451"/>
      <c r="I51" s="461">
        <v>500000</v>
      </c>
      <c r="J51" s="457"/>
      <c r="K51" s="457"/>
      <c r="L51" s="457"/>
      <c r="M51" s="457"/>
      <c r="N51" s="459">
        <f t="shared" si="2"/>
        <v>500000</v>
      </c>
    </row>
    <row r="52" spans="1:15" x14ac:dyDescent="0.2">
      <c r="A52" s="464" t="s">
        <v>55</v>
      </c>
      <c r="B52" s="465">
        <f>SUM(B9:B13,B14:B20,B25:B28,B32:B51,B24)</f>
        <v>1522298847</v>
      </c>
      <c r="C52" s="466">
        <f>SUM(C9:C13,C14:C20,C25:C28,C32:C51,C24)</f>
        <v>43774771</v>
      </c>
      <c r="D52" s="466">
        <f>SUM(D9:D13,D14:D20,D25:D28,D32:D51,D24)</f>
        <v>352658000</v>
      </c>
      <c r="E52" s="466">
        <f>SUM(E9:E13,E14:E20,E25:E28,E32:E51,E24)</f>
        <v>193478462</v>
      </c>
      <c r="F52" s="466">
        <f>SUM(F9:F13,F14:F20,F25:F28,F32:F51,F24)</f>
        <v>569119704</v>
      </c>
      <c r="G52" s="466">
        <f>SUM(G9:G13,G14:G20,G24:G28,G32:G38,G39:G51,)</f>
        <v>2681329784</v>
      </c>
      <c r="H52" s="466" t="e">
        <f>SUM(H9:H13,H15:H20,H25:H28,H32:H38,H39:H51)</f>
        <v>#REF!</v>
      </c>
      <c r="I52" s="466">
        <f t="shared" ref="I52:M52" si="6">SUM(I9:I13,I14:I20,I25:I28,I32:I51,I24)</f>
        <v>641485645</v>
      </c>
      <c r="J52" s="466">
        <f t="shared" si="6"/>
        <v>529079194</v>
      </c>
      <c r="K52" s="466">
        <f t="shared" si="6"/>
        <v>1321453424</v>
      </c>
      <c r="L52" s="466">
        <f t="shared" si="6"/>
        <v>108486704</v>
      </c>
      <c r="M52" s="466">
        <f t="shared" si="6"/>
        <v>80824817</v>
      </c>
      <c r="N52" s="467">
        <f>SUM(N9:N13,N14:N20,N25:N28,N32:N51,N24,N23)</f>
        <v>2681329784</v>
      </c>
      <c r="O52" s="468">
        <f>N52-G52</f>
        <v>0</v>
      </c>
    </row>
    <row r="53" spans="1:15" x14ac:dyDescent="0.2">
      <c r="A53" s="469" t="s">
        <v>430</v>
      </c>
      <c r="B53" s="470"/>
      <c r="C53" s="471"/>
      <c r="D53" s="471"/>
      <c r="E53" s="471"/>
      <c r="F53" s="471"/>
      <c r="G53" s="440"/>
      <c r="H53" s="445"/>
      <c r="I53" s="472"/>
      <c r="J53" s="439"/>
      <c r="K53" s="473">
        <v>1321453424</v>
      </c>
      <c r="L53" s="471"/>
      <c r="M53" s="471"/>
      <c r="N53" s="474">
        <f>SUM(I53:M53)</f>
        <v>1321453424</v>
      </c>
      <c r="O53" s="468"/>
    </row>
    <row r="54" spans="1:15" ht="13.5" thickBot="1" x14ac:dyDescent="0.25">
      <c r="A54" s="475" t="s">
        <v>67</v>
      </c>
      <c r="B54" s="476">
        <f t="shared" ref="B54:N54" si="7">B52-B53</f>
        <v>1522298847</v>
      </c>
      <c r="C54" s="477">
        <f t="shared" si="7"/>
        <v>43774771</v>
      </c>
      <c r="D54" s="477">
        <f t="shared" si="7"/>
        <v>352658000</v>
      </c>
      <c r="E54" s="477">
        <f t="shared" si="7"/>
        <v>193478462</v>
      </c>
      <c r="F54" s="477">
        <f t="shared" si="7"/>
        <v>569119704</v>
      </c>
      <c r="G54" s="477">
        <f t="shared" si="7"/>
        <v>2681329784</v>
      </c>
      <c r="H54" s="478" t="e">
        <f t="shared" si="7"/>
        <v>#REF!</v>
      </c>
      <c r="I54" s="476">
        <f t="shared" si="7"/>
        <v>641485645</v>
      </c>
      <c r="J54" s="477">
        <f t="shared" si="7"/>
        <v>529079194</v>
      </c>
      <c r="K54" s="477">
        <f t="shared" si="7"/>
        <v>0</v>
      </c>
      <c r="L54" s="477">
        <f t="shared" si="7"/>
        <v>108486704</v>
      </c>
      <c r="M54" s="477">
        <f t="shared" si="7"/>
        <v>80824817</v>
      </c>
      <c r="N54" s="479">
        <f t="shared" si="7"/>
        <v>1359876360</v>
      </c>
      <c r="O54" s="468"/>
    </row>
    <row r="55" spans="1:15" x14ac:dyDescent="0.2">
      <c r="A55" s="480"/>
      <c r="B55" s="481"/>
      <c r="C55" s="481"/>
      <c r="D55" s="481"/>
      <c r="E55" s="481"/>
      <c r="F55" s="481"/>
      <c r="G55" s="482"/>
      <c r="H55" s="482"/>
      <c r="I55" s="483"/>
      <c r="J55" s="481"/>
      <c r="K55" s="484"/>
      <c r="L55" s="483"/>
      <c r="M55" s="483"/>
      <c r="N55" s="485"/>
    </row>
    <row r="56" spans="1:15" x14ac:dyDescent="0.2">
      <c r="A56" s="480"/>
      <c r="B56" s="481"/>
      <c r="C56" s="481"/>
      <c r="D56" s="481"/>
      <c r="E56" s="481"/>
      <c r="F56" s="481"/>
      <c r="G56" s="482"/>
      <c r="H56" s="482"/>
      <c r="I56" s="481"/>
      <c r="J56" s="481"/>
      <c r="K56" s="484"/>
      <c r="L56" s="483"/>
      <c r="M56" s="483"/>
      <c r="N56" s="485"/>
    </row>
    <row r="57" spans="1:15" x14ac:dyDescent="0.2">
      <c r="A57" s="480"/>
      <c r="B57" s="481"/>
      <c r="C57" s="481"/>
      <c r="D57" s="481"/>
      <c r="E57" s="481"/>
      <c r="F57" s="481"/>
      <c r="G57" s="482"/>
      <c r="H57" s="482"/>
      <c r="I57" s="486"/>
      <c r="J57" s="481"/>
      <c r="K57" s="485"/>
      <c r="L57" s="481"/>
      <c r="M57" s="481"/>
      <c r="N57" s="485"/>
    </row>
    <row r="58" spans="1:15" x14ac:dyDescent="0.2">
      <c r="A58" s="480"/>
      <c r="B58" s="481"/>
      <c r="C58" s="481"/>
      <c r="D58" s="481"/>
      <c r="E58" s="481"/>
      <c r="F58" s="481"/>
      <c r="G58" s="482"/>
      <c r="H58" s="482"/>
      <c r="I58" s="481"/>
      <c r="J58" s="481"/>
      <c r="K58" s="485"/>
      <c r="L58" s="481"/>
      <c r="M58" s="481"/>
      <c r="N58" s="485"/>
    </row>
    <row r="59" spans="1:15" x14ac:dyDescent="0.2">
      <c r="A59" s="480"/>
      <c r="B59" s="481"/>
      <c r="C59" s="481"/>
      <c r="D59" s="481"/>
      <c r="E59" s="481"/>
      <c r="F59" s="481"/>
      <c r="G59" s="482"/>
      <c r="H59" s="482"/>
      <c r="I59" s="481"/>
      <c r="J59" s="481"/>
      <c r="K59" s="485"/>
      <c r="L59" s="481"/>
      <c r="M59" s="481"/>
      <c r="N59" s="485"/>
    </row>
    <row r="60" spans="1:15" x14ac:dyDescent="0.2">
      <c r="A60" s="480"/>
      <c r="B60" s="481"/>
      <c r="C60" s="481"/>
      <c r="D60" s="481"/>
      <c r="E60" s="481"/>
      <c r="F60" s="481"/>
      <c r="G60" s="482"/>
      <c r="H60" s="482"/>
      <c r="I60" s="481"/>
      <c r="J60" s="481"/>
      <c r="K60" s="485"/>
      <c r="L60" s="481"/>
      <c r="M60" s="481"/>
      <c r="N60" s="485"/>
    </row>
    <row r="61" spans="1:15" x14ac:dyDescent="0.2">
      <c r="A61" s="480"/>
      <c r="B61" s="481"/>
      <c r="C61" s="481"/>
      <c r="D61" s="481"/>
      <c r="E61" s="481"/>
      <c r="F61" s="481"/>
      <c r="G61" s="482"/>
      <c r="H61" s="482"/>
      <c r="I61" s="481"/>
      <c r="J61" s="481"/>
      <c r="K61" s="485"/>
      <c r="L61" s="481"/>
      <c r="M61" s="481"/>
      <c r="N61" s="485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&amp;R25. melléklet a 4/2018.(III.29.)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topLeftCell="A89" zoomScaleNormal="100" zoomScaleSheetLayoutView="100" workbookViewId="0">
      <selection activeCell="G92" sqref="G92"/>
    </sheetView>
  </sheetViews>
  <sheetFormatPr defaultRowHeight="15.75" x14ac:dyDescent="0.25"/>
  <cols>
    <col min="1" max="1" width="9.5" style="197" customWidth="1"/>
    <col min="2" max="2" width="83.83203125" style="197" customWidth="1"/>
    <col min="3" max="3" width="21.6640625" style="198" customWidth="1"/>
    <col min="4" max="4" width="19.33203125" style="208" hidden="1" customWidth="1"/>
    <col min="5" max="5" width="15.83203125" style="208" hidden="1" customWidth="1"/>
    <col min="6" max="6" width="15.33203125" style="208" hidden="1" customWidth="1"/>
    <col min="7" max="16384" width="9.33203125" style="208"/>
  </cols>
  <sheetData>
    <row r="1" spans="1:6" ht="15.95" customHeight="1" x14ac:dyDescent="0.25">
      <c r="A1" s="940" t="s">
        <v>19</v>
      </c>
      <c r="B1" s="940"/>
      <c r="C1" s="940"/>
    </row>
    <row r="2" spans="1:6" ht="15.95" customHeight="1" thickBot="1" x14ac:dyDescent="0.3">
      <c r="A2" s="943"/>
      <c r="B2" s="943"/>
      <c r="C2" s="139" t="s">
        <v>571</v>
      </c>
    </row>
    <row r="3" spans="1:6" ht="38.1" customHeight="1" thickBot="1" x14ac:dyDescent="0.3">
      <c r="A3" s="22" t="s">
        <v>72</v>
      </c>
      <c r="B3" s="23" t="s">
        <v>21</v>
      </c>
      <c r="C3" s="30" t="s">
        <v>600</v>
      </c>
      <c r="D3" s="197" t="s">
        <v>578</v>
      </c>
      <c r="E3" s="197" t="s">
        <v>579</v>
      </c>
      <c r="F3" s="197" t="s">
        <v>580</v>
      </c>
    </row>
    <row r="4" spans="1:6" s="209" customFormat="1" ht="12" customHeight="1" thickBot="1" x14ac:dyDescent="0.25">
      <c r="A4" s="203" t="s">
        <v>446</v>
      </c>
      <c r="B4" s="204" t="s">
        <v>447</v>
      </c>
      <c r="C4" s="205" t="s">
        <v>448</v>
      </c>
    </row>
    <row r="5" spans="1:6" s="210" customFormat="1" ht="12" customHeight="1" thickBot="1" x14ac:dyDescent="0.25">
      <c r="A5" s="19" t="s">
        <v>22</v>
      </c>
      <c r="B5" s="20" t="s">
        <v>192</v>
      </c>
      <c r="C5" s="135">
        <f t="shared" ref="C5:C68" si="0">SUM(D5:F5)</f>
        <v>195828813</v>
      </c>
      <c r="D5" s="307">
        <f>+D6+D7+D8+D9+D10+D11</f>
        <v>195828813</v>
      </c>
      <c r="E5" s="130">
        <f>+E6+E7+E8+E9+E10+E11</f>
        <v>0</v>
      </c>
      <c r="F5" s="130">
        <f>+F6+F7+F8+F9+F10+F11</f>
        <v>0</v>
      </c>
    </row>
    <row r="6" spans="1:6" s="210" customFormat="1" ht="12" customHeight="1" x14ac:dyDescent="0.2">
      <c r="A6" s="14" t="s">
        <v>100</v>
      </c>
      <c r="B6" s="211" t="s">
        <v>193</v>
      </c>
      <c r="C6" s="362">
        <f t="shared" si="0"/>
        <v>0</v>
      </c>
      <c r="D6" s="309"/>
      <c r="E6" s="249"/>
      <c r="F6" s="132"/>
    </row>
    <row r="7" spans="1:6" s="210" customFormat="1" ht="12" customHeight="1" x14ac:dyDescent="0.2">
      <c r="A7" s="13" t="s">
        <v>101</v>
      </c>
      <c r="B7" s="212" t="s">
        <v>194</v>
      </c>
      <c r="C7" s="363">
        <f t="shared" si="0"/>
        <v>0</v>
      </c>
      <c r="D7" s="115"/>
      <c r="E7" s="134"/>
      <c r="F7" s="131"/>
    </row>
    <row r="8" spans="1:6" s="210" customFormat="1" ht="12" customHeight="1" x14ac:dyDescent="0.2">
      <c r="A8" s="13" t="s">
        <v>102</v>
      </c>
      <c r="B8" s="212" t="s">
        <v>562</v>
      </c>
      <c r="C8" s="363">
        <f t="shared" si="0"/>
        <v>119410000</v>
      </c>
      <c r="D8" s="115">
        <v>119410000</v>
      </c>
      <c r="E8" s="134"/>
      <c r="F8" s="131"/>
    </row>
    <row r="9" spans="1:6" s="210" customFormat="1" ht="12" customHeight="1" x14ac:dyDescent="0.2">
      <c r="A9" s="13" t="s">
        <v>103</v>
      </c>
      <c r="B9" s="212" t="s">
        <v>196</v>
      </c>
      <c r="C9" s="363">
        <f t="shared" si="0"/>
        <v>12622000</v>
      </c>
      <c r="D9" s="115">
        <v>12622000</v>
      </c>
      <c r="E9" s="134"/>
      <c r="F9" s="131"/>
    </row>
    <row r="10" spans="1:6" s="210" customFormat="1" ht="12" customHeight="1" x14ac:dyDescent="0.2">
      <c r="A10" s="13" t="s">
        <v>124</v>
      </c>
      <c r="B10" s="126" t="s">
        <v>449</v>
      </c>
      <c r="C10" s="363">
        <f t="shared" si="0"/>
        <v>63796813</v>
      </c>
      <c r="D10" s="285">
        <v>63796813</v>
      </c>
      <c r="E10" s="134"/>
      <c r="F10" s="134"/>
    </row>
    <row r="11" spans="1:6" s="210" customFormat="1" ht="12" customHeight="1" thickBot="1" x14ac:dyDescent="0.25">
      <c r="A11" s="15" t="s">
        <v>104</v>
      </c>
      <c r="B11" s="127" t="s">
        <v>450</v>
      </c>
      <c r="C11" s="364">
        <f t="shared" si="0"/>
        <v>0</v>
      </c>
      <c r="D11" s="115"/>
      <c r="E11" s="131"/>
      <c r="F11" s="131"/>
    </row>
    <row r="12" spans="1:6" s="210" customFormat="1" ht="12" customHeight="1" thickBot="1" x14ac:dyDescent="0.25">
      <c r="A12" s="19" t="s">
        <v>23</v>
      </c>
      <c r="B12" s="125" t="s">
        <v>197</v>
      </c>
      <c r="C12" s="135">
        <f t="shared" si="0"/>
        <v>149299645</v>
      </c>
      <c r="D12" s="307">
        <f>+D13+D14+D15+D16+D17</f>
        <v>129787110</v>
      </c>
      <c r="E12" s="130">
        <f>+E13+E14+E15+E16+E17</f>
        <v>0</v>
      </c>
      <c r="F12" s="130">
        <f>+F13+F14+F15+F16+F17</f>
        <v>19512535</v>
      </c>
    </row>
    <row r="13" spans="1:6" s="210" customFormat="1" ht="12" customHeight="1" x14ac:dyDescent="0.2">
      <c r="A13" s="14" t="s">
        <v>106</v>
      </c>
      <c r="B13" s="211" t="s">
        <v>198</v>
      </c>
      <c r="C13" s="362">
        <f t="shared" si="0"/>
        <v>0</v>
      </c>
      <c r="D13" s="309"/>
      <c r="E13" s="132"/>
      <c r="F13" s="132"/>
    </row>
    <row r="14" spans="1:6" s="210" customFormat="1" ht="12" customHeight="1" x14ac:dyDescent="0.2">
      <c r="A14" s="13" t="s">
        <v>107</v>
      </c>
      <c r="B14" s="212" t="s">
        <v>199</v>
      </c>
      <c r="C14" s="363">
        <f t="shared" si="0"/>
        <v>0</v>
      </c>
      <c r="D14" s="115"/>
      <c r="E14" s="131"/>
      <c r="F14" s="131"/>
    </row>
    <row r="15" spans="1:6" s="210" customFormat="1" ht="12" customHeight="1" x14ac:dyDescent="0.2">
      <c r="A15" s="13" t="s">
        <v>108</v>
      </c>
      <c r="B15" s="212" t="s">
        <v>368</v>
      </c>
      <c r="C15" s="363">
        <f t="shared" si="0"/>
        <v>0</v>
      </c>
      <c r="D15" s="115"/>
      <c r="E15" s="131"/>
      <c r="F15" s="131"/>
    </row>
    <row r="16" spans="1:6" s="210" customFormat="1" ht="12" customHeight="1" x14ac:dyDescent="0.2">
      <c r="A16" s="13" t="s">
        <v>109</v>
      </c>
      <c r="B16" s="212" t="s">
        <v>369</v>
      </c>
      <c r="C16" s="363">
        <f t="shared" si="0"/>
        <v>0</v>
      </c>
      <c r="D16" s="115"/>
      <c r="E16" s="131"/>
      <c r="F16" s="131"/>
    </row>
    <row r="17" spans="1:6" s="210" customFormat="1" ht="12" customHeight="1" x14ac:dyDescent="0.2">
      <c r="A17" s="13" t="s">
        <v>110</v>
      </c>
      <c r="B17" s="212" t="s">
        <v>200</v>
      </c>
      <c r="C17" s="363">
        <f t="shared" si="0"/>
        <v>149299645</v>
      </c>
      <c r="D17" s="285">
        <f>3900000+125887110</f>
        <v>129787110</v>
      </c>
      <c r="E17" s="287"/>
      <c r="F17" s="134">
        <v>19512535</v>
      </c>
    </row>
    <row r="18" spans="1:6" s="210" customFormat="1" ht="12" customHeight="1" thickBot="1" x14ac:dyDescent="0.25">
      <c r="A18" s="15" t="s">
        <v>119</v>
      </c>
      <c r="B18" s="127" t="s">
        <v>201</v>
      </c>
      <c r="C18" s="364">
        <f t="shared" si="0"/>
        <v>399535</v>
      </c>
      <c r="D18" s="289"/>
      <c r="E18" s="200"/>
      <c r="F18" s="200">
        <v>399535</v>
      </c>
    </row>
    <row r="19" spans="1:6" s="210" customFormat="1" ht="12" customHeight="1" thickBot="1" x14ac:dyDescent="0.25">
      <c r="A19" s="19" t="s">
        <v>24</v>
      </c>
      <c r="B19" s="20" t="s">
        <v>202</v>
      </c>
      <c r="C19" s="286">
        <f t="shared" si="0"/>
        <v>0</v>
      </c>
      <c r="D19" s="307">
        <f>+D20+D21+D22+D23+D24</f>
        <v>0</v>
      </c>
      <c r="E19" s="130">
        <f>+E20+E21+E22+E23+E24</f>
        <v>0</v>
      </c>
      <c r="F19" s="130">
        <f>+F20+F21+F22+F23+F24</f>
        <v>0</v>
      </c>
    </row>
    <row r="20" spans="1:6" s="210" customFormat="1" ht="12" customHeight="1" x14ac:dyDescent="0.2">
      <c r="A20" s="14" t="s">
        <v>89</v>
      </c>
      <c r="B20" s="211" t="s">
        <v>203</v>
      </c>
      <c r="C20" s="362">
        <f t="shared" si="0"/>
        <v>0</v>
      </c>
      <c r="D20" s="309"/>
      <c r="E20" s="284"/>
      <c r="F20" s="132"/>
    </row>
    <row r="21" spans="1:6" s="210" customFormat="1" ht="12" customHeight="1" x14ac:dyDescent="0.2">
      <c r="A21" s="13" t="s">
        <v>90</v>
      </c>
      <c r="B21" s="212" t="s">
        <v>204</v>
      </c>
      <c r="C21" s="363">
        <f t="shared" si="0"/>
        <v>0</v>
      </c>
      <c r="D21" s="115"/>
      <c r="E21" s="134"/>
      <c r="F21" s="131"/>
    </row>
    <row r="22" spans="1:6" s="210" customFormat="1" ht="12" customHeight="1" x14ac:dyDescent="0.2">
      <c r="A22" s="13" t="s">
        <v>91</v>
      </c>
      <c r="B22" s="212" t="s">
        <v>370</v>
      </c>
      <c r="C22" s="363">
        <f t="shared" si="0"/>
        <v>0</v>
      </c>
      <c r="D22" s="115"/>
      <c r="E22" s="134"/>
      <c r="F22" s="131"/>
    </row>
    <row r="23" spans="1:6" s="210" customFormat="1" ht="12" customHeight="1" x14ac:dyDescent="0.2">
      <c r="A23" s="13" t="s">
        <v>92</v>
      </c>
      <c r="B23" s="212" t="s">
        <v>371</v>
      </c>
      <c r="C23" s="363">
        <f t="shared" si="0"/>
        <v>0</v>
      </c>
      <c r="D23" s="115"/>
      <c r="E23" s="134"/>
      <c r="F23" s="131"/>
    </row>
    <row r="24" spans="1:6" s="210" customFormat="1" ht="12" customHeight="1" x14ac:dyDescent="0.2">
      <c r="A24" s="13" t="s">
        <v>135</v>
      </c>
      <c r="B24" s="212" t="s">
        <v>205</v>
      </c>
      <c r="C24" s="363">
        <f t="shared" si="0"/>
        <v>0</v>
      </c>
      <c r="D24" s="285"/>
      <c r="E24" s="134"/>
      <c r="F24" s="134"/>
    </row>
    <row r="25" spans="1:6" s="210" customFormat="1" ht="12" customHeight="1" thickBot="1" x14ac:dyDescent="0.25">
      <c r="A25" s="15" t="s">
        <v>136</v>
      </c>
      <c r="B25" s="213" t="s">
        <v>206</v>
      </c>
      <c r="C25" s="364">
        <f t="shared" si="0"/>
        <v>0</v>
      </c>
      <c r="D25" s="289"/>
      <c r="E25" s="200"/>
      <c r="F25" s="200"/>
    </row>
    <row r="26" spans="1:6" s="210" customFormat="1" ht="12" customHeight="1" thickBot="1" x14ac:dyDescent="0.25">
      <c r="A26" s="19" t="s">
        <v>137</v>
      </c>
      <c r="B26" s="20" t="s">
        <v>207</v>
      </c>
      <c r="C26" s="286">
        <f t="shared" si="0"/>
        <v>0</v>
      </c>
      <c r="D26" s="310">
        <f>+D27+D31+D32+D33</f>
        <v>0</v>
      </c>
      <c r="E26" s="135">
        <f>+E27+E31+E32+E33</f>
        <v>0</v>
      </c>
      <c r="F26" s="135">
        <f>+F27+F31+F32+F33</f>
        <v>0</v>
      </c>
    </row>
    <row r="27" spans="1:6" s="210" customFormat="1" ht="12" customHeight="1" x14ac:dyDescent="0.2">
      <c r="A27" s="14" t="s">
        <v>208</v>
      </c>
      <c r="B27" s="211" t="s">
        <v>451</v>
      </c>
      <c r="C27" s="362">
        <f t="shared" si="0"/>
        <v>0</v>
      </c>
      <c r="D27" s="354">
        <f>+D28+D29+D30</f>
        <v>0</v>
      </c>
      <c r="E27" s="206"/>
      <c r="F27" s="206">
        <f>+F28+F29+F30</f>
        <v>0</v>
      </c>
    </row>
    <row r="28" spans="1:6" s="210" customFormat="1" ht="12" customHeight="1" x14ac:dyDescent="0.2">
      <c r="A28" s="13" t="s">
        <v>209</v>
      </c>
      <c r="B28" s="212" t="s">
        <v>214</v>
      </c>
      <c r="C28" s="363">
        <f t="shared" si="0"/>
        <v>0</v>
      </c>
      <c r="D28" s="115"/>
      <c r="E28" s="131"/>
      <c r="F28" s="131"/>
    </row>
    <row r="29" spans="1:6" s="210" customFormat="1" ht="12" customHeight="1" x14ac:dyDescent="0.2">
      <c r="A29" s="13" t="s">
        <v>210</v>
      </c>
      <c r="B29" s="212" t="s">
        <v>215</v>
      </c>
      <c r="C29" s="363">
        <f t="shared" si="0"/>
        <v>0</v>
      </c>
      <c r="D29" s="115"/>
      <c r="E29" s="131"/>
      <c r="F29" s="131"/>
    </row>
    <row r="30" spans="1:6" s="210" customFormat="1" ht="12" customHeight="1" x14ac:dyDescent="0.2">
      <c r="A30" s="13" t="s">
        <v>452</v>
      </c>
      <c r="B30" s="269" t="s">
        <v>453</v>
      </c>
      <c r="C30" s="363">
        <f t="shared" si="0"/>
        <v>0</v>
      </c>
      <c r="D30" s="115"/>
      <c r="E30" s="134"/>
      <c r="F30" s="131"/>
    </row>
    <row r="31" spans="1:6" s="210" customFormat="1" ht="12" customHeight="1" x14ac:dyDescent="0.2">
      <c r="A31" s="13" t="s">
        <v>211</v>
      </c>
      <c r="B31" s="212" t="s">
        <v>216</v>
      </c>
      <c r="C31" s="363">
        <f t="shared" si="0"/>
        <v>0</v>
      </c>
      <c r="D31" s="115"/>
      <c r="E31" s="131"/>
      <c r="F31" s="131"/>
    </row>
    <row r="32" spans="1:6" s="210" customFormat="1" ht="12" customHeight="1" x14ac:dyDescent="0.2">
      <c r="A32" s="13" t="s">
        <v>212</v>
      </c>
      <c r="B32" s="212" t="s">
        <v>217</v>
      </c>
      <c r="C32" s="363">
        <f t="shared" si="0"/>
        <v>0</v>
      </c>
      <c r="D32" s="115"/>
      <c r="E32" s="131"/>
      <c r="F32" s="131"/>
    </row>
    <row r="33" spans="1:6" s="210" customFormat="1" ht="12" customHeight="1" thickBot="1" x14ac:dyDescent="0.25">
      <c r="A33" s="15" t="s">
        <v>213</v>
      </c>
      <c r="B33" s="213" t="s">
        <v>218</v>
      </c>
      <c r="C33" s="364">
        <f t="shared" si="0"/>
        <v>0</v>
      </c>
      <c r="D33" s="116"/>
      <c r="E33" s="200"/>
      <c r="F33" s="133"/>
    </row>
    <row r="34" spans="1:6" s="210" customFormat="1" ht="12" customHeight="1" thickBot="1" x14ac:dyDescent="0.25">
      <c r="A34" s="19" t="s">
        <v>26</v>
      </c>
      <c r="B34" s="20" t="s">
        <v>454</v>
      </c>
      <c r="C34" s="135">
        <f t="shared" si="0"/>
        <v>195061386</v>
      </c>
      <c r="D34" s="307">
        <f>SUM(D35:D45)</f>
        <v>15502000</v>
      </c>
      <c r="E34" s="130">
        <f>SUM(E35:E45)</f>
        <v>635000</v>
      </c>
      <c r="F34" s="130">
        <f>SUM(F35:F45)</f>
        <v>178924386</v>
      </c>
    </row>
    <row r="35" spans="1:6" s="210" customFormat="1" ht="12" customHeight="1" x14ac:dyDescent="0.2">
      <c r="A35" s="14" t="s">
        <v>93</v>
      </c>
      <c r="B35" s="211" t="s">
        <v>221</v>
      </c>
      <c r="C35" s="362">
        <f t="shared" si="0"/>
        <v>12159000</v>
      </c>
      <c r="D35" s="309">
        <v>12159000</v>
      </c>
      <c r="E35" s="249"/>
      <c r="F35" s="132"/>
    </row>
    <row r="36" spans="1:6" s="210" customFormat="1" ht="12" customHeight="1" x14ac:dyDescent="0.2">
      <c r="A36" s="13" t="s">
        <v>94</v>
      </c>
      <c r="B36" s="212" t="s">
        <v>222</v>
      </c>
      <c r="C36" s="363">
        <f t="shared" si="0"/>
        <v>6296728</v>
      </c>
      <c r="D36" s="285"/>
      <c r="E36" s="134">
        <v>500000</v>
      </c>
      <c r="F36" s="132">
        <v>5796728</v>
      </c>
    </row>
    <row r="37" spans="1:6" s="210" customFormat="1" ht="12" customHeight="1" x14ac:dyDescent="0.2">
      <c r="A37" s="13" t="s">
        <v>95</v>
      </c>
      <c r="B37" s="212" t="s">
        <v>223</v>
      </c>
      <c r="C37" s="363">
        <f t="shared" si="0"/>
        <v>12700000</v>
      </c>
      <c r="D37" s="285"/>
      <c r="E37" s="134"/>
      <c r="F37" s="132">
        <v>12700000</v>
      </c>
    </row>
    <row r="38" spans="1:6" s="210" customFormat="1" ht="12" customHeight="1" x14ac:dyDescent="0.2">
      <c r="A38" s="13" t="s">
        <v>139</v>
      </c>
      <c r="B38" s="212" t="s">
        <v>224</v>
      </c>
      <c r="C38" s="363">
        <f t="shared" si="0"/>
        <v>0</v>
      </c>
      <c r="D38" s="115"/>
      <c r="E38" s="134"/>
      <c r="F38" s="132"/>
    </row>
    <row r="39" spans="1:6" s="210" customFormat="1" ht="12" customHeight="1" x14ac:dyDescent="0.2">
      <c r="A39" s="13" t="s">
        <v>140</v>
      </c>
      <c r="B39" s="212" t="s">
        <v>225</v>
      </c>
      <c r="C39" s="363">
        <f t="shared" si="0"/>
        <v>157919035</v>
      </c>
      <c r="D39" s="115"/>
      <c r="E39" s="134"/>
      <c r="F39" s="132">
        <v>157919035</v>
      </c>
    </row>
    <row r="40" spans="1:6" s="210" customFormat="1" ht="12" customHeight="1" x14ac:dyDescent="0.2">
      <c r="A40" s="13" t="s">
        <v>141</v>
      </c>
      <c r="B40" s="212" t="s">
        <v>226</v>
      </c>
      <c r="C40" s="363">
        <f t="shared" si="0"/>
        <v>5926623</v>
      </c>
      <c r="D40" s="115">
        <v>3283000</v>
      </c>
      <c r="E40" s="134">
        <v>135000</v>
      </c>
      <c r="F40" s="132">
        <v>2508623</v>
      </c>
    </row>
    <row r="41" spans="1:6" s="210" customFormat="1" ht="12" customHeight="1" x14ac:dyDescent="0.2">
      <c r="A41" s="13" t="s">
        <v>142</v>
      </c>
      <c r="B41" s="212" t="s">
        <v>227</v>
      </c>
      <c r="C41" s="363">
        <f t="shared" si="0"/>
        <v>0</v>
      </c>
      <c r="D41" s="115"/>
      <c r="E41" s="134"/>
      <c r="F41" s="132"/>
    </row>
    <row r="42" spans="1:6" s="210" customFormat="1" ht="12" customHeight="1" x14ac:dyDescent="0.2">
      <c r="A42" s="13" t="s">
        <v>143</v>
      </c>
      <c r="B42" s="212" t="s">
        <v>559</v>
      </c>
      <c r="C42" s="363">
        <f t="shared" si="0"/>
        <v>0</v>
      </c>
      <c r="D42" s="115"/>
      <c r="E42" s="134"/>
      <c r="F42" s="134"/>
    </row>
    <row r="43" spans="1:6" s="210" customFormat="1" ht="12" customHeight="1" x14ac:dyDescent="0.2">
      <c r="A43" s="13" t="s">
        <v>219</v>
      </c>
      <c r="B43" s="212" t="s">
        <v>229</v>
      </c>
      <c r="C43" s="363">
        <f t="shared" si="0"/>
        <v>0</v>
      </c>
      <c r="D43" s="285"/>
      <c r="E43" s="134"/>
      <c r="F43" s="134"/>
    </row>
    <row r="44" spans="1:6" s="210" customFormat="1" ht="12" customHeight="1" x14ac:dyDescent="0.2">
      <c r="A44" s="15" t="s">
        <v>220</v>
      </c>
      <c r="B44" s="213" t="s">
        <v>455</v>
      </c>
      <c r="C44" s="363">
        <f t="shared" si="0"/>
        <v>0</v>
      </c>
      <c r="D44" s="289"/>
      <c r="E44" s="200"/>
      <c r="F44" s="200"/>
    </row>
    <row r="45" spans="1:6" s="210" customFormat="1" ht="12" customHeight="1" thickBot="1" x14ac:dyDescent="0.25">
      <c r="A45" s="15" t="s">
        <v>456</v>
      </c>
      <c r="B45" s="127" t="s">
        <v>230</v>
      </c>
      <c r="C45" s="364">
        <f t="shared" si="0"/>
        <v>60000</v>
      </c>
      <c r="D45" s="289">
        <v>60000</v>
      </c>
      <c r="E45" s="200"/>
      <c r="F45" s="200"/>
    </row>
    <row r="46" spans="1:6" s="210" customFormat="1" ht="12" customHeight="1" thickBot="1" x14ac:dyDescent="0.25">
      <c r="A46" s="19" t="s">
        <v>27</v>
      </c>
      <c r="B46" s="20" t="s">
        <v>231</v>
      </c>
      <c r="C46" s="135">
        <f t="shared" si="0"/>
        <v>0</v>
      </c>
      <c r="D46" s="307">
        <f>SUM(D47:D51)</f>
        <v>0</v>
      </c>
      <c r="E46" s="130">
        <f>SUM(E47:E51)</f>
        <v>0</v>
      </c>
      <c r="F46" s="130">
        <f>SUM(F47:F51)</f>
        <v>0</v>
      </c>
    </row>
    <row r="47" spans="1:6" s="210" customFormat="1" ht="12" customHeight="1" x14ac:dyDescent="0.2">
      <c r="A47" s="14" t="s">
        <v>96</v>
      </c>
      <c r="B47" s="211" t="s">
        <v>235</v>
      </c>
      <c r="C47" s="362">
        <f t="shared" si="0"/>
        <v>0</v>
      </c>
      <c r="D47" s="313"/>
      <c r="E47" s="249"/>
      <c r="F47" s="249"/>
    </row>
    <row r="48" spans="1:6" s="210" customFormat="1" ht="12" customHeight="1" x14ac:dyDescent="0.2">
      <c r="A48" s="13" t="s">
        <v>97</v>
      </c>
      <c r="B48" s="212" t="s">
        <v>236</v>
      </c>
      <c r="C48" s="363">
        <f t="shared" si="0"/>
        <v>0</v>
      </c>
      <c r="D48" s="285"/>
      <c r="E48" s="134"/>
      <c r="F48" s="134"/>
    </row>
    <row r="49" spans="1:6" s="210" customFormat="1" ht="12" customHeight="1" x14ac:dyDescent="0.2">
      <c r="A49" s="13" t="s">
        <v>232</v>
      </c>
      <c r="B49" s="212" t="s">
        <v>237</v>
      </c>
      <c r="C49" s="363">
        <f t="shared" si="0"/>
        <v>0</v>
      </c>
      <c r="D49" s="285"/>
      <c r="E49" s="134"/>
      <c r="F49" s="134"/>
    </row>
    <row r="50" spans="1:6" s="210" customFormat="1" ht="12" customHeight="1" x14ac:dyDescent="0.2">
      <c r="A50" s="13" t="s">
        <v>233</v>
      </c>
      <c r="B50" s="212" t="s">
        <v>238</v>
      </c>
      <c r="C50" s="363">
        <f t="shared" si="0"/>
        <v>0</v>
      </c>
      <c r="D50" s="285"/>
      <c r="E50" s="134"/>
      <c r="F50" s="134"/>
    </row>
    <row r="51" spans="1:6" s="210" customFormat="1" ht="12" customHeight="1" thickBot="1" x14ac:dyDescent="0.25">
      <c r="A51" s="15" t="s">
        <v>234</v>
      </c>
      <c r="B51" s="127" t="s">
        <v>239</v>
      </c>
      <c r="C51" s="364">
        <f t="shared" si="0"/>
        <v>0</v>
      </c>
      <c r="D51" s="289"/>
      <c r="E51" s="200"/>
      <c r="F51" s="200"/>
    </row>
    <row r="52" spans="1:6" s="210" customFormat="1" ht="12" customHeight="1" thickBot="1" x14ac:dyDescent="0.25">
      <c r="A52" s="19" t="s">
        <v>144</v>
      </c>
      <c r="B52" s="20" t="s">
        <v>240</v>
      </c>
      <c r="C52" s="135">
        <f t="shared" si="0"/>
        <v>1866000</v>
      </c>
      <c r="D52" s="307">
        <f>SUM(D53:D55)</f>
        <v>1866000</v>
      </c>
      <c r="E52" s="130">
        <f>SUM(E53:E55)</f>
        <v>0</v>
      </c>
      <c r="F52" s="130">
        <f>SUM(F53:F55)</f>
        <v>0</v>
      </c>
    </row>
    <row r="53" spans="1:6" s="210" customFormat="1" ht="12" customHeight="1" x14ac:dyDescent="0.2">
      <c r="A53" s="14" t="s">
        <v>98</v>
      </c>
      <c r="B53" s="211" t="s">
        <v>241</v>
      </c>
      <c r="C53" s="362">
        <f t="shared" si="0"/>
        <v>0</v>
      </c>
      <c r="D53" s="309"/>
      <c r="E53" s="132"/>
      <c r="F53" s="132"/>
    </row>
    <row r="54" spans="1:6" s="210" customFormat="1" ht="12" customHeight="1" x14ac:dyDescent="0.2">
      <c r="A54" s="13" t="s">
        <v>99</v>
      </c>
      <c r="B54" s="212" t="s">
        <v>372</v>
      </c>
      <c r="C54" s="363">
        <f t="shared" si="0"/>
        <v>1866000</v>
      </c>
      <c r="D54" s="285">
        <f>300000+1566000</f>
        <v>1866000</v>
      </c>
      <c r="E54" s="134"/>
      <c r="F54" s="134"/>
    </row>
    <row r="55" spans="1:6" s="210" customFormat="1" ht="12" customHeight="1" x14ac:dyDescent="0.2">
      <c r="A55" s="13" t="s">
        <v>244</v>
      </c>
      <c r="B55" s="212" t="s">
        <v>242</v>
      </c>
      <c r="C55" s="363">
        <f t="shared" si="0"/>
        <v>0</v>
      </c>
      <c r="D55" s="285"/>
      <c r="E55" s="134"/>
      <c r="F55" s="134"/>
    </row>
    <row r="56" spans="1:6" s="210" customFormat="1" ht="12" customHeight="1" thickBot="1" x14ac:dyDescent="0.25">
      <c r="A56" s="15" t="s">
        <v>245</v>
      </c>
      <c r="B56" s="127" t="s">
        <v>243</v>
      </c>
      <c r="C56" s="364">
        <f t="shared" si="0"/>
        <v>0</v>
      </c>
      <c r="D56" s="116"/>
      <c r="E56" s="133"/>
      <c r="F56" s="133"/>
    </row>
    <row r="57" spans="1:6" s="210" customFormat="1" ht="12" customHeight="1" thickBot="1" x14ac:dyDescent="0.25">
      <c r="A57" s="19" t="s">
        <v>29</v>
      </c>
      <c r="B57" s="125" t="s">
        <v>246</v>
      </c>
      <c r="C57" s="135">
        <f t="shared" si="0"/>
        <v>0</v>
      </c>
      <c r="D57" s="307">
        <f>SUM(D58:D60)</f>
        <v>0</v>
      </c>
      <c r="E57" s="130">
        <f>SUM(E58:E60)</f>
        <v>0</v>
      </c>
      <c r="F57" s="130">
        <f>SUM(F58:F60)</f>
        <v>0</v>
      </c>
    </row>
    <row r="58" spans="1:6" s="210" customFormat="1" ht="12" customHeight="1" x14ac:dyDescent="0.2">
      <c r="A58" s="14" t="s">
        <v>145</v>
      </c>
      <c r="B58" s="211" t="s">
        <v>248</v>
      </c>
      <c r="C58" s="362">
        <f t="shared" si="0"/>
        <v>0</v>
      </c>
      <c r="D58" s="285"/>
      <c r="E58" s="134"/>
      <c r="F58" s="134"/>
    </row>
    <row r="59" spans="1:6" s="210" customFormat="1" ht="12" customHeight="1" x14ac:dyDescent="0.2">
      <c r="A59" s="13" t="s">
        <v>146</v>
      </c>
      <c r="B59" s="212" t="s">
        <v>373</v>
      </c>
      <c r="C59" s="363">
        <f t="shared" si="0"/>
        <v>0</v>
      </c>
      <c r="D59" s="285"/>
      <c r="E59" s="134"/>
      <c r="F59" s="134"/>
    </row>
    <row r="60" spans="1:6" s="210" customFormat="1" ht="12" customHeight="1" x14ac:dyDescent="0.2">
      <c r="A60" s="13" t="s">
        <v>171</v>
      </c>
      <c r="B60" s="212" t="s">
        <v>249</v>
      </c>
      <c r="C60" s="363">
        <f t="shared" si="0"/>
        <v>0</v>
      </c>
      <c r="D60" s="285"/>
      <c r="E60" s="134"/>
      <c r="F60" s="134"/>
    </row>
    <row r="61" spans="1:6" s="210" customFormat="1" ht="12" customHeight="1" thickBot="1" x14ac:dyDescent="0.25">
      <c r="A61" s="15" t="s">
        <v>247</v>
      </c>
      <c r="B61" s="127" t="s">
        <v>250</v>
      </c>
      <c r="C61" s="364">
        <f t="shared" si="0"/>
        <v>0</v>
      </c>
      <c r="D61" s="285"/>
      <c r="E61" s="134"/>
      <c r="F61" s="134"/>
    </row>
    <row r="62" spans="1:6" s="210" customFormat="1" ht="12" customHeight="1" thickBot="1" x14ac:dyDescent="0.25">
      <c r="A62" s="270" t="s">
        <v>457</v>
      </c>
      <c r="B62" s="20" t="s">
        <v>251</v>
      </c>
      <c r="C62" s="135">
        <f t="shared" si="0"/>
        <v>542055844</v>
      </c>
      <c r="D62" s="310">
        <f>+D5+D12+D19+D26+D34+D46+D52+D57</f>
        <v>342983923</v>
      </c>
      <c r="E62" s="135">
        <f>+E5+E12+E19+E26+E34+E46+E52+E57</f>
        <v>635000</v>
      </c>
      <c r="F62" s="135">
        <f>+F5+F12+F19+F26+F34+F46+F52+F57</f>
        <v>198436921</v>
      </c>
    </row>
    <row r="63" spans="1:6" s="210" customFormat="1" ht="12" customHeight="1" thickBot="1" x14ac:dyDescent="0.25">
      <c r="A63" s="271" t="s">
        <v>252</v>
      </c>
      <c r="B63" s="125" t="s">
        <v>253</v>
      </c>
      <c r="C63" s="135">
        <f t="shared" si="0"/>
        <v>0</v>
      </c>
      <c r="D63" s="307">
        <f>SUM(D64:D66)</f>
        <v>0</v>
      </c>
      <c r="E63" s="130">
        <f>SUM(E64:E66)</f>
        <v>0</v>
      </c>
      <c r="F63" s="286">
        <f>SUM(F64:F66)</f>
        <v>0</v>
      </c>
    </row>
    <row r="64" spans="1:6" s="210" customFormat="1" ht="12" customHeight="1" x14ac:dyDescent="0.2">
      <c r="A64" s="14" t="s">
        <v>284</v>
      </c>
      <c r="B64" s="211" t="s">
        <v>254</v>
      </c>
      <c r="C64" s="362">
        <f t="shared" si="0"/>
        <v>0</v>
      </c>
      <c r="D64" s="290"/>
      <c r="E64" s="134"/>
      <c r="F64" s="134">
        <v>0</v>
      </c>
    </row>
    <row r="65" spans="1:6" s="210" customFormat="1" ht="12" customHeight="1" x14ac:dyDescent="0.2">
      <c r="A65" s="13" t="s">
        <v>293</v>
      </c>
      <c r="B65" s="212" t="s">
        <v>255</v>
      </c>
      <c r="C65" s="363">
        <f t="shared" si="0"/>
        <v>0</v>
      </c>
      <c r="D65" s="285"/>
      <c r="E65" s="134"/>
      <c r="F65" s="134"/>
    </row>
    <row r="66" spans="1:6" s="210" customFormat="1" ht="12" customHeight="1" thickBot="1" x14ac:dyDescent="0.25">
      <c r="A66" s="15" t="s">
        <v>294</v>
      </c>
      <c r="B66" s="272" t="s">
        <v>458</v>
      </c>
      <c r="C66" s="364">
        <f t="shared" si="0"/>
        <v>0</v>
      </c>
      <c r="D66" s="285"/>
      <c r="E66" s="134"/>
      <c r="F66" s="134"/>
    </row>
    <row r="67" spans="1:6" s="210" customFormat="1" ht="12" customHeight="1" thickBot="1" x14ac:dyDescent="0.25">
      <c r="A67" s="271" t="s">
        <v>257</v>
      </c>
      <c r="B67" s="125" t="s">
        <v>258</v>
      </c>
      <c r="C67" s="286">
        <f t="shared" si="0"/>
        <v>0</v>
      </c>
      <c r="D67" s="307">
        <f>SUM(D68:D71)</f>
        <v>0</v>
      </c>
      <c r="E67" s="130">
        <f>SUM(E68:E71)</f>
        <v>0</v>
      </c>
      <c r="F67" s="130">
        <f>SUM(F68:F71)</f>
        <v>0</v>
      </c>
    </row>
    <row r="68" spans="1:6" s="210" customFormat="1" ht="12" customHeight="1" x14ac:dyDescent="0.2">
      <c r="A68" s="14" t="s">
        <v>125</v>
      </c>
      <c r="B68" s="211" t="s">
        <v>259</v>
      </c>
      <c r="C68" s="362">
        <f t="shared" si="0"/>
        <v>0</v>
      </c>
      <c r="D68" s="285"/>
      <c r="E68" s="134"/>
      <c r="F68" s="134"/>
    </row>
    <row r="69" spans="1:6" s="210" customFormat="1" ht="12" customHeight="1" x14ac:dyDescent="0.2">
      <c r="A69" s="13" t="s">
        <v>126</v>
      </c>
      <c r="B69" s="212" t="s">
        <v>260</v>
      </c>
      <c r="C69" s="363">
        <f t="shared" ref="C69:C87" si="1">SUM(D69:F69)</f>
        <v>0</v>
      </c>
      <c r="D69" s="285"/>
      <c r="E69" s="134"/>
      <c r="F69" s="134"/>
    </row>
    <row r="70" spans="1:6" s="210" customFormat="1" ht="12" customHeight="1" x14ac:dyDescent="0.2">
      <c r="A70" s="13" t="s">
        <v>285</v>
      </c>
      <c r="B70" s="212" t="s">
        <v>261</v>
      </c>
      <c r="C70" s="363">
        <f t="shared" si="1"/>
        <v>0</v>
      </c>
      <c r="D70" s="285"/>
      <c r="E70" s="134"/>
      <c r="F70" s="134"/>
    </row>
    <row r="71" spans="1:6" s="210" customFormat="1" ht="12" customHeight="1" thickBot="1" x14ac:dyDescent="0.25">
      <c r="A71" s="15" t="s">
        <v>286</v>
      </c>
      <c r="B71" s="127" t="s">
        <v>262</v>
      </c>
      <c r="C71" s="364">
        <f t="shared" si="1"/>
        <v>0</v>
      </c>
      <c r="D71" s="285"/>
      <c r="E71" s="134"/>
      <c r="F71" s="134"/>
    </row>
    <row r="72" spans="1:6" s="210" customFormat="1" ht="12" customHeight="1" thickBot="1" x14ac:dyDescent="0.25">
      <c r="A72" s="271" t="s">
        <v>263</v>
      </c>
      <c r="B72" s="125" t="s">
        <v>264</v>
      </c>
      <c r="C72" s="135">
        <f t="shared" si="1"/>
        <v>18026960</v>
      </c>
      <c r="D72" s="307">
        <f>SUM(D73:D74)</f>
        <v>0</v>
      </c>
      <c r="E72" s="130">
        <f>SUM(E73:E74)</f>
        <v>0</v>
      </c>
      <c r="F72" s="130">
        <f>SUM(F73:F74)</f>
        <v>18026960</v>
      </c>
    </row>
    <row r="73" spans="1:6" s="210" customFormat="1" ht="12" customHeight="1" x14ac:dyDescent="0.2">
      <c r="A73" s="14" t="s">
        <v>287</v>
      </c>
      <c r="B73" s="211" t="s">
        <v>265</v>
      </c>
      <c r="C73" s="362">
        <f t="shared" si="1"/>
        <v>18026960</v>
      </c>
      <c r="D73" s="285"/>
      <c r="E73" s="134"/>
      <c r="F73" s="134">
        <v>18026960</v>
      </c>
    </row>
    <row r="74" spans="1:6" s="210" customFormat="1" ht="12" customHeight="1" thickBot="1" x14ac:dyDescent="0.25">
      <c r="A74" s="15" t="s">
        <v>288</v>
      </c>
      <c r="B74" s="127" t="s">
        <v>266</v>
      </c>
      <c r="C74" s="364">
        <f t="shared" si="1"/>
        <v>0</v>
      </c>
      <c r="D74" s="285"/>
      <c r="E74" s="134"/>
      <c r="F74" s="134"/>
    </row>
    <row r="75" spans="1:6" s="210" customFormat="1" ht="12" customHeight="1" thickBot="1" x14ac:dyDescent="0.25">
      <c r="A75" s="271" t="s">
        <v>267</v>
      </c>
      <c r="B75" s="125" t="s">
        <v>268</v>
      </c>
      <c r="C75" s="135">
        <f t="shared" si="1"/>
        <v>0</v>
      </c>
      <c r="D75" s="307">
        <f>SUM(D76:D78)</f>
        <v>0</v>
      </c>
      <c r="E75" s="130">
        <f>SUM(E76:E78)</f>
        <v>0</v>
      </c>
      <c r="F75" s="130">
        <f>SUM(F76:F78)</f>
        <v>0</v>
      </c>
    </row>
    <row r="76" spans="1:6" s="210" customFormat="1" ht="12" customHeight="1" x14ac:dyDescent="0.2">
      <c r="A76" s="14" t="s">
        <v>289</v>
      </c>
      <c r="B76" s="211" t="s">
        <v>269</v>
      </c>
      <c r="C76" s="362">
        <f t="shared" si="1"/>
        <v>0</v>
      </c>
      <c r="D76" s="285"/>
      <c r="E76" s="134"/>
      <c r="F76" s="134"/>
    </row>
    <row r="77" spans="1:6" s="210" customFormat="1" ht="12" customHeight="1" x14ac:dyDescent="0.2">
      <c r="A77" s="13" t="s">
        <v>290</v>
      </c>
      <c r="B77" s="212" t="s">
        <v>270</v>
      </c>
      <c r="C77" s="363">
        <f t="shared" si="1"/>
        <v>0</v>
      </c>
      <c r="D77" s="285"/>
      <c r="E77" s="134"/>
      <c r="F77" s="134"/>
    </row>
    <row r="78" spans="1:6" s="210" customFormat="1" ht="12" customHeight="1" thickBot="1" x14ac:dyDescent="0.25">
      <c r="A78" s="15" t="s">
        <v>291</v>
      </c>
      <c r="B78" s="127" t="s">
        <v>271</v>
      </c>
      <c r="C78" s="364">
        <f t="shared" si="1"/>
        <v>0</v>
      </c>
      <c r="D78" s="285"/>
      <c r="E78" s="134"/>
      <c r="F78" s="134"/>
    </row>
    <row r="79" spans="1:6" s="210" customFormat="1" ht="12" customHeight="1" thickBot="1" x14ac:dyDescent="0.25">
      <c r="A79" s="271" t="s">
        <v>272</v>
      </c>
      <c r="B79" s="125" t="s">
        <v>292</v>
      </c>
      <c r="C79" s="135">
        <f t="shared" si="1"/>
        <v>0</v>
      </c>
      <c r="D79" s="307">
        <f>SUM(D80:D83)</f>
        <v>0</v>
      </c>
      <c r="E79" s="130">
        <f>SUM(E80:E83)</f>
        <v>0</v>
      </c>
      <c r="F79" s="130">
        <f>SUM(F80:F83)</f>
        <v>0</v>
      </c>
    </row>
    <row r="80" spans="1:6" s="210" customFormat="1" ht="12" customHeight="1" x14ac:dyDescent="0.2">
      <c r="A80" s="215" t="s">
        <v>273</v>
      </c>
      <c r="B80" s="211" t="s">
        <v>274</v>
      </c>
      <c r="C80" s="362">
        <f t="shared" si="1"/>
        <v>0</v>
      </c>
      <c r="D80" s="285"/>
      <c r="E80" s="134"/>
      <c r="F80" s="134"/>
    </row>
    <row r="81" spans="1:6" s="210" customFormat="1" ht="12" customHeight="1" x14ac:dyDescent="0.2">
      <c r="A81" s="216" t="s">
        <v>275</v>
      </c>
      <c r="B81" s="212" t="s">
        <v>276</v>
      </c>
      <c r="C81" s="363">
        <f t="shared" si="1"/>
        <v>0</v>
      </c>
      <c r="D81" s="285"/>
      <c r="E81" s="134"/>
      <c r="F81" s="134"/>
    </row>
    <row r="82" spans="1:6" s="210" customFormat="1" ht="12" customHeight="1" x14ac:dyDescent="0.2">
      <c r="A82" s="216" t="s">
        <v>277</v>
      </c>
      <c r="B82" s="212" t="s">
        <v>278</v>
      </c>
      <c r="C82" s="363">
        <f t="shared" si="1"/>
        <v>0</v>
      </c>
      <c r="D82" s="285"/>
      <c r="E82" s="134"/>
      <c r="F82" s="134"/>
    </row>
    <row r="83" spans="1:6" s="210" customFormat="1" ht="12" customHeight="1" thickBot="1" x14ac:dyDescent="0.25">
      <c r="A83" s="217" t="s">
        <v>279</v>
      </c>
      <c r="B83" s="127" t="s">
        <v>280</v>
      </c>
      <c r="C83" s="364">
        <f t="shared" si="1"/>
        <v>0</v>
      </c>
      <c r="D83" s="285"/>
      <c r="E83" s="134"/>
      <c r="F83" s="134"/>
    </row>
    <row r="84" spans="1:6" s="210" customFormat="1" ht="12" customHeight="1" thickBot="1" x14ac:dyDescent="0.25">
      <c r="A84" s="271" t="s">
        <v>281</v>
      </c>
      <c r="B84" s="125" t="s">
        <v>459</v>
      </c>
      <c r="C84" s="130">
        <f t="shared" si="1"/>
        <v>0</v>
      </c>
      <c r="D84" s="314"/>
      <c r="E84" s="250"/>
      <c r="F84" s="250"/>
    </row>
    <row r="85" spans="1:6" s="210" customFormat="1" ht="13.5" customHeight="1" thickBot="1" x14ac:dyDescent="0.25">
      <c r="A85" s="271" t="s">
        <v>283</v>
      </c>
      <c r="B85" s="125" t="s">
        <v>282</v>
      </c>
      <c r="C85" s="130">
        <f t="shared" si="1"/>
        <v>0</v>
      </c>
      <c r="D85" s="314"/>
      <c r="E85" s="250"/>
      <c r="F85" s="250"/>
    </row>
    <row r="86" spans="1:6" s="210" customFormat="1" ht="15.75" customHeight="1" thickBot="1" x14ac:dyDescent="0.25">
      <c r="A86" s="271" t="s">
        <v>295</v>
      </c>
      <c r="B86" s="218" t="s">
        <v>460</v>
      </c>
      <c r="C86" s="130">
        <f t="shared" si="1"/>
        <v>18026960</v>
      </c>
      <c r="D86" s="310">
        <f>+D63+D67+D72+D75+D79+D85+D84</f>
        <v>0</v>
      </c>
      <c r="E86" s="135">
        <f>+E63+E67+E72+E75+E79+E85+E84</f>
        <v>0</v>
      </c>
      <c r="F86" s="135">
        <f>+F63+F67+F72+F75+F79+F85+F84</f>
        <v>18026960</v>
      </c>
    </row>
    <row r="87" spans="1:6" s="210" customFormat="1" ht="16.5" customHeight="1" thickBot="1" x14ac:dyDescent="0.25">
      <c r="A87" s="273" t="s">
        <v>461</v>
      </c>
      <c r="B87" s="219" t="s">
        <v>462</v>
      </c>
      <c r="C87" s="130">
        <f t="shared" si="1"/>
        <v>560082804</v>
      </c>
      <c r="D87" s="310">
        <f>+D62+D86</f>
        <v>342983923</v>
      </c>
      <c r="E87" s="135">
        <f>+E62+E86</f>
        <v>635000</v>
      </c>
      <c r="F87" s="135">
        <f>+F62+F86</f>
        <v>216463881</v>
      </c>
    </row>
    <row r="88" spans="1:6" s="210" customFormat="1" ht="83.25" customHeight="1" x14ac:dyDescent="0.2">
      <c r="A88" s="4"/>
      <c r="B88" s="5"/>
      <c r="C88" s="136"/>
    </row>
    <row r="89" spans="1:6" ht="16.5" customHeight="1" x14ac:dyDescent="0.25">
      <c r="A89" s="940" t="s">
        <v>50</v>
      </c>
      <c r="B89" s="940"/>
      <c r="C89" s="940"/>
    </row>
    <row r="90" spans="1:6" s="220" customFormat="1" ht="16.5" customHeight="1" thickBot="1" x14ac:dyDescent="0.3">
      <c r="A90" s="941" t="s">
        <v>128</v>
      </c>
      <c r="B90" s="941"/>
      <c r="C90" s="70" t="s">
        <v>571</v>
      </c>
    </row>
    <row r="91" spans="1:6" ht="38.1" customHeight="1" thickBot="1" x14ac:dyDescent="0.3">
      <c r="A91" s="22" t="s">
        <v>72</v>
      </c>
      <c r="B91" s="23" t="s">
        <v>51</v>
      </c>
      <c r="C91" s="30" t="str">
        <f>+C3</f>
        <v>2018. évi előirányzat</v>
      </c>
    </row>
    <row r="92" spans="1:6" s="209" customFormat="1" ht="12" customHeight="1" thickBot="1" x14ac:dyDescent="0.25">
      <c r="A92" s="26" t="s">
        <v>446</v>
      </c>
      <c r="B92" s="27" t="s">
        <v>447</v>
      </c>
      <c r="C92" s="28" t="s">
        <v>448</v>
      </c>
    </row>
    <row r="93" spans="1:6" ht="12" customHeight="1" thickBot="1" x14ac:dyDescent="0.3">
      <c r="A93" s="21" t="s">
        <v>22</v>
      </c>
      <c r="B93" s="25" t="s">
        <v>500</v>
      </c>
      <c r="C93" s="130">
        <f t="shared" ref="C93:C154" si="2">SUM(D93:F93)</f>
        <v>672055189</v>
      </c>
      <c r="D93" s="317">
        <f>+D94+D95+D96+D97+D98+D111</f>
        <v>95757673</v>
      </c>
      <c r="E93" s="129">
        <f>+E94+E95+E96+E97+E98+E111</f>
        <v>7067754</v>
      </c>
      <c r="F93" s="130">
        <f>F94+F95+F96+F97+F98+F111</f>
        <v>569229762</v>
      </c>
    </row>
    <row r="94" spans="1:6" ht="12" customHeight="1" x14ac:dyDescent="0.25">
      <c r="A94" s="16" t="s">
        <v>100</v>
      </c>
      <c r="B94" s="9" t="s">
        <v>52</v>
      </c>
      <c r="C94" s="504">
        <f t="shared" si="2"/>
        <v>339964954</v>
      </c>
      <c r="D94" s="355">
        <f>75000+4401892+2491000+258000</f>
        <v>7225892</v>
      </c>
      <c r="E94" s="294">
        <v>2528076</v>
      </c>
      <c r="F94" s="294">
        <v>330210986</v>
      </c>
    </row>
    <row r="95" spans="1:6" ht="12" customHeight="1" x14ac:dyDescent="0.25">
      <c r="A95" s="13" t="s">
        <v>101</v>
      </c>
      <c r="B95" s="7" t="s">
        <v>147</v>
      </c>
      <c r="C95" s="503">
        <f t="shared" si="2"/>
        <v>71300178</v>
      </c>
      <c r="D95" s="285">
        <f>13275+17258+773000+1015000+281135+50310</f>
        <v>2149978</v>
      </c>
      <c r="E95" s="134">
        <v>443678</v>
      </c>
      <c r="F95" s="134">
        <v>68706522</v>
      </c>
    </row>
    <row r="96" spans="1:6" ht="12" customHeight="1" x14ac:dyDescent="0.25">
      <c r="A96" s="13" t="s">
        <v>102</v>
      </c>
      <c r="B96" s="7" t="s">
        <v>123</v>
      </c>
      <c r="C96" s="503">
        <f t="shared" si="2"/>
        <v>234747057</v>
      </c>
      <c r="D96" s="289">
        <f>16099000+3082677+397000+194467+34200000+156511+2681000+3300000+44100-8245+192293</f>
        <v>60338803</v>
      </c>
      <c r="E96" s="200">
        <v>4096000</v>
      </c>
      <c r="F96" s="134">
        <v>170312254</v>
      </c>
    </row>
    <row r="97" spans="1:6" ht="12" customHeight="1" x14ac:dyDescent="0.25">
      <c r="A97" s="13" t="s">
        <v>103</v>
      </c>
      <c r="B97" s="7" t="s">
        <v>148</v>
      </c>
      <c r="C97" s="363">
        <f t="shared" si="2"/>
        <v>0</v>
      </c>
      <c r="D97" s="289"/>
      <c r="E97" s="200"/>
      <c r="F97" s="134"/>
    </row>
    <row r="98" spans="1:6" ht="12" customHeight="1" x14ac:dyDescent="0.25">
      <c r="A98" s="13" t="s">
        <v>114</v>
      </c>
      <c r="B98" s="6" t="s">
        <v>149</v>
      </c>
      <c r="C98" s="363">
        <f t="shared" si="2"/>
        <v>26043000</v>
      </c>
      <c r="D98" s="289">
        <f>5950000+16000000+4093000</f>
        <v>26043000</v>
      </c>
      <c r="E98" s="200"/>
      <c r="F98" s="200"/>
    </row>
    <row r="99" spans="1:6" ht="12" customHeight="1" x14ac:dyDescent="0.25">
      <c r="A99" s="13" t="s">
        <v>104</v>
      </c>
      <c r="B99" s="7" t="s">
        <v>463</v>
      </c>
      <c r="C99" s="363">
        <f t="shared" si="2"/>
        <v>0</v>
      </c>
      <c r="D99" s="289"/>
      <c r="E99" s="200"/>
      <c r="F99" s="200"/>
    </row>
    <row r="100" spans="1:6" ht="12" customHeight="1" x14ac:dyDescent="0.25">
      <c r="A100" s="13" t="s">
        <v>105</v>
      </c>
      <c r="B100" s="74" t="s">
        <v>464</v>
      </c>
      <c r="C100" s="363">
        <f t="shared" si="2"/>
        <v>0</v>
      </c>
      <c r="D100" s="289"/>
      <c r="E100" s="200"/>
      <c r="F100" s="200"/>
    </row>
    <row r="101" spans="1:6" ht="12" customHeight="1" x14ac:dyDescent="0.25">
      <c r="A101" s="13" t="s">
        <v>115</v>
      </c>
      <c r="B101" s="74" t="s">
        <v>465</v>
      </c>
      <c r="C101" s="363">
        <f t="shared" si="2"/>
        <v>0</v>
      </c>
      <c r="D101" s="289"/>
      <c r="E101" s="200"/>
      <c r="F101" s="200"/>
    </row>
    <row r="102" spans="1:6" ht="12" customHeight="1" x14ac:dyDescent="0.25">
      <c r="A102" s="13" t="s">
        <v>116</v>
      </c>
      <c r="B102" s="72" t="s">
        <v>298</v>
      </c>
      <c r="C102" s="363">
        <f t="shared" si="2"/>
        <v>0</v>
      </c>
      <c r="D102" s="289"/>
      <c r="E102" s="200"/>
      <c r="F102" s="200"/>
    </row>
    <row r="103" spans="1:6" ht="12" customHeight="1" x14ac:dyDescent="0.25">
      <c r="A103" s="13" t="s">
        <v>117</v>
      </c>
      <c r="B103" s="73" t="s">
        <v>299</v>
      </c>
      <c r="C103" s="363">
        <f t="shared" si="2"/>
        <v>0</v>
      </c>
      <c r="D103" s="289"/>
      <c r="E103" s="200"/>
      <c r="F103" s="200"/>
    </row>
    <row r="104" spans="1:6" ht="12" customHeight="1" x14ac:dyDescent="0.25">
      <c r="A104" s="13" t="s">
        <v>118</v>
      </c>
      <c r="B104" s="73" t="s">
        <v>300</v>
      </c>
      <c r="C104" s="363">
        <f t="shared" si="2"/>
        <v>0</v>
      </c>
      <c r="D104" s="289"/>
      <c r="E104" s="200"/>
      <c r="F104" s="200"/>
    </row>
    <row r="105" spans="1:6" ht="12" customHeight="1" x14ac:dyDescent="0.25">
      <c r="A105" s="13" t="s">
        <v>120</v>
      </c>
      <c r="B105" s="72" t="s">
        <v>301</v>
      </c>
      <c r="C105" s="363">
        <f t="shared" si="2"/>
        <v>0</v>
      </c>
      <c r="D105" s="289"/>
      <c r="E105" s="200"/>
      <c r="F105" s="200"/>
    </row>
    <row r="106" spans="1:6" ht="12" customHeight="1" x14ac:dyDescent="0.25">
      <c r="A106" s="13" t="s">
        <v>150</v>
      </c>
      <c r="B106" s="72" t="s">
        <v>302</v>
      </c>
      <c r="C106" s="363">
        <f t="shared" si="2"/>
        <v>0</v>
      </c>
      <c r="D106" s="289"/>
      <c r="E106" s="200"/>
      <c r="F106" s="200"/>
    </row>
    <row r="107" spans="1:6" ht="12" customHeight="1" x14ac:dyDescent="0.25">
      <c r="A107" s="13" t="s">
        <v>296</v>
      </c>
      <c r="B107" s="73" t="s">
        <v>303</v>
      </c>
      <c r="C107" s="363">
        <f t="shared" si="2"/>
        <v>0</v>
      </c>
      <c r="D107" s="289"/>
      <c r="E107" s="200"/>
      <c r="F107" s="200"/>
    </row>
    <row r="108" spans="1:6" ht="12" customHeight="1" x14ac:dyDescent="0.25">
      <c r="A108" s="12" t="s">
        <v>297</v>
      </c>
      <c r="B108" s="74" t="s">
        <v>304</v>
      </c>
      <c r="C108" s="363">
        <f t="shared" si="2"/>
        <v>0</v>
      </c>
      <c r="D108" s="289"/>
      <c r="E108" s="200"/>
      <c r="F108" s="200"/>
    </row>
    <row r="109" spans="1:6" ht="12" customHeight="1" x14ac:dyDescent="0.25">
      <c r="A109" s="13" t="s">
        <v>466</v>
      </c>
      <c r="B109" s="74" t="s">
        <v>305</v>
      </c>
      <c r="C109" s="363">
        <f t="shared" si="2"/>
        <v>0</v>
      </c>
      <c r="D109" s="289"/>
      <c r="E109" s="200"/>
      <c r="F109" s="200"/>
    </row>
    <row r="110" spans="1:6" ht="12" customHeight="1" x14ac:dyDescent="0.25">
      <c r="A110" s="15" t="s">
        <v>467</v>
      </c>
      <c r="B110" s="74" t="s">
        <v>306</v>
      </c>
      <c r="C110" s="363">
        <f t="shared" si="2"/>
        <v>26043000</v>
      </c>
      <c r="D110" s="285">
        <f>5950000+16000000+4093000</f>
        <v>26043000</v>
      </c>
      <c r="E110" s="134"/>
      <c r="F110" s="298"/>
    </row>
    <row r="111" spans="1:6" ht="12" customHeight="1" x14ac:dyDescent="0.25">
      <c r="A111" s="13" t="s">
        <v>468</v>
      </c>
      <c r="B111" s="7" t="s">
        <v>53</v>
      </c>
      <c r="C111" s="363">
        <f t="shared" si="2"/>
        <v>0</v>
      </c>
      <c r="D111" s="115"/>
      <c r="E111" s="134"/>
      <c r="F111" s="131"/>
    </row>
    <row r="112" spans="1:6" ht="12" customHeight="1" x14ac:dyDescent="0.25">
      <c r="A112" s="13" t="s">
        <v>469</v>
      </c>
      <c r="B112" s="7" t="s">
        <v>470</v>
      </c>
      <c r="C112" s="363">
        <f t="shared" si="2"/>
        <v>0</v>
      </c>
      <c r="D112" s="116"/>
      <c r="E112" s="200"/>
      <c r="F112" s="131"/>
    </row>
    <row r="113" spans="1:6" ht="12" customHeight="1" thickBot="1" x14ac:dyDescent="0.3">
      <c r="A113" s="17" t="s">
        <v>471</v>
      </c>
      <c r="B113" s="274" t="s">
        <v>472</v>
      </c>
      <c r="C113" s="364">
        <f t="shared" si="2"/>
        <v>0</v>
      </c>
      <c r="D113" s="318"/>
      <c r="E113" s="303"/>
      <c r="F113" s="137"/>
    </row>
    <row r="114" spans="1:6" ht="12" customHeight="1" thickBot="1" x14ac:dyDescent="0.3">
      <c r="A114" s="275" t="s">
        <v>23</v>
      </c>
      <c r="B114" s="276" t="s">
        <v>307</v>
      </c>
      <c r="C114" s="135">
        <f t="shared" si="2"/>
        <v>24981291</v>
      </c>
      <c r="D114" s="307">
        <f>+D115+D117+D119</f>
        <v>13250673</v>
      </c>
      <c r="E114" s="130">
        <f>+E115+E117+E119</f>
        <v>0</v>
      </c>
      <c r="F114" s="277">
        <f>+F115+F117+F119</f>
        <v>11730618</v>
      </c>
    </row>
    <row r="115" spans="1:6" ht="12" customHeight="1" x14ac:dyDescent="0.25">
      <c r="A115" s="14" t="s">
        <v>106</v>
      </c>
      <c r="B115" s="7" t="s">
        <v>170</v>
      </c>
      <c r="C115" s="362">
        <f t="shared" si="2"/>
        <v>24981291</v>
      </c>
      <c r="D115" s="313">
        <f>12873483+377190</f>
        <v>13250673</v>
      </c>
      <c r="E115" s="249"/>
      <c r="F115" s="249">
        <v>11730618</v>
      </c>
    </row>
    <row r="116" spans="1:6" ht="12" customHeight="1" x14ac:dyDescent="0.25">
      <c r="A116" s="14" t="s">
        <v>107</v>
      </c>
      <c r="B116" s="11" t="s">
        <v>311</v>
      </c>
      <c r="C116" s="363">
        <f t="shared" si="2"/>
        <v>14946401</v>
      </c>
      <c r="D116" s="313">
        <v>12873483</v>
      </c>
      <c r="E116" s="249"/>
      <c r="F116" s="249">
        <v>2072918</v>
      </c>
    </row>
    <row r="117" spans="1:6" ht="12" customHeight="1" x14ac:dyDescent="0.25">
      <c r="A117" s="14" t="s">
        <v>108</v>
      </c>
      <c r="B117" s="11" t="s">
        <v>151</v>
      </c>
      <c r="C117" s="363">
        <f t="shared" si="2"/>
        <v>0</v>
      </c>
      <c r="D117" s="115"/>
      <c r="E117" s="134"/>
      <c r="F117" s="134"/>
    </row>
    <row r="118" spans="1:6" ht="12" customHeight="1" x14ac:dyDescent="0.25">
      <c r="A118" s="14" t="s">
        <v>109</v>
      </c>
      <c r="B118" s="11" t="s">
        <v>312</v>
      </c>
      <c r="C118" s="363">
        <f t="shared" si="2"/>
        <v>0</v>
      </c>
      <c r="D118" s="115"/>
      <c r="E118" s="297"/>
      <c r="F118" s="285"/>
    </row>
    <row r="119" spans="1:6" ht="12" customHeight="1" x14ac:dyDescent="0.25">
      <c r="A119" s="14" t="s">
        <v>110</v>
      </c>
      <c r="B119" s="127" t="s">
        <v>172</v>
      </c>
      <c r="C119" s="363">
        <f t="shared" si="2"/>
        <v>0</v>
      </c>
      <c r="D119" s="290"/>
      <c r="E119" s="285"/>
      <c r="F119" s="285"/>
    </row>
    <row r="120" spans="1:6" ht="12" customHeight="1" x14ac:dyDescent="0.25">
      <c r="A120" s="14" t="s">
        <v>119</v>
      </c>
      <c r="B120" s="126" t="s">
        <v>374</v>
      </c>
      <c r="C120" s="363">
        <f t="shared" si="2"/>
        <v>0</v>
      </c>
      <c r="D120" s="290"/>
      <c r="E120" s="115"/>
      <c r="F120" s="115"/>
    </row>
    <row r="121" spans="1:6" ht="12" customHeight="1" x14ac:dyDescent="0.25">
      <c r="A121" s="14" t="s">
        <v>121</v>
      </c>
      <c r="B121" s="207" t="s">
        <v>317</v>
      </c>
      <c r="C121" s="363">
        <f t="shared" si="2"/>
        <v>0</v>
      </c>
      <c r="D121" s="290"/>
      <c r="E121" s="115"/>
      <c r="F121" s="115"/>
    </row>
    <row r="122" spans="1:6" x14ac:dyDescent="0.25">
      <c r="A122" s="14" t="s">
        <v>152</v>
      </c>
      <c r="B122" s="73" t="s">
        <v>300</v>
      </c>
      <c r="C122" s="363">
        <f t="shared" si="2"/>
        <v>0</v>
      </c>
      <c r="D122" s="290"/>
      <c r="E122" s="115"/>
      <c r="F122" s="115"/>
    </row>
    <row r="123" spans="1:6" ht="12" customHeight="1" x14ac:dyDescent="0.25">
      <c r="A123" s="14" t="s">
        <v>153</v>
      </c>
      <c r="B123" s="73" t="s">
        <v>316</v>
      </c>
      <c r="C123" s="363">
        <f t="shared" si="2"/>
        <v>0</v>
      </c>
      <c r="D123" s="290"/>
      <c r="E123" s="115"/>
      <c r="F123" s="115"/>
    </row>
    <row r="124" spans="1:6" ht="12" customHeight="1" x14ac:dyDescent="0.25">
      <c r="A124" s="14" t="s">
        <v>154</v>
      </c>
      <c r="B124" s="73" t="s">
        <v>315</v>
      </c>
      <c r="C124" s="363">
        <f t="shared" si="2"/>
        <v>0</v>
      </c>
      <c r="D124" s="290"/>
      <c r="E124" s="115"/>
      <c r="F124" s="115"/>
    </row>
    <row r="125" spans="1:6" ht="12" customHeight="1" x14ac:dyDescent="0.25">
      <c r="A125" s="14" t="s">
        <v>308</v>
      </c>
      <c r="B125" s="73" t="s">
        <v>303</v>
      </c>
      <c r="C125" s="363">
        <f t="shared" si="2"/>
        <v>0</v>
      </c>
      <c r="D125" s="290"/>
      <c r="E125" s="115"/>
      <c r="F125" s="115"/>
    </row>
    <row r="126" spans="1:6" ht="12" customHeight="1" x14ac:dyDescent="0.25">
      <c r="A126" s="14" t="s">
        <v>309</v>
      </c>
      <c r="B126" s="73" t="s">
        <v>314</v>
      </c>
      <c r="C126" s="363">
        <f t="shared" si="2"/>
        <v>0</v>
      </c>
      <c r="D126" s="290"/>
      <c r="E126" s="115"/>
      <c r="F126" s="115"/>
    </row>
    <row r="127" spans="1:6" ht="16.5" thickBot="1" x14ac:dyDescent="0.3">
      <c r="A127" s="12" t="s">
        <v>310</v>
      </c>
      <c r="B127" s="73" t="s">
        <v>313</v>
      </c>
      <c r="C127" s="364">
        <f t="shared" si="2"/>
        <v>0</v>
      </c>
      <c r="D127" s="291"/>
      <c r="E127" s="289"/>
      <c r="F127" s="289"/>
    </row>
    <row r="128" spans="1:6" ht="12" customHeight="1" thickBot="1" x14ac:dyDescent="0.3">
      <c r="A128" s="19" t="s">
        <v>24</v>
      </c>
      <c r="B128" s="68" t="s">
        <v>473</v>
      </c>
      <c r="C128" s="135">
        <f t="shared" si="2"/>
        <v>697036480</v>
      </c>
      <c r="D128" s="307">
        <f>+D93+D114</f>
        <v>109008346</v>
      </c>
      <c r="E128" s="130">
        <f>+E93+E114</f>
        <v>7067754</v>
      </c>
      <c r="F128" s="130">
        <f>+F93+F114</f>
        <v>580960380</v>
      </c>
    </row>
    <row r="129" spans="1:6" ht="12" customHeight="1" thickBot="1" x14ac:dyDescent="0.3">
      <c r="A129" s="19" t="s">
        <v>25</v>
      </c>
      <c r="B129" s="68" t="s">
        <v>474</v>
      </c>
      <c r="C129" s="135">
        <f t="shared" si="2"/>
        <v>4444000</v>
      </c>
      <c r="D129" s="307">
        <f>+D130+D131+D132</f>
        <v>4444000</v>
      </c>
      <c r="E129" s="130">
        <f>+E130+E131+E132</f>
        <v>0</v>
      </c>
      <c r="F129" s="130">
        <f>+F130+F131+F132</f>
        <v>0</v>
      </c>
    </row>
    <row r="130" spans="1:6" ht="12" customHeight="1" x14ac:dyDescent="0.25">
      <c r="A130" s="14" t="s">
        <v>208</v>
      </c>
      <c r="B130" s="11" t="s">
        <v>475</v>
      </c>
      <c r="C130" s="362">
        <f t="shared" si="2"/>
        <v>4444000</v>
      </c>
      <c r="D130" s="285">
        <v>4444000</v>
      </c>
      <c r="E130" s="285"/>
      <c r="F130" s="285"/>
    </row>
    <row r="131" spans="1:6" ht="12" customHeight="1" x14ac:dyDescent="0.25">
      <c r="A131" s="14" t="s">
        <v>211</v>
      </c>
      <c r="B131" s="11" t="s">
        <v>476</v>
      </c>
      <c r="C131" s="363">
        <f t="shared" si="2"/>
        <v>0</v>
      </c>
      <c r="D131" s="115"/>
      <c r="E131" s="115"/>
      <c r="F131" s="115"/>
    </row>
    <row r="132" spans="1:6" ht="12" customHeight="1" thickBot="1" x14ac:dyDescent="0.3">
      <c r="A132" s="12" t="s">
        <v>212</v>
      </c>
      <c r="B132" s="11" t="s">
        <v>477</v>
      </c>
      <c r="C132" s="364">
        <f t="shared" si="2"/>
        <v>0</v>
      </c>
      <c r="D132" s="115"/>
      <c r="E132" s="115"/>
      <c r="F132" s="115"/>
    </row>
    <row r="133" spans="1:6" ht="12" customHeight="1" thickBot="1" x14ac:dyDescent="0.3">
      <c r="A133" s="19" t="s">
        <v>26</v>
      </c>
      <c r="B133" s="68" t="s">
        <v>478</v>
      </c>
      <c r="C133" s="286">
        <f t="shared" si="2"/>
        <v>0</v>
      </c>
      <c r="D133" s="307">
        <f>+D134+D135+D136+D137+D138+D139</f>
        <v>0</v>
      </c>
      <c r="E133" s="130">
        <f>+E134+E135+E136+E137+E138+E139</f>
        <v>0</v>
      </c>
      <c r="F133" s="130">
        <f>SUM(F134:F139)</f>
        <v>0</v>
      </c>
    </row>
    <row r="134" spans="1:6" ht="12" customHeight="1" x14ac:dyDescent="0.25">
      <c r="A134" s="14" t="s">
        <v>93</v>
      </c>
      <c r="B134" s="8" t="s">
        <v>479</v>
      </c>
      <c r="C134" s="362">
        <f t="shared" si="2"/>
        <v>0</v>
      </c>
      <c r="D134" s="115"/>
      <c r="E134" s="115"/>
      <c r="F134" s="115"/>
    </row>
    <row r="135" spans="1:6" ht="12" customHeight="1" x14ac:dyDescent="0.25">
      <c r="A135" s="14" t="s">
        <v>94</v>
      </c>
      <c r="B135" s="8" t="s">
        <v>480</v>
      </c>
      <c r="C135" s="363">
        <f t="shared" si="2"/>
        <v>0</v>
      </c>
      <c r="D135" s="115"/>
      <c r="E135" s="115"/>
      <c r="F135" s="115"/>
    </row>
    <row r="136" spans="1:6" ht="12" customHeight="1" x14ac:dyDescent="0.25">
      <c r="A136" s="14" t="s">
        <v>95</v>
      </c>
      <c r="B136" s="8" t="s">
        <v>481</v>
      </c>
      <c r="C136" s="363">
        <f t="shared" si="2"/>
        <v>0</v>
      </c>
      <c r="D136" s="115"/>
      <c r="E136" s="115"/>
      <c r="F136" s="115"/>
    </row>
    <row r="137" spans="1:6" ht="12" customHeight="1" x14ac:dyDescent="0.25">
      <c r="A137" s="14" t="s">
        <v>139</v>
      </c>
      <c r="B137" s="8" t="s">
        <v>482</v>
      </c>
      <c r="C137" s="363">
        <f t="shared" si="2"/>
        <v>0</v>
      </c>
      <c r="D137" s="115"/>
      <c r="E137" s="115"/>
      <c r="F137" s="115"/>
    </row>
    <row r="138" spans="1:6" ht="12" customHeight="1" x14ac:dyDescent="0.25">
      <c r="A138" s="14" t="s">
        <v>140</v>
      </c>
      <c r="B138" s="8" t="s">
        <v>483</v>
      </c>
      <c r="C138" s="363">
        <f t="shared" si="2"/>
        <v>0</v>
      </c>
      <c r="D138" s="115"/>
      <c r="E138" s="115"/>
      <c r="F138" s="115"/>
    </row>
    <row r="139" spans="1:6" ht="12" customHeight="1" thickBot="1" x14ac:dyDescent="0.3">
      <c r="A139" s="12" t="s">
        <v>141</v>
      </c>
      <c r="B139" s="8" t="s">
        <v>484</v>
      </c>
      <c r="C139" s="364">
        <f t="shared" si="2"/>
        <v>0</v>
      </c>
      <c r="D139" s="115"/>
      <c r="E139" s="115"/>
      <c r="F139" s="115"/>
    </row>
    <row r="140" spans="1:6" ht="12" customHeight="1" thickBot="1" x14ac:dyDescent="0.3">
      <c r="A140" s="19" t="s">
        <v>27</v>
      </c>
      <c r="B140" s="68" t="s">
        <v>485</v>
      </c>
      <c r="C140" s="135">
        <f t="shared" si="2"/>
        <v>0</v>
      </c>
      <c r="D140" s="310">
        <f>+D141+D142+D143+D144</f>
        <v>0</v>
      </c>
      <c r="E140" s="135">
        <f>+E141+E142+E143+E144</f>
        <v>0</v>
      </c>
      <c r="F140" s="135">
        <f>+F141+F142+F143+F144</f>
        <v>0</v>
      </c>
    </row>
    <row r="141" spans="1:6" ht="12" customHeight="1" x14ac:dyDescent="0.25">
      <c r="A141" s="14" t="s">
        <v>96</v>
      </c>
      <c r="B141" s="8" t="s">
        <v>318</v>
      </c>
      <c r="C141" s="362">
        <f t="shared" si="2"/>
        <v>0</v>
      </c>
      <c r="D141" s="115"/>
      <c r="E141" s="115"/>
      <c r="F141" s="115"/>
    </row>
    <row r="142" spans="1:6" ht="12" customHeight="1" x14ac:dyDescent="0.25">
      <c r="A142" s="14" t="s">
        <v>97</v>
      </c>
      <c r="B142" s="8" t="s">
        <v>319</v>
      </c>
      <c r="C142" s="363">
        <f t="shared" si="2"/>
        <v>0</v>
      </c>
      <c r="D142" s="115"/>
      <c r="E142" s="115"/>
      <c r="F142" s="115"/>
    </row>
    <row r="143" spans="1:6" ht="12" customHeight="1" x14ac:dyDescent="0.25">
      <c r="A143" s="14" t="s">
        <v>232</v>
      </c>
      <c r="B143" s="8" t="s">
        <v>486</v>
      </c>
      <c r="C143" s="363">
        <f t="shared" si="2"/>
        <v>0</v>
      </c>
      <c r="D143" s="115"/>
      <c r="E143" s="115"/>
      <c r="F143" s="115"/>
    </row>
    <row r="144" spans="1:6" ht="12" customHeight="1" thickBot="1" x14ac:dyDescent="0.3">
      <c r="A144" s="12" t="s">
        <v>233</v>
      </c>
      <c r="B144" s="6" t="s">
        <v>337</v>
      </c>
      <c r="C144" s="364">
        <f t="shared" si="2"/>
        <v>0</v>
      </c>
      <c r="D144" s="115"/>
      <c r="E144" s="115"/>
      <c r="F144" s="115"/>
    </row>
    <row r="145" spans="1:9" ht="12" customHeight="1" thickBot="1" x14ac:dyDescent="0.3">
      <c r="A145" s="19" t="s">
        <v>28</v>
      </c>
      <c r="B145" s="68" t="s">
        <v>487</v>
      </c>
      <c r="C145" s="135">
        <f t="shared" si="2"/>
        <v>0</v>
      </c>
      <c r="D145" s="319">
        <f>+D146+D147+D148+D149+D150</f>
        <v>0</v>
      </c>
      <c r="E145" s="138">
        <f>+E146+E147+E148+E149+E150</f>
        <v>0</v>
      </c>
      <c r="F145" s="138">
        <f>SUM(F146:F150)</f>
        <v>0</v>
      </c>
    </row>
    <row r="146" spans="1:9" ht="12" customHeight="1" x14ac:dyDescent="0.25">
      <c r="A146" s="14" t="s">
        <v>98</v>
      </c>
      <c r="B146" s="8" t="s">
        <v>488</v>
      </c>
      <c r="C146" s="362">
        <f t="shared" si="2"/>
        <v>0</v>
      </c>
      <c r="D146" s="115"/>
      <c r="E146" s="115"/>
      <c r="F146" s="115"/>
    </row>
    <row r="147" spans="1:9" ht="12" customHeight="1" x14ac:dyDescent="0.25">
      <c r="A147" s="14" t="s">
        <v>99</v>
      </c>
      <c r="B147" s="8" t="s">
        <v>489</v>
      </c>
      <c r="C147" s="363">
        <f t="shared" si="2"/>
        <v>0</v>
      </c>
      <c r="D147" s="115"/>
      <c r="E147" s="115"/>
      <c r="F147" s="115"/>
    </row>
    <row r="148" spans="1:9" ht="12" customHeight="1" x14ac:dyDescent="0.25">
      <c r="A148" s="14" t="s">
        <v>244</v>
      </c>
      <c r="B148" s="8" t="s">
        <v>490</v>
      </c>
      <c r="C148" s="363">
        <f t="shared" si="2"/>
        <v>0</v>
      </c>
      <c r="D148" s="115"/>
      <c r="E148" s="115"/>
      <c r="F148" s="115"/>
    </row>
    <row r="149" spans="1:9" ht="12" customHeight="1" x14ac:dyDescent="0.25">
      <c r="A149" s="14" t="s">
        <v>245</v>
      </c>
      <c r="B149" s="8" t="s">
        <v>491</v>
      </c>
      <c r="C149" s="363">
        <f t="shared" si="2"/>
        <v>0</v>
      </c>
      <c r="D149" s="115"/>
      <c r="E149" s="115"/>
      <c r="F149" s="115"/>
    </row>
    <row r="150" spans="1:9" ht="12" customHeight="1" thickBot="1" x14ac:dyDescent="0.3">
      <c r="A150" s="14" t="s">
        <v>492</v>
      </c>
      <c r="B150" s="8" t="s">
        <v>493</v>
      </c>
      <c r="C150" s="364">
        <f t="shared" si="2"/>
        <v>0</v>
      </c>
      <c r="D150" s="116"/>
      <c r="E150" s="116"/>
      <c r="F150" s="115"/>
    </row>
    <row r="151" spans="1:9" ht="12" customHeight="1" thickBot="1" x14ac:dyDescent="0.3">
      <c r="A151" s="19" t="s">
        <v>29</v>
      </c>
      <c r="B151" s="68" t="s">
        <v>494</v>
      </c>
      <c r="C151" s="130">
        <f t="shared" si="2"/>
        <v>0</v>
      </c>
      <c r="D151" s="319"/>
      <c r="E151" s="138"/>
      <c r="F151" s="278"/>
    </row>
    <row r="152" spans="1:9" ht="12" customHeight="1" thickBot="1" x14ac:dyDescent="0.3">
      <c r="A152" s="19" t="s">
        <v>30</v>
      </c>
      <c r="B152" s="68" t="s">
        <v>495</v>
      </c>
      <c r="C152" s="130">
        <f t="shared" si="2"/>
        <v>0</v>
      </c>
      <c r="D152" s="319"/>
      <c r="E152" s="138"/>
      <c r="F152" s="278"/>
    </row>
    <row r="153" spans="1:9" ht="15" customHeight="1" thickBot="1" x14ac:dyDescent="0.3">
      <c r="A153" s="19" t="s">
        <v>31</v>
      </c>
      <c r="B153" s="68" t="s">
        <v>496</v>
      </c>
      <c r="C153" s="130">
        <f t="shared" si="2"/>
        <v>4444000</v>
      </c>
      <c r="D153" s="320">
        <f>+D129+D133+D140+D145+D151+D152</f>
        <v>4444000</v>
      </c>
      <c r="E153" s="221">
        <f>+E129+E133+E140+E145+E151+E152</f>
        <v>0</v>
      </c>
      <c r="F153" s="221">
        <f>+F129+F133+F140+F145+F151+F152</f>
        <v>0</v>
      </c>
      <c r="G153" s="222"/>
      <c r="H153" s="222"/>
      <c r="I153" s="222"/>
    </row>
    <row r="154" spans="1:9" s="210" customFormat="1" ht="12.95" customHeight="1" thickBot="1" x14ac:dyDescent="0.25">
      <c r="A154" s="128" t="s">
        <v>32</v>
      </c>
      <c r="B154" s="196" t="s">
        <v>497</v>
      </c>
      <c r="C154" s="130">
        <f t="shared" si="2"/>
        <v>701480480</v>
      </c>
      <c r="D154" s="320">
        <f>+D128+D153</f>
        <v>113452346</v>
      </c>
      <c r="E154" s="221">
        <f>+E128+E153</f>
        <v>7067754</v>
      </c>
      <c r="F154" s="221">
        <f>+F128+F153</f>
        <v>580960380</v>
      </c>
    </row>
    <row r="155" spans="1:9" ht="7.5" customHeight="1" x14ac:dyDescent="0.25"/>
    <row r="156" spans="1:9" x14ac:dyDescent="0.25">
      <c r="A156" s="942" t="s">
        <v>320</v>
      </c>
      <c r="B156" s="942"/>
      <c r="C156" s="942"/>
    </row>
    <row r="157" spans="1:9" ht="15" customHeight="1" thickBot="1" x14ac:dyDescent="0.3">
      <c r="A157" s="939" t="s">
        <v>129</v>
      </c>
      <c r="B157" s="939"/>
      <c r="C157" s="139" t="s">
        <v>571</v>
      </c>
    </row>
    <row r="158" spans="1:9" ht="13.5" customHeight="1" thickBot="1" x14ac:dyDescent="0.3">
      <c r="A158" s="19">
        <v>1</v>
      </c>
      <c r="B158" s="24" t="s">
        <v>498</v>
      </c>
      <c r="C158" s="130">
        <f>+C62-C128</f>
        <v>-154980636</v>
      </c>
    </row>
    <row r="159" spans="1:9" ht="27.75" customHeight="1" thickBot="1" x14ac:dyDescent="0.3">
      <c r="A159" s="19" t="s">
        <v>23</v>
      </c>
      <c r="B159" s="24" t="s">
        <v>499</v>
      </c>
      <c r="C159" s="130">
        <f>+C86-C153</f>
        <v>13582960</v>
      </c>
    </row>
    <row r="162" spans="4:4" x14ac:dyDescent="0.25">
      <c r="D162" s="22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4/2018.(III.29.)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topLeftCell="A89" zoomScaleNormal="100" zoomScaleSheetLayoutView="100" workbookViewId="0">
      <selection activeCell="D95" sqref="D95"/>
    </sheetView>
  </sheetViews>
  <sheetFormatPr defaultRowHeight="15.75" x14ac:dyDescent="0.25"/>
  <cols>
    <col min="1" max="1" width="9.5" style="197" customWidth="1"/>
    <col min="2" max="2" width="91.6640625" style="197" customWidth="1"/>
    <col min="3" max="3" width="21.6640625" style="198" customWidth="1"/>
    <col min="4" max="16384" width="9.33203125" style="208"/>
  </cols>
  <sheetData>
    <row r="1" spans="1:3" ht="15.95" customHeight="1" x14ac:dyDescent="0.25">
      <c r="A1" s="940" t="s">
        <v>19</v>
      </c>
      <c r="B1" s="940"/>
      <c r="C1" s="940"/>
    </row>
    <row r="2" spans="1:3" ht="15.95" customHeight="1" thickBot="1" x14ac:dyDescent="0.3">
      <c r="A2" s="939" t="s">
        <v>127</v>
      </c>
      <c r="B2" s="939"/>
      <c r="C2" s="139" t="s">
        <v>571</v>
      </c>
    </row>
    <row r="3" spans="1:3" ht="38.1" customHeight="1" thickBot="1" x14ac:dyDescent="0.3">
      <c r="A3" s="22" t="s">
        <v>72</v>
      </c>
      <c r="B3" s="23" t="s">
        <v>21</v>
      </c>
      <c r="C3" s="30" t="s">
        <v>600</v>
      </c>
    </row>
    <row r="4" spans="1:3" s="209" customFormat="1" ht="12" customHeight="1" thickBot="1" x14ac:dyDescent="0.25">
      <c r="A4" s="203" t="s">
        <v>446</v>
      </c>
      <c r="B4" s="204" t="s">
        <v>447</v>
      </c>
      <c r="C4" s="205" t="s">
        <v>448</v>
      </c>
    </row>
    <row r="5" spans="1:3" s="210" customFormat="1" ht="12" customHeight="1" thickBot="1" x14ac:dyDescent="0.25">
      <c r="A5" s="19" t="s">
        <v>22</v>
      </c>
      <c r="B5" s="20" t="s">
        <v>192</v>
      </c>
      <c r="C5" s="130">
        <f>+C6+C7+C8+C9+C10+C11</f>
        <v>0</v>
      </c>
    </row>
    <row r="6" spans="1:3" s="210" customFormat="1" ht="12" customHeight="1" x14ac:dyDescent="0.2">
      <c r="A6" s="14" t="s">
        <v>100</v>
      </c>
      <c r="B6" s="211" t="s">
        <v>193</v>
      </c>
      <c r="C6" s="132"/>
    </row>
    <row r="7" spans="1:3" s="210" customFormat="1" ht="12" customHeight="1" x14ac:dyDescent="0.2">
      <c r="A7" s="13" t="s">
        <v>101</v>
      </c>
      <c r="B7" s="212" t="s">
        <v>194</v>
      </c>
      <c r="C7" s="131"/>
    </row>
    <row r="8" spans="1:3" s="210" customFormat="1" ht="12" customHeight="1" x14ac:dyDescent="0.2">
      <c r="A8" s="13" t="s">
        <v>102</v>
      </c>
      <c r="B8" s="212" t="s">
        <v>562</v>
      </c>
      <c r="C8" s="131"/>
    </row>
    <row r="9" spans="1:3" s="210" customFormat="1" ht="12" customHeight="1" x14ac:dyDescent="0.2">
      <c r="A9" s="13" t="s">
        <v>103</v>
      </c>
      <c r="B9" s="212" t="s">
        <v>196</v>
      </c>
      <c r="C9" s="131"/>
    </row>
    <row r="10" spans="1:3" s="210" customFormat="1" ht="12" customHeight="1" x14ac:dyDescent="0.2">
      <c r="A10" s="13" t="s">
        <v>124</v>
      </c>
      <c r="B10" s="126" t="s">
        <v>449</v>
      </c>
      <c r="C10" s="131"/>
    </row>
    <row r="11" spans="1:3" s="210" customFormat="1" ht="12" customHeight="1" thickBot="1" x14ac:dyDescent="0.25">
      <c r="A11" s="15" t="s">
        <v>104</v>
      </c>
      <c r="B11" s="127" t="s">
        <v>450</v>
      </c>
      <c r="C11" s="131"/>
    </row>
    <row r="12" spans="1:3" s="210" customFormat="1" ht="12" customHeight="1" thickBot="1" x14ac:dyDescent="0.25">
      <c r="A12" s="19" t="s">
        <v>23</v>
      </c>
      <c r="B12" s="125" t="s">
        <v>197</v>
      </c>
      <c r="C12" s="130">
        <f>+C13+C14+C15+C16+C17</f>
        <v>0</v>
      </c>
    </row>
    <row r="13" spans="1:3" s="210" customFormat="1" ht="12" customHeight="1" x14ac:dyDescent="0.2">
      <c r="A13" s="14" t="s">
        <v>106</v>
      </c>
      <c r="B13" s="211" t="s">
        <v>198</v>
      </c>
      <c r="C13" s="132"/>
    </row>
    <row r="14" spans="1:3" s="210" customFormat="1" ht="12" customHeight="1" x14ac:dyDescent="0.2">
      <c r="A14" s="13" t="s">
        <v>107</v>
      </c>
      <c r="B14" s="212" t="s">
        <v>199</v>
      </c>
      <c r="C14" s="131"/>
    </row>
    <row r="15" spans="1:3" s="210" customFormat="1" ht="12" customHeight="1" x14ac:dyDescent="0.2">
      <c r="A15" s="13" t="s">
        <v>108</v>
      </c>
      <c r="B15" s="212" t="s">
        <v>368</v>
      </c>
      <c r="C15" s="131"/>
    </row>
    <row r="16" spans="1:3" s="210" customFormat="1" ht="12" customHeight="1" x14ac:dyDescent="0.2">
      <c r="A16" s="13" t="s">
        <v>109</v>
      </c>
      <c r="B16" s="212" t="s">
        <v>369</v>
      </c>
      <c r="C16" s="131"/>
    </row>
    <row r="17" spans="1:3" s="210" customFormat="1" ht="12" customHeight="1" x14ac:dyDescent="0.2">
      <c r="A17" s="13" t="s">
        <v>110</v>
      </c>
      <c r="B17" s="212" t="s">
        <v>200</v>
      </c>
      <c r="C17" s="131"/>
    </row>
    <row r="18" spans="1:3" s="210" customFormat="1" ht="12" customHeight="1" thickBot="1" x14ac:dyDescent="0.25">
      <c r="A18" s="15" t="s">
        <v>119</v>
      </c>
      <c r="B18" s="127" t="s">
        <v>201</v>
      </c>
      <c r="C18" s="133"/>
    </row>
    <row r="19" spans="1:3" s="210" customFormat="1" ht="12" customHeight="1" thickBot="1" x14ac:dyDescent="0.25">
      <c r="A19" s="19" t="s">
        <v>24</v>
      </c>
      <c r="B19" s="20" t="s">
        <v>202</v>
      </c>
      <c r="C19" s="130">
        <f>+C20+C21+C22+C23+C24</f>
        <v>0</v>
      </c>
    </row>
    <row r="20" spans="1:3" s="210" customFormat="1" ht="12" customHeight="1" x14ac:dyDescent="0.2">
      <c r="A20" s="14" t="s">
        <v>89</v>
      </c>
      <c r="B20" s="211" t="s">
        <v>203</v>
      </c>
      <c r="C20" s="132"/>
    </row>
    <row r="21" spans="1:3" s="210" customFormat="1" ht="12" customHeight="1" x14ac:dyDescent="0.2">
      <c r="A21" s="13" t="s">
        <v>90</v>
      </c>
      <c r="B21" s="212" t="s">
        <v>204</v>
      </c>
      <c r="C21" s="131"/>
    </row>
    <row r="22" spans="1:3" s="210" customFormat="1" ht="12" customHeight="1" x14ac:dyDescent="0.2">
      <c r="A22" s="13" t="s">
        <v>91</v>
      </c>
      <c r="B22" s="212" t="s">
        <v>370</v>
      </c>
      <c r="C22" s="131"/>
    </row>
    <row r="23" spans="1:3" s="210" customFormat="1" ht="12" customHeight="1" x14ac:dyDescent="0.2">
      <c r="A23" s="13" t="s">
        <v>92</v>
      </c>
      <c r="B23" s="212" t="s">
        <v>371</v>
      </c>
      <c r="C23" s="131"/>
    </row>
    <row r="24" spans="1:3" s="210" customFormat="1" ht="12" customHeight="1" x14ac:dyDescent="0.2">
      <c r="A24" s="13" t="s">
        <v>135</v>
      </c>
      <c r="B24" s="212" t="s">
        <v>205</v>
      </c>
      <c r="C24" s="131"/>
    </row>
    <row r="25" spans="1:3" s="210" customFormat="1" ht="12" customHeight="1" thickBot="1" x14ac:dyDescent="0.25">
      <c r="A25" s="15" t="s">
        <v>136</v>
      </c>
      <c r="B25" s="213" t="s">
        <v>206</v>
      </c>
      <c r="C25" s="133"/>
    </row>
    <row r="26" spans="1:3" s="210" customFormat="1" ht="12" customHeight="1" thickBot="1" x14ac:dyDescent="0.25">
      <c r="A26" s="19" t="s">
        <v>137</v>
      </c>
      <c r="B26" s="20" t="s">
        <v>207</v>
      </c>
      <c r="C26" s="135">
        <f>+C27+C31+C32+C33</f>
        <v>0</v>
      </c>
    </row>
    <row r="27" spans="1:3" s="210" customFormat="1" ht="12" customHeight="1" x14ac:dyDescent="0.2">
      <c r="A27" s="14" t="s">
        <v>208</v>
      </c>
      <c r="B27" s="211" t="s">
        <v>451</v>
      </c>
      <c r="C27" s="206">
        <f>+C28+C29+C30</f>
        <v>0</v>
      </c>
    </row>
    <row r="28" spans="1:3" s="210" customFormat="1" ht="12" customHeight="1" x14ac:dyDescent="0.2">
      <c r="A28" s="13" t="s">
        <v>209</v>
      </c>
      <c r="B28" s="212" t="s">
        <v>214</v>
      </c>
      <c r="C28" s="131"/>
    </row>
    <row r="29" spans="1:3" s="210" customFormat="1" ht="12" customHeight="1" x14ac:dyDescent="0.2">
      <c r="A29" s="13" t="s">
        <v>210</v>
      </c>
      <c r="B29" s="212" t="s">
        <v>215</v>
      </c>
      <c r="C29" s="131"/>
    </row>
    <row r="30" spans="1:3" s="210" customFormat="1" ht="12" customHeight="1" x14ac:dyDescent="0.2">
      <c r="A30" s="13" t="s">
        <v>452</v>
      </c>
      <c r="B30" s="269" t="s">
        <v>453</v>
      </c>
      <c r="C30" s="131"/>
    </row>
    <row r="31" spans="1:3" s="210" customFormat="1" ht="12" customHeight="1" x14ac:dyDescent="0.2">
      <c r="A31" s="13" t="s">
        <v>211</v>
      </c>
      <c r="B31" s="212" t="s">
        <v>216</v>
      </c>
      <c r="C31" s="131"/>
    </row>
    <row r="32" spans="1:3" s="210" customFormat="1" ht="12" customHeight="1" x14ac:dyDescent="0.2">
      <c r="A32" s="13" t="s">
        <v>212</v>
      </c>
      <c r="B32" s="212" t="s">
        <v>217</v>
      </c>
      <c r="C32" s="131"/>
    </row>
    <row r="33" spans="1:3" s="210" customFormat="1" ht="12" customHeight="1" thickBot="1" x14ac:dyDescent="0.25">
      <c r="A33" s="15" t="s">
        <v>213</v>
      </c>
      <c r="B33" s="213" t="s">
        <v>218</v>
      </c>
      <c r="C33" s="133"/>
    </row>
    <row r="34" spans="1:3" s="210" customFormat="1" ht="12" customHeight="1" thickBot="1" x14ac:dyDescent="0.25">
      <c r="A34" s="19" t="s">
        <v>26</v>
      </c>
      <c r="B34" s="20" t="s">
        <v>454</v>
      </c>
      <c r="C34" s="130">
        <f>SUM(C35:C45)</f>
        <v>6280164</v>
      </c>
    </row>
    <row r="35" spans="1:3" s="210" customFormat="1" ht="12" customHeight="1" x14ac:dyDescent="0.2">
      <c r="A35" s="14" t="s">
        <v>93</v>
      </c>
      <c r="B35" s="211" t="s">
        <v>221</v>
      </c>
      <c r="C35" s="132"/>
    </row>
    <row r="36" spans="1:3" s="210" customFormat="1" ht="12" customHeight="1" x14ac:dyDescent="0.2">
      <c r="A36" s="13" t="s">
        <v>94</v>
      </c>
      <c r="B36" s="212" t="s">
        <v>222</v>
      </c>
      <c r="C36" s="134">
        <v>4150000</v>
      </c>
    </row>
    <row r="37" spans="1:3" s="210" customFormat="1" ht="12" customHeight="1" x14ac:dyDescent="0.2">
      <c r="A37" s="13" t="s">
        <v>95</v>
      </c>
      <c r="B37" s="212" t="s">
        <v>223</v>
      </c>
      <c r="C37" s="134">
        <v>300000</v>
      </c>
    </row>
    <row r="38" spans="1:3" s="210" customFormat="1" ht="12" customHeight="1" x14ac:dyDescent="0.2">
      <c r="A38" s="13" t="s">
        <v>139</v>
      </c>
      <c r="B38" s="212" t="s">
        <v>224</v>
      </c>
      <c r="C38" s="134"/>
    </row>
    <row r="39" spans="1:3" s="210" customFormat="1" ht="12" customHeight="1" x14ac:dyDescent="0.2">
      <c r="A39" s="13" t="s">
        <v>140</v>
      </c>
      <c r="B39" s="212" t="s">
        <v>225</v>
      </c>
      <c r="C39" s="134"/>
    </row>
    <row r="40" spans="1:3" s="210" customFormat="1" ht="12" customHeight="1" x14ac:dyDescent="0.2">
      <c r="A40" s="13" t="s">
        <v>141</v>
      </c>
      <c r="B40" s="212" t="s">
        <v>226</v>
      </c>
      <c r="C40" s="134">
        <v>1229000</v>
      </c>
    </row>
    <row r="41" spans="1:3" s="210" customFormat="1" ht="12" customHeight="1" x14ac:dyDescent="0.2">
      <c r="A41" s="13" t="s">
        <v>142</v>
      </c>
      <c r="B41" s="212" t="s">
        <v>227</v>
      </c>
      <c r="C41" s="134"/>
    </row>
    <row r="42" spans="1:3" s="210" customFormat="1" ht="12" customHeight="1" x14ac:dyDescent="0.2">
      <c r="A42" s="13" t="s">
        <v>143</v>
      </c>
      <c r="B42" s="212" t="s">
        <v>559</v>
      </c>
      <c r="C42" s="134"/>
    </row>
    <row r="43" spans="1:3" s="210" customFormat="1" ht="12" customHeight="1" x14ac:dyDescent="0.2">
      <c r="A43" s="13" t="s">
        <v>219</v>
      </c>
      <c r="B43" s="212" t="s">
        <v>229</v>
      </c>
      <c r="C43" s="134"/>
    </row>
    <row r="44" spans="1:3" s="210" customFormat="1" ht="12" customHeight="1" x14ac:dyDescent="0.2">
      <c r="A44" s="15" t="s">
        <v>220</v>
      </c>
      <c r="B44" s="213" t="s">
        <v>455</v>
      </c>
      <c r="C44" s="200"/>
    </row>
    <row r="45" spans="1:3" s="210" customFormat="1" ht="12" customHeight="1" thickBot="1" x14ac:dyDescent="0.25">
      <c r="A45" s="15" t="s">
        <v>456</v>
      </c>
      <c r="B45" s="127" t="s">
        <v>230</v>
      </c>
      <c r="C45" s="905">
        <f>100000+501164</f>
        <v>601164</v>
      </c>
    </row>
    <row r="46" spans="1:3" s="210" customFormat="1" ht="12" customHeight="1" thickBot="1" x14ac:dyDescent="0.25">
      <c r="A46" s="19" t="s">
        <v>27</v>
      </c>
      <c r="B46" s="20" t="s">
        <v>231</v>
      </c>
      <c r="C46" s="130">
        <f>SUM(C47:C51)</f>
        <v>0</v>
      </c>
    </row>
    <row r="47" spans="1:3" s="210" customFormat="1" ht="12" customHeight="1" x14ac:dyDescent="0.2">
      <c r="A47" s="14" t="s">
        <v>96</v>
      </c>
      <c r="B47" s="211" t="s">
        <v>235</v>
      </c>
      <c r="C47" s="249"/>
    </row>
    <row r="48" spans="1:3" s="210" customFormat="1" ht="12" customHeight="1" x14ac:dyDescent="0.2">
      <c r="A48" s="13" t="s">
        <v>97</v>
      </c>
      <c r="B48" s="212" t="s">
        <v>236</v>
      </c>
      <c r="C48" s="134"/>
    </row>
    <row r="49" spans="1:3" s="210" customFormat="1" ht="12" customHeight="1" x14ac:dyDescent="0.2">
      <c r="A49" s="13" t="s">
        <v>232</v>
      </c>
      <c r="B49" s="212" t="s">
        <v>237</v>
      </c>
      <c r="C49" s="134"/>
    </row>
    <row r="50" spans="1:3" s="210" customFormat="1" ht="12" customHeight="1" x14ac:dyDescent="0.2">
      <c r="A50" s="13" t="s">
        <v>233</v>
      </c>
      <c r="B50" s="212" t="s">
        <v>238</v>
      </c>
      <c r="C50" s="134"/>
    </row>
    <row r="51" spans="1:3" s="210" customFormat="1" ht="12" customHeight="1" thickBot="1" x14ac:dyDescent="0.25">
      <c r="A51" s="15" t="s">
        <v>234</v>
      </c>
      <c r="B51" s="127" t="s">
        <v>239</v>
      </c>
      <c r="C51" s="200"/>
    </row>
    <row r="52" spans="1:3" s="210" customFormat="1" ht="12" customHeight="1" thickBot="1" x14ac:dyDescent="0.25">
      <c r="A52" s="19" t="s">
        <v>144</v>
      </c>
      <c r="B52" s="20" t="s">
        <v>240</v>
      </c>
      <c r="C52" s="130">
        <f>SUM(C53:C55)</f>
        <v>0</v>
      </c>
    </row>
    <row r="53" spans="1:3" s="210" customFormat="1" ht="12" customHeight="1" x14ac:dyDescent="0.2">
      <c r="A53" s="14" t="s">
        <v>98</v>
      </c>
      <c r="B53" s="211" t="s">
        <v>241</v>
      </c>
      <c r="C53" s="132"/>
    </row>
    <row r="54" spans="1:3" s="210" customFormat="1" ht="12" customHeight="1" x14ac:dyDescent="0.2">
      <c r="A54" s="13" t="s">
        <v>99</v>
      </c>
      <c r="B54" s="212" t="s">
        <v>372</v>
      </c>
      <c r="C54" s="131"/>
    </row>
    <row r="55" spans="1:3" s="210" customFormat="1" ht="12" customHeight="1" x14ac:dyDescent="0.2">
      <c r="A55" s="13" t="s">
        <v>244</v>
      </c>
      <c r="B55" s="212" t="s">
        <v>242</v>
      </c>
      <c r="C55" s="131"/>
    </row>
    <row r="56" spans="1:3" s="210" customFormat="1" ht="12" customHeight="1" thickBot="1" x14ac:dyDescent="0.25">
      <c r="A56" s="15" t="s">
        <v>245</v>
      </c>
      <c r="B56" s="127" t="s">
        <v>243</v>
      </c>
      <c r="C56" s="133"/>
    </row>
    <row r="57" spans="1:3" s="210" customFormat="1" ht="12" customHeight="1" thickBot="1" x14ac:dyDescent="0.25">
      <c r="A57" s="19" t="s">
        <v>29</v>
      </c>
      <c r="B57" s="125" t="s">
        <v>246</v>
      </c>
      <c r="C57" s="130">
        <f>SUM(C58:C60)</f>
        <v>0</v>
      </c>
    </row>
    <row r="58" spans="1:3" s="210" customFormat="1" ht="12" customHeight="1" x14ac:dyDescent="0.2">
      <c r="A58" s="14" t="s">
        <v>145</v>
      </c>
      <c r="B58" s="211" t="s">
        <v>248</v>
      </c>
      <c r="C58" s="134"/>
    </row>
    <row r="59" spans="1:3" s="210" customFormat="1" ht="12" customHeight="1" x14ac:dyDescent="0.2">
      <c r="A59" s="13" t="s">
        <v>146</v>
      </c>
      <c r="B59" s="212" t="s">
        <v>373</v>
      </c>
      <c r="C59" s="134"/>
    </row>
    <row r="60" spans="1:3" s="210" customFormat="1" ht="12" customHeight="1" x14ac:dyDescent="0.2">
      <c r="A60" s="13" t="s">
        <v>171</v>
      </c>
      <c r="B60" s="212" t="s">
        <v>249</v>
      </c>
      <c r="C60" s="134"/>
    </row>
    <row r="61" spans="1:3" s="210" customFormat="1" ht="12" customHeight="1" thickBot="1" x14ac:dyDescent="0.25">
      <c r="A61" s="15" t="s">
        <v>247</v>
      </c>
      <c r="B61" s="127" t="s">
        <v>250</v>
      </c>
      <c r="C61" s="134"/>
    </row>
    <row r="62" spans="1:3" s="210" customFormat="1" ht="12" customHeight="1" thickBot="1" x14ac:dyDescent="0.25">
      <c r="A62" s="270" t="s">
        <v>457</v>
      </c>
      <c r="B62" s="20" t="s">
        <v>251</v>
      </c>
      <c r="C62" s="135">
        <f>+C5+C12+C19+C26+C34+C46+C52+C57</f>
        <v>6280164</v>
      </c>
    </row>
    <row r="63" spans="1:3" s="210" customFormat="1" ht="12" customHeight="1" thickBot="1" x14ac:dyDescent="0.25">
      <c r="A63" s="271" t="s">
        <v>252</v>
      </c>
      <c r="B63" s="125" t="s">
        <v>253</v>
      </c>
      <c r="C63" s="130">
        <f>SUM(C64:C66)</f>
        <v>0</v>
      </c>
    </row>
    <row r="64" spans="1:3" s="210" customFormat="1" ht="12" customHeight="1" x14ac:dyDescent="0.2">
      <c r="A64" s="14" t="s">
        <v>284</v>
      </c>
      <c r="B64" s="211" t="s">
        <v>254</v>
      </c>
      <c r="C64" s="134"/>
    </row>
    <row r="65" spans="1:3" s="210" customFormat="1" ht="12" customHeight="1" x14ac:dyDescent="0.2">
      <c r="A65" s="13" t="s">
        <v>293</v>
      </c>
      <c r="B65" s="212" t="s">
        <v>255</v>
      </c>
      <c r="C65" s="134"/>
    </row>
    <row r="66" spans="1:3" s="210" customFormat="1" ht="12" customHeight="1" thickBot="1" x14ac:dyDescent="0.25">
      <c r="A66" s="15" t="s">
        <v>294</v>
      </c>
      <c r="B66" s="272" t="s">
        <v>458</v>
      </c>
      <c r="C66" s="134"/>
    </row>
    <row r="67" spans="1:3" s="210" customFormat="1" ht="12" customHeight="1" thickBot="1" x14ac:dyDescent="0.25">
      <c r="A67" s="271" t="s">
        <v>257</v>
      </c>
      <c r="B67" s="125" t="s">
        <v>258</v>
      </c>
      <c r="C67" s="130">
        <f>SUM(C68:C71)</f>
        <v>0</v>
      </c>
    </row>
    <row r="68" spans="1:3" s="210" customFormat="1" ht="12" customHeight="1" x14ac:dyDescent="0.2">
      <c r="A68" s="14" t="s">
        <v>125</v>
      </c>
      <c r="B68" s="211" t="s">
        <v>259</v>
      </c>
      <c r="C68" s="134"/>
    </row>
    <row r="69" spans="1:3" s="210" customFormat="1" ht="12" customHeight="1" x14ac:dyDescent="0.2">
      <c r="A69" s="13" t="s">
        <v>126</v>
      </c>
      <c r="B69" s="212" t="s">
        <v>260</v>
      </c>
      <c r="C69" s="134"/>
    </row>
    <row r="70" spans="1:3" s="210" customFormat="1" ht="12" customHeight="1" x14ac:dyDescent="0.2">
      <c r="A70" s="13" t="s">
        <v>285</v>
      </c>
      <c r="B70" s="212" t="s">
        <v>261</v>
      </c>
      <c r="C70" s="134"/>
    </row>
    <row r="71" spans="1:3" s="210" customFormat="1" ht="12" customHeight="1" thickBot="1" x14ac:dyDescent="0.25">
      <c r="A71" s="15" t="s">
        <v>286</v>
      </c>
      <c r="B71" s="127" t="s">
        <v>262</v>
      </c>
      <c r="C71" s="134"/>
    </row>
    <row r="72" spans="1:3" s="210" customFormat="1" ht="12" customHeight="1" thickBot="1" x14ac:dyDescent="0.25">
      <c r="A72" s="271" t="s">
        <v>263</v>
      </c>
      <c r="B72" s="125" t="s">
        <v>264</v>
      </c>
      <c r="C72" s="130">
        <f>SUM(C73:C74)</f>
        <v>0</v>
      </c>
    </row>
    <row r="73" spans="1:3" s="210" customFormat="1" ht="12" customHeight="1" x14ac:dyDescent="0.2">
      <c r="A73" s="14" t="s">
        <v>287</v>
      </c>
      <c r="B73" s="211" t="s">
        <v>265</v>
      </c>
      <c r="C73" s="134"/>
    </row>
    <row r="74" spans="1:3" s="210" customFormat="1" ht="12" customHeight="1" thickBot="1" x14ac:dyDescent="0.25">
      <c r="A74" s="15" t="s">
        <v>288</v>
      </c>
      <c r="B74" s="127" t="s">
        <v>266</v>
      </c>
      <c r="C74" s="134"/>
    </row>
    <row r="75" spans="1:3" s="210" customFormat="1" ht="12" customHeight="1" thickBot="1" x14ac:dyDescent="0.25">
      <c r="A75" s="271" t="s">
        <v>267</v>
      </c>
      <c r="B75" s="125" t="s">
        <v>268</v>
      </c>
      <c r="C75" s="130">
        <f>SUM(C76:C78)</f>
        <v>0</v>
      </c>
    </row>
    <row r="76" spans="1:3" s="210" customFormat="1" ht="12" customHeight="1" x14ac:dyDescent="0.2">
      <c r="A76" s="14" t="s">
        <v>289</v>
      </c>
      <c r="B76" s="211" t="s">
        <v>269</v>
      </c>
      <c r="C76" s="134"/>
    </row>
    <row r="77" spans="1:3" s="210" customFormat="1" ht="12" customHeight="1" x14ac:dyDescent="0.2">
      <c r="A77" s="13" t="s">
        <v>290</v>
      </c>
      <c r="B77" s="212" t="s">
        <v>270</v>
      </c>
      <c r="C77" s="134"/>
    </row>
    <row r="78" spans="1:3" s="210" customFormat="1" ht="12" customHeight="1" thickBot="1" x14ac:dyDescent="0.25">
      <c r="A78" s="15" t="s">
        <v>291</v>
      </c>
      <c r="B78" s="127" t="s">
        <v>271</v>
      </c>
      <c r="C78" s="134"/>
    </row>
    <row r="79" spans="1:3" s="210" customFormat="1" ht="12" customHeight="1" thickBot="1" x14ac:dyDescent="0.25">
      <c r="A79" s="271" t="s">
        <v>272</v>
      </c>
      <c r="B79" s="125" t="s">
        <v>292</v>
      </c>
      <c r="C79" s="130">
        <f>SUM(C80:C83)</f>
        <v>0</v>
      </c>
    </row>
    <row r="80" spans="1:3" s="210" customFormat="1" ht="12" customHeight="1" x14ac:dyDescent="0.2">
      <c r="A80" s="215" t="s">
        <v>273</v>
      </c>
      <c r="B80" s="211" t="s">
        <v>274</v>
      </c>
      <c r="C80" s="134"/>
    </row>
    <row r="81" spans="1:3" s="210" customFormat="1" ht="12" customHeight="1" x14ac:dyDescent="0.2">
      <c r="A81" s="216" t="s">
        <v>275</v>
      </c>
      <c r="B81" s="212" t="s">
        <v>276</v>
      </c>
      <c r="C81" s="134"/>
    </row>
    <row r="82" spans="1:3" s="210" customFormat="1" ht="12" customHeight="1" x14ac:dyDescent="0.2">
      <c r="A82" s="216" t="s">
        <v>277</v>
      </c>
      <c r="B82" s="212" t="s">
        <v>278</v>
      </c>
      <c r="C82" s="134"/>
    </row>
    <row r="83" spans="1:3" s="210" customFormat="1" ht="12" customHeight="1" thickBot="1" x14ac:dyDescent="0.25">
      <c r="A83" s="217" t="s">
        <v>279</v>
      </c>
      <c r="B83" s="127" t="s">
        <v>280</v>
      </c>
      <c r="C83" s="134"/>
    </row>
    <row r="84" spans="1:3" s="210" customFormat="1" ht="12" customHeight="1" thickBot="1" x14ac:dyDescent="0.25">
      <c r="A84" s="271" t="s">
        <v>281</v>
      </c>
      <c r="B84" s="125" t="s">
        <v>459</v>
      </c>
      <c r="C84" s="250"/>
    </row>
    <row r="85" spans="1:3" s="210" customFormat="1" ht="13.5" customHeight="1" thickBot="1" x14ac:dyDescent="0.25">
      <c r="A85" s="271" t="s">
        <v>283</v>
      </c>
      <c r="B85" s="125" t="s">
        <v>282</v>
      </c>
      <c r="C85" s="250"/>
    </row>
    <row r="86" spans="1:3" s="210" customFormat="1" ht="15.75" customHeight="1" thickBot="1" x14ac:dyDescent="0.25">
      <c r="A86" s="271" t="s">
        <v>295</v>
      </c>
      <c r="B86" s="218" t="s">
        <v>460</v>
      </c>
      <c r="C86" s="135">
        <f>+C63+C67+C72+C75+C79+C85+C84</f>
        <v>0</v>
      </c>
    </row>
    <row r="87" spans="1:3" s="210" customFormat="1" ht="16.5" customHeight="1" thickBot="1" x14ac:dyDescent="0.25">
      <c r="A87" s="273" t="s">
        <v>461</v>
      </c>
      <c r="B87" s="219" t="s">
        <v>462</v>
      </c>
      <c r="C87" s="135">
        <f>+C62+C86</f>
        <v>6280164</v>
      </c>
    </row>
    <row r="88" spans="1:3" s="210" customFormat="1" ht="83.25" customHeight="1" x14ac:dyDescent="0.2">
      <c r="A88" s="4"/>
      <c r="B88" s="5"/>
      <c r="C88" s="136"/>
    </row>
    <row r="89" spans="1:3" ht="16.5" customHeight="1" x14ac:dyDescent="0.25">
      <c r="A89" s="940" t="s">
        <v>50</v>
      </c>
      <c r="B89" s="940"/>
      <c r="C89" s="940"/>
    </row>
    <row r="90" spans="1:3" s="220" customFormat="1" ht="16.5" customHeight="1" thickBot="1" x14ac:dyDescent="0.3">
      <c r="A90" s="941" t="s">
        <v>128</v>
      </c>
      <c r="B90" s="941"/>
      <c r="C90" s="70" t="s">
        <v>571</v>
      </c>
    </row>
    <row r="91" spans="1:3" ht="38.1" customHeight="1" thickBot="1" x14ac:dyDescent="0.3">
      <c r="A91" s="22" t="s">
        <v>72</v>
      </c>
      <c r="B91" s="23" t="s">
        <v>51</v>
      </c>
      <c r="C91" s="30" t="str">
        <f>+C3</f>
        <v>2018. évi előirányzat</v>
      </c>
    </row>
    <row r="92" spans="1:3" s="209" customFormat="1" ht="12" customHeight="1" thickBot="1" x14ac:dyDescent="0.25">
      <c r="A92" s="26" t="s">
        <v>446</v>
      </c>
      <c r="B92" s="27" t="s">
        <v>447</v>
      </c>
      <c r="C92" s="28" t="s">
        <v>448</v>
      </c>
    </row>
    <row r="93" spans="1:3" ht="12" customHeight="1" thickBot="1" x14ac:dyDescent="0.3">
      <c r="A93" s="21" t="s">
        <v>22</v>
      </c>
      <c r="B93" s="25" t="s">
        <v>500</v>
      </c>
      <c r="C93" s="129">
        <f>C94+C95+C96+C97+C98+C111</f>
        <v>202638023</v>
      </c>
    </row>
    <row r="94" spans="1:3" ht="12" customHeight="1" x14ac:dyDescent="0.25">
      <c r="A94" s="16" t="s">
        <v>100</v>
      </c>
      <c r="B94" s="9" t="s">
        <v>52</v>
      </c>
      <c r="C94" s="906">
        <f>134654515-569836</f>
        <v>134084679</v>
      </c>
    </row>
    <row r="95" spans="1:3" ht="12" customHeight="1" x14ac:dyDescent="0.25">
      <c r="A95" s="13" t="s">
        <v>101</v>
      </c>
      <c r="B95" s="7" t="s">
        <v>147</v>
      </c>
      <c r="C95" s="907">
        <f>28757160+98926-416745</f>
        <v>28439341</v>
      </c>
    </row>
    <row r="96" spans="1:3" ht="12" customHeight="1" x14ac:dyDescent="0.25">
      <c r="A96" s="13" t="s">
        <v>102</v>
      </c>
      <c r="B96" s="7" t="s">
        <v>123</v>
      </c>
      <c r="C96" s="200">
        <v>40114003</v>
      </c>
    </row>
    <row r="97" spans="1:3" ht="12" customHeight="1" x14ac:dyDescent="0.25">
      <c r="A97" s="13" t="s">
        <v>103</v>
      </c>
      <c r="B97" s="10" t="s">
        <v>148</v>
      </c>
      <c r="C97" s="200"/>
    </row>
    <row r="98" spans="1:3" ht="12" customHeight="1" x14ac:dyDescent="0.25">
      <c r="A98" s="13" t="s">
        <v>114</v>
      </c>
      <c r="B98" s="18" t="s">
        <v>149</v>
      </c>
      <c r="C98" s="200"/>
    </row>
    <row r="99" spans="1:3" ht="12" customHeight="1" x14ac:dyDescent="0.25">
      <c r="A99" s="13" t="s">
        <v>104</v>
      </c>
      <c r="B99" s="7" t="s">
        <v>463</v>
      </c>
      <c r="C99" s="133"/>
    </row>
    <row r="100" spans="1:3" ht="12" customHeight="1" x14ac:dyDescent="0.25">
      <c r="A100" s="13" t="s">
        <v>105</v>
      </c>
      <c r="B100" s="74" t="s">
        <v>464</v>
      </c>
      <c r="C100" s="133"/>
    </row>
    <row r="101" spans="1:3" ht="12" customHeight="1" x14ac:dyDescent="0.25">
      <c r="A101" s="13" t="s">
        <v>115</v>
      </c>
      <c r="B101" s="74" t="s">
        <v>465</v>
      </c>
      <c r="C101" s="133"/>
    </row>
    <row r="102" spans="1:3" ht="12" customHeight="1" x14ac:dyDescent="0.25">
      <c r="A102" s="13" t="s">
        <v>116</v>
      </c>
      <c r="B102" s="72" t="s">
        <v>298</v>
      </c>
      <c r="C102" s="133"/>
    </row>
    <row r="103" spans="1:3" ht="12" customHeight="1" x14ac:dyDescent="0.25">
      <c r="A103" s="13" t="s">
        <v>117</v>
      </c>
      <c r="B103" s="73" t="s">
        <v>299</v>
      </c>
      <c r="C103" s="133"/>
    </row>
    <row r="104" spans="1:3" ht="12" customHeight="1" x14ac:dyDescent="0.25">
      <c r="A104" s="13" t="s">
        <v>118</v>
      </c>
      <c r="B104" s="73" t="s">
        <v>300</v>
      </c>
      <c r="C104" s="133"/>
    </row>
    <row r="105" spans="1:3" ht="12" customHeight="1" x14ac:dyDescent="0.25">
      <c r="A105" s="13" t="s">
        <v>120</v>
      </c>
      <c r="B105" s="72" t="s">
        <v>301</v>
      </c>
      <c r="C105" s="133"/>
    </row>
    <row r="106" spans="1:3" ht="12" customHeight="1" x14ac:dyDescent="0.25">
      <c r="A106" s="13" t="s">
        <v>150</v>
      </c>
      <c r="B106" s="72" t="s">
        <v>302</v>
      </c>
      <c r="C106" s="133"/>
    </row>
    <row r="107" spans="1:3" ht="12" customHeight="1" x14ac:dyDescent="0.25">
      <c r="A107" s="13" t="s">
        <v>296</v>
      </c>
      <c r="B107" s="73" t="s">
        <v>303</v>
      </c>
      <c r="C107" s="133"/>
    </row>
    <row r="108" spans="1:3" ht="12" customHeight="1" x14ac:dyDescent="0.25">
      <c r="A108" s="12" t="s">
        <v>297</v>
      </c>
      <c r="B108" s="74" t="s">
        <v>304</v>
      </c>
      <c r="C108" s="133"/>
    </row>
    <row r="109" spans="1:3" ht="12" customHeight="1" x14ac:dyDescent="0.25">
      <c r="A109" s="13" t="s">
        <v>466</v>
      </c>
      <c r="B109" s="74" t="s">
        <v>305</v>
      </c>
      <c r="C109" s="133"/>
    </row>
    <row r="110" spans="1:3" ht="12" customHeight="1" x14ac:dyDescent="0.25">
      <c r="A110" s="15" t="s">
        <v>467</v>
      </c>
      <c r="B110" s="74" t="s">
        <v>306</v>
      </c>
      <c r="C110" s="133"/>
    </row>
    <row r="111" spans="1:3" ht="12" customHeight="1" x14ac:dyDescent="0.25">
      <c r="A111" s="13" t="s">
        <v>468</v>
      </c>
      <c r="B111" s="10" t="s">
        <v>53</v>
      </c>
      <c r="C111" s="131"/>
    </row>
    <row r="112" spans="1:3" ht="12" customHeight="1" x14ac:dyDescent="0.25">
      <c r="A112" s="13" t="s">
        <v>469</v>
      </c>
      <c r="B112" s="7" t="s">
        <v>470</v>
      </c>
      <c r="C112" s="131"/>
    </row>
    <row r="113" spans="1:3" ht="12" customHeight="1" thickBot="1" x14ac:dyDescent="0.3">
      <c r="A113" s="17" t="s">
        <v>471</v>
      </c>
      <c r="B113" s="274" t="s">
        <v>472</v>
      </c>
      <c r="C113" s="137"/>
    </row>
    <row r="114" spans="1:3" ht="12" customHeight="1" thickBot="1" x14ac:dyDescent="0.3">
      <c r="A114" s="275" t="s">
        <v>23</v>
      </c>
      <c r="B114" s="276" t="s">
        <v>307</v>
      </c>
      <c r="C114" s="277">
        <f>+C115+C117+C119</f>
        <v>4919980</v>
      </c>
    </row>
    <row r="115" spans="1:3" ht="12" customHeight="1" x14ac:dyDescent="0.25">
      <c r="A115" s="14" t="s">
        <v>106</v>
      </c>
      <c r="B115" s="7" t="s">
        <v>170</v>
      </c>
      <c r="C115" s="249">
        <v>4919980</v>
      </c>
    </row>
    <row r="116" spans="1:3" ht="12" customHeight="1" x14ac:dyDescent="0.25">
      <c r="A116" s="14" t="s">
        <v>107</v>
      </c>
      <c r="B116" s="11" t="s">
        <v>311</v>
      </c>
      <c r="C116" s="132"/>
    </row>
    <row r="117" spans="1:3" ht="12" customHeight="1" x14ac:dyDescent="0.25">
      <c r="A117" s="14" t="s">
        <v>108</v>
      </c>
      <c r="B117" s="11" t="s">
        <v>151</v>
      </c>
      <c r="C117" s="131"/>
    </row>
    <row r="118" spans="1:3" ht="12" customHeight="1" x14ac:dyDescent="0.25">
      <c r="A118" s="14" t="s">
        <v>109</v>
      </c>
      <c r="B118" s="11" t="s">
        <v>312</v>
      </c>
      <c r="C118" s="115"/>
    </row>
    <row r="119" spans="1:3" ht="12" customHeight="1" x14ac:dyDescent="0.25">
      <c r="A119" s="14" t="s">
        <v>110</v>
      </c>
      <c r="B119" s="127" t="s">
        <v>172</v>
      </c>
      <c r="C119" s="285"/>
    </row>
    <row r="120" spans="1:3" ht="12" customHeight="1" x14ac:dyDescent="0.25">
      <c r="A120" s="14" t="s">
        <v>119</v>
      </c>
      <c r="B120" s="126" t="s">
        <v>374</v>
      </c>
      <c r="C120" s="285"/>
    </row>
    <row r="121" spans="1:3" ht="12" customHeight="1" x14ac:dyDescent="0.25">
      <c r="A121" s="14" t="s">
        <v>121</v>
      </c>
      <c r="B121" s="207" t="s">
        <v>317</v>
      </c>
      <c r="C121" s="285"/>
    </row>
    <row r="122" spans="1:3" x14ac:dyDescent="0.25">
      <c r="A122" s="14" t="s">
        <v>152</v>
      </c>
      <c r="B122" s="73" t="s">
        <v>300</v>
      </c>
      <c r="C122" s="285"/>
    </row>
    <row r="123" spans="1:3" ht="12" customHeight="1" x14ac:dyDescent="0.25">
      <c r="A123" s="14" t="s">
        <v>153</v>
      </c>
      <c r="B123" s="73" t="s">
        <v>316</v>
      </c>
      <c r="C123" s="285"/>
    </row>
    <row r="124" spans="1:3" ht="12" customHeight="1" x14ac:dyDescent="0.25">
      <c r="A124" s="14" t="s">
        <v>154</v>
      </c>
      <c r="B124" s="73" t="s">
        <v>315</v>
      </c>
      <c r="C124" s="285"/>
    </row>
    <row r="125" spans="1:3" ht="12" customHeight="1" x14ac:dyDescent="0.25">
      <c r="A125" s="14" t="s">
        <v>308</v>
      </c>
      <c r="B125" s="73" t="s">
        <v>303</v>
      </c>
      <c r="C125" s="285"/>
    </row>
    <row r="126" spans="1:3" ht="12" customHeight="1" x14ac:dyDescent="0.25">
      <c r="A126" s="14" t="s">
        <v>309</v>
      </c>
      <c r="B126" s="73" t="s">
        <v>314</v>
      </c>
      <c r="C126" s="115"/>
    </row>
    <row r="127" spans="1:3" ht="16.5" thickBot="1" x14ac:dyDescent="0.3">
      <c r="A127" s="12" t="s">
        <v>310</v>
      </c>
      <c r="B127" s="73" t="s">
        <v>313</v>
      </c>
      <c r="C127" s="116"/>
    </row>
    <row r="128" spans="1:3" ht="12" customHeight="1" thickBot="1" x14ac:dyDescent="0.3">
      <c r="A128" s="19" t="s">
        <v>24</v>
      </c>
      <c r="B128" s="68" t="s">
        <v>473</v>
      </c>
      <c r="C128" s="130">
        <f>+C93+C114</f>
        <v>207558003</v>
      </c>
    </row>
    <row r="129" spans="1:3" ht="12" customHeight="1" thickBot="1" x14ac:dyDescent="0.3">
      <c r="A129" s="19" t="s">
        <v>25</v>
      </c>
      <c r="B129" s="68" t="s">
        <v>474</v>
      </c>
      <c r="C129" s="130">
        <f>+C130+C131+C132</f>
        <v>0</v>
      </c>
    </row>
    <row r="130" spans="1:3" ht="12" customHeight="1" x14ac:dyDescent="0.25">
      <c r="A130" s="14" t="s">
        <v>208</v>
      </c>
      <c r="B130" s="11" t="s">
        <v>475</v>
      </c>
      <c r="C130" s="115"/>
    </row>
    <row r="131" spans="1:3" ht="12" customHeight="1" x14ac:dyDescent="0.25">
      <c r="A131" s="14" t="s">
        <v>211</v>
      </c>
      <c r="B131" s="11" t="s">
        <v>476</v>
      </c>
      <c r="C131" s="115"/>
    </row>
    <row r="132" spans="1:3" ht="12" customHeight="1" thickBot="1" x14ac:dyDescent="0.3">
      <c r="A132" s="12" t="s">
        <v>212</v>
      </c>
      <c r="B132" s="11" t="s">
        <v>477</v>
      </c>
      <c r="C132" s="115"/>
    </row>
    <row r="133" spans="1:3" ht="12" customHeight="1" thickBot="1" x14ac:dyDescent="0.3">
      <c r="A133" s="19" t="s">
        <v>26</v>
      </c>
      <c r="B133" s="68" t="s">
        <v>478</v>
      </c>
      <c r="C133" s="130">
        <f>SUM(C134:C139)</f>
        <v>0</v>
      </c>
    </row>
    <row r="134" spans="1:3" ht="12" customHeight="1" x14ac:dyDescent="0.25">
      <c r="A134" s="14" t="s">
        <v>93</v>
      </c>
      <c r="B134" s="8" t="s">
        <v>479</v>
      </c>
      <c r="C134" s="115"/>
    </row>
    <row r="135" spans="1:3" ht="12" customHeight="1" x14ac:dyDescent="0.25">
      <c r="A135" s="14" t="s">
        <v>94</v>
      </c>
      <c r="B135" s="8" t="s">
        <v>480</v>
      </c>
      <c r="C135" s="115"/>
    </row>
    <row r="136" spans="1:3" ht="12" customHeight="1" x14ac:dyDescent="0.25">
      <c r="A136" s="14" t="s">
        <v>95</v>
      </c>
      <c r="B136" s="8" t="s">
        <v>481</v>
      </c>
      <c r="C136" s="115"/>
    </row>
    <row r="137" spans="1:3" ht="12" customHeight="1" x14ac:dyDescent="0.25">
      <c r="A137" s="14" t="s">
        <v>139</v>
      </c>
      <c r="B137" s="8" t="s">
        <v>482</v>
      </c>
      <c r="C137" s="115"/>
    </row>
    <row r="138" spans="1:3" ht="12" customHeight="1" x14ac:dyDescent="0.25">
      <c r="A138" s="14" t="s">
        <v>140</v>
      </c>
      <c r="B138" s="8" t="s">
        <v>483</v>
      </c>
      <c r="C138" s="115"/>
    </row>
    <row r="139" spans="1:3" ht="12" customHeight="1" thickBot="1" x14ac:dyDescent="0.3">
      <c r="A139" s="12" t="s">
        <v>141</v>
      </c>
      <c r="B139" s="8" t="s">
        <v>484</v>
      </c>
      <c r="C139" s="115"/>
    </row>
    <row r="140" spans="1:3" ht="12" customHeight="1" thickBot="1" x14ac:dyDescent="0.3">
      <c r="A140" s="19" t="s">
        <v>27</v>
      </c>
      <c r="B140" s="68" t="s">
        <v>485</v>
      </c>
      <c r="C140" s="135">
        <f>+C141+C142+C143+C144</f>
        <v>0</v>
      </c>
    </row>
    <row r="141" spans="1:3" ht="12" customHeight="1" x14ac:dyDescent="0.25">
      <c r="A141" s="14" t="s">
        <v>96</v>
      </c>
      <c r="B141" s="8" t="s">
        <v>318</v>
      </c>
      <c r="C141" s="115"/>
    </row>
    <row r="142" spans="1:3" ht="12" customHeight="1" x14ac:dyDescent="0.25">
      <c r="A142" s="14" t="s">
        <v>97</v>
      </c>
      <c r="B142" s="8" t="s">
        <v>319</v>
      </c>
      <c r="C142" s="115"/>
    </row>
    <row r="143" spans="1:3" ht="12" customHeight="1" x14ac:dyDescent="0.25">
      <c r="A143" s="14" t="s">
        <v>232</v>
      </c>
      <c r="B143" s="8" t="s">
        <v>486</v>
      </c>
      <c r="C143" s="115"/>
    </row>
    <row r="144" spans="1:3" ht="12" customHeight="1" thickBot="1" x14ac:dyDescent="0.3">
      <c r="A144" s="12" t="s">
        <v>233</v>
      </c>
      <c r="B144" s="6" t="s">
        <v>337</v>
      </c>
      <c r="C144" s="115"/>
    </row>
    <row r="145" spans="1:6" ht="12" customHeight="1" thickBot="1" x14ac:dyDescent="0.3">
      <c r="A145" s="19" t="s">
        <v>28</v>
      </c>
      <c r="B145" s="68" t="s">
        <v>487</v>
      </c>
      <c r="C145" s="138">
        <f>SUM(C146:C150)</f>
        <v>0</v>
      </c>
    </row>
    <row r="146" spans="1:6" ht="12" customHeight="1" x14ac:dyDescent="0.25">
      <c r="A146" s="14" t="s">
        <v>98</v>
      </c>
      <c r="B146" s="8" t="s">
        <v>488</v>
      </c>
      <c r="C146" s="115"/>
    </row>
    <row r="147" spans="1:6" ht="12" customHeight="1" x14ac:dyDescent="0.25">
      <c r="A147" s="14" t="s">
        <v>99</v>
      </c>
      <c r="B147" s="8" t="s">
        <v>489</v>
      </c>
      <c r="C147" s="115"/>
    </row>
    <row r="148" spans="1:6" ht="12" customHeight="1" x14ac:dyDescent="0.25">
      <c r="A148" s="14" t="s">
        <v>244</v>
      </c>
      <c r="B148" s="8" t="s">
        <v>490</v>
      </c>
      <c r="C148" s="115"/>
    </row>
    <row r="149" spans="1:6" ht="12" customHeight="1" x14ac:dyDescent="0.25">
      <c r="A149" s="14" t="s">
        <v>245</v>
      </c>
      <c r="B149" s="8" t="s">
        <v>491</v>
      </c>
      <c r="C149" s="115"/>
    </row>
    <row r="150" spans="1:6" ht="12" customHeight="1" thickBot="1" x14ac:dyDescent="0.3">
      <c r="A150" s="14" t="s">
        <v>492</v>
      </c>
      <c r="B150" s="8" t="s">
        <v>493</v>
      </c>
      <c r="C150" s="115"/>
    </row>
    <row r="151" spans="1:6" ht="12" customHeight="1" thickBot="1" x14ac:dyDescent="0.3">
      <c r="A151" s="19" t="s">
        <v>29</v>
      </c>
      <c r="B151" s="68" t="s">
        <v>494</v>
      </c>
      <c r="C151" s="278"/>
    </row>
    <row r="152" spans="1:6" ht="12" customHeight="1" thickBot="1" x14ac:dyDescent="0.3">
      <c r="A152" s="19" t="s">
        <v>30</v>
      </c>
      <c r="B152" s="68" t="s">
        <v>495</v>
      </c>
      <c r="C152" s="278"/>
    </row>
    <row r="153" spans="1:6" ht="15" customHeight="1" thickBot="1" x14ac:dyDescent="0.3">
      <c r="A153" s="19" t="s">
        <v>31</v>
      </c>
      <c r="B153" s="68" t="s">
        <v>496</v>
      </c>
      <c r="C153" s="221">
        <f>+C129+C133+C140+C145+C151+C152</f>
        <v>0</v>
      </c>
      <c r="D153" s="222"/>
      <c r="E153" s="222"/>
      <c r="F153" s="222"/>
    </row>
    <row r="154" spans="1:6" s="210" customFormat="1" ht="12.95" customHeight="1" thickBot="1" x14ac:dyDescent="0.25">
      <c r="A154" s="128" t="s">
        <v>32</v>
      </c>
      <c r="B154" s="196" t="s">
        <v>497</v>
      </c>
      <c r="C154" s="221">
        <f>+C128+C153</f>
        <v>207558003</v>
      </c>
    </row>
    <row r="155" spans="1:6" ht="7.5" customHeight="1" x14ac:dyDescent="0.25"/>
    <row r="156" spans="1:6" x14ac:dyDescent="0.25">
      <c r="A156" s="942" t="s">
        <v>320</v>
      </c>
      <c r="B156" s="942"/>
      <c r="C156" s="942"/>
    </row>
    <row r="157" spans="1:6" ht="15" customHeight="1" thickBot="1" x14ac:dyDescent="0.3">
      <c r="A157" s="939" t="s">
        <v>129</v>
      </c>
      <c r="B157" s="939"/>
      <c r="C157" s="139" t="s">
        <v>571</v>
      </c>
    </row>
    <row r="158" spans="1:6" ht="13.5" customHeight="1" thickBot="1" x14ac:dyDescent="0.3">
      <c r="A158" s="19">
        <v>1</v>
      </c>
      <c r="B158" s="24" t="s">
        <v>498</v>
      </c>
      <c r="C158" s="130">
        <f>+C62-C128</f>
        <v>-201277839</v>
      </c>
    </row>
    <row r="159" spans="1:6" ht="32.25" customHeight="1" thickBot="1" x14ac:dyDescent="0.3">
      <c r="A159" s="19" t="s">
        <v>23</v>
      </c>
      <c r="B159" s="24" t="s">
        <v>499</v>
      </c>
      <c r="C159" s="130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4/2018.(III.29.)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zoomScaleNormal="100" zoomScaleSheetLayoutView="100" workbookViewId="0">
      <selection activeCell="E14" sqref="E14"/>
    </sheetView>
  </sheetViews>
  <sheetFormatPr defaultRowHeight="12.75" x14ac:dyDescent="0.2"/>
  <cols>
    <col min="1" max="1" width="6.83203125" style="37" customWidth="1"/>
    <col min="2" max="2" width="55.1640625" style="81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 x14ac:dyDescent="0.2">
      <c r="B1" s="146" t="s">
        <v>132</v>
      </c>
      <c r="C1" s="147"/>
      <c r="D1" s="147"/>
      <c r="E1" s="147"/>
      <c r="F1" s="944"/>
    </row>
    <row r="2" spans="1:6" ht="14.25" thickBot="1" x14ac:dyDescent="0.25">
      <c r="E2" s="148" t="s">
        <v>573</v>
      </c>
      <c r="F2" s="944"/>
    </row>
    <row r="3" spans="1:6" ht="18" customHeight="1" thickBot="1" x14ac:dyDescent="0.25">
      <c r="A3" s="945" t="s">
        <v>72</v>
      </c>
      <c r="B3" s="149" t="s">
        <v>59</v>
      </c>
      <c r="C3" s="150"/>
      <c r="D3" s="149" t="s">
        <v>60</v>
      </c>
      <c r="E3" s="151"/>
      <c r="F3" s="944"/>
    </row>
    <row r="4" spans="1:6" s="152" customFormat="1" ht="35.25" customHeight="1" thickBot="1" x14ac:dyDescent="0.25">
      <c r="A4" s="946"/>
      <c r="B4" s="82" t="s">
        <v>65</v>
      </c>
      <c r="C4" s="30" t="s">
        <v>601</v>
      </c>
      <c r="D4" s="82" t="s">
        <v>65</v>
      </c>
      <c r="E4" s="36" t="str">
        <f>+C4</f>
        <v>2018.évi előirányzat</v>
      </c>
      <c r="F4" s="944"/>
    </row>
    <row r="5" spans="1:6" s="157" customFormat="1" ht="12" customHeight="1" thickBot="1" x14ac:dyDescent="0.25">
      <c r="A5" s="153" t="s">
        <v>446</v>
      </c>
      <c r="B5" s="154" t="s">
        <v>447</v>
      </c>
      <c r="C5" s="155" t="s">
        <v>448</v>
      </c>
      <c r="D5" s="154" t="s">
        <v>501</v>
      </c>
      <c r="E5" s="156" t="s">
        <v>502</v>
      </c>
      <c r="F5" s="944"/>
    </row>
    <row r="6" spans="1:6" ht="12.95" customHeight="1" x14ac:dyDescent="0.2">
      <c r="A6" s="158" t="s">
        <v>22</v>
      </c>
      <c r="B6" s="159" t="s">
        <v>321</v>
      </c>
      <c r="C6" s="893">
        <v>1318891068</v>
      </c>
      <c r="D6" s="175" t="s">
        <v>66</v>
      </c>
      <c r="E6" s="895">
        <v>973206020</v>
      </c>
      <c r="F6" s="944"/>
    </row>
    <row r="7" spans="1:6" ht="12.95" customHeight="1" x14ac:dyDescent="0.2">
      <c r="A7" s="160" t="s">
        <v>23</v>
      </c>
      <c r="B7" s="161" t="s">
        <v>322</v>
      </c>
      <c r="C7" s="894">
        <v>180621440</v>
      </c>
      <c r="D7" s="165" t="s">
        <v>147</v>
      </c>
      <c r="E7" s="896">
        <v>205386585</v>
      </c>
      <c r="F7" s="944"/>
    </row>
    <row r="8" spans="1:6" ht="12.95" customHeight="1" x14ac:dyDescent="0.2">
      <c r="A8" s="160" t="s">
        <v>24</v>
      </c>
      <c r="B8" s="161" t="s">
        <v>342</v>
      </c>
      <c r="C8" s="43">
        <f>399535</f>
        <v>399535</v>
      </c>
      <c r="D8" s="165" t="s">
        <v>175</v>
      </c>
      <c r="E8" s="896">
        <v>914785804</v>
      </c>
      <c r="F8" s="944"/>
    </row>
    <row r="9" spans="1:6" ht="12.95" customHeight="1" x14ac:dyDescent="0.2">
      <c r="A9" s="160" t="s">
        <v>25</v>
      </c>
      <c r="B9" s="161" t="s">
        <v>138</v>
      </c>
      <c r="C9" s="43">
        <f>352658000</f>
        <v>352658000</v>
      </c>
      <c r="D9" s="165" t="s">
        <v>148</v>
      </c>
      <c r="E9" s="44">
        <v>97250000</v>
      </c>
      <c r="F9" s="944"/>
    </row>
    <row r="10" spans="1:6" ht="12.95" customHeight="1" x14ac:dyDescent="0.2">
      <c r="A10" s="160" t="s">
        <v>26</v>
      </c>
      <c r="B10" s="162" t="s">
        <v>367</v>
      </c>
      <c r="C10" s="894">
        <v>431892325</v>
      </c>
      <c r="D10" s="165" t="s">
        <v>149</v>
      </c>
      <c r="E10" s="44">
        <v>148261084</v>
      </c>
      <c r="F10" s="944"/>
    </row>
    <row r="11" spans="1:6" ht="12.95" customHeight="1" x14ac:dyDescent="0.2">
      <c r="A11" s="160" t="s">
        <v>27</v>
      </c>
      <c r="B11" s="161" t="s">
        <v>323</v>
      </c>
      <c r="C11" s="295">
        <f>4766000</f>
        <v>4766000</v>
      </c>
      <c r="D11" s="165" t="s">
        <v>53</v>
      </c>
      <c r="E11" s="896">
        <v>68990293</v>
      </c>
      <c r="F11" s="944"/>
    </row>
    <row r="12" spans="1:6" ht="12.95" customHeight="1" x14ac:dyDescent="0.2">
      <c r="A12" s="160" t="s">
        <v>28</v>
      </c>
      <c r="B12" s="161" t="s">
        <v>503</v>
      </c>
      <c r="C12" s="43"/>
      <c r="D12" s="357"/>
      <c r="E12" s="44"/>
      <c r="F12" s="944"/>
    </row>
    <row r="13" spans="1:6" ht="12.95" customHeight="1" x14ac:dyDescent="0.2">
      <c r="A13" s="160" t="s">
        <v>29</v>
      </c>
      <c r="B13" s="34"/>
      <c r="C13" s="43"/>
      <c r="D13" s="357"/>
      <c r="E13" s="44"/>
      <c r="F13" s="944"/>
    </row>
    <row r="14" spans="1:6" ht="12.95" customHeight="1" x14ac:dyDescent="0.2">
      <c r="A14" s="160" t="s">
        <v>30</v>
      </c>
      <c r="B14" s="223"/>
      <c r="C14" s="295"/>
      <c r="D14" s="357"/>
      <c r="E14" s="44"/>
      <c r="F14" s="944"/>
    </row>
    <row r="15" spans="1:6" ht="12.95" customHeight="1" x14ac:dyDescent="0.2">
      <c r="A15" s="160" t="s">
        <v>31</v>
      </c>
      <c r="B15" s="34"/>
      <c r="C15" s="43"/>
      <c r="D15" s="357"/>
      <c r="E15" s="44"/>
      <c r="F15" s="944"/>
    </row>
    <row r="16" spans="1:6" ht="12.95" customHeight="1" x14ac:dyDescent="0.2">
      <c r="A16" s="160" t="s">
        <v>32</v>
      </c>
      <c r="B16" s="34"/>
      <c r="C16" s="43"/>
      <c r="D16" s="34"/>
      <c r="E16" s="44"/>
      <c r="F16" s="944"/>
    </row>
    <row r="17" spans="1:6" ht="12.95" customHeight="1" thickBot="1" x14ac:dyDescent="0.25">
      <c r="A17" s="160" t="s">
        <v>33</v>
      </c>
      <c r="B17" s="38"/>
      <c r="C17" s="709"/>
      <c r="D17" s="34"/>
      <c r="E17" s="143"/>
      <c r="F17" s="944"/>
    </row>
    <row r="18" spans="1:6" ht="15.95" customHeight="1" thickBot="1" x14ac:dyDescent="0.25">
      <c r="A18" s="163" t="s">
        <v>34</v>
      </c>
      <c r="B18" s="69" t="s">
        <v>504</v>
      </c>
      <c r="C18" s="140">
        <f>SUM(C6:C17)-C8</f>
        <v>2288828833</v>
      </c>
      <c r="D18" s="69" t="s">
        <v>328</v>
      </c>
      <c r="E18" s="144">
        <f>SUM(E6:E17)</f>
        <v>2407879786</v>
      </c>
      <c r="F18" s="944"/>
    </row>
    <row r="19" spans="1:6" ht="12.95" customHeight="1" x14ac:dyDescent="0.2">
      <c r="A19" s="562" t="s">
        <v>35</v>
      </c>
      <c r="B19" s="164" t="s">
        <v>325</v>
      </c>
      <c r="C19" s="252">
        <f>SUM(C20:C23)</f>
        <v>595229825</v>
      </c>
      <c r="D19" s="165" t="s">
        <v>155</v>
      </c>
      <c r="E19" s="145"/>
      <c r="F19" s="944"/>
    </row>
    <row r="20" spans="1:6" ht="12.95" customHeight="1" x14ac:dyDescent="0.2">
      <c r="A20" s="563" t="s">
        <v>36</v>
      </c>
      <c r="B20" s="165" t="s">
        <v>168</v>
      </c>
      <c r="C20" s="894">
        <v>595229825</v>
      </c>
      <c r="D20" s="165" t="s">
        <v>327</v>
      </c>
      <c r="E20" s="44">
        <v>100000000</v>
      </c>
      <c r="F20" s="944"/>
    </row>
    <row r="21" spans="1:6" ht="12.95" customHeight="1" x14ac:dyDescent="0.2">
      <c r="A21" s="563" t="s">
        <v>37</v>
      </c>
      <c r="B21" s="165" t="s">
        <v>169</v>
      </c>
      <c r="C21" s="43"/>
      <c r="D21" s="165" t="s">
        <v>130</v>
      </c>
      <c r="E21" s="44"/>
      <c r="F21" s="944"/>
    </row>
    <row r="22" spans="1:6" ht="12.95" customHeight="1" x14ac:dyDescent="0.2">
      <c r="A22" s="563" t="s">
        <v>38</v>
      </c>
      <c r="B22" s="165" t="s">
        <v>173</v>
      </c>
      <c r="C22" s="43"/>
      <c r="D22" s="165" t="s">
        <v>131</v>
      </c>
      <c r="E22" s="44"/>
      <c r="F22" s="944"/>
    </row>
    <row r="23" spans="1:6" ht="12.95" customHeight="1" x14ac:dyDescent="0.2">
      <c r="A23" s="563" t="s">
        <v>39</v>
      </c>
      <c r="B23" s="165" t="s">
        <v>174</v>
      </c>
      <c r="C23" s="43"/>
      <c r="D23" s="164" t="s">
        <v>176</v>
      </c>
      <c r="E23" s="44"/>
      <c r="F23" s="944"/>
    </row>
    <row r="24" spans="1:6" ht="12.95" customHeight="1" x14ac:dyDescent="0.2">
      <c r="A24" s="563" t="s">
        <v>40</v>
      </c>
      <c r="B24" s="165" t="s">
        <v>326</v>
      </c>
      <c r="C24" s="166">
        <f>SUM(C25:C28)</f>
        <v>100000000</v>
      </c>
      <c r="D24" s="165" t="s">
        <v>156</v>
      </c>
      <c r="E24" s="44"/>
      <c r="F24" s="944"/>
    </row>
    <row r="25" spans="1:6" ht="12.95" customHeight="1" x14ac:dyDescent="0.2">
      <c r="A25" s="562" t="s">
        <v>41</v>
      </c>
      <c r="B25" s="164" t="s">
        <v>324</v>
      </c>
      <c r="C25" s="141">
        <v>100000000</v>
      </c>
      <c r="D25" s="159" t="s">
        <v>486</v>
      </c>
      <c r="E25" s="145"/>
      <c r="F25" s="944"/>
    </row>
    <row r="26" spans="1:6" ht="12.95" customHeight="1" x14ac:dyDescent="0.2">
      <c r="A26" s="563" t="s">
        <v>42</v>
      </c>
      <c r="B26" s="165" t="s">
        <v>505</v>
      </c>
      <c r="C26" s="43"/>
      <c r="D26" s="161" t="s">
        <v>494</v>
      </c>
      <c r="E26" s="44"/>
      <c r="F26" s="944"/>
    </row>
    <row r="27" spans="1:6" ht="12.95" customHeight="1" x14ac:dyDescent="0.2">
      <c r="A27" s="160" t="s">
        <v>43</v>
      </c>
      <c r="B27" s="165" t="s">
        <v>459</v>
      </c>
      <c r="C27" s="43"/>
      <c r="D27" s="161" t="s">
        <v>495</v>
      </c>
      <c r="E27" s="44"/>
      <c r="F27" s="944"/>
    </row>
    <row r="28" spans="1:6" ht="12.95" customHeight="1" thickBot="1" x14ac:dyDescent="0.25">
      <c r="A28" s="199" t="s">
        <v>44</v>
      </c>
      <c r="B28" s="164" t="s">
        <v>282</v>
      </c>
      <c r="C28" s="141"/>
      <c r="D28" s="224" t="s">
        <v>564</v>
      </c>
      <c r="E28" s="145">
        <v>38167591</v>
      </c>
      <c r="F28" s="944"/>
    </row>
    <row r="29" spans="1:6" ht="13.5" customHeight="1" thickBot="1" x14ac:dyDescent="0.25">
      <c r="A29" s="163" t="s">
        <v>45</v>
      </c>
      <c r="B29" s="69" t="s">
        <v>506</v>
      </c>
      <c r="C29" s="140">
        <f>+C19+C24+C27+C28</f>
        <v>695229825</v>
      </c>
      <c r="D29" s="69" t="s">
        <v>507</v>
      </c>
      <c r="E29" s="144">
        <f>SUM(E19:E28)</f>
        <v>138167591</v>
      </c>
      <c r="F29" s="944"/>
    </row>
    <row r="30" spans="1:6" ht="13.5" thickBot="1" x14ac:dyDescent="0.25">
      <c r="A30" s="163" t="s">
        <v>46</v>
      </c>
      <c r="B30" s="167" t="s">
        <v>508</v>
      </c>
      <c r="C30" s="367">
        <f>+C18+C29</f>
        <v>2984058658</v>
      </c>
      <c r="D30" s="167" t="s">
        <v>509</v>
      </c>
      <c r="E30" s="367">
        <f>E29+E18</f>
        <v>2546047377</v>
      </c>
      <c r="F30" s="944"/>
    </row>
    <row r="31" spans="1:6" ht="13.5" thickBot="1" x14ac:dyDescent="0.25">
      <c r="A31" s="163" t="s">
        <v>47</v>
      </c>
      <c r="B31" s="167" t="s">
        <v>133</v>
      </c>
      <c r="C31" s="367">
        <f>IF(C18-E18&lt;0,E18-C18,"-")</f>
        <v>119050953</v>
      </c>
      <c r="D31" s="167" t="s">
        <v>134</v>
      </c>
      <c r="E31" s="367" t="str">
        <f>IF(C18-E18&gt;0,C18-E18,"-")</f>
        <v>-</v>
      </c>
      <c r="F31" s="944"/>
    </row>
    <row r="32" spans="1:6" ht="13.5" thickBot="1" x14ac:dyDescent="0.25">
      <c r="A32" s="163" t="s">
        <v>48</v>
      </c>
      <c r="B32" s="167" t="s">
        <v>177</v>
      </c>
      <c r="C32" s="168" t="str">
        <f>IF(C30-E30&lt;0,E30-C30,"-")</f>
        <v>-</v>
      </c>
      <c r="D32" s="167" t="s">
        <v>178</v>
      </c>
      <c r="E32" s="367">
        <f>IF(C30-E30&gt;0,C30-E30,"-")</f>
        <v>438011281</v>
      </c>
      <c r="F32" s="944"/>
    </row>
    <row r="33" spans="2:4" ht="18.75" x14ac:dyDescent="0.2">
      <c r="B33" s="947"/>
      <c r="C33" s="947"/>
      <c r="D33" s="94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4/2018.(III.29.)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zoomScaleNormal="100" zoomScaleSheetLayoutView="115" workbookViewId="0">
      <selection activeCell="B107" sqref="B107"/>
    </sheetView>
  </sheetViews>
  <sheetFormatPr defaultRowHeight="12.75" x14ac:dyDescent="0.2"/>
  <cols>
    <col min="1" max="1" width="6.83203125" style="37" customWidth="1"/>
    <col min="2" max="2" width="55.1640625" style="81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1.5" x14ac:dyDescent="0.2">
      <c r="B1" s="146" t="s">
        <v>598</v>
      </c>
      <c r="C1" s="147"/>
      <c r="D1" s="147" t="s">
        <v>599</v>
      </c>
      <c r="E1" s="883"/>
      <c r="F1" s="944"/>
    </row>
    <row r="2" spans="1:6" ht="14.25" thickBot="1" x14ac:dyDescent="0.25">
      <c r="E2" s="148" t="s">
        <v>573</v>
      </c>
      <c r="F2" s="944"/>
    </row>
    <row r="3" spans="1:6" ht="13.5" thickBot="1" x14ac:dyDescent="0.25">
      <c r="A3" s="948" t="s">
        <v>72</v>
      </c>
      <c r="B3" s="149" t="s">
        <v>59</v>
      </c>
      <c r="C3" s="150"/>
      <c r="D3" s="149" t="s">
        <v>60</v>
      </c>
      <c r="E3" s="151"/>
      <c r="F3" s="944"/>
    </row>
    <row r="4" spans="1:6" s="152" customFormat="1" ht="24.75" thickBot="1" x14ac:dyDescent="0.25">
      <c r="A4" s="949"/>
      <c r="B4" s="82" t="s">
        <v>65</v>
      </c>
      <c r="C4" s="30" t="s">
        <v>600</v>
      </c>
      <c r="D4" s="82" t="s">
        <v>65</v>
      </c>
      <c r="E4" s="30" t="s">
        <v>600</v>
      </c>
      <c r="F4" s="944"/>
    </row>
    <row r="5" spans="1:6" s="152" customFormat="1" ht="13.5" thickBot="1" x14ac:dyDescent="0.25">
      <c r="A5" s="153" t="s">
        <v>446</v>
      </c>
      <c r="B5" s="154" t="s">
        <v>447</v>
      </c>
      <c r="C5" s="155" t="s">
        <v>448</v>
      </c>
      <c r="D5" s="154" t="s">
        <v>501</v>
      </c>
      <c r="E5" s="156" t="s">
        <v>502</v>
      </c>
      <c r="F5" s="944"/>
    </row>
    <row r="6" spans="1:6" ht="12.95" customHeight="1" x14ac:dyDescent="0.2">
      <c r="A6" s="158" t="s">
        <v>22</v>
      </c>
      <c r="B6" s="159" t="s">
        <v>329</v>
      </c>
      <c r="C6" s="897">
        <v>13442271</v>
      </c>
      <c r="D6" s="175" t="s">
        <v>170</v>
      </c>
      <c r="E6" s="895">
        <v>306421603</v>
      </c>
      <c r="F6" s="944"/>
    </row>
    <row r="7" spans="1:6" ht="12.75" customHeight="1" x14ac:dyDescent="0.2">
      <c r="A7" s="160" t="s">
        <v>23</v>
      </c>
      <c r="B7" s="161" t="s">
        <v>330</v>
      </c>
      <c r="C7" s="43">
        <v>13442271</v>
      </c>
      <c r="D7" s="165" t="s">
        <v>335</v>
      </c>
      <c r="E7" s="313">
        <v>266452313</v>
      </c>
      <c r="F7" s="944"/>
    </row>
    <row r="8" spans="1:6" ht="12.95" customHeight="1" x14ac:dyDescent="0.2">
      <c r="A8" s="160" t="s">
        <v>24</v>
      </c>
      <c r="B8" s="161" t="s">
        <v>15</v>
      </c>
      <c r="C8" s="43">
        <v>30332500</v>
      </c>
      <c r="D8" s="165" t="s">
        <v>151</v>
      </c>
      <c r="E8" s="44">
        <v>182810962</v>
      </c>
      <c r="F8" s="944"/>
    </row>
    <row r="9" spans="1:6" ht="12.95" customHeight="1" x14ac:dyDescent="0.2">
      <c r="A9" s="160" t="s">
        <v>25</v>
      </c>
      <c r="B9" s="161" t="s">
        <v>331</v>
      </c>
      <c r="C9" s="43"/>
      <c r="D9" s="165" t="s">
        <v>336</v>
      </c>
      <c r="E9" s="285">
        <v>146098020</v>
      </c>
      <c r="F9" s="944"/>
    </row>
    <row r="10" spans="1:6" ht="12.75" customHeight="1" x14ac:dyDescent="0.2">
      <c r="A10" s="160" t="s">
        <v>26</v>
      </c>
      <c r="B10" s="161" t="s">
        <v>332</v>
      </c>
      <c r="C10" s="43"/>
      <c r="D10" s="165" t="s">
        <v>172</v>
      </c>
      <c r="E10" s="44">
        <v>65710721</v>
      </c>
      <c r="F10" s="944"/>
    </row>
    <row r="11" spans="1:6" ht="12.95" customHeight="1" x14ac:dyDescent="0.2">
      <c r="A11" s="160" t="s">
        <v>27</v>
      </c>
      <c r="B11" s="161" t="s">
        <v>333</v>
      </c>
      <c r="C11" s="295"/>
      <c r="D11" s="279"/>
      <c r="E11" s="44"/>
      <c r="F11" s="944"/>
    </row>
    <row r="12" spans="1:6" ht="12.95" customHeight="1" x14ac:dyDescent="0.2">
      <c r="A12" s="160" t="s">
        <v>28</v>
      </c>
      <c r="B12" s="34"/>
      <c r="C12" s="43"/>
      <c r="D12" s="279"/>
      <c r="E12" s="44"/>
      <c r="F12" s="944"/>
    </row>
    <row r="13" spans="1:6" ht="12.95" customHeight="1" x14ac:dyDescent="0.2">
      <c r="A13" s="160" t="s">
        <v>29</v>
      </c>
      <c r="B13" s="34"/>
      <c r="C13" s="43"/>
      <c r="D13" s="279"/>
      <c r="E13" s="44"/>
      <c r="F13" s="944"/>
    </row>
    <row r="14" spans="1:6" ht="12.95" customHeight="1" x14ac:dyDescent="0.2">
      <c r="A14" s="160" t="s">
        <v>30</v>
      </c>
      <c r="B14" s="280"/>
      <c r="C14" s="295"/>
      <c r="D14" s="279"/>
      <c r="E14" s="44"/>
      <c r="F14" s="944"/>
    </row>
    <row r="15" spans="1:6" x14ac:dyDescent="0.2">
      <c r="A15" s="160" t="s">
        <v>31</v>
      </c>
      <c r="B15" s="34"/>
      <c r="C15" s="295"/>
      <c r="D15" s="279"/>
      <c r="E15" s="44"/>
      <c r="F15" s="944"/>
    </row>
    <row r="16" spans="1:6" ht="12.95" customHeight="1" thickBot="1" x14ac:dyDescent="0.25">
      <c r="A16" s="199" t="s">
        <v>32</v>
      </c>
      <c r="B16" s="224"/>
      <c r="C16" s="358"/>
      <c r="D16" s="164" t="s">
        <v>53</v>
      </c>
      <c r="E16" s="145">
        <v>11834524</v>
      </c>
      <c r="F16" s="944"/>
    </row>
    <row r="17" spans="1:6" ht="15.95" customHeight="1" thickBot="1" x14ac:dyDescent="0.25">
      <c r="A17" s="163" t="s">
        <v>33</v>
      </c>
      <c r="B17" s="69" t="s">
        <v>343</v>
      </c>
      <c r="C17" s="140">
        <f>+C6+C8+C9+C11+C12+C13+C14+C15+C16</f>
        <v>43774771</v>
      </c>
      <c r="D17" s="69" t="s">
        <v>344</v>
      </c>
      <c r="E17" s="144">
        <f>+E6+E8+E10+E11+E12+E13+E14+E15+E16</f>
        <v>566777810</v>
      </c>
      <c r="F17" s="944"/>
    </row>
    <row r="18" spans="1:6" ht="12.95" customHeight="1" x14ac:dyDescent="0.2">
      <c r="A18" s="158" t="s">
        <v>34</v>
      </c>
      <c r="B18" s="171" t="s">
        <v>190</v>
      </c>
      <c r="C18" s="178">
        <f>+C19+C20+C21+C22+C23</f>
        <v>0</v>
      </c>
      <c r="D18" s="165" t="s">
        <v>155</v>
      </c>
      <c r="E18" s="42"/>
      <c r="F18" s="944"/>
    </row>
    <row r="19" spans="1:6" ht="12.95" customHeight="1" x14ac:dyDescent="0.2">
      <c r="A19" s="160" t="s">
        <v>35</v>
      </c>
      <c r="B19" s="172" t="s">
        <v>179</v>
      </c>
      <c r="C19" s="43"/>
      <c r="D19" s="165" t="s">
        <v>158</v>
      </c>
      <c r="E19" s="44"/>
      <c r="F19" s="944"/>
    </row>
    <row r="20" spans="1:6" ht="12.95" customHeight="1" x14ac:dyDescent="0.2">
      <c r="A20" s="158" t="s">
        <v>36</v>
      </c>
      <c r="B20" s="172" t="s">
        <v>180</v>
      </c>
      <c r="C20" s="43"/>
      <c r="D20" s="165" t="s">
        <v>130</v>
      </c>
      <c r="E20" s="44"/>
      <c r="F20" s="944"/>
    </row>
    <row r="21" spans="1:6" ht="12.95" customHeight="1" x14ac:dyDescent="0.2">
      <c r="A21" s="160" t="s">
        <v>37</v>
      </c>
      <c r="B21" s="172" t="s">
        <v>181</v>
      </c>
      <c r="C21" s="43"/>
      <c r="D21" s="165" t="s">
        <v>131</v>
      </c>
      <c r="E21" s="44">
        <v>8486704</v>
      </c>
      <c r="F21" s="944"/>
    </row>
    <row r="22" spans="1:6" ht="12.95" customHeight="1" x14ac:dyDescent="0.2">
      <c r="A22" s="158" t="s">
        <v>38</v>
      </c>
      <c r="B22" s="172" t="s">
        <v>182</v>
      </c>
      <c r="C22" s="43"/>
      <c r="D22" s="164" t="s">
        <v>176</v>
      </c>
      <c r="E22" s="44"/>
      <c r="F22" s="944"/>
    </row>
    <row r="23" spans="1:6" ht="12.95" customHeight="1" x14ac:dyDescent="0.2">
      <c r="A23" s="160" t="s">
        <v>39</v>
      </c>
      <c r="B23" s="173" t="s">
        <v>183</v>
      </c>
      <c r="C23" s="43"/>
      <c r="D23" s="165" t="s">
        <v>159</v>
      </c>
      <c r="E23" s="44"/>
      <c r="F23" s="944"/>
    </row>
    <row r="24" spans="1:6" ht="12.95" customHeight="1" x14ac:dyDescent="0.2">
      <c r="A24" s="158" t="s">
        <v>40</v>
      </c>
      <c r="B24" s="174" t="s">
        <v>184</v>
      </c>
      <c r="C24" s="710">
        <f>+C25+C26+C27+C28+C29</f>
        <v>93478462</v>
      </c>
      <c r="D24" s="175" t="s">
        <v>157</v>
      </c>
      <c r="E24" s="44"/>
      <c r="F24" s="944"/>
    </row>
    <row r="25" spans="1:6" ht="12.95" customHeight="1" x14ac:dyDescent="0.2">
      <c r="A25" s="160" t="s">
        <v>41</v>
      </c>
      <c r="B25" s="173" t="s">
        <v>185</v>
      </c>
      <c r="C25" s="43">
        <v>93478462</v>
      </c>
      <c r="D25" s="175" t="s">
        <v>337</v>
      </c>
      <c r="E25" s="44"/>
      <c r="F25" s="944"/>
    </row>
    <row r="26" spans="1:6" ht="12.95" customHeight="1" x14ac:dyDescent="0.2">
      <c r="A26" s="158" t="s">
        <v>42</v>
      </c>
      <c r="B26" s="173" t="s">
        <v>186</v>
      </c>
      <c r="C26" s="43"/>
      <c r="D26" s="170"/>
      <c r="E26" s="44"/>
      <c r="F26" s="944"/>
    </row>
    <row r="27" spans="1:6" ht="12.95" customHeight="1" x14ac:dyDescent="0.2">
      <c r="A27" s="160" t="s">
        <v>43</v>
      </c>
      <c r="B27" s="172" t="s">
        <v>187</v>
      </c>
      <c r="C27" s="43"/>
      <c r="D27" s="170"/>
      <c r="E27" s="44"/>
      <c r="F27" s="944"/>
    </row>
    <row r="28" spans="1:6" ht="12.95" customHeight="1" x14ac:dyDescent="0.2">
      <c r="A28" s="158" t="s">
        <v>44</v>
      </c>
      <c r="B28" s="176" t="s">
        <v>188</v>
      </c>
      <c r="C28" s="43"/>
      <c r="D28" s="357"/>
      <c r="E28" s="44"/>
      <c r="F28" s="944"/>
    </row>
    <row r="29" spans="1:6" ht="12.95" customHeight="1" thickBot="1" x14ac:dyDescent="0.25">
      <c r="A29" s="160" t="s">
        <v>45</v>
      </c>
      <c r="B29" s="177" t="s">
        <v>189</v>
      </c>
      <c r="C29" s="43"/>
      <c r="D29" s="170"/>
      <c r="E29" s="44"/>
      <c r="F29" s="944"/>
    </row>
    <row r="30" spans="1:6" ht="21.75" customHeight="1" thickBot="1" x14ac:dyDescent="0.25">
      <c r="A30" s="163" t="s">
        <v>46</v>
      </c>
      <c r="B30" s="69" t="s">
        <v>334</v>
      </c>
      <c r="C30" s="140">
        <f>+C18+C24</f>
        <v>93478462</v>
      </c>
      <c r="D30" s="69" t="s">
        <v>338</v>
      </c>
      <c r="E30" s="144">
        <f>SUM(E18:E29)</f>
        <v>8486704</v>
      </c>
      <c r="F30" s="944"/>
    </row>
    <row r="31" spans="1:6" ht="13.5" thickBot="1" x14ac:dyDescent="0.25">
      <c r="A31" s="163" t="s">
        <v>47</v>
      </c>
      <c r="B31" s="167" t="s">
        <v>339</v>
      </c>
      <c r="C31" s="168">
        <f>+C17+C30</f>
        <v>137253233</v>
      </c>
      <c r="D31" s="167" t="s">
        <v>340</v>
      </c>
      <c r="E31" s="168">
        <f>+E17+E30</f>
        <v>575264514</v>
      </c>
      <c r="F31" s="944"/>
    </row>
    <row r="32" spans="1:6" ht="13.5" thickBot="1" x14ac:dyDescent="0.25">
      <c r="A32" s="163" t="s">
        <v>48</v>
      </c>
      <c r="B32" s="167" t="s">
        <v>133</v>
      </c>
      <c r="C32" s="168">
        <f>IF(C17-E17&lt;0,E17-C17,"-")</f>
        <v>523003039</v>
      </c>
      <c r="D32" s="167" t="s">
        <v>134</v>
      </c>
      <c r="E32" s="168" t="str">
        <f>IF(C17-E17&gt;0,C17-E17,"-")</f>
        <v>-</v>
      </c>
      <c r="F32" s="944"/>
    </row>
    <row r="33" spans="1:6" ht="13.5" thickBot="1" x14ac:dyDescent="0.25">
      <c r="A33" s="163" t="s">
        <v>49</v>
      </c>
      <c r="B33" s="167" t="s">
        <v>177</v>
      </c>
      <c r="C33" s="168">
        <f>IF(C31-E31&lt;0,E31-C31,"-")</f>
        <v>438011281</v>
      </c>
      <c r="D33" s="167" t="s">
        <v>178</v>
      </c>
      <c r="E33" s="168" t="str">
        <f>IF(C31-E31&gt;0,C31-E31,"-")</f>
        <v>-</v>
      </c>
      <c r="F33" s="944"/>
    </row>
    <row r="34" spans="1:6" x14ac:dyDescent="0.2">
      <c r="C34" s="564"/>
      <c r="D34" s="564"/>
      <c r="E34" s="564"/>
    </row>
    <row r="35" spans="1:6" x14ac:dyDescent="0.2">
      <c r="C35" s="564"/>
      <c r="D35" s="564"/>
      <c r="E35" s="564"/>
    </row>
    <row r="36" spans="1:6" x14ac:dyDescent="0.2">
      <c r="C36" s="564"/>
      <c r="D36" s="564"/>
      <c r="E36" s="564"/>
    </row>
    <row r="37" spans="1:6" x14ac:dyDescent="0.2">
      <c r="C37" s="564"/>
      <c r="D37" s="564"/>
      <c r="E37" s="564"/>
    </row>
    <row r="38" spans="1:6" x14ac:dyDescent="0.2">
      <c r="C38" s="564"/>
      <c r="D38" s="564"/>
      <c r="E38" s="564"/>
    </row>
    <row r="39" spans="1:6" x14ac:dyDescent="0.2">
      <c r="C39" s="564"/>
      <c r="D39" s="564"/>
      <c r="E39" s="564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4/2018.(III.29.)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20" zoomScaleNormal="120" zoomScaleSheetLayoutView="100" zoomScalePageLayoutView="85" workbookViewId="0">
      <selection activeCell="I52" sqref="I52"/>
    </sheetView>
  </sheetViews>
  <sheetFormatPr defaultRowHeight="15" x14ac:dyDescent="0.25"/>
  <cols>
    <col min="1" max="1" width="5.6640625" style="76" customWidth="1"/>
    <col min="2" max="2" width="41.1640625" style="76" customWidth="1"/>
    <col min="3" max="7" width="12.33203125" style="76" customWidth="1"/>
    <col min="8" max="8" width="15.1640625" style="76" customWidth="1"/>
    <col min="9" max="256" width="9.33203125" style="76"/>
    <col min="257" max="257" width="5.6640625" style="76" customWidth="1"/>
    <col min="258" max="258" width="41.1640625" style="76" customWidth="1"/>
    <col min="259" max="259" width="17.6640625" style="76" customWidth="1"/>
    <col min="260" max="263" width="14" style="76" customWidth="1"/>
    <col min="264" max="264" width="15.1640625" style="76" customWidth="1"/>
    <col min="265" max="512" width="9.33203125" style="76"/>
    <col min="513" max="513" width="5.6640625" style="76" customWidth="1"/>
    <col min="514" max="514" width="41.1640625" style="76" customWidth="1"/>
    <col min="515" max="515" width="17.6640625" style="76" customWidth="1"/>
    <col min="516" max="519" width="14" style="76" customWidth="1"/>
    <col min="520" max="520" width="15.1640625" style="76" customWidth="1"/>
    <col min="521" max="768" width="9.33203125" style="76"/>
    <col min="769" max="769" width="5.6640625" style="76" customWidth="1"/>
    <col min="770" max="770" width="41.1640625" style="76" customWidth="1"/>
    <col min="771" max="771" width="17.6640625" style="76" customWidth="1"/>
    <col min="772" max="775" width="14" style="76" customWidth="1"/>
    <col min="776" max="776" width="15.1640625" style="76" customWidth="1"/>
    <col min="777" max="1024" width="9.33203125" style="76"/>
    <col min="1025" max="1025" width="5.6640625" style="76" customWidth="1"/>
    <col min="1026" max="1026" width="41.1640625" style="76" customWidth="1"/>
    <col min="1027" max="1027" width="17.6640625" style="76" customWidth="1"/>
    <col min="1028" max="1031" width="14" style="76" customWidth="1"/>
    <col min="1032" max="1032" width="15.1640625" style="76" customWidth="1"/>
    <col min="1033" max="1280" width="9.33203125" style="76"/>
    <col min="1281" max="1281" width="5.6640625" style="76" customWidth="1"/>
    <col min="1282" max="1282" width="41.1640625" style="76" customWidth="1"/>
    <col min="1283" max="1283" width="17.6640625" style="76" customWidth="1"/>
    <col min="1284" max="1287" width="14" style="76" customWidth="1"/>
    <col min="1288" max="1288" width="15.1640625" style="76" customWidth="1"/>
    <col min="1289" max="1536" width="9.33203125" style="76"/>
    <col min="1537" max="1537" width="5.6640625" style="76" customWidth="1"/>
    <col min="1538" max="1538" width="41.1640625" style="76" customWidth="1"/>
    <col min="1539" max="1539" width="17.6640625" style="76" customWidth="1"/>
    <col min="1540" max="1543" width="14" style="76" customWidth="1"/>
    <col min="1544" max="1544" width="15.1640625" style="76" customWidth="1"/>
    <col min="1545" max="1792" width="9.33203125" style="76"/>
    <col min="1793" max="1793" width="5.6640625" style="76" customWidth="1"/>
    <col min="1794" max="1794" width="41.1640625" style="76" customWidth="1"/>
    <col min="1795" max="1795" width="17.6640625" style="76" customWidth="1"/>
    <col min="1796" max="1799" width="14" style="76" customWidth="1"/>
    <col min="1800" max="1800" width="15.1640625" style="76" customWidth="1"/>
    <col min="1801" max="2048" width="9.33203125" style="76"/>
    <col min="2049" max="2049" width="5.6640625" style="76" customWidth="1"/>
    <col min="2050" max="2050" width="41.1640625" style="76" customWidth="1"/>
    <col min="2051" max="2051" width="17.6640625" style="76" customWidth="1"/>
    <col min="2052" max="2055" width="14" style="76" customWidth="1"/>
    <col min="2056" max="2056" width="15.1640625" style="76" customWidth="1"/>
    <col min="2057" max="2304" width="9.33203125" style="76"/>
    <col min="2305" max="2305" width="5.6640625" style="76" customWidth="1"/>
    <col min="2306" max="2306" width="41.1640625" style="76" customWidth="1"/>
    <col min="2307" max="2307" width="17.6640625" style="76" customWidth="1"/>
    <col min="2308" max="2311" width="14" style="76" customWidth="1"/>
    <col min="2312" max="2312" width="15.1640625" style="76" customWidth="1"/>
    <col min="2313" max="2560" width="9.33203125" style="76"/>
    <col min="2561" max="2561" width="5.6640625" style="76" customWidth="1"/>
    <col min="2562" max="2562" width="41.1640625" style="76" customWidth="1"/>
    <col min="2563" max="2563" width="17.6640625" style="76" customWidth="1"/>
    <col min="2564" max="2567" width="14" style="76" customWidth="1"/>
    <col min="2568" max="2568" width="15.1640625" style="76" customWidth="1"/>
    <col min="2569" max="2816" width="9.33203125" style="76"/>
    <col min="2817" max="2817" width="5.6640625" style="76" customWidth="1"/>
    <col min="2818" max="2818" width="41.1640625" style="76" customWidth="1"/>
    <col min="2819" max="2819" width="17.6640625" style="76" customWidth="1"/>
    <col min="2820" max="2823" width="14" style="76" customWidth="1"/>
    <col min="2824" max="2824" width="15.1640625" style="76" customWidth="1"/>
    <col min="2825" max="3072" width="9.33203125" style="76"/>
    <col min="3073" max="3073" width="5.6640625" style="76" customWidth="1"/>
    <col min="3074" max="3074" width="41.1640625" style="76" customWidth="1"/>
    <col min="3075" max="3075" width="17.6640625" style="76" customWidth="1"/>
    <col min="3076" max="3079" width="14" style="76" customWidth="1"/>
    <col min="3080" max="3080" width="15.1640625" style="76" customWidth="1"/>
    <col min="3081" max="3328" width="9.33203125" style="76"/>
    <col min="3329" max="3329" width="5.6640625" style="76" customWidth="1"/>
    <col min="3330" max="3330" width="41.1640625" style="76" customWidth="1"/>
    <col min="3331" max="3331" width="17.6640625" style="76" customWidth="1"/>
    <col min="3332" max="3335" width="14" style="76" customWidth="1"/>
    <col min="3336" max="3336" width="15.1640625" style="76" customWidth="1"/>
    <col min="3337" max="3584" width="9.33203125" style="76"/>
    <col min="3585" max="3585" width="5.6640625" style="76" customWidth="1"/>
    <col min="3586" max="3586" width="41.1640625" style="76" customWidth="1"/>
    <col min="3587" max="3587" width="17.6640625" style="76" customWidth="1"/>
    <col min="3588" max="3591" width="14" style="76" customWidth="1"/>
    <col min="3592" max="3592" width="15.1640625" style="76" customWidth="1"/>
    <col min="3593" max="3840" width="9.33203125" style="76"/>
    <col min="3841" max="3841" width="5.6640625" style="76" customWidth="1"/>
    <col min="3842" max="3842" width="41.1640625" style="76" customWidth="1"/>
    <col min="3843" max="3843" width="17.6640625" style="76" customWidth="1"/>
    <col min="3844" max="3847" width="14" style="76" customWidth="1"/>
    <col min="3848" max="3848" width="15.1640625" style="76" customWidth="1"/>
    <col min="3849" max="4096" width="9.33203125" style="76"/>
    <col min="4097" max="4097" width="5.6640625" style="76" customWidth="1"/>
    <col min="4098" max="4098" width="41.1640625" style="76" customWidth="1"/>
    <col min="4099" max="4099" width="17.6640625" style="76" customWidth="1"/>
    <col min="4100" max="4103" width="14" style="76" customWidth="1"/>
    <col min="4104" max="4104" width="15.1640625" style="76" customWidth="1"/>
    <col min="4105" max="4352" width="9.33203125" style="76"/>
    <col min="4353" max="4353" width="5.6640625" style="76" customWidth="1"/>
    <col min="4354" max="4354" width="41.1640625" style="76" customWidth="1"/>
    <col min="4355" max="4355" width="17.6640625" style="76" customWidth="1"/>
    <col min="4356" max="4359" width="14" style="76" customWidth="1"/>
    <col min="4360" max="4360" width="15.1640625" style="76" customWidth="1"/>
    <col min="4361" max="4608" width="9.33203125" style="76"/>
    <col min="4609" max="4609" width="5.6640625" style="76" customWidth="1"/>
    <col min="4610" max="4610" width="41.1640625" style="76" customWidth="1"/>
    <col min="4611" max="4611" width="17.6640625" style="76" customWidth="1"/>
    <col min="4612" max="4615" width="14" style="76" customWidth="1"/>
    <col min="4616" max="4616" width="15.1640625" style="76" customWidth="1"/>
    <col min="4617" max="4864" width="9.33203125" style="76"/>
    <col min="4865" max="4865" width="5.6640625" style="76" customWidth="1"/>
    <col min="4866" max="4866" width="41.1640625" style="76" customWidth="1"/>
    <col min="4867" max="4867" width="17.6640625" style="76" customWidth="1"/>
    <col min="4868" max="4871" width="14" style="76" customWidth="1"/>
    <col min="4872" max="4872" width="15.1640625" style="76" customWidth="1"/>
    <col min="4873" max="5120" width="9.33203125" style="76"/>
    <col min="5121" max="5121" width="5.6640625" style="76" customWidth="1"/>
    <col min="5122" max="5122" width="41.1640625" style="76" customWidth="1"/>
    <col min="5123" max="5123" width="17.6640625" style="76" customWidth="1"/>
    <col min="5124" max="5127" width="14" style="76" customWidth="1"/>
    <col min="5128" max="5128" width="15.1640625" style="76" customWidth="1"/>
    <col min="5129" max="5376" width="9.33203125" style="76"/>
    <col min="5377" max="5377" width="5.6640625" style="76" customWidth="1"/>
    <col min="5378" max="5378" width="41.1640625" style="76" customWidth="1"/>
    <col min="5379" max="5379" width="17.6640625" style="76" customWidth="1"/>
    <col min="5380" max="5383" width="14" style="76" customWidth="1"/>
    <col min="5384" max="5384" width="15.1640625" style="76" customWidth="1"/>
    <col min="5385" max="5632" width="9.33203125" style="76"/>
    <col min="5633" max="5633" width="5.6640625" style="76" customWidth="1"/>
    <col min="5634" max="5634" width="41.1640625" style="76" customWidth="1"/>
    <col min="5635" max="5635" width="17.6640625" style="76" customWidth="1"/>
    <col min="5636" max="5639" width="14" style="76" customWidth="1"/>
    <col min="5640" max="5640" width="15.1640625" style="76" customWidth="1"/>
    <col min="5641" max="5888" width="9.33203125" style="76"/>
    <col min="5889" max="5889" width="5.6640625" style="76" customWidth="1"/>
    <col min="5890" max="5890" width="41.1640625" style="76" customWidth="1"/>
    <col min="5891" max="5891" width="17.6640625" style="76" customWidth="1"/>
    <col min="5892" max="5895" width="14" style="76" customWidth="1"/>
    <col min="5896" max="5896" width="15.1640625" style="76" customWidth="1"/>
    <col min="5897" max="6144" width="9.33203125" style="76"/>
    <col min="6145" max="6145" width="5.6640625" style="76" customWidth="1"/>
    <col min="6146" max="6146" width="41.1640625" style="76" customWidth="1"/>
    <col min="6147" max="6147" width="17.6640625" style="76" customWidth="1"/>
    <col min="6148" max="6151" width="14" style="76" customWidth="1"/>
    <col min="6152" max="6152" width="15.1640625" style="76" customWidth="1"/>
    <col min="6153" max="6400" width="9.33203125" style="76"/>
    <col min="6401" max="6401" width="5.6640625" style="76" customWidth="1"/>
    <col min="6402" max="6402" width="41.1640625" style="76" customWidth="1"/>
    <col min="6403" max="6403" width="17.6640625" style="76" customWidth="1"/>
    <col min="6404" max="6407" width="14" style="76" customWidth="1"/>
    <col min="6408" max="6408" width="15.1640625" style="76" customWidth="1"/>
    <col min="6409" max="6656" width="9.33203125" style="76"/>
    <col min="6657" max="6657" width="5.6640625" style="76" customWidth="1"/>
    <col min="6658" max="6658" width="41.1640625" style="76" customWidth="1"/>
    <col min="6659" max="6659" width="17.6640625" style="76" customWidth="1"/>
    <col min="6660" max="6663" width="14" style="76" customWidth="1"/>
    <col min="6664" max="6664" width="15.1640625" style="76" customWidth="1"/>
    <col min="6665" max="6912" width="9.33203125" style="76"/>
    <col min="6913" max="6913" width="5.6640625" style="76" customWidth="1"/>
    <col min="6914" max="6914" width="41.1640625" style="76" customWidth="1"/>
    <col min="6915" max="6915" width="17.6640625" style="76" customWidth="1"/>
    <col min="6916" max="6919" width="14" style="76" customWidth="1"/>
    <col min="6920" max="6920" width="15.1640625" style="76" customWidth="1"/>
    <col min="6921" max="7168" width="9.33203125" style="76"/>
    <col min="7169" max="7169" width="5.6640625" style="76" customWidth="1"/>
    <col min="7170" max="7170" width="41.1640625" style="76" customWidth="1"/>
    <col min="7171" max="7171" width="17.6640625" style="76" customWidth="1"/>
    <col min="7172" max="7175" width="14" style="76" customWidth="1"/>
    <col min="7176" max="7176" width="15.1640625" style="76" customWidth="1"/>
    <col min="7177" max="7424" width="9.33203125" style="76"/>
    <col min="7425" max="7425" width="5.6640625" style="76" customWidth="1"/>
    <col min="7426" max="7426" width="41.1640625" style="76" customWidth="1"/>
    <col min="7427" max="7427" width="17.6640625" style="76" customWidth="1"/>
    <col min="7428" max="7431" width="14" style="76" customWidth="1"/>
    <col min="7432" max="7432" width="15.1640625" style="76" customWidth="1"/>
    <col min="7433" max="7680" width="9.33203125" style="76"/>
    <col min="7681" max="7681" width="5.6640625" style="76" customWidth="1"/>
    <col min="7682" max="7682" width="41.1640625" style="76" customWidth="1"/>
    <col min="7683" max="7683" width="17.6640625" style="76" customWidth="1"/>
    <col min="7684" max="7687" width="14" style="76" customWidth="1"/>
    <col min="7688" max="7688" width="15.1640625" style="76" customWidth="1"/>
    <col min="7689" max="7936" width="9.33203125" style="76"/>
    <col min="7937" max="7937" width="5.6640625" style="76" customWidth="1"/>
    <col min="7938" max="7938" width="41.1640625" style="76" customWidth="1"/>
    <col min="7939" max="7939" width="17.6640625" style="76" customWidth="1"/>
    <col min="7940" max="7943" width="14" style="76" customWidth="1"/>
    <col min="7944" max="7944" width="15.1640625" style="76" customWidth="1"/>
    <col min="7945" max="8192" width="9.33203125" style="76"/>
    <col min="8193" max="8193" width="5.6640625" style="76" customWidth="1"/>
    <col min="8194" max="8194" width="41.1640625" style="76" customWidth="1"/>
    <col min="8195" max="8195" width="17.6640625" style="76" customWidth="1"/>
    <col min="8196" max="8199" width="14" style="76" customWidth="1"/>
    <col min="8200" max="8200" width="15.1640625" style="76" customWidth="1"/>
    <col min="8201" max="8448" width="9.33203125" style="76"/>
    <col min="8449" max="8449" width="5.6640625" style="76" customWidth="1"/>
    <col min="8450" max="8450" width="41.1640625" style="76" customWidth="1"/>
    <col min="8451" max="8451" width="17.6640625" style="76" customWidth="1"/>
    <col min="8452" max="8455" width="14" style="76" customWidth="1"/>
    <col min="8456" max="8456" width="15.1640625" style="76" customWidth="1"/>
    <col min="8457" max="8704" width="9.33203125" style="76"/>
    <col min="8705" max="8705" width="5.6640625" style="76" customWidth="1"/>
    <col min="8706" max="8706" width="41.1640625" style="76" customWidth="1"/>
    <col min="8707" max="8707" width="17.6640625" style="76" customWidth="1"/>
    <col min="8708" max="8711" width="14" style="76" customWidth="1"/>
    <col min="8712" max="8712" width="15.1640625" style="76" customWidth="1"/>
    <col min="8713" max="8960" width="9.33203125" style="76"/>
    <col min="8961" max="8961" width="5.6640625" style="76" customWidth="1"/>
    <col min="8962" max="8962" width="41.1640625" style="76" customWidth="1"/>
    <col min="8963" max="8963" width="17.6640625" style="76" customWidth="1"/>
    <col min="8964" max="8967" width="14" style="76" customWidth="1"/>
    <col min="8968" max="8968" width="15.1640625" style="76" customWidth="1"/>
    <col min="8969" max="9216" width="9.33203125" style="76"/>
    <col min="9217" max="9217" width="5.6640625" style="76" customWidth="1"/>
    <col min="9218" max="9218" width="41.1640625" style="76" customWidth="1"/>
    <col min="9219" max="9219" width="17.6640625" style="76" customWidth="1"/>
    <col min="9220" max="9223" width="14" style="76" customWidth="1"/>
    <col min="9224" max="9224" width="15.1640625" style="76" customWidth="1"/>
    <col min="9225" max="9472" width="9.33203125" style="76"/>
    <col min="9473" max="9473" width="5.6640625" style="76" customWidth="1"/>
    <col min="9474" max="9474" width="41.1640625" style="76" customWidth="1"/>
    <col min="9475" max="9475" width="17.6640625" style="76" customWidth="1"/>
    <col min="9476" max="9479" width="14" style="76" customWidth="1"/>
    <col min="9480" max="9480" width="15.1640625" style="76" customWidth="1"/>
    <col min="9481" max="9728" width="9.33203125" style="76"/>
    <col min="9729" max="9729" width="5.6640625" style="76" customWidth="1"/>
    <col min="9730" max="9730" width="41.1640625" style="76" customWidth="1"/>
    <col min="9731" max="9731" width="17.6640625" style="76" customWidth="1"/>
    <col min="9732" max="9735" width="14" style="76" customWidth="1"/>
    <col min="9736" max="9736" width="15.1640625" style="76" customWidth="1"/>
    <col min="9737" max="9984" width="9.33203125" style="76"/>
    <col min="9985" max="9985" width="5.6640625" style="76" customWidth="1"/>
    <col min="9986" max="9986" width="41.1640625" style="76" customWidth="1"/>
    <col min="9987" max="9987" width="17.6640625" style="76" customWidth="1"/>
    <col min="9988" max="9991" width="14" style="76" customWidth="1"/>
    <col min="9992" max="9992" width="15.1640625" style="76" customWidth="1"/>
    <col min="9993" max="10240" width="9.33203125" style="76"/>
    <col min="10241" max="10241" width="5.6640625" style="76" customWidth="1"/>
    <col min="10242" max="10242" width="41.1640625" style="76" customWidth="1"/>
    <col min="10243" max="10243" width="17.6640625" style="76" customWidth="1"/>
    <col min="10244" max="10247" width="14" style="76" customWidth="1"/>
    <col min="10248" max="10248" width="15.1640625" style="76" customWidth="1"/>
    <col min="10249" max="10496" width="9.33203125" style="76"/>
    <col min="10497" max="10497" width="5.6640625" style="76" customWidth="1"/>
    <col min="10498" max="10498" width="41.1640625" style="76" customWidth="1"/>
    <col min="10499" max="10499" width="17.6640625" style="76" customWidth="1"/>
    <col min="10500" max="10503" width="14" style="76" customWidth="1"/>
    <col min="10504" max="10504" width="15.1640625" style="76" customWidth="1"/>
    <col min="10505" max="10752" width="9.33203125" style="76"/>
    <col min="10753" max="10753" width="5.6640625" style="76" customWidth="1"/>
    <col min="10754" max="10754" width="41.1640625" style="76" customWidth="1"/>
    <col min="10755" max="10755" width="17.6640625" style="76" customWidth="1"/>
    <col min="10756" max="10759" width="14" style="76" customWidth="1"/>
    <col min="10760" max="10760" width="15.1640625" style="76" customWidth="1"/>
    <col min="10761" max="11008" width="9.33203125" style="76"/>
    <col min="11009" max="11009" width="5.6640625" style="76" customWidth="1"/>
    <col min="11010" max="11010" width="41.1640625" style="76" customWidth="1"/>
    <col min="11011" max="11011" width="17.6640625" style="76" customWidth="1"/>
    <col min="11012" max="11015" width="14" style="76" customWidth="1"/>
    <col min="11016" max="11016" width="15.1640625" style="76" customWidth="1"/>
    <col min="11017" max="11264" width="9.33203125" style="76"/>
    <col min="11265" max="11265" width="5.6640625" style="76" customWidth="1"/>
    <col min="11266" max="11266" width="41.1640625" style="76" customWidth="1"/>
    <col min="11267" max="11267" width="17.6640625" style="76" customWidth="1"/>
    <col min="11268" max="11271" width="14" style="76" customWidth="1"/>
    <col min="11272" max="11272" width="15.1640625" style="76" customWidth="1"/>
    <col min="11273" max="11520" width="9.33203125" style="76"/>
    <col min="11521" max="11521" width="5.6640625" style="76" customWidth="1"/>
    <col min="11522" max="11522" width="41.1640625" style="76" customWidth="1"/>
    <col min="11523" max="11523" width="17.6640625" style="76" customWidth="1"/>
    <col min="11524" max="11527" width="14" style="76" customWidth="1"/>
    <col min="11528" max="11528" width="15.1640625" style="76" customWidth="1"/>
    <col min="11529" max="11776" width="9.33203125" style="76"/>
    <col min="11777" max="11777" width="5.6640625" style="76" customWidth="1"/>
    <col min="11778" max="11778" width="41.1640625" style="76" customWidth="1"/>
    <col min="11779" max="11779" width="17.6640625" style="76" customWidth="1"/>
    <col min="11780" max="11783" width="14" style="76" customWidth="1"/>
    <col min="11784" max="11784" width="15.1640625" style="76" customWidth="1"/>
    <col min="11785" max="12032" width="9.33203125" style="76"/>
    <col min="12033" max="12033" width="5.6640625" style="76" customWidth="1"/>
    <col min="12034" max="12034" width="41.1640625" style="76" customWidth="1"/>
    <col min="12035" max="12035" width="17.6640625" style="76" customWidth="1"/>
    <col min="12036" max="12039" width="14" style="76" customWidth="1"/>
    <col min="12040" max="12040" width="15.1640625" style="76" customWidth="1"/>
    <col min="12041" max="12288" width="9.33203125" style="76"/>
    <col min="12289" max="12289" width="5.6640625" style="76" customWidth="1"/>
    <col min="12290" max="12290" width="41.1640625" style="76" customWidth="1"/>
    <col min="12291" max="12291" width="17.6640625" style="76" customWidth="1"/>
    <col min="12292" max="12295" width="14" style="76" customWidth="1"/>
    <col min="12296" max="12296" width="15.1640625" style="76" customWidth="1"/>
    <col min="12297" max="12544" width="9.33203125" style="76"/>
    <col min="12545" max="12545" width="5.6640625" style="76" customWidth="1"/>
    <col min="12546" max="12546" width="41.1640625" style="76" customWidth="1"/>
    <col min="12547" max="12547" width="17.6640625" style="76" customWidth="1"/>
    <col min="12548" max="12551" width="14" style="76" customWidth="1"/>
    <col min="12552" max="12552" width="15.1640625" style="76" customWidth="1"/>
    <col min="12553" max="12800" width="9.33203125" style="76"/>
    <col min="12801" max="12801" width="5.6640625" style="76" customWidth="1"/>
    <col min="12802" max="12802" width="41.1640625" style="76" customWidth="1"/>
    <col min="12803" max="12803" width="17.6640625" style="76" customWidth="1"/>
    <col min="12804" max="12807" width="14" style="76" customWidth="1"/>
    <col min="12808" max="12808" width="15.1640625" style="76" customWidth="1"/>
    <col min="12809" max="13056" width="9.33203125" style="76"/>
    <col min="13057" max="13057" width="5.6640625" style="76" customWidth="1"/>
    <col min="13058" max="13058" width="41.1640625" style="76" customWidth="1"/>
    <col min="13059" max="13059" width="17.6640625" style="76" customWidth="1"/>
    <col min="13060" max="13063" width="14" style="76" customWidth="1"/>
    <col min="13064" max="13064" width="15.1640625" style="76" customWidth="1"/>
    <col min="13065" max="13312" width="9.33203125" style="76"/>
    <col min="13313" max="13313" width="5.6640625" style="76" customWidth="1"/>
    <col min="13314" max="13314" width="41.1640625" style="76" customWidth="1"/>
    <col min="13315" max="13315" width="17.6640625" style="76" customWidth="1"/>
    <col min="13316" max="13319" width="14" style="76" customWidth="1"/>
    <col min="13320" max="13320" width="15.1640625" style="76" customWidth="1"/>
    <col min="13321" max="13568" width="9.33203125" style="76"/>
    <col min="13569" max="13569" width="5.6640625" style="76" customWidth="1"/>
    <col min="13570" max="13570" width="41.1640625" style="76" customWidth="1"/>
    <col min="13571" max="13571" width="17.6640625" style="76" customWidth="1"/>
    <col min="13572" max="13575" width="14" style="76" customWidth="1"/>
    <col min="13576" max="13576" width="15.1640625" style="76" customWidth="1"/>
    <col min="13577" max="13824" width="9.33203125" style="76"/>
    <col min="13825" max="13825" width="5.6640625" style="76" customWidth="1"/>
    <col min="13826" max="13826" width="41.1640625" style="76" customWidth="1"/>
    <col min="13827" max="13827" width="17.6640625" style="76" customWidth="1"/>
    <col min="13828" max="13831" width="14" style="76" customWidth="1"/>
    <col min="13832" max="13832" width="15.1640625" style="76" customWidth="1"/>
    <col min="13833" max="14080" width="9.33203125" style="76"/>
    <col min="14081" max="14081" width="5.6640625" style="76" customWidth="1"/>
    <col min="14082" max="14082" width="41.1640625" style="76" customWidth="1"/>
    <col min="14083" max="14083" width="17.6640625" style="76" customWidth="1"/>
    <col min="14084" max="14087" width="14" style="76" customWidth="1"/>
    <col min="14088" max="14088" width="15.1640625" style="76" customWidth="1"/>
    <col min="14089" max="14336" width="9.33203125" style="76"/>
    <col min="14337" max="14337" width="5.6640625" style="76" customWidth="1"/>
    <col min="14338" max="14338" width="41.1640625" style="76" customWidth="1"/>
    <col min="14339" max="14339" width="17.6640625" style="76" customWidth="1"/>
    <col min="14340" max="14343" width="14" style="76" customWidth="1"/>
    <col min="14344" max="14344" width="15.1640625" style="76" customWidth="1"/>
    <col min="14345" max="14592" width="9.33203125" style="76"/>
    <col min="14593" max="14593" width="5.6640625" style="76" customWidth="1"/>
    <col min="14594" max="14594" width="41.1640625" style="76" customWidth="1"/>
    <col min="14595" max="14595" width="17.6640625" style="76" customWidth="1"/>
    <col min="14596" max="14599" width="14" style="76" customWidth="1"/>
    <col min="14600" max="14600" width="15.1640625" style="76" customWidth="1"/>
    <col min="14601" max="14848" width="9.33203125" style="76"/>
    <col min="14849" max="14849" width="5.6640625" style="76" customWidth="1"/>
    <col min="14850" max="14850" width="41.1640625" style="76" customWidth="1"/>
    <col min="14851" max="14851" width="17.6640625" style="76" customWidth="1"/>
    <col min="14852" max="14855" width="14" style="76" customWidth="1"/>
    <col min="14856" max="14856" width="15.1640625" style="76" customWidth="1"/>
    <col min="14857" max="15104" width="9.33203125" style="76"/>
    <col min="15105" max="15105" width="5.6640625" style="76" customWidth="1"/>
    <col min="15106" max="15106" width="41.1640625" style="76" customWidth="1"/>
    <col min="15107" max="15107" width="17.6640625" style="76" customWidth="1"/>
    <col min="15108" max="15111" width="14" style="76" customWidth="1"/>
    <col min="15112" max="15112" width="15.1640625" style="76" customWidth="1"/>
    <col min="15113" max="15360" width="9.33203125" style="76"/>
    <col min="15361" max="15361" width="5.6640625" style="76" customWidth="1"/>
    <col min="15362" max="15362" width="41.1640625" style="76" customWidth="1"/>
    <col min="15363" max="15363" width="17.6640625" style="76" customWidth="1"/>
    <col min="15364" max="15367" width="14" style="76" customWidth="1"/>
    <col min="15368" max="15368" width="15.1640625" style="76" customWidth="1"/>
    <col min="15369" max="15616" width="9.33203125" style="76"/>
    <col min="15617" max="15617" width="5.6640625" style="76" customWidth="1"/>
    <col min="15618" max="15618" width="41.1640625" style="76" customWidth="1"/>
    <col min="15619" max="15619" width="17.6640625" style="76" customWidth="1"/>
    <col min="15620" max="15623" width="14" style="76" customWidth="1"/>
    <col min="15624" max="15624" width="15.1640625" style="76" customWidth="1"/>
    <col min="15625" max="15872" width="9.33203125" style="76"/>
    <col min="15873" max="15873" width="5.6640625" style="76" customWidth="1"/>
    <col min="15874" max="15874" width="41.1640625" style="76" customWidth="1"/>
    <col min="15875" max="15875" width="17.6640625" style="76" customWidth="1"/>
    <col min="15876" max="15879" width="14" style="76" customWidth="1"/>
    <col min="15880" max="15880" width="15.1640625" style="76" customWidth="1"/>
    <col min="15881" max="16128" width="9.33203125" style="76"/>
    <col min="16129" max="16129" width="5.6640625" style="76" customWidth="1"/>
    <col min="16130" max="16130" width="41.1640625" style="76" customWidth="1"/>
    <col min="16131" max="16131" width="17.6640625" style="76" customWidth="1"/>
    <col min="16132" max="16135" width="14" style="76" customWidth="1"/>
    <col min="16136" max="16136" width="15.1640625" style="76" customWidth="1"/>
    <col min="16137" max="16384" width="9.33203125" style="76"/>
  </cols>
  <sheetData>
    <row r="1" spans="1:9" ht="33" customHeight="1" x14ac:dyDescent="0.25">
      <c r="A1" s="950" t="s">
        <v>443</v>
      </c>
      <c r="B1" s="950"/>
      <c r="C1" s="950"/>
      <c r="D1" s="950"/>
      <c r="E1" s="950"/>
      <c r="F1" s="950"/>
      <c r="G1" s="950"/>
      <c r="H1" s="950"/>
    </row>
    <row r="2" spans="1:9" ht="15.95" customHeight="1" thickBot="1" x14ac:dyDescent="0.3">
      <c r="A2" s="77"/>
      <c r="B2" s="253"/>
      <c r="C2" s="253"/>
      <c r="D2" s="951"/>
      <c r="E2" s="951"/>
      <c r="F2" s="951"/>
      <c r="G2" s="952" t="s">
        <v>584</v>
      </c>
      <c r="H2" s="952"/>
      <c r="I2" s="80"/>
    </row>
    <row r="3" spans="1:9" ht="63" customHeight="1" x14ac:dyDescent="0.25">
      <c r="A3" s="953" t="s">
        <v>20</v>
      </c>
      <c r="B3" s="955" t="s">
        <v>160</v>
      </c>
      <c r="C3" s="304">
        <v>43100</v>
      </c>
      <c r="D3" s="955" t="s">
        <v>191</v>
      </c>
      <c r="E3" s="955"/>
      <c r="F3" s="955"/>
      <c r="G3" s="955"/>
      <c r="H3" s="957" t="s">
        <v>589</v>
      </c>
    </row>
    <row r="4" spans="1:9" ht="15.75" thickBot="1" x14ac:dyDescent="0.3">
      <c r="A4" s="954"/>
      <c r="B4" s="956"/>
      <c r="C4" s="884"/>
      <c r="D4" s="884">
        <v>2018</v>
      </c>
      <c r="E4" s="884">
        <v>2019</v>
      </c>
      <c r="F4" s="884">
        <v>2020</v>
      </c>
      <c r="G4" s="917">
        <v>2021</v>
      </c>
      <c r="H4" s="958"/>
    </row>
    <row r="5" spans="1:9" ht="21" customHeight="1" thickBot="1" x14ac:dyDescent="0.3">
      <c r="A5" s="909" t="s">
        <v>22</v>
      </c>
      <c r="B5" s="912">
        <v>2</v>
      </c>
      <c r="C5" s="78">
        <v>3</v>
      </c>
      <c r="D5" s="78">
        <v>4</v>
      </c>
      <c r="E5" s="78">
        <v>5</v>
      </c>
      <c r="F5" s="78">
        <v>6</v>
      </c>
      <c r="G5" s="79">
        <v>7</v>
      </c>
      <c r="H5" s="79">
        <v>8</v>
      </c>
    </row>
    <row r="6" spans="1:9" ht="33.75" customHeight="1" x14ac:dyDescent="0.25">
      <c r="A6" s="910" t="s">
        <v>23</v>
      </c>
      <c r="B6" s="656" t="s">
        <v>691</v>
      </c>
      <c r="C6" s="359">
        <v>0</v>
      </c>
      <c r="D6" s="653">
        <v>0</v>
      </c>
      <c r="E6" s="653">
        <v>0</v>
      </c>
      <c r="F6" s="653">
        <v>0</v>
      </c>
      <c r="G6" s="653">
        <v>0</v>
      </c>
      <c r="H6" s="654">
        <f t="shared" ref="H6:H20" si="0">SUM(D6:G6)</f>
        <v>0</v>
      </c>
    </row>
    <row r="7" spans="1:9" ht="28.5" customHeight="1" x14ac:dyDescent="0.25">
      <c r="A7" s="910" t="s">
        <v>24</v>
      </c>
      <c r="B7" s="913" t="s">
        <v>692</v>
      </c>
      <c r="C7" s="359">
        <v>570704</v>
      </c>
      <c r="D7" s="653">
        <v>570704</v>
      </c>
      <c r="E7" s="653">
        <v>0</v>
      </c>
      <c r="F7" s="653">
        <v>0</v>
      </c>
      <c r="G7" s="653">
        <v>0</v>
      </c>
      <c r="H7" s="654">
        <f t="shared" si="0"/>
        <v>570704</v>
      </c>
    </row>
    <row r="8" spans="1:9" ht="39" x14ac:dyDescent="0.25">
      <c r="A8" s="910" t="s">
        <v>25</v>
      </c>
      <c r="B8" s="656" t="s">
        <v>693</v>
      </c>
      <c r="C8" s="359">
        <v>10694590</v>
      </c>
      <c r="D8" s="653">
        <v>4444000</v>
      </c>
      <c r="E8" s="653">
        <v>4444000</v>
      </c>
      <c r="F8" s="653">
        <v>1806590</v>
      </c>
      <c r="G8" s="653">
        <v>0</v>
      </c>
      <c r="H8" s="654">
        <f t="shared" si="0"/>
        <v>10694590</v>
      </c>
    </row>
    <row r="9" spans="1:9" ht="39" x14ac:dyDescent="0.25">
      <c r="A9" s="910" t="s">
        <v>26</v>
      </c>
      <c r="B9" s="656" t="s">
        <v>694</v>
      </c>
      <c r="C9" s="359">
        <v>10303000</v>
      </c>
      <c r="D9" s="655">
        <v>1472000</v>
      </c>
      <c r="E9" s="655">
        <v>1472000</v>
      </c>
      <c r="F9" s="653">
        <v>1472000</v>
      </c>
      <c r="G9" s="653">
        <v>1472000</v>
      </c>
      <c r="H9" s="654">
        <f t="shared" si="0"/>
        <v>5888000</v>
      </c>
    </row>
    <row r="10" spans="1:9" ht="30.75" customHeight="1" x14ac:dyDescent="0.25">
      <c r="A10" s="910" t="s">
        <v>27</v>
      </c>
      <c r="B10" s="656" t="s">
        <v>587</v>
      </c>
      <c r="C10" s="359">
        <v>3104461</v>
      </c>
      <c r="D10" s="655">
        <v>887000</v>
      </c>
      <c r="E10" s="655">
        <v>887000</v>
      </c>
      <c r="F10" s="653">
        <v>887000</v>
      </c>
      <c r="G10" s="653">
        <v>443461</v>
      </c>
      <c r="H10" s="654">
        <f t="shared" si="0"/>
        <v>3104461</v>
      </c>
    </row>
    <row r="11" spans="1:9" ht="34.5" customHeight="1" x14ac:dyDescent="0.25">
      <c r="A11" s="910" t="s">
        <v>28</v>
      </c>
      <c r="B11" s="656" t="s">
        <v>588</v>
      </c>
      <c r="C11" s="359">
        <v>3895539</v>
      </c>
      <c r="D11" s="655">
        <v>1113000</v>
      </c>
      <c r="E11" s="655">
        <v>1113000</v>
      </c>
      <c r="F11" s="653">
        <v>1113000</v>
      </c>
      <c r="G11" s="653">
        <v>556539</v>
      </c>
      <c r="H11" s="654">
        <f t="shared" si="0"/>
        <v>3895539</v>
      </c>
    </row>
    <row r="12" spans="1:9" ht="26.25" customHeight="1" x14ac:dyDescent="0.25">
      <c r="A12" s="791" t="s">
        <v>29</v>
      </c>
      <c r="B12" s="656" t="s">
        <v>591</v>
      </c>
      <c r="C12" s="359">
        <v>7772026</v>
      </c>
      <c r="D12" s="653">
        <v>0</v>
      </c>
      <c r="E12" s="653">
        <v>4940000</v>
      </c>
      <c r="F12" s="653">
        <v>4940000</v>
      </c>
      <c r="G12" s="653">
        <v>4940000</v>
      </c>
      <c r="H12" s="654">
        <f t="shared" si="0"/>
        <v>14820000</v>
      </c>
    </row>
    <row r="13" spans="1:9" ht="26.25" customHeight="1" x14ac:dyDescent="0.25">
      <c r="A13" s="791" t="s">
        <v>30</v>
      </c>
      <c r="B13" s="914" t="s">
        <v>695</v>
      </c>
      <c r="C13" s="360">
        <v>5500000</v>
      </c>
      <c r="D13" s="657">
        <v>0</v>
      </c>
      <c r="E13" s="657">
        <v>1464000</v>
      </c>
      <c r="F13" s="658">
        <v>1464000</v>
      </c>
      <c r="G13" s="658">
        <v>1464000</v>
      </c>
      <c r="H13" s="654">
        <f t="shared" si="0"/>
        <v>4392000</v>
      </c>
    </row>
    <row r="14" spans="1:9" ht="26.25" customHeight="1" x14ac:dyDescent="0.25">
      <c r="A14" s="791" t="s">
        <v>31</v>
      </c>
      <c r="B14" s="656" t="s">
        <v>696</v>
      </c>
      <c r="C14" s="359">
        <v>0</v>
      </c>
      <c r="D14" s="653">
        <v>0</v>
      </c>
      <c r="E14" s="653">
        <v>533576</v>
      </c>
      <c r="F14" s="653">
        <v>1067152</v>
      </c>
      <c r="G14" s="653">
        <v>1067152</v>
      </c>
      <c r="H14" s="654">
        <f t="shared" si="0"/>
        <v>2667880</v>
      </c>
    </row>
    <row r="15" spans="1:9" ht="26.25" customHeight="1" x14ac:dyDescent="0.25">
      <c r="A15" s="791" t="s">
        <v>32</v>
      </c>
      <c r="B15" s="656" t="s">
        <v>697</v>
      </c>
      <c r="C15" s="359">
        <v>0</v>
      </c>
      <c r="D15" s="653">
        <v>0</v>
      </c>
      <c r="E15" s="653">
        <v>363696</v>
      </c>
      <c r="F15" s="653">
        <v>1454784</v>
      </c>
      <c r="G15" s="653">
        <v>1454784</v>
      </c>
      <c r="H15" s="654">
        <f t="shared" si="0"/>
        <v>3273264</v>
      </c>
    </row>
    <row r="16" spans="1:9" ht="26.25" customHeight="1" x14ac:dyDescent="0.25">
      <c r="A16" s="791" t="s">
        <v>33</v>
      </c>
      <c r="B16" s="656" t="s">
        <v>698</v>
      </c>
      <c r="C16" s="359">
        <v>0</v>
      </c>
      <c r="D16" s="653">
        <v>0</v>
      </c>
      <c r="E16" s="653">
        <v>620958</v>
      </c>
      <c r="F16" s="653">
        <v>1241916</v>
      </c>
      <c r="G16" s="653">
        <v>1241916</v>
      </c>
      <c r="H16" s="654">
        <f t="shared" si="0"/>
        <v>3104790</v>
      </c>
    </row>
    <row r="17" spans="1:8" ht="26.25" customHeight="1" x14ac:dyDescent="0.25">
      <c r="A17" s="791" t="s">
        <v>34</v>
      </c>
      <c r="B17" s="656" t="s">
        <v>699</v>
      </c>
      <c r="C17" s="359">
        <v>0</v>
      </c>
      <c r="D17" s="653">
        <v>0</v>
      </c>
      <c r="E17" s="653">
        <v>317500</v>
      </c>
      <c r="F17" s="653">
        <v>1270000</v>
      </c>
      <c r="G17" s="653">
        <v>1270000</v>
      </c>
      <c r="H17" s="654">
        <f t="shared" si="0"/>
        <v>2857500</v>
      </c>
    </row>
    <row r="18" spans="1:8" ht="26.25" customHeight="1" x14ac:dyDescent="0.25">
      <c r="A18" s="791" t="s">
        <v>35</v>
      </c>
      <c r="B18" s="656" t="s">
        <v>700</v>
      </c>
      <c r="C18" s="359">
        <v>0</v>
      </c>
      <c r="D18" s="653">
        <v>0</v>
      </c>
      <c r="E18" s="653">
        <v>833334</v>
      </c>
      <c r="F18" s="908">
        <v>1666668</v>
      </c>
      <c r="G18" s="908">
        <v>1666668</v>
      </c>
      <c r="H18" s="654">
        <f t="shared" si="0"/>
        <v>4166670</v>
      </c>
    </row>
    <row r="19" spans="1:8" ht="26.25" customHeight="1" x14ac:dyDescent="0.25">
      <c r="A19" s="791" t="s">
        <v>36</v>
      </c>
      <c r="B19" s="656" t="s">
        <v>701</v>
      </c>
      <c r="C19" s="359">
        <v>0</v>
      </c>
      <c r="D19" s="653">
        <v>0</v>
      </c>
      <c r="E19" s="653">
        <v>0</v>
      </c>
      <c r="F19" s="908">
        <v>1844392</v>
      </c>
      <c r="G19" s="908">
        <v>1844392</v>
      </c>
      <c r="H19" s="654">
        <f t="shared" si="0"/>
        <v>3688784</v>
      </c>
    </row>
    <row r="20" spans="1:8" ht="26.25" customHeight="1" thickBot="1" x14ac:dyDescent="0.3">
      <c r="A20" s="791" t="s">
        <v>37</v>
      </c>
      <c r="B20" s="656" t="s">
        <v>702</v>
      </c>
      <c r="C20" s="359">
        <v>0</v>
      </c>
      <c r="D20" s="653">
        <v>0</v>
      </c>
      <c r="E20" s="653">
        <v>0</v>
      </c>
      <c r="F20" s="908">
        <v>3171744</v>
      </c>
      <c r="G20" s="908">
        <v>3171744</v>
      </c>
      <c r="H20" s="654">
        <f t="shared" si="0"/>
        <v>6343488</v>
      </c>
    </row>
    <row r="21" spans="1:8" ht="24.75" customHeight="1" thickBot="1" x14ac:dyDescent="0.3">
      <c r="A21" s="911"/>
      <c r="B21" s="915" t="s">
        <v>161</v>
      </c>
      <c r="C21" s="659">
        <f t="shared" ref="C21:H21" si="1">SUM(C6:C20)</f>
        <v>41840320</v>
      </c>
      <c r="D21" s="659">
        <f t="shared" si="1"/>
        <v>8486704</v>
      </c>
      <c r="E21" s="659">
        <f t="shared" si="1"/>
        <v>16989064</v>
      </c>
      <c r="F21" s="659">
        <f t="shared" si="1"/>
        <v>23399246</v>
      </c>
      <c r="G21" s="659">
        <f t="shared" si="1"/>
        <v>20592656</v>
      </c>
      <c r="H21" s="916">
        <f t="shared" si="1"/>
        <v>69467670</v>
      </c>
    </row>
    <row r="23" spans="1:8" x14ac:dyDescent="0.25">
      <c r="B23" s="306" t="s">
        <v>590</v>
      </c>
    </row>
    <row r="25" spans="1:8" x14ac:dyDescent="0.25">
      <c r="B25" s="792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70" orientation="portrait" r:id="rId1"/>
  <headerFooter alignWithMargins="0">
    <oddHeader>&amp;R7. melléklet a 4/2018.(III.29.)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79"/>
  <sheetViews>
    <sheetView zoomScaleNormal="100" workbookViewId="0">
      <selection activeCell="F87" sqref="F87"/>
    </sheetView>
  </sheetViews>
  <sheetFormatPr defaultRowHeight="12.75" x14ac:dyDescent="0.2"/>
  <cols>
    <col min="1" max="1" width="60.332031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7" customWidth="1"/>
    <col min="7" max="8" width="12.83203125" style="31" customWidth="1"/>
    <col min="9" max="9" width="13.83203125" style="31" customWidth="1"/>
    <col min="10" max="16384" width="9.33203125" style="31"/>
  </cols>
  <sheetData>
    <row r="1" spans="1:7" ht="25.5" customHeight="1" x14ac:dyDescent="0.2">
      <c r="A1" s="959" t="s">
        <v>10</v>
      </c>
      <c r="B1" s="959"/>
      <c r="C1" s="959"/>
      <c r="D1" s="959"/>
      <c r="E1" s="959"/>
      <c r="F1" s="959"/>
    </row>
    <row r="2" spans="1:7" ht="22.5" customHeight="1" thickBot="1" x14ac:dyDescent="0.3">
      <c r="A2" s="81"/>
      <c r="B2" s="37"/>
      <c r="C2" s="37"/>
      <c r="D2" s="37"/>
      <c r="E2" s="37"/>
      <c r="F2" s="35" t="s">
        <v>573</v>
      </c>
    </row>
    <row r="3" spans="1:7" s="33" customFormat="1" ht="44.25" customHeight="1" thickBot="1" x14ac:dyDescent="0.25">
      <c r="A3" s="82" t="s">
        <v>68</v>
      </c>
      <c r="B3" s="83" t="s">
        <v>69</v>
      </c>
      <c r="C3" s="83" t="s">
        <v>70</v>
      </c>
      <c r="D3" s="83" t="s">
        <v>603</v>
      </c>
      <c r="E3" s="83" t="s">
        <v>600</v>
      </c>
      <c r="F3" s="36" t="s">
        <v>604</v>
      </c>
      <c r="G3" s="325"/>
    </row>
    <row r="4" spans="1:7" s="37" customFormat="1" ht="12" customHeight="1" thickBot="1" x14ac:dyDescent="0.25">
      <c r="A4" s="323">
        <v>1</v>
      </c>
      <c r="B4" s="324">
        <v>2</v>
      </c>
      <c r="C4" s="324">
        <v>3</v>
      </c>
      <c r="D4" s="324">
        <v>4</v>
      </c>
      <c r="E4" s="324">
        <v>5</v>
      </c>
      <c r="F4" s="119" t="s">
        <v>85</v>
      </c>
    </row>
    <row r="5" spans="1:7" s="507" customFormat="1" ht="15.95" customHeight="1" x14ac:dyDescent="0.2">
      <c r="A5" s="680" t="s">
        <v>615</v>
      </c>
      <c r="B5" s="681">
        <v>359410</v>
      </c>
      <c r="C5" s="639" t="s">
        <v>637</v>
      </c>
      <c r="D5" s="322"/>
      <c r="E5" s="322">
        <v>359410</v>
      </c>
      <c r="F5" s="506">
        <f t="shared" ref="F5:F67" si="0">B5-D5-E5</f>
        <v>0</v>
      </c>
    </row>
    <row r="6" spans="1:7" s="520" customFormat="1" ht="15.95" customHeight="1" x14ac:dyDescent="0.2">
      <c r="A6" s="682" t="s">
        <v>634</v>
      </c>
      <c r="B6" s="683">
        <v>2345001</v>
      </c>
      <c r="C6" s="374" t="s">
        <v>637</v>
      </c>
      <c r="D6" s="292"/>
      <c r="E6" s="292">
        <v>2345001</v>
      </c>
      <c r="F6" s="510">
        <f t="shared" si="0"/>
        <v>0</v>
      </c>
    </row>
    <row r="7" spans="1:7" s="507" customFormat="1" ht="15.95" customHeight="1" x14ac:dyDescent="0.2">
      <c r="A7" s="684" t="s">
        <v>616</v>
      </c>
      <c r="B7" s="692">
        <v>4117750</v>
      </c>
      <c r="C7" s="374" t="s">
        <v>685</v>
      </c>
      <c r="D7" s="509"/>
      <c r="E7" s="292">
        <v>4117750</v>
      </c>
      <c r="F7" s="510">
        <f t="shared" si="0"/>
        <v>0</v>
      </c>
    </row>
    <row r="8" spans="1:7" s="507" customFormat="1" ht="15.95" customHeight="1" x14ac:dyDescent="0.2">
      <c r="A8" s="487" t="s">
        <v>617</v>
      </c>
      <c r="B8" s="692">
        <v>214128351</v>
      </c>
      <c r="C8" s="374" t="s">
        <v>685</v>
      </c>
      <c r="D8" s="292"/>
      <c r="E8" s="292">
        <v>214128351</v>
      </c>
      <c r="F8" s="508">
        <f t="shared" si="0"/>
        <v>0</v>
      </c>
    </row>
    <row r="9" spans="1:7" s="512" customFormat="1" ht="25.5" customHeight="1" x14ac:dyDescent="0.2">
      <c r="A9" s="684" t="s">
        <v>618</v>
      </c>
      <c r="B9" s="683">
        <v>762000</v>
      </c>
      <c r="C9" s="374" t="s">
        <v>637</v>
      </c>
      <c r="D9" s="292"/>
      <c r="E9" s="292">
        <v>762000</v>
      </c>
      <c r="F9" s="511">
        <f t="shared" si="0"/>
        <v>0</v>
      </c>
    </row>
    <row r="10" spans="1:7" s="507" customFormat="1" ht="15.95" customHeight="1" x14ac:dyDescent="0.2">
      <c r="A10" s="640" t="s">
        <v>619</v>
      </c>
      <c r="B10" s="683">
        <v>12873483</v>
      </c>
      <c r="C10" s="374" t="s">
        <v>685</v>
      </c>
      <c r="D10" s="266"/>
      <c r="E10" s="266">
        <v>12873483</v>
      </c>
      <c r="F10" s="508">
        <f t="shared" si="0"/>
        <v>0</v>
      </c>
    </row>
    <row r="11" spans="1:7" s="507" customFormat="1" ht="18.75" customHeight="1" x14ac:dyDescent="0.2">
      <c r="A11" s="682" t="s">
        <v>620</v>
      </c>
      <c r="B11" s="683">
        <v>381000</v>
      </c>
      <c r="C11" s="374" t="s">
        <v>637</v>
      </c>
      <c r="D11" s="509"/>
      <c r="E11" s="292">
        <v>381000</v>
      </c>
      <c r="F11" s="510">
        <f t="shared" si="0"/>
        <v>0</v>
      </c>
    </row>
    <row r="12" spans="1:7" s="507" customFormat="1" ht="15.95" customHeight="1" x14ac:dyDescent="0.2">
      <c r="A12" s="685" t="s">
        <v>621</v>
      </c>
      <c r="B12" s="686">
        <v>1500000</v>
      </c>
      <c r="C12" s="374" t="s">
        <v>637</v>
      </c>
      <c r="D12" s="641"/>
      <c r="E12" s="567">
        <v>1500000</v>
      </c>
      <c r="F12" s="508">
        <f t="shared" si="0"/>
        <v>0</v>
      </c>
    </row>
    <row r="13" spans="1:7" s="507" customFormat="1" ht="15.95" customHeight="1" x14ac:dyDescent="0.2">
      <c r="A13" s="685" t="s">
        <v>635</v>
      </c>
      <c r="B13" s="686">
        <v>2740000</v>
      </c>
      <c r="C13" s="374" t="s">
        <v>637</v>
      </c>
      <c r="D13" s="567"/>
      <c r="E13" s="567">
        <v>2740000</v>
      </c>
      <c r="F13" s="508">
        <f t="shared" si="0"/>
        <v>0</v>
      </c>
    </row>
    <row r="14" spans="1:7" s="507" customFormat="1" ht="15.95" customHeight="1" x14ac:dyDescent="0.2">
      <c r="A14" s="684" t="s">
        <v>622</v>
      </c>
      <c r="B14" s="686">
        <v>374185</v>
      </c>
      <c r="C14" s="374" t="s">
        <v>637</v>
      </c>
      <c r="D14" s="567"/>
      <c r="E14" s="567">
        <v>374185</v>
      </c>
      <c r="F14" s="508">
        <f t="shared" si="0"/>
        <v>0</v>
      </c>
    </row>
    <row r="15" spans="1:7" s="507" customFormat="1" ht="15.95" customHeight="1" x14ac:dyDescent="0.2">
      <c r="A15" s="682" t="s">
        <v>623</v>
      </c>
      <c r="B15" s="683">
        <v>25400</v>
      </c>
      <c r="C15" s="374" t="s">
        <v>637</v>
      </c>
      <c r="D15" s="509"/>
      <c r="E15" s="292">
        <v>25400</v>
      </c>
      <c r="F15" s="510">
        <f t="shared" si="0"/>
        <v>0</v>
      </c>
    </row>
    <row r="16" spans="1:7" s="507" customFormat="1" ht="15.95" customHeight="1" x14ac:dyDescent="0.2">
      <c r="A16" s="687" t="s">
        <v>624</v>
      </c>
      <c r="B16" s="686">
        <v>254000</v>
      </c>
      <c r="C16" s="374" t="s">
        <v>637</v>
      </c>
      <c r="D16" s="514"/>
      <c r="E16" s="292">
        <v>254000</v>
      </c>
      <c r="F16" s="515">
        <f t="shared" si="0"/>
        <v>0</v>
      </c>
    </row>
    <row r="17" spans="1:6" s="507" customFormat="1" ht="15.95" customHeight="1" x14ac:dyDescent="0.2">
      <c r="A17" s="687" t="s">
        <v>625</v>
      </c>
      <c r="B17" s="693">
        <f>75588869-1863013-14128085-879687</f>
        <v>58718084</v>
      </c>
      <c r="C17" s="374" t="s">
        <v>685</v>
      </c>
      <c r="D17" s="567">
        <f>25930681-472408</f>
        <v>25458273</v>
      </c>
      <c r="E17" s="567">
        <v>33259811</v>
      </c>
      <c r="F17" s="513">
        <f t="shared" si="0"/>
        <v>0</v>
      </c>
    </row>
    <row r="18" spans="1:6" s="512" customFormat="1" ht="15.75" customHeight="1" x14ac:dyDescent="0.2">
      <c r="A18" s="687" t="s">
        <v>626</v>
      </c>
      <c r="B18" s="688">
        <v>381000</v>
      </c>
      <c r="C18" s="374" t="s">
        <v>637</v>
      </c>
      <c r="D18" s="567"/>
      <c r="E18" s="567">
        <v>381000</v>
      </c>
      <c r="F18" s="508">
        <f t="shared" si="0"/>
        <v>0</v>
      </c>
    </row>
    <row r="19" spans="1:6" s="512" customFormat="1" ht="15.75" customHeight="1" x14ac:dyDescent="0.2">
      <c r="A19" s="687" t="s">
        <v>627</v>
      </c>
      <c r="B19" s="688">
        <v>377190</v>
      </c>
      <c r="C19" s="374" t="s">
        <v>637</v>
      </c>
      <c r="D19" s="514"/>
      <c r="E19" s="292">
        <v>377190</v>
      </c>
      <c r="F19" s="694">
        <f t="shared" si="0"/>
        <v>0</v>
      </c>
    </row>
    <row r="20" spans="1:6" s="507" customFormat="1" ht="15.75" customHeight="1" x14ac:dyDescent="0.2">
      <c r="A20" s="687" t="s">
        <v>628</v>
      </c>
      <c r="B20" s="688">
        <v>2338070</v>
      </c>
      <c r="C20" s="374" t="s">
        <v>637</v>
      </c>
      <c r="D20" s="514"/>
      <c r="E20" s="292">
        <v>2338070</v>
      </c>
      <c r="F20" s="694">
        <f t="shared" si="0"/>
        <v>0</v>
      </c>
    </row>
    <row r="21" spans="1:6" s="507" customFormat="1" ht="15.75" customHeight="1" x14ac:dyDescent="0.2">
      <c r="A21" s="687" t="s">
        <v>629</v>
      </c>
      <c r="B21" s="688">
        <v>4950460</v>
      </c>
      <c r="C21" s="374" t="s">
        <v>637</v>
      </c>
      <c r="D21" s="567"/>
      <c r="E21" s="567">
        <v>4950460</v>
      </c>
      <c r="F21" s="508">
        <f t="shared" si="0"/>
        <v>0</v>
      </c>
    </row>
    <row r="22" spans="1:6" s="512" customFormat="1" ht="15.75" customHeight="1" x14ac:dyDescent="0.2">
      <c r="A22" s="691" t="s">
        <v>566</v>
      </c>
      <c r="B22" s="686"/>
      <c r="C22" s="374"/>
      <c r="D22" s="567"/>
      <c r="E22" s="567"/>
      <c r="F22" s="513">
        <f t="shared" si="0"/>
        <v>0</v>
      </c>
    </row>
    <row r="23" spans="1:6" s="507" customFormat="1" ht="15.75" customHeight="1" x14ac:dyDescent="0.2">
      <c r="A23" s="690" t="s">
        <v>630</v>
      </c>
      <c r="B23" s="686">
        <v>1153160</v>
      </c>
      <c r="C23" s="374" t="s">
        <v>637</v>
      </c>
      <c r="D23" s="567"/>
      <c r="E23" s="567">
        <v>1153160</v>
      </c>
      <c r="F23" s="508">
        <f t="shared" si="0"/>
        <v>0</v>
      </c>
    </row>
    <row r="24" spans="1:6" s="507" customFormat="1" ht="15.75" customHeight="1" x14ac:dyDescent="0.2">
      <c r="A24" s="690" t="s">
        <v>631</v>
      </c>
      <c r="B24" s="689">
        <v>840740</v>
      </c>
      <c r="C24" s="374" t="s">
        <v>637</v>
      </c>
      <c r="D24" s="567"/>
      <c r="E24" s="567">
        <v>840740</v>
      </c>
      <c r="F24" s="516">
        <f t="shared" si="0"/>
        <v>0</v>
      </c>
    </row>
    <row r="25" spans="1:6" s="512" customFormat="1" ht="15.75" customHeight="1" x14ac:dyDescent="0.2">
      <c r="A25" s="690" t="s">
        <v>632</v>
      </c>
      <c r="B25" s="689">
        <v>2000250</v>
      </c>
      <c r="C25" s="374" t="s">
        <v>637</v>
      </c>
      <c r="D25" s="567"/>
      <c r="E25" s="567">
        <v>2000250</v>
      </c>
      <c r="F25" s="516">
        <f t="shared" si="0"/>
        <v>0</v>
      </c>
    </row>
    <row r="26" spans="1:6" s="507" customFormat="1" ht="15.75" customHeight="1" thickBot="1" x14ac:dyDescent="0.25">
      <c r="A26" s="690" t="s">
        <v>633</v>
      </c>
      <c r="B26" s="689">
        <v>925830</v>
      </c>
      <c r="C26" s="374" t="s">
        <v>637</v>
      </c>
      <c r="D26" s="567"/>
      <c r="E26" s="567">
        <v>925830</v>
      </c>
      <c r="F26" s="516">
        <f t="shared" si="0"/>
        <v>0</v>
      </c>
    </row>
    <row r="27" spans="1:6" s="512" customFormat="1" ht="15.75" customHeight="1" x14ac:dyDescent="0.2">
      <c r="A27" s="711" t="s">
        <v>543</v>
      </c>
      <c r="B27" s="712"/>
      <c r="C27" s="713"/>
      <c r="D27" s="714"/>
      <c r="E27" s="714"/>
      <c r="F27" s="715">
        <f t="shared" si="0"/>
        <v>0</v>
      </c>
    </row>
    <row r="28" spans="1:6" s="507" customFormat="1" ht="15.75" customHeight="1" x14ac:dyDescent="0.2">
      <c r="A28" s="716" t="s">
        <v>636</v>
      </c>
      <c r="B28" s="717">
        <v>300000</v>
      </c>
      <c r="C28" s="718" t="s">
        <v>637</v>
      </c>
      <c r="D28" s="719"/>
      <c r="E28" s="719">
        <v>300000</v>
      </c>
      <c r="F28" s="510">
        <f t="shared" si="0"/>
        <v>0</v>
      </c>
    </row>
    <row r="29" spans="1:6" s="512" customFormat="1" ht="15.75" customHeight="1" x14ac:dyDescent="0.2">
      <c r="A29" s="720" t="s">
        <v>638</v>
      </c>
      <c r="B29" s="721">
        <v>350000</v>
      </c>
      <c r="C29" s="722" t="s">
        <v>637</v>
      </c>
      <c r="D29" s="723"/>
      <c r="E29" s="723">
        <v>350000</v>
      </c>
      <c r="F29" s="510">
        <f t="shared" si="0"/>
        <v>0</v>
      </c>
    </row>
    <row r="30" spans="1:6" s="507" customFormat="1" ht="15.75" customHeight="1" x14ac:dyDescent="0.2">
      <c r="A30" s="724" t="s">
        <v>639</v>
      </c>
      <c r="B30" s="725">
        <v>150000</v>
      </c>
      <c r="C30" s="726" t="s">
        <v>637</v>
      </c>
      <c r="D30" s="727"/>
      <c r="E30" s="727">
        <v>150000</v>
      </c>
      <c r="F30" s="510">
        <f t="shared" si="0"/>
        <v>0</v>
      </c>
    </row>
    <row r="31" spans="1:6" s="512" customFormat="1" ht="15.75" customHeight="1" x14ac:dyDescent="0.2">
      <c r="A31" s="728" t="s">
        <v>640</v>
      </c>
      <c r="B31" s="717">
        <v>100000</v>
      </c>
      <c r="C31" s="726" t="s">
        <v>637</v>
      </c>
      <c r="D31" s="719"/>
      <c r="E31" s="719">
        <v>100000</v>
      </c>
      <c r="F31" s="508">
        <f t="shared" si="0"/>
        <v>0</v>
      </c>
    </row>
    <row r="32" spans="1:6" s="512" customFormat="1" ht="15.75" customHeight="1" x14ac:dyDescent="0.2">
      <c r="A32" s="729" t="s">
        <v>641</v>
      </c>
      <c r="B32" s="717">
        <v>180000</v>
      </c>
      <c r="C32" s="718" t="s">
        <v>685</v>
      </c>
      <c r="D32" s="719">
        <v>0</v>
      </c>
      <c r="E32" s="719">
        <v>180000</v>
      </c>
      <c r="F32" s="511">
        <f t="shared" si="0"/>
        <v>0</v>
      </c>
    </row>
    <row r="33" spans="1:6" s="507" customFormat="1" ht="15.75" customHeight="1" x14ac:dyDescent="0.2">
      <c r="A33" s="730" t="s">
        <v>642</v>
      </c>
      <c r="B33" s="717">
        <v>149000</v>
      </c>
      <c r="C33" s="726" t="s">
        <v>637</v>
      </c>
      <c r="D33" s="719"/>
      <c r="E33" s="719">
        <v>149000</v>
      </c>
      <c r="F33" s="508">
        <f t="shared" si="0"/>
        <v>0</v>
      </c>
    </row>
    <row r="34" spans="1:6" s="507" customFormat="1" ht="15.75" customHeight="1" x14ac:dyDescent="0.2">
      <c r="A34" s="731" t="s">
        <v>403</v>
      </c>
      <c r="B34" s="717"/>
      <c r="C34" s="726"/>
      <c r="D34" s="719"/>
      <c r="E34" s="719"/>
      <c r="F34" s="510">
        <f t="shared" si="0"/>
        <v>0</v>
      </c>
    </row>
    <row r="35" spans="1:6" s="507" customFormat="1" ht="15.75" customHeight="1" x14ac:dyDescent="0.2">
      <c r="A35" s="732" t="s">
        <v>643</v>
      </c>
      <c r="B35" s="725">
        <v>1290385</v>
      </c>
      <c r="C35" s="726" t="s">
        <v>637</v>
      </c>
      <c r="D35" s="733"/>
      <c r="E35" s="727">
        <v>1290385</v>
      </c>
      <c r="F35" s="508">
        <f t="shared" si="0"/>
        <v>0</v>
      </c>
    </row>
    <row r="36" spans="1:6" s="517" customFormat="1" ht="15.75" customHeight="1" x14ac:dyDescent="0.2">
      <c r="A36" s="732" t="s">
        <v>644</v>
      </c>
      <c r="B36" s="725">
        <v>254000</v>
      </c>
      <c r="C36" s="726" t="s">
        <v>637</v>
      </c>
      <c r="D36" s="727"/>
      <c r="E36" s="727">
        <v>254000</v>
      </c>
      <c r="F36" s="508">
        <f t="shared" si="0"/>
        <v>0</v>
      </c>
    </row>
    <row r="37" spans="1:6" s="507" customFormat="1" ht="15.75" customHeight="1" x14ac:dyDescent="0.2">
      <c r="A37" s="732" t="s">
        <v>645</v>
      </c>
      <c r="B37" s="725">
        <v>38100</v>
      </c>
      <c r="C37" s="726" t="s">
        <v>637</v>
      </c>
      <c r="D37" s="727"/>
      <c r="E37" s="727">
        <v>38100</v>
      </c>
      <c r="F37" s="508">
        <f t="shared" si="0"/>
        <v>0</v>
      </c>
    </row>
    <row r="38" spans="1:6" s="512" customFormat="1" ht="15.75" customHeight="1" x14ac:dyDescent="0.2">
      <c r="A38" s="729" t="s">
        <v>646</v>
      </c>
      <c r="B38" s="725">
        <v>89445</v>
      </c>
      <c r="C38" s="726" t="s">
        <v>637</v>
      </c>
      <c r="D38" s="727"/>
      <c r="E38" s="727">
        <v>89445</v>
      </c>
      <c r="F38" s="508">
        <f t="shared" si="0"/>
        <v>0</v>
      </c>
    </row>
    <row r="39" spans="1:6" s="507" customFormat="1" ht="18" customHeight="1" x14ac:dyDescent="0.2">
      <c r="A39" s="921" t="s">
        <v>647</v>
      </c>
      <c r="B39" s="725"/>
      <c r="C39" s="920" t="s">
        <v>637</v>
      </c>
      <c r="D39" s="727"/>
      <c r="E39" s="727"/>
      <c r="F39" s="510">
        <f t="shared" si="0"/>
        <v>0</v>
      </c>
    </row>
    <row r="40" spans="1:6" s="518" customFormat="1" ht="18.75" customHeight="1" x14ac:dyDescent="0.2">
      <c r="A40" s="734" t="s">
        <v>648</v>
      </c>
      <c r="B40" s="725">
        <v>234950</v>
      </c>
      <c r="C40" s="726" t="s">
        <v>637</v>
      </c>
      <c r="D40" s="727"/>
      <c r="E40" s="727">
        <v>234950</v>
      </c>
      <c r="F40" s="515">
        <f t="shared" si="0"/>
        <v>0</v>
      </c>
    </row>
    <row r="41" spans="1:6" s="507" customFormat="1" ht="16.5" customHeight="1" x14ac:dyDescent="0.2">
      <c r="A41" s="735" t="s">
        <v>649</v>
      </c>
      <c r="B41" s="725">
        <v>190500</v>
      </c>
      <c r="C41" s="726" t="s">
        <v>637</v>
      </c>
      <c r="D41" s="727"/>
      <c r="E41" s="727">
        <v>190500</v>
      </c>
      <c r="F41" s="513">
        <f t="shared" si="0"/>
        <v>0</v>
      </c>
    </row>
    <row r="42" spans="1:6" s="507" customFormat="1" ht="16.5" customHeight="1" x14ac:dyDescent="0.2">
      <c r="A42" s="736" t="s">
        <v>650</v>
      </c>
      <c r="B42" s="725"/>
      <c r="C42" s="726"/>
      <c r="D42" s="727"/>
      <c r="E42" s="727"/>
      <c r="F42" s="508">
        <f t="shared" si="0"/>
        <v>0</v>
      </c>
    </row>
    <row r="43" spans="1:6" s="519" customFormat="1" ht="16.5" customHeight="1" x14ac:dyDescent="0.2">
      <c r="A43" s="735" t="s">
        <v>651</v>
      </c>
      <c r="B43" s="725">
        <v>300000</v>
      </c>
      <c r="C43" s="726" t="s">
        <v>637</v>
      </c>
      <c r="D43" s="727"/>
      <c r="E43" s="727">
        <v>300000</v>
      </c>
      <c r="F43" s="508">
        <f t="shared" si="0"/>
        <v>0</v>
      </c>
    </row>
    <row r="44" spans="1:6" s="520" customFormat="1" ht="22.5" customHeight="1" x14ac:dyDescent="0.2">
      <c r="A44" s="735" t="s">
        <v>652</v>
      </c>
      <c r="B44" s="725">
        <v>14500</v>
      </c>
      <c r="C44" s="726" t="s">
        <v>637</v>
      </c>
      <c r="D44" s="727"/>
      <c r="E44" s="727">
        <v>14500</v>
      </c>
      <c r="F44" s="508">
        <f t="shared" si="0"/>
        <v>0</v>
      </c>
    </row>
    <row r="45" spans="1:6" s="512" customFormat="1" ht="22.5" customHeight="1" x14ac:dyDescent="0.2">
      <c r="A45" s="735" t="s">
        <v>653</v>
      </c>
      <c r="B45" s="725">
        <v>500000</v>
      </c>
      <c r="C45" s="726" t="s">
        <v>637</v>
      </c>
      <c r="D45" s="727"/>
      <c r="E45" s="727">
        <v>500000</v>
      </c>
      <c r="F45" s="515">
        <f t="shared" si="0"/>
        <v>0</v>
      </c>
    </row>
    <row r="46" spans="1:6" s="512" customFormat="1" ht="22.5" customHeight="1" x14ac:dyDescent="0.2">
      <c r="A46" s="735" t="s">
        <v>654</v>
      </c>
      <c r="B46" s="725">
        <v>60000</v>
      </c>
      <c r="C46" s="726" t="s">
        <v>637</v>
      </c>
      <c r="D46" s="727"/>
      <c r="E46" s="727">
        <v>60000</v>
      </c>
      <c r="F46" s="515">
        <f t="shared" si="0"/>
        <v>0</v>
      </c>
    </row>
    <row r="47" spans="1:6" s="520" customFormat="1" ht="22.5" customHeight="1" x14ac:dyDescent="0.2">
      <c r="A47" s="735" t="s">
        <v>655</v>
      </c>
      <c r="B47" s="725">
        <v>35000</v>
      </c>
      <c r="C47" s="726" t="s">
        <v>637</v>
      </c>
      <c r="D47" s="727"/>
      <c r="E47" s="727">
        <v>35000</v>
      </c>
      <c r="F47" s="508">
        <f t="shared" si="0"/>
        <v>0</v>
      </c>
    </row>
    <row r="48" spans="1:6" s="520" customFormat="1" ht="22.5" customHeight="1" x14ac:dyDescent="0.2">
      <c r="A48" s="735" t="s">
        <v>656</v>
      </c>
      <c r="B48" s="725">
        <v>90000</v>
      </c>
      <c r="C48" s="726" t="s">
        <v>637</v>
      </c>
      <c r="D48" s="727"/>
      <c r="E48" s="727">
        <v>90000</v>
      </c>
      <c r="F48" s="508">
        <f t="shared" si="0"/>
        <v>0</v>
      </c>
    </row>
    <row r="49" spans="1:6" s="520" customFormat="1" ht="22.5" customHeight="1" x14ac:dyDescent="0.2">
      <c r="A49" s="735" t="s">
        <v>657</v>
      </c>
      <c r="B49" s="725">
        <v>30000</v>
      </c>
      <c r="C49" s="726" t="s">
        <v>637</v>
      </c>
      <c r="D49" s="727"/>
      <c r="E49" s="727">
        <v>30000</v>
      </c>
      <c r="F49" s="508">
        <f t="shared" si="0"/>
        <v>0</v>
      </c>
    </row>
    <row r="50" spans="1:6" s="520" customFormat="1" ht="22.5" customHeight="1" x14ac:dyDescent="0.2">
      <c r="A50" s="735" t="s">
        <v>658</v>
      </c>
      <c r="B50" s="725">
        <v>37000</v>
      </c>
      <c r="C50" s="726" t="s">
        <v>637</v>
      </c>
      <c r="D50" s="727"/>
      <c r="E50" s="727">
        <v>37000</v>
      </c>
      <c r="F50" s="515">
        <f t="shared" si="0"/>
        <v>0</v>
      </c>
    </row>
    <row r="51" spans="1:6" s="507" customFormat="1" ht="21" customHeight="1" x14ac:dyDescent="0.2">
      <c r="A51" s="737" t="s">
        <v>659</v>
      </c>
      <c r="B51" s="725">
        <v>1612204</v>
      </c>
      <c r="C51" s="726" t="s">
        <v>637</v>
      </c>
      <c r="D51" s="727"/>
      <c r="E51" s="727">
        <v>1612204</v>
      </c>
      <c r="F51" s="508">
        <f t="shared" si="0"/>
        <v>0</v>
      </c>
    </row>
    <row r="52" spans="1:6" s="512" customFormat="1" ht="21" customHeight="1" x14ac:dyDescent="0.2">
      <c r="A52" s="738" t="s">
        <v>660</v>
      </c>
      <c r="B52" s="565"/>
      <c r="C52" s="566"/>
      <c r="D52" s="567"/>
      <c r="E52" s="567"/>
      <c r="F52" s="515">
        <f t="shared" si="0"/>
        <v>0</v>
      </c>
    </row>
    <row r="53" spans="1:6" s="512" customFormat="1" ht="21" customHeight="1" x14ac:dyDescent="0.2">
      <c r="A53" s="739" t="s">
        <v>661</v>
      </c>
      <c r="B53" s="565"/>
      <c r="C53" s="566"/>
      <c r="D53" s="567"/>
      <c r="E53" s="567"/>
      <c r="F53" s="513">
        <f t="shared" si="0"/>
        <v>0</v>
      </c>
    </row>
    <row r="54" spans="1:6" s="512" customFormat="1" ht="21" customHeight="1" x14ac:dyDescent="0.2">
      <c r="A54" s="740" t="s">
        <v>662</v>
      </c>
      <c r="B54" s="741">
        <v>380000</v>
      </c>
      <c r="C54" s="673" t="s">
        <v>637</v>
      </c>
      <c r="D54" s="567"/>
      <c r="E54" s="742">
        <v>380000</v>
      </c>
      <c r="F54" s="508">
        <f t="shared" si="0"/>
        <v>0</v>
      </c>
    </row>
    <row r="55" spans="1:6" s="512" customFormat="1" x14ac:dyDescent="0.2">
      <c r="A55" s="743" t="s">
        <v>663</v>
      </c>
      <c r="B55" s="741">
        <v>40000</v>
      </c>
      <c r="C55" s="673" t="s">
        <v>637</v>
      </c>
      <c r="D55" s="567"/>
      <c r="E55" s="742">
        <v>40000</v>
      </c>
      <c r="F55" s="508">
        <f t="shared" si="0"/>
        <v>0</v>
      </c>
    </row>
    <row r="56" spans="1:6" s="512" customFormat="1" x14ac:dyDescent="0.2">
      <c r="A56" s="743" t="s">
        <v>664</v>
      </c>
      <c r="B56" s="741">
        <v>5000</v>
      </c>
      <c r="C56" s="673" t="s">
        <v>637</v>
      </c>
      <c r="D56" s="567"/>
      <c r="E56" s="742">
        <v>5000</v>
      </c>
      <c r="F56" s="508">
        <f t="shared" si="0"/>
        <v>0</v>
      </c>
    </row>
    <row r="57" spans="1:6" s="512" customFormat="1" x14ac:dyDescent="0.2">
      <c r="A57" s="739" t="s">
        <v>665</v>
      </c>
      <c r="B57" s="741"/>
      <c r="C57" s="673"/>
      <c r="D57" s="567"/>
      <c r="E57" s="742"/>
      <c r="F57" s="508">
        <f t="shared" si="0"/>
        <v>0</v>
      </c>
    </row>
    <row r="58" spans="1:6" s="512" customFormat="1" x14ac:dyDescent="0.2">
      <c r="A58" s="743" t="s">
        <v>666</v>
      </c>
      <c r="B58" s="741">
        <v>80000</v>
      </c>
      <c r="C58" s="673" t="s">
        <v>637</v>
      </c>
      <c r="D58" s="567"/>
      <c r="E58" s="742">
        <v>80000</v>
      </c>
      <c r="F58" s="508"/>
    </row>
    <row r="59" spans="1:6" s="520" customFormat="1" x14ac:dyDescent="0.2">
      <c r="A59" s="743" t="s">
        <v>667</v>
      </c>
      <c r="B59" s="741">
        <v>140000</v>
      </c>
      <c r="C59" s="673" t="s">
        <v>637</v>
      </c>
      <c r="D59" s="567"/>
      <c r="E59" s="742">
        <v>140000</v>
      </c>
      <c r="F59" s="508"/>
    </row>
    <row r="60" spans="1:6" s="507" customFormat="1" ht="21" customHeight="1" x14ac:dyDescent="0.2">
      <c r="A60" s="743" t="s">
        <v>668</v>
      </c>
      <c r="B60" s="741">
        <v>70000</v>
      </c>
      <c r="C60" s="673" t="s">
        <v>637</v>
      </c>
      <c r="D60" s="567"/>
      <c r="E60" s="742">
        <v>70000</v>
      </c>
      <c r="F60" s="508">
        <f t="shared" si="0"/>
        <v>0</v>
      </c>
    </row>
    <row r="61" spans="1:6" s="520" customFormat="1" ht="19.5" customHeight="1" x14ac:dyDescent="0.2">
      <c r="A61" s="743" t="s">
        <v>669</v>
      </c>
      <c r="B61" s="741">
        <v>120000</v>
      </c>
      <c r="C61" s="673" t="s">
        <v>637</v>
      </c>
      <c r="D61" s="567"/>
      <c r="E61" s="742">
        <v>120000</v>
      </c>
      <c r="F61" s="508">
        <f t="shared" si="0"/>
        <v>0</v>
      </c>
    </row>
    <row r="62" spans="1:6" s="520" customFormat="1" ht="19.5" customHeight="1" x14ac:dyDescent="0.2">
      <c r="A62" s="739" t="s">
        <v>670</v>
      </c>
      <c r="B62" s="565"/>
      <c r="C62" s="566"/>
      <c r="D62" s="567"/>
      <c r="E62" s="567"/>
      <c r="F62" s="508">
        <f t="shared" si="0"/>
        <v>0</v>
      </c>
    </row>
    <row r="63" spans="1:6" s="520" customFormat="1" ht="19.5" customHeight="1" x14ac:dyDescent="0.2">
      <c r="A63" s="743" t="s">
        <v>669</v>
      </c>
      <c r="B63" s="744">
        <v>100000</v>
      </c>
      <c r="C63" s="673" t="s">
        <v>637</v>
      </c>
      <c r="D63" s="745"/>
      <c r="E63" s="745">
        <v>100000</v>
      </c>
      <c r="F63" s="746">
        <f t="shared" si="0"/>
        <v>0</v>
      </c>
    </row>
    <row r="64" spans="1:6" s="520" customFormat="1" ht="19.5" customHeight="1" x14ac:dyDescent="0.2">
      <c r="A64" s="743" t="s">
        <v>671</v>
      </c>
      <c r="B64" s="744">
        <v>33000</v>
      </c>
      <c r="C64" s="673" t="s">
        <v>637</v>
      </c>
      <c r="D64" s="745"/>
      <c r="E64" s="745">
        <v>33000</v>
      </c>
      <c r="F64" s="746">
        <f t="shared" si="0"/>
        <v>0</v>
      </c>
    </row>
    <row r="65" spans="1:6" s="520" customFormat="1" ht="19.5" customHeight="1" x14ac:dyDescent="0.2">
      <c r="A65" s="747" t="s">
        <v>672</v>
      </c>
      <c r="B65" s="744">
        <v>2072918</v>
      </c>
      <c r="C65" s="673" t="s">
        <v>637</v>
      </c>
      <c r="D65" s="745"/>
      <c r="E65" s="745">
        <v>2072918</v>
      </c>
      <c r="F65" s="746">
        <f t="shared" si="0"/>
        <v>0</v>
      </c>
    </row>
    <row r="66" spans="1:6" s="39" customFormat="1" ht="18" customHeight="1" x14ac:dyDescent="0.2">
      <c r="A66" s="747" t="s">
        <v>673</v>
      </c>
      <c r="B66" s="744">
        <v>30000</v>
      </c>
      <c r="C66" s="673" t="s">
        <v>637</v>
      </c>
      <c r="D66" s="745"/>
      <c r="E66" s="745">
        <v>30000</v>
      </c>
      <c r="F66" s="746">
        <f t="shared" si="0"/>
        <v>0</v>
      </c>
    </row>
    <row r="67" spans="1:6" x14ac:dyDescent="0.2">
      <c r="A67" s="747" t="s">
        <v>674</v>
      </c>
      <c r="B67" s="744">
        <v>29000</v>
      </c>
      <c r="C67" s="673" t="s">
        <v>637</v>
      </c>
      <c r="D67" s="745"/>
      <c r="E67" s="745">
        <v>29000</v>
      </c>
      <c r="F67" s="746">
        <f t="shared" si="0"/>
        <v>0</v>
      </c>
    </row>
    <row r="68" spans="1:6" x14ac:dyDescent="0.2">
      <c r="A68" s="747" t="s">
        <v>675</v>
      </c>
      <c r="B68" s="744">
        <v>5000000</v>
      </c>
      <c r="C68" s="673" t="s">
        <v>637</v>
      </c>
      <c r="D68" s="745"/>
      <c r="E68" s="745">
        <v>5000000</v>
      </c>
      <c r="F68" s="746">
        <f t="shared" ref="F68:F69" si="1">B68-D68-E68</f>
        <v>0</v>
      </c>
    </row>
    <row r="69" spans="1:6" ht="25.5" x14ac:dyDescent="0.2">
      <c r="A69" s="748" t="s">
        <v>676</v>
      </c>
      <c r="B69" s="744">
        <v>102700</v>
      </c>
      <c r="C69" s="673" t="s">
        <v>637</v>
      </c>
      <c r="D69" s="745"/>
      <c r="E69" s="745">
        <v>102700</v>
      </c>
      <c r="F69" s="746">
        <f t="shared" si="1"/>
        <v>0</v>
      </c>
    </row>
    <row r="70" spans="1:6" x14ac:dyDescent="0.2">
      <c r="A70" s="747" t="s">
        <v>677</v>
      </c>
      <c r="B70" s="741">
        <v>120000</v>
      </c>
      <c r="C70" s="722" t="s">
        <v>637</v>
      </c>
      <c r="D70" s="749"/>
      <c r="E70" s="742">
        <v>120000</v>
      </c>
      <c r="F70" s="750"/>
    </row>
    <row r="71" spans="1:6" x14ac:dyDescent="0.2">
      <c r="A71" s="747" t="s">
        <v>678</v>
      </c>
      <c r="B71" s="741">
        <v>10000</v>
      </c>
      <c r="C71" s="673" t="s">
        <v>637</v>
      </c>
      <c r="D71" s="745"/>
      <c r="E71" s="742">
        <v>10000</v>
      </c>
      <c r="F71" s="746"/>
    </row>
    <row r="72" spans="1:6" x14ac:dyDescent="0.2">
      <c r="A72" s="747" t="s">
        <v>679</v>
      </c>
      <c r="B72" s="741">
        <v>850000</v>
      </c>
      <c r="C72" s="673" t="s">
        <v>637</v>
      </c>
      <c r="D72" s="745"/>
      <c r="E72" s="742">
        <v>850000</v>
      </c>
      <c r="F72" s="746"/>
    </row>
    <row r="73" spans="1:6" x14ac:dyDescent="0.2">
      <c r="A73" s="747" t="s">
        <v>680</v>
      </c>
      <c r="B73" s="741">
        <v>1016000</v>
      </c>
      <c r="C73" s="673" t="s">
        <v>637</v>
      </c>
      <c r="D73" s="745"/>
      <c r="E73" s="742">
        <v>1016000</v>
      </c>
      <c r="F73" s="746">
        <f t="shared" ref="F73:F78" si="2">B73-D73-E73</f>
        <v>0</v>
      </c>
    </row>
    <row r="74" spans="1:6" ht="15" x14ac:dyDescent="0.2">
      <c r="A74" s="751" t="s">
        <v>681</v>
      </c>
      <c r="B74" s="744">
        <v>2500000</v>
      </c>
      <c r="C74" s="673" t="s">
        <v>637</v>
      </c>
      <c r="D74" s="745"/>
      <c r="E74" s="745">
        <v>2500000</v>
      </c>
      <c r="F74" s="752"/>
    </row>
    <row r="75" spans="1:6" x14ac:dyDescent="0.2">
      <c r="A75" s="753" t="s">
        <v>544</v>
      </c>
      <c r="B75" s="744"/>
      <c r="C75" s="673"/>
      <c r="D75" s="745"/>
      <c r="E75" s="745"/>
      <c r="F75" s="746">
        <f t="shared" si="2"/>
        <v>0</v>
      </c>
    </row>
    <row r="76" spans="1:6" x14ac:dyDescent="0.2">
      <c r="A76" s="754" t="s">
        <v>682</v>
      </c>
      <c r="B76" s="721">
        <v>54610</v>
      </c>
      <c r="C76" s="722" t="s">
        <v>637</v>
      </c>
      <c r="D76" s="723"/>
      <c r="E76" s="723">
        <v>54610</v>
      </c>
      <c r="F76" s="511"/>
    </row>
    <row r="77" spans="1:6" x14ac:dyDescent="0.2">
      <c r="A77" s="754" t="s">
        <v>683</v>
      </c>
      <c r="B77" s="721">
        <v>76200</v>
      </c>
      <c r="C77" s="722" t="s">
        <v>637</v>
      </c>
      <c r="D77" s="723"/>
      <c r="E77" s="723">
        <v>76200</v>
      </c>
      <c r="F77" s="510"/>
    </row>
    <row r="78" spans="1:6" ht="13.5" thickBot="1" x14ac:dyDescent="0.25">
      <c r="A78" s="755" t="s">
        <v>684</v>
      </c>
      <c r="B78" s="721">
        <v>1500000</v>
      </c>
      <c r="C78" s="722" t="s">
        <v>637</v>
      </c>
      <c r="D78" s="723"/>
      <c r="E78" s="723">
        <v>1500000</v>
      </c>
      <c r="F78" s="515">
        <f t="shared" si="2"/>
        <v>0</v>
      </c>
    </row>
    <row r="79" spans="1:6" ht="13.5" thickBot="1" x14ac:dyDescent="0.25">
      <c r="A79" s="922" t="s">
        <v>67</v>
      </c>
      <c r="B79" s="923">
        <f>SUM(B5:B78)</f>
        <v>331879876</v>
      </c>
      <c r="C79" s="924"/>
      <c r="D79" s="925">
        <f>SUM(D5:D78)</f>
        <v>25458273</v>
      </c>
      <c r="E79" s="925">
        <f t="shared" ref="E79:F79" si="3">SUM(E5:E78)</f>
        <v>306421603</v>
      </c>
      <c r="F79" s="925">
        <f t="shared" si="3"/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51" orientation="portrait" verticalDpi="300" r:id="rId1"/>
  <headerFooter alignWithMargins="0">
    <oddHeader>&amp;R&amp;"Times New Roman CE,Félkövér dőlt"&amp;11 8. melléklet a 4/2018.(III.29.)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582" customWidth="1"/>
    <col min="2" max="2" width="72" style="583" customWidth="1"/>
    <col min="3" max="3" width="25" style="584" customWidth="1"/>
    <col min="4" max="4" width="14.1640625" style="568" hidden="1" customWidth="1"/>
    <col min="5" max="5" width="14.6640625" style="568" hidden="1" customWidth="1"/>
    <col min="6" max="6" width="16.6640625" style="569" hidden="1" customWidth="1"/>
    <col min="7" max="7" width="11.83203125" style="569" hidden="1" customWidth="1"/>
    <col min="8" max="8" width="11.83203125" style="568" hidden="1" customWidth="1"/>
    <col min="9" max="16384" width="9.33203125" style="2"/>
  </cols>
  <sheetData>
    <row r="1" spans="1:8" s="1" customFormat="1" ht="16.5" customHeight="1" thickBot="1" x14ac:dyDescent="0.25">
      <c r="A1" s="88"/>
      <c r="B1" s="90"/>
      <c r="C1" s="113"/>
      <c r="D1" s="568"/>
      <c r="E1" s="568"/>
      <c r="F1" s="569"/>
      <c r="G1" s="569"/>
      <c r="H1" s="568"/>
    </row>
    <row r="2" spans="1:8" s="46" customFormat="1" ht="21" customHeight="1" x14ac:dyDescent="0.2">
      <c r="A2" s="201" t="s">
        <v>65</v>
      </c>
      <c r="B2" s="179" t="s">
        <v>167</v>
      </c>
      <c r="C2" s="181" t="s">
        <v>56</v>
      </c>
      <c r="D2" s="570"/>
      <c r="E2" s="571"/>
      <c r="F2" s="572"/>
      <c r="G2" s="572"/>
      <c r="H2" s="571"/>
    </row>
    <row r="3" spans="1:8" s="46" customFormat="1" ht="16.5" thickBot="1" x14ac:dyDescent="0.25">
      <c r="A3" s="91" t="s">
        <v>162</v>
      </c>
      <c r="B3" s="180" t="s">
        <v>345</v>
      </c>
      <c r="C3" s="281" t="s">
        <v>56</v>
      </c>
      <c r="D3" s="571"/>
      <c r="E3" s="571"/>
      <c r="F3" s="572"/>
      <c r="G3" s="572"/>
      <c r="H3" s="571"/>
    </row>
    <row r="4" spans="1:8" s="47" customFormat="1" ht="15.95" customHeight="1" thickBot="1" x14ac:dyDescent="0.3">
      <c r="A4" s="92"/>
      <c r="B4" s="92"/>
      <c r="C4" s="93" t="s">
        <v>571</v>
      </c>
      <c r="D4" s="571"/>
      <c r="E4" s="571"/>
      <c r="F4" s="572"/>
      <c r="G4" s="572"/>
      <c r="H4" s="571"/>
    </row>
    <row r="5" spans="1:8" ht="13.5" thickBot="1" x14ac:dyDescent="0.25">
      <c r="A5" s="202" t="s">
        <v>164</v>
      </c>
      <c r="B5" s="94" t="s">
        <v>57</v>
      </c>
      <c r="C5" s="182" t="s">
        <v>58</v>
      </c>
    </row>
    <row r="6" spans="1:8" s="40" customFormat="1" ht="12.95" customHeight="1" thickBot="1" x14ac:dyDescent="0.25">
      <c r="A6" s="84" t="s">
        <v>446</v>
      </c>
      <c r="B6" s="85" t="s">
        <v>447</v>
      </c>
      <c r="C6" s="86" t="s">
        <v>448</v>
      </c>
      <c r="D6" s="573"/>
      <c r="E6" s="573"/>
      <c r="F6" s="569"/>
      <c r="G6" s="569"/>
      <c r="H6" s="573"/>
    </row>
    <row r="7" spans="1:8" s="40" customFormat="1" ht="15.95" customHeight="1" thickBot="1" x14ac:dyDescent="0.25">
      <c r="A7" s="96"/>
      <c r="B7" s="97" t="s">
        <v>59</v>
      </c>
      <c r="C7" s="183"/>
      <c r="D7" s="573"/>
      <c r="E7" s="573"/>
      <c r="F7" s="569"/>
      <c r="G7" s="569"/>
      <c r="H7" s="573"/>
    </row>
    <row r="8" spans="1:8" s="40" customFormat="1" ht="12" customHeight="1" thickBot="1" x14ac:dyDescent="0.25">
      <c r="A8" s="26" t="s">
        <v>22</v>
      </c>
      <c r="B8" s="20" t="s">
        <v>192</v>
      </c>
      <c r="C8" s="130">
        <f>+C9+C10+C11+C12+C13+C14</f>
        <v>1318891068</v>
      </c>
      <c r="D8" s="573">
        <f>'9.1.1. sz. mell. '!C8+'9.1.2. sz. mell.'!C8</f>
        <v>1318891068</v>
      </c>
      <c r="E8" s="573">
        <f>'9.1.1. sz. mell. '!C8+'9.1.2. sz. mell.'!C8</f>
        <v>1318891068</v>
      </c>
      <c r="F8" s="574">
        <f>'9.1.1. sz. mell. '!C8+'9.1.2. sz. mell.'!C8</f>
        <v>1318891068</v>
      </c>
      <c r="G8" s="574">
        <f>C8-F8</f>
        <v>0</v>
      </c>
      <c r="H8" s="573">
        <f>C8-D8</f>
        <v>0</v>
      </c>
    </row>
    <row r="9" spans="1:8" s="48" customFormat="1" ht="12" customHeight="1" x14ac:dyDescent="0.2">
      <c r="A9" s="225" t="s">
        <v>100</v>
      </c>
      <c r="B9" s="211" t="s">
        <v>193</v>
      </c>
      <c r="C9" s="249">
        <v>227855923</v>
      </c>
      <c r="D9" s="573">
        <f>'9.1.1. sz. mell. '!C9+'9.1.2. sz. mell.'!C9</f>
        <v>227855923</v>
      </c>
      <c r="E9" s="573">
        <f>'9.1.1. sz. mell. '!C9+'9.1.2. sz. mell.'!C9</f>
        <v>227855923</v>
      </c>
      <c r="F9" s="575">
        <f>'9.1.1. sz. mell. '!C9+'9.1.2. sz. mell.'!C9</f>
        <v>227855923</v>
      </c>
      <c r="G9" s="576">
        <f t="shared" ref="G9:G72" si="0">C9-F9</f>
        <v>0</v>
      </c>
      <c r="H9" s="573">
        <f t="shared" ref="H9:H72" si="1">C9-D9</f>
        <v>0</v>
      </c>
    </row>
    <row r="10" spans="1:8" s="49" customFormat="1" ht="12" customHeight="1" x14ac:dyDescent="0.2">
      <c r="A10" s="226" t="s">
        <v>101</v>
      </c>
      <c r="B10" s="212" t="s">
        <v>194</v>
      </c>
      <c r="C10" s="134">
        <v>224734134</v>
      </c>
      <c r="D10" s="573">
        <f>'9.1.1. sz. mell. '!C10+'9.1.2. sz. mell.'!C10</f>
        <v>224734134</v>
      </c>
      <c r="E10" s="573">
        <f>'9.1.1. sz. mell. '!C10+'9.1.2. sz. mell.'!C10</f>
        <v>224734134</v>
      </c>
      <c r="F10" s="577">
        <f>'9.1.1. sz. mell. '!C10+'9.1.2. sz. mell.'!C10</f>
        <v>224734134</v>
      </c>
      <c r="G10" s="578">
        <f t="shared" si="0"/>
        <v>0</v>
      </c>
      <c r="H10" s="573">
        <f t="shared" si="1"/>
        <v>0</v>
      </c>
    </row>
    <row r="11" spans="1:8" s="49" customFormat="1" ht="12" customHeight="1" x14ac:dyDescent="0.2">
      <c r="A11" s="226" t="s">
        <v>102</v>
      </c>
      <c r="B11" s="212" t="s">
        <v>195</v>
      </c>
      <c r="C11" s="134">
        <f>126991000+65060600+119410000+192410145+62092600</f>
        <v>565964345</v>
      </c>
      <c r="D11" s="573">
        <f>'9.1.1. sz. mell. '!C11+'9.1.2. sz. mell.'!C11</f>
        <v>565964345</v>
      </c>
      <c r="E11" s="573">
        <f>'9.1.1. sz. mell. '!C11+'9.1.2. sz. mell.'!C11</f>
        <v>565964345</v>
      </c>
      <c r="F11" s="577">
        <f>'9.1.1. sz. mell. '!C11+'9.1.2. sz. mell.'!C11</f>
        <v>565964345</v>
      </c>
      <c r="G11" s="578">
        <f t="shared" si="0"/>
        <v>0</v>
      </c>
      <c r="H11" s="573">
        <f t="shared" si="1"/>
        <v>0</v>
      </c>
    </row>
    <row r="12" spans="1:8" s="49" customFormat="1" ht="12" customHeight="1" x14ac:dyDescent="0.2">
      <c r="A12" s="226" t="s">
        <v>103</v>
      </c>
      <c r="B12" s="212" t="s">
        <v>196</v>
      </c>
      <c r="C12" s="134">
        <f>16122040+12622000</f>
        <v>28744040</v>
      </c>
      <c r="D12" s="573">
        <f>'9.1.1. sz. mell. '!C12+'9.1.2. sz. mell.'!C12</f>
        <v>28744040</v>
      </c>
      <c r="E12" s="573">
        <f>'9.1.1. sz. mell. '!C12+'9.1.2. sz. mell.'!C12</f>
        <v>28744040</v>
      </c>
      <c r="F12" s="577">
        <f>'9.1.1. sz. mell. '!C12+'9.1.2. sz. mell.'!C12</f>
        <v>28744040</v>
      </c>
      <c r="G12" s="578">
        <f t="shared" si="0"/>
        <v>0</v>
      </c>
      <c r="H12" s="573">
        <f t="shared" si="1"/>
        <v>0</v>
      </c>
    </row>
    <row r="13" spans="1:8" s="49" customFormat="1" ht="12" customHeight="1" x14ac:dyDescent="0.2">
      <c r="A13" s="226" t="s">
        <v>124</v>
      </c>
      <c r="B13" s="212" t="s">
        <v>510</v>
      </c>
      <c r="C13" s="907">
        <f>16254886+63796813+190231327+1309600</f>
        <v>271592626</v>
      </c>
      <c r="D13" s="573">
        <f>'9.1.1. sz. mell. '!C13+'9.1.2. sz. mell.'!C13</f>
        <v>271592626</v>
      </c>
      <c r="E13" s="573">
        <f>'9.1.1. sz. mell. '!C13+'9.1.2. sz. mell.'!C13</f>
        <v>271592626</v>
      </c>
      <c r="F13" s="577">
        <f>'9.1.1. sz. mell. '!C13+'9.1.2. sz. mell.'!C13</f>
        <v>271592626</v>
      </c>
      <c r="G13" s="578">
        <f t="shared" si="0"/>
        <v>0</v>
      </c>
      <c r="H13" s="573">
        <f t="shared" si="1"/>
        <v>0</v>
      </c>
    </row>
    <row r="14" spans="1:8" s="48" customFormat="1" ht="12" customHeight="1" thickBot="1" x14ac:dyDescent="0.25">
      <c r="A14" s="227" t="s">
        <v>104</v>
      </c>
      <c r="B14" s="213" t="s">
        <v>450</v>
      </c>
      <c r="C14" s="134"/>
      <c r="D14" s="573">
        <f>'9.1.1. sz. mell. '!C14+'9.1.2. sz. mell.'!C14</f>
        <v>0</v>
      </c>
      <c r="E14" s="573">
        <f>'9.1.1. sz. mell. '!C14+'9.1.2. sz. mell.'!C14</f>
        <v>0</v>
      </c>
      <c r="F14" s="579">
        <f>'9.1.1. sz. mell. '!C14+'9.1.2. sz. mell.'!C14</f>
        <v>0</v>
      </c>
      <c r="G14" s="580">
        <f t="shared" si="0"/>
        <v>0</v>
      </c>
      <c r="H14" s="573">
        <f t="shared" si="1"/>
        <v>0</v>
      </c>
    </row>
    <row r="15" spans="1:8" s="48" customFormat="1" ht="12" customHeight="1" thickBot="1" x14ac:dyDescent="0.25">
      <c r="A15" s="26" t="s">
        <v>23</v>
      </c>
      <c r="B15" s="125" t="s">
        <v>197</v>
      </c>
      <c r="C15" s="130">
        <f>+C16+C17+C18+C19+C20</f>
        <v>158357110</v>
      </c>
      <c r="D15" s="573">
        <f>'9.1.1. sz. mell. '!C15+'9.1.2. sz. mell.'!C15</f>
        <v>158357110</v>
      </c>
      <c r="E15" s="573">
        <f>'9.1.1. sz. mell. '!C15+'9.1.2. sz. mell.'!C15</f>
        <v>158357110</v>
      </c>
      <c r="F15" s="574">
        <f>'9.1.1. sz. mell. '!C15+'9.1.2. sz. mell.'!C15</f>
        <v>158357110</v>
      </c>
      <c r="G15" s="574">
        <f t="shared" si="0"/>
        <v>0</v>
      </c>
      <c r="H15" s="573">
        <f t="shared" si="1"/>
        <v>0</v>
      </c>
    </row>
    <row r="16" spans="1:8" s="48" customFormat="1" ht="12" customHeight="1" x14ac:dyDescent="0.2">
      <c r="A16" s="225" t="s">
        <v>106</v>
      </c>
      <c r="B16" s="211" t="s">
        <v>198</v>
      </c>
      <c r="C16" s="132"/>
      <c r="D16" s="573">
        <f>'9.1.1. sz. mell. '!C16+'9.1.2. sz. mell.'!C16</f>
        <v>0</v>
      </c>
      <c r="E16" s="573">
        <f>'9.1.1. sz. mell. '!C16+'9.1.2. sz. mell.'!C16</f>
        <v>0</v>
      </c>
      <c r="F16" s="575">
        <f>'9.1.1. sz. mell. '!C16+'9.1.2. sz. mell.'!C16</f>
        <v>0</v>
      </c>
      <c r="G16" s="576">
        <f t="shared" si="0"/>
        <v>0</v>
      </c>
      <c r="H16" s="573">
        <f t="shared" si="1"/>
        <v>0</v>
      </c>
    </row>
    <row r="17" spans="1:8" s="48" customFormat="1" ht="12" customHeight="1" x14ac:dyDescent="0.2">
      <c r="A17" s="226" t="s">
        <v>107</v>
      </c>
      <c r="B17" s="212" t="s">
        <v>199</v>
      </c>
      <c r="C17" s="131"/>
      <c r="D17" s="573">
        <f>'9.1.1. sz. mell. '!C17+'9.1.2. sz. mell.'!C17</f>
        <v>0</v>
      </c>
      <c r="E17" s="573">
        <f>'9.1.1. sz. mell. '!C17+'9.1.2. sz. mell.'!C17</f>
        <v>0</v>
      </c>
      <c r="F17" s="577">
        <f>'9.1.1. sz. mell. '!C17+'9.1.2. sz. mell.'!C17</f>
        <v>0</v>
      </c>
      <c r="G17" s="578">
        <f t="shared" si="0"/>
        <v>0</v>
      </c>
      <c r="H17" s="573">
        <f t="shared" si="1"/>
        <v>0</v>
      </c>
    </row>
    <row r="18" spans="1:8" s="48" customFormat="1" ht="12" customHeight="1" x14ac:dyDescent="0.2">
      <c r="A18" s="226" t="s">
        <v>108</v>
      </c>
      <c r="B18" s="212" t="s">
        <v>368</v>
      </c>
      <c r="C18" s="134"/>
      <c r="D18" s="573">
        <f>'9.1.1. sz. mell. '!C18+'9.1.2. sz. mell.'!C18</f>
        <v>0</v>
      </c>
      <c r="E18" s="573">
        <f>'9.1.1. sz. mell. '!C18+'9.1.2. sz. mell.'!C18</f>
        <v>0</v>
      </c>
      <c r="F18" s="577">
        <f>'9.1.1. sz. mell. '!C18+'9.1.2. sz. mell.'!C18</f>
        <v>0</v>
      </c>
      <c r="G18" s="578">
        <f t="shared" si="0"/>
        <v>0</v>
      </c>
      <c r="H18" s="573">
        <f t="shared" si="1"/>
        <v>0</v>
      </c>
    </row>
    <row r="19" spans="1:8" s="48" customFormat="1" ht="12" customHeight="1" x14ac:dyDescent="0.2">
      <c r="A19" s="226" t="s">
        <v>109</v>
      </c>
      <c r="B19" s="212" t="s">
        <v>369</v>
      </c>
      <c r="C19" s="134"/>
      <c r="D19" s="573">
        <f>'9.1.1. sz. mell. '!C19+'9.1.2. sz. mell.'!C19</f>
        <v>0</v>
      </c>
      <c r="E19" s="573">
        <f>'9.1.1. sz. mell. '!C19+'9.1.2. sz. mell.'!C19</f>
        <v>0</v>
      </c>
      <c r="F19" s="577">
        <f>'9.1.1. sz. mell. '!C19+'9.1.2. sz. mell.'!C19</f>
        <v>0</v>
      </c>
      <c r="G19" s="578">
        <f t="shared" si="0"/>
        <v>0</v>
      </c>
      <c r="H19" s="573">
        <f t="shared" si="1"/>
        <v>0</v>
      </c>
    </row>
    <row r="20" spans="1:8" s="48" customFormat="1" ht="12" customHeight="1" x14ac:dyDescent="0.2">
      <c r="A20" s="226" t="s">
        <v>110</v>
      </c>
      <c r="B20" s="212" t="s">
        <v>200</v>
      </c>
      <c r="C20" s="290">
        <f>3900000+4320000+125887110+24250000</f>
        <v>158357110</v>
      </c>
      <c r="D20" s="573">
        <f>'9.1.1. sz. mell. '!C20+'9.1.2. sz. mell.'!C20</f>
        <v>158357110</v>
      </c>
      <c r="E20" s="573">
        <f>'9.1.1. sz. mell. '!C20+'9.1.2. sz. mell.'!C20</f>
        <v>158357110</v>
      </c>
      <c r="F20" s="577">
        <f>'9.1.1. sz. mell. '!C20+'9.1.2. sz. mell.'!C20</f>
        <v>158357110</v>
      </c>
      <c r="G20" s="578">
        <f t="shared" si="0"/>
        <v>0</v>
      </c>
      <c r="H20" s="573">
        <f t="shared" si="1"/>
        <v>0</v>
      </c>
    </row>
    <row r="21" spans="1:8" s="49" customFormat="1" ht="12" customHeight="1" thickBot="1" x14ac:dyDescent="0.25">
      <c r="A21" s="227" t="s">
        <v>119</v>
      </c>
      <c r="B21" s="213" t="s">
        <v>201</v>
      </c>
      <c r="C21" s="200"/>
      <c r="D21" s="573">
        <f>'9.1.1. sz. mell. '!C21+'9.1.2. sz. mell.'!C21</f>
        <v>0</v>
      </c>
      <c r="E21" s="573">
        <f>'9.1.1. sz. mell. '!C21+'9.1.2. sz. mell.'!C21</f>
        <v>0</v>
      </c>
      <c r="F21" s="579">
        <f>'9.1.1. sz. mell. '!C21+'9.1.2. sz. mell.'!C21</f>
        <v>0</v>
      </c>
      <c r="G21" s="580">
        <f t="shared" si="0"/>
        <v>0</v>
      </c>
      <c r="H21" s="573">
        <f t="shared" si="1"/>
        <v>0</v>
      </c>
    </row>
    <row r="22" spans="1:8" s="49" customFormat="1" ht="12" customHeight="1" thickBot="1" x14ac:dyDescent="0.25">
      <c r="A22" s="26" t="s">
        <v>24</v>
      </c>
      <c r="B22" s="20" t="s">
        <v>202</v>
      </c>
      <c r="C22" s="130">
        <f>+C23+C24+C25+C26+C27</f>
        <v>13442271</v>
      </c>
      <c r="D22" s="573">
        <f>'9.1.1. sz. mell. '!C22+'9.1.2. sz. mell.'!C22</f>
        <v>13442271</v>
      </c>
      <c r="E22" s="573">
        <f>'9.1.1. sz. mell. '!C22+'9.1.2. sz. mell.'!C22</f>
        <v>13442271</v>
      </c>
      <c r="F22" s="574">
        <f>'9.1.1. sz. mell. '!C22+'9.1.2. sz. mell.'!C22</f>
        <v>13442271</v>
      </c>
      <c r="G22" s="574">
        <f t="shared" si="0"/>
        <v>0</v>
      </c>
      <c r="H22" s="573">
        <f t="shared" si="1"/>
        <v>0</v>
      </c>
    </row>
    <row r="23" spans="1:8" s="49" customFormat="1" ht="12" customHeight="1" x14ac:dyDescent="0.2">
      <c r="A23" s="225" t="s">
        <v>89</v>
      </c>
      <c r="B23" s="211" t="s">
        <v>203</v>
      </c>
      <c r="C23" s="249"/>
      <c r="D23" s="573">
        <f>'9.1.1. sz. mell. '!C23+'9.1.2. sz. mell.'!C23</f>
        <v>0</v>
      </c>
      <c r="E23" s="573">
        <f>'9.1.1. sz. mell. '!C23+'9.1.2. sz. mell.'!C23</f>
        <v>0</v>
      </c>
      <c r="F23" s="575">
        <f>'9.1.1. sz. mell. '!C23+'9.1.2. sz. mell.'!C23</f>
        <v>0</v>
      </c>
      <c r="G23" s="576">
        <f t="shared" si="0"/>
        <v>0</v>
      </c>
      <c r="H23" s="573">
        <f t="shared" si="1"/>
        <v>0</v>
      </c>
    </row>
    <row r="24" spans="1:8" s="48" customFormat="1" ht="12" customHeight="1" x14ac:dyDescent="0.2">
      <c r="A24" s="226" t="s">
        <v>90</v>
      </c>
      <c r="B24" s="212" t="s">
        <v>204</v>
      </c>
      <c r="C24" s="134"/>
      <c r="D24" s="573">
        <f>'9.1.1. sz. mell. '!C24+'9.1.2. sz. mell.'!C24</f>
        <v>0</v>
      </c>
      <c r="E24" s="573">
        <f>'9.1.1. sz. mell. '!C24+'9.1.2. sz. mell.'!C24</f>
        <v>0</v>
      </c>
      <c r="F24" s="577">
        <f>'9.1.1. sz. mell. '!C24+'9.1.2. sz. mell.'!C24</f>
        <v>0</v>
      </c>
      <c r="G24" s="578">
        <f t="shared" si="0"/>
        <v>0</v>
      </c>
      <c r="H24" s="573">
        <f t="shared" si="1"/>
        <v>0</v>
      </c>
    </row>
    <row r="25" spans="1:8" s="49" customFormat="1" ht="12" customHeight="1" x14ac:dyDescent="0.2">
      <c r="A25" s="226" t="s">
        <v>91</v>
      </c>
      <c r="B25" s="212" t="s">
        <v>370</v>
      </c>
      <c r="C25" s="134"/>
      <c r="D25" s="573">
        <f>'9.1.1. sz. mell. '!C25+'9.1.2. sz. mell.'!C25</f>
        <v>0</v>
      </c>
      <c r="E25" s="573">
        <f>'9.1.1. sz. mell. '!C25+'9.1.2. sz. mell.'!C25</f>
        <v>0</v>
      </c>
      <c r="F25" s="577">
        <f>'9.1.1. sz. mell. '!C25+'9.1.2. sz. mell.'!C25</f>
        <v>0</v>
      </c>
      <c r="G25" s="578">
        <f t="shared" si="0"/>
        <v>0</v>
      </c>
      <c r="H25" s="573">
        <f t="shared" si="1"/>
        <v>0</v>
      </c>
    </row>
    <row r="26" spans="1:8" s="49" customFormat="1" ht="12" customHeight="1" x14ac:dyDescent="0.2">
      <c r="A26" s="226" t="s">
        <v>92</v>
      </c>
      <c r="B26" s="212" t="s">
        <v>371</v>
      </c>
      <c r="C26" s="134"/>
      <c r="D26" s="573">
        <f>'9.1.1. sz. mell. '!C26+'9.1.2. sz. mell.'!C26</f>
        <v>0</v>
      </c>
      <c r="E26" s="573">
        <f>'9.1.1. sz. mell. '!C26+'9.1.2. sz. mell.'!C26</f>
        <v>0</v>
      </c>
      <c r="F26" s="577">
        <f>'9.1.1. sz. mell. '!C26+'9.1.2. sz. mell.'!C26</f>
        <v>0</v>
      </c>
      <c r="G26" s="578">
        <f t="shared" si="0"/>
        <v>0</v>
      </c>
      <c r="H26" s="573">
        <f t="shared" si="1"/>
        <v>0</v>
      </c>
    </row>
    <row r="27" spans="1:8" s="49" customFormat="1" ht="12" customHeight="1" x14ac:dyDescent="0.2">
      <c r="A27" s="226" t="s">
        <v>135</v>
      </c>
      <c r="B27" s="212" t="s">
        <v>205</v>
      </c>
      <c r="C27" s="285">
        <f>5866130+3779393+3796748</f>
        <v>13442271</v>
      </c>
      <c r="D27" s="573">
        <f>'9.1.1. sz. mell. '!C27+'9.1.2. sz. mell.'!C27</f>
        <v>13442271</v>
      </c>
      <c r="E27" s="573">
        <f>'9.1.1. sz. mell. '!C27+'9.1.2. sz. mell.'!C27</f>
        <v>13442271</v>
      </c>
      <c r="F27" s="577">
        <f>'9.1.1. sz. mell. '!C27+'9.1.2. sz. mell.'!C27</f>
        <v>13442271</v>
      </c>
      <c r="G27" s="578">
        <f t="shared" si="0"/>
        <v>0</v>
      </c>
      <c r="H27" s="573">
        <f t="shared" si="1"/>
        <v>0</v>
      </c>
    </row>
    <row r="28" spans="1:8" s="49" customFormat="1" ht="12" customHeight="1" thickBot="1" x14ac:dyDescent="0.25">
      <c r="A28" s="227" t="s">
        <v>136</v>
      </c>
      <c r="B28" s="213" t="s">
        <v>206</v>
      </c>
      <c r="C28" s="200">
        <v>13442271</v>
      </c>
      <c r="D28" s="573">
        <f>'9.1.1. sz. mell. '!C28+'9.1.2. sz. mell.'!C28</f>
        <v>13442271</v>
      </c>
      <c r="E28" s="573">
        <f>'9.1.1. sz. mell. '!C28+'9.1.2. sz. mell.'!C28</f>
        <v>13442271</v>
      </c>
      <c r="F28" s="579">
        <f>'9.1.1. sz. mell. '!C28+'9.1.2. sz. mell.'!C28</f>
        <v>13442271</v>
      </c>
      <c r="G28" s="580">
        <f t="shared" si="0"/>
        <v>0</v>
      </c>
      <c r="H28" s="573">
        <f t="shared" si="1"/>
        <v>0</v>
      </c>
    </row>
    <row r="29" spans="1:8" s="49" customFormat="1" ht="12" customHeight="1" thickBot="1" x14ac:dyDescent="0.25">
      <c r="A29" s="26" t="s">
        <v>137</v>
      </c>
      <c r="B29" s="20" t="s">
        <v>207</v>
      </c>
      <c r="C29" s="135">
        <f>+C30+C34+C35+C36</f>
        <v>352658000</v>
      </c>
      <c r="D29" s="573">
        <f>'9.1.1. sz. mell. '!C29+'9.1.2. sz. mell.'!C29</f>
        <v>352658000</v>
      </c>
      <c r="E29" s="573">
        <f>'9.1.1. sz. mell. '!C29+'9.1.2. sz. mell.'!C29</f>
        <v>352658000</v>
      </c>
      <c r="F29" s="574">
        <f>'9.1.1. sz. mell. '!C29+'9.1.2. sz. mell.'!C29</f>
        <v>352658000</v>
      </c>
      <c r="G29" s="574">
        <f t="shared" si="0"/>
        <v>0</v>
      </c>
      <c r="H29" s="573">
        <f t="shared" si="1"/>
        <v>0</v>
      </c>
    </row>
    <row r="30" spans="1:8" s="49" customFormat="1" ht="12" customHeight="1" x14ac:dyDescent="0.2">
      <c r="A30" s="225" t="s">
        <v>208</v>
      </c>
      <c r="B30" s="211" t="s">
        <v>511</v>
      </c>
      <c r="C30" s="206">
        <f>SUM(C31:C33)</f>
        <v>308654000</v>
      </c>
      <c r="D30" s="573">
        <f>'9.1.1. sz. mell. '!C30+'9.1.2. sz. mell.'!C30</f>
        <v>308654000</v>
      </c>
      <c r="E30" s="573">
        <f>'9.1.1. sz. mell. '!C30+'9.1.2. sz. mell.'!C30</f>
        <v>308654000</v>
      </c>
      <c r="F30" s="575">
        <f>'9.1.1. sz. mell. '!C30+'9.1.2. sz. mell.'!C30</f>
        <v>308654000</v>
      </c>
      <c r="G30" s="576">
        <f t="shared" si="0"/>
        <v>0</v>
      </c>
      <c r="H30" s="573">
        <f t="shared" si="1"/>
        <v>0</v>
      </c>
    </row>
    <row r="31" spans="1:8" s="49" customFormat="1" ht="12" customHeight="1" x14ac:dyDescent="0.2">
      <c r="A31" s="226" t="s">
        <v>209</v>
      </c>
      <c r="B31" s="212" t="s">
        <v>214</v>
      </c>
      <c r="C31" s="115">
        <f>7500000+70000000</f>
        <v>77500000</v>
      </c>
      <c r="D31" s="573">
        <f>'9.1.1. sz. mell. '!C31+'9.1.2. sz. mell.'!C31</f>
        <v>77500000</v>
      </c>
      <c r="E31" s="573">
        <f>'9.1.1. sz. mell. '!C31+'9.1.2. sz. mell.'!C31</f>
        <v>77500000</v>
      </c>
      <c r="F31" s="577">
        <f>'9.1.1. sz. mell. '!C31+'9.1.2. sz. mell.'!C31</f>
        <v>77500000</v>
      </c>
      <c r="G31" s="578">
        <f t="shared" si="0"/>
        <v>0</v>
      </c>
      <c r="H31" s="573">
        <f t="shared" si="1"/>
        <v>0</v>
      </c>
    </row>
    <row r="32" spans="1:8" s="49" customFormat="1" ht="12" customHeight="1" x14ac:dyDescent="0.2">
      <c r="A32" s="226" t="s">
        <v>210</v>
      </c>
      <c r="B32" s="212" t="s">
        <v>554</v>
      </c>
      <c r="C32" s="115">
        <v>231154000</v>
      </c>
      <c r="D32" s="573">
        <f>'9.1.1. sz. mell. '!C32+'9.1.2. sz. mell.'!C32</f>
        <v>231154000</v>
      </c>
      <c r="E32" s="573">
        <f>'9.1.1. sz. mell. '!C32+'9.1.2. sz. mell.'!C32</f>
        <v>231154000</v>
      </c>
      <c r="F32" s="577">
        <f>'9.1.1. sz. mell. '!C32+'9.1.2. sz. mell.'!C32</f>
        <v>231154000</v>
      </c>
      <c r="G32" s="578">
        <f t="shared" si="0"/>
        <v>0</v>
      </c>
      <c r="H32" s="573">
        <f t="shared" si="1"/>
        <v>0</v>
      </c>
    </row>
    <row r="33" spans="1:8" s="49" customFormat="1" ht="12" customHeight="1" x14ac:dyDescent="0.2">
      <c r="A33" s="226" t="s">
        <v>452</v>
      </c>
      <c r="B33" s="212" t="s">
        <v>551</v>
      </c>
      <c r="C33" s="285"/>
      <c r="D33" s="573">
        <f>'9.1.1. sz. mell. '!C33+'9.1.2. sz. mell.'!C33</f>
        <v>0</v>
      </c>
      <c r="E33" s="573">
        <f>'9.1.1. sz. mell. '!C33+'9.1.2. sz. mell.'!C33</f>
        <v>0</v>
      </c>
      <c r="F33" s="577">
        <f>'9.1.1. sz. mell. '!C33+'9.1.2. sz. mell.'!C33</f>
        <v>0</v>
      </c>
      <c r="G33" s="578">
        <f t="shared" si="0"/>
        <v>0</v>
      </c>
      <c r="H33" s="573">
        <f t="shared" si="1"/>
        <v>0</v>
      </c>
    </row>
    <row r="34" spans="1:8" s="49" customFormat="1" ht="12" customHeight="1" x14ac:dyDescent="0.2">
      <c r="A34" s="226" t="s">
        <v>211</v>
      </c>
      <c r="B34" s="212" t="s">
        <v>216</v>
      </c>
      <c r="C34" s="115">
        <v>28000000</v>
      </c>
      <c r="D34" s="573">
        <f>'9.1.1. sz. mell. '!C34+'9.1.2. sz. mell.'!C34</f>
        <v>28000000</v>
      </c>
      <c r="E34" s="573">
        <f>'9.1.1. sz. mell. '!C34+'9.1.2. sz. mell.'!C34</f>
        <v>28000000</v>
      </c>
      <c r="F34" s="577">
        <f>'9.1.1. sz. mell. '!C34+'9.1.2. sz. mell.'!C34</f>
        <v>28000000</v>
      </c>
      <c r="G34" s="578">
        <f t="shared" si="0"/>
        <v>0</v>
      </c>
      <c r="H34" s="573">
        <f t="shared" si="1"/>
        <v>0</v>
      </c>
    </row>
    <row r="35" spans="1:8" s="49" customFormat="1" ht="12" customHeight="1" x14ac:dyDescent="0.2">
      <c r="A35" s="226" t="s">
        <v>212</v>
      </c>
      <c r="B35" s="212" t="s">
        <v>217</v>
      </c>
      <c r="C35" s="115">
        <f>4000+4500000</f>
        <v>4504000</v>
      </c>
      <c r="D35" s="573">
        <f>'9.1.1. sz. mell. '!C35+'9.1.2. sz. mell.'!C35</f>
        <v>4504000</v>
      </c>
      <c r="E35" s="573">
        <f>'9.1.1. sz. mell. '!C35+'9.1.2. sz. mell.'!C35</f>
        <v>4504000</v>
      </c>
      <c r="F35" s="577">
        <f>'9.1.1. sz. mell. '!C35+'9.1.2. sz. mell.'!C35</f>
        <v>4504000</v>
      </c>
      <c r="G35" s="578">
        <f t="shared" si="0"/>
        <v>0</v>
      </c>
      <c r="H35" s="573">
        <f t="shared" si="1"/>
        <v>0</v>
      </c>
    </row>
    <row r="36" spans="1:8" s="49" customFormat="1" ht="12" customHeight="1" thickBot="1" x14ac:dyDescent="0.25">
      <c r="A36" s="227" t="s">
        <v>213</v>
      </c>
      <c r="B36" s="213" t="s">
        <v>218</v>
      </c>
      <c r="C36" s="289">
        <f>1500000+2000000+1000000+7000000</f>
        <v>11500000</v>
      </c>
      <c r="D36" s="573">
        <f>'9.1.1. sz. mell. '!C36+'9.1.2. sz. mell.'!C36</f>
        <v>11500000</v>
      </c>
      <c r="E36" s="573">
        <f>'9.1.1. sz. mell. '!C36+'9.1.2. sz. mell.'!C36</f>
        <v>11500000</v>
      </c>
      <c r="F36" s="579">
        <f>'9.1.1. sz. mell. '!C36+'9.1.2. sz. mell.'!C36</f>
        <v>11500000</v>
      </c>
      <c r="G36" s="580">
        <f t="shared" si="0"/>
        <v>0</v>
      </c>
      <c r="H36" s="573">
        <f t="shared" si="1"/>
        <v>0</v>
      </c>
    </row>
    <row r="37" spans="1:8" s="49" customFormat="1" ht="12" customHeight="1" thickBot="1" x14ac:dyDescent="0.25">
      <c r="A37" s="26" t="s">
        <v>26</v>
      </c>
      <c r="B37" s="20" t="s">
        <v>454</v>
      </c>
      <c r="C37" s="130">
        <f>SUM(C38:C48)</f>
        <v>40284669</v>
      </c>
      <c r="D37" s="573">
        <f>'9.1.1. sz. mell. '!C37+'9.1.2. sz. mell.'!C37</f>
        <v>40284669</v>
      </c>
      <c r="E37" s="573">
        <f>'9.1.1. sz. mell. '!C37+'9.1.2. sz. mell.'!C37</f>
        <v>40284669</v>
      </c>
      <c r="F37" s="574">
        <f>'9.1.1. sz. mell. '!C37+'9.1.2. sz. mell.'!C37</f>
        <v>40284669</v>
      </c>
      <c r="G37" s="574">
        <f t="shared" si="0"/>
        <v>0</v>
      </c>
      <c r="H37" s="573">
        <f t="shared" si="1"/>
        <v>0</v>
      </c>
    </row>
    <row r="38" spans="1:8" s="49" customFormat="1" ht="12" customHeight="1" x14ac:dyDescent="0.2">
      <c r="A38" s="225" t="s">
        <v>93</v>
      </c>
      <c r="B38" s="211" t="s">
        <v>221</v>
      </c>
      <c r="C38" s="313">
        <v>12159000</v>
      </c>
      <c r="D38" s="573">
        <f>'9.1.1. sz. mell. '!C38+'9.1.2. sz. mell.'!C38</f>
        <v>12159000</v>
      </c>
      <c r="E38" s="573">
        <f>'9.1.1. sz. mell. '!C38+'9.1.2. sz. mell.'!C38</f>
        <v>12159000</v>
      </c>
      <c r="F38" s="575">
        <f>'9.1.1. sz. mell. '!C38+'9.1.2. sz. mell.'!C38</f>
        <v>12159000</v>
      </c>
      <c r="G38" s="576">
        <f t="shared" si="0"/>
        <v>0</v>
      </c>
      <c r="H38" s="573">
        <f t="shared" si="1"/>
        <v>0</v>
      </c>
    </row>
    <row r="39" spans="1:8" s="49" customFormat="1" ht="12" customHeight="1" x14ac:dyDescent="0.2">
      <c r="A39" s="226" t="s">
        <v>94</v>
      </c>
      <c r="B39" s="212" t="s">
        <v>222</v>
      </c>
      <c r="C39" s="285">
        <f>13910169+100000</f>
        <v>14010169</v>
      </c>
      <c r="D39" s="573">
        <f>'9.1.1. sz. mell. '!C39+'9.1.2. sz. mell.'!C39</f>
        <v>14010169</v>
      </c>
      <c r="E39" s="573">
        <f>'9.1.1. sz. mell. '!C39+'9.1.2. sz. mell.'!C39</f>
        <v>14010169</v>
      </c>
      <c r="F39" s="577">
        <f>'9.1.1. sz. mell. '!C39+'9.1.2. sz. mell.'!C39</f>
        <v>14010169</v>
      </c>
      <c r="G39" s="578">
        <f t="shared" si="0"/>
        <v>0</v>
      </c>
      <c r="H39" s="573">
        <f t="shared" si="1"/>
        <v>0</v>
      </c>
    </row>
    <row r="40" spans="1:8" s="49" customFormat="1" ht="12" customHeight="1" x14ac:dyDescent="0.2">
      <c r="A40" s="226" t="s">
        <v>95</v>
      </c>
      <c r="B40" s="212" t="s">
        <v>223</v>
      </c>
      <c r="C40" s="285">
        <f>500000+300000+50000+1400000+947000+300000</f>
        <v>3497000</v>
      </c>
      <c r="D40" s="573">
        <f>'9.1.1. sz. mell. '!C40+'9.1.2. sz. mell.'!C40</f>
        <v>3497000</v>
      </c>
      <c r="E40" s="573">
        <f>'9.1.1. sz. mell. '!C40+'9.1.2. sz. mell.'!C40</f>
        <v>3497000</v>
      </c>
      <c r="F40" s="577">
        <f>'9.1.1. sz. mell. '!C40+'9.1.2. sz. mell.'!C40</f>
        <v>3497000</v>
      </c>
      <c r="G40" s="578">
        <f t="shared" si="0"/>
        <v>0</v>
      </c>
      <c r="H40" s="573">
        <f t="shared" si="1"/>
        <v>0</v>
      </c>
    </row>
    <row r="41" spans="1:8" s="49" customFormat="1" ht="12" customHeight="1" x14ac:dyDescent="0.2">
      <c r="A41" s="226" t="s">
        <v>139</v>
      </c>
      <c r="B41" s="212" t="s">
        <v>224</v>
      </c>
      <c r="C41" s="285">
        <v>430000</v>
      </c>
      <c r="D41" s="573">
        <f>'9.1.1. sz. mell. '!C41+'9.1.2. sz. mell.'!C41</f>
        <v>430000</v>
      </c>
      <c r="E41" s="573">
        <f>'9.1.1. sz. mell. '!C41+'9.1.2. sz. mell.'!C41</f>
        <v>430000</v>
      </c>
      <c r="F41" s="577">
        <f>'9.1.1. sz. mell. '!C41+'9.1.2. sz. mell.'!C41</f>
        <v>430000</v>
      </c>
      <c r="G41" s="578">
        <f t="shared" si="0"/>
        <v>0</v>
      </c>
      <c r="H41" s="573">
        <f t="shared" si="1"/>
        <v>0</v>
      </c>
    </row>
    <row r="42" spans="1:8" s="49" customFormat="1" ht="12" customHeight="1" x14ac:dyDescent="0.2">
      <c r="A42" s="226" t="s">
        <v>140</v>
      </c>
      <c r="B42" s="212" t="s">
        <v>225</v>
      </c>
      <c r="C42" s="285"/>
      <c r="D42" s="573">
        <f>'9.1.1. sz. mell. '!C42+'9.1.2. sz. mell.'!C42</f>
        <v>0</v>
      </c>
      <c r="E42" s="573">
        <f>'9.1.1. sz. mell. '!C42+'9.1.2. sz. mell.'!C42</f>
        <v>0</v>
      </c>
      <c r="F42" s="577">
        <f>'9.1.1. sz. mell. '!C42+'9.1.2. sz. mell.'!C42</f>
        <v>0</v>
      </c>
      <c r="G42" s="578">
        <f t="shared" si="0"/>
        <v>0</v>
      </c>
      <c r="H42" s="573">
        <f t="shared" si="1"/>
        <v>0</v>
      </c>
    </row>
    <row r="43" spans="1:8" s="49" customFormat="1" ht="12" customHeight="1" x14ac:dyDescent="0.2">
      <c r="A43" s="226" t="s">
        <v>141</v>
      </c>
      <c r="B43" s="212" t="s">
        <v>226</v>
      </c>
      <c r="C43" s="285">
        <f>3283000+5162000+81000+13500+378000+81000</f>
        <v>8998500</v>
      </c>
      <c r="D43" s="573">
        <f>'9.1.1. sz. mell. '!C43+'9.1.2. sz. mell.'!C43</f>
        <v>8998500</v>
      </c>
      <c r="E43" s="573">
        <f>'9.1.1. sz. mell. '!C43+'9.1.2. sz. mell.'!C43</f>
        <v>8998500</v>
      </c>
      <c r="F43" s="577">
        <f>'9.1.1. sz. mell. '!C43+'9.1.2. sz. mell.'!C43</f>
        <v>8998500</v>
      </c>
      <c r="G43" s="578">
        <f t="shared" si="0"/>
        <v>0</v>
      </c>
      <c r="H43" s="573">
        <f t="shared" si="1"/>
        <v>0</v>
      </c>
    </row>
    <row r="44" spans="1:8" s="49" customFormat="1" ht="12" customHeight="1" x14ac:dyDescent="0.2">
      <c r="A44" s="226" t="s">
        <v>142</v>
      </c>
      <c r="B44" s="212" t="s">
        <v>227</v>
      </c>
      <c r="C44" s="285"/>
      <c r="D44" s="573">
        <f>'9.1.1. sz. mell. '!C44+'9.1.2. sz. mell.'!C44</f>
        <v>0</v>
      </c>
      <c r="E44" s="573">
        <f>'9.1.1. sz. mell. '!C44+'9.1.2. sz. mell.'!C44</f>
        <v>0</v>
      </c>
      <c r="F44" s="577">
        <f>'9.1.1. sz. mell. '!C44+'9.1.2. sz. mell.'!C44</f>
        <v>0</v>
      </c>
      <c r="G44" s="578">
        <f t="shared" si="0"/>
        <v>0</v>
      </c>
      <c r="H44" s="573">
        <f t="shared" si="1"/>
        <v>0</v>
      </c>
    </row>
    <row r="45" spans="1:8" s="49" customFormat="1" ht="12" customHeight="1" x14ac:dyDescent="0.2">
      <c r="A45" s="226" t="s">
        <v>143</v>
      </c>
      <c r="B45" s="212" t="s">
        <v>228</v>
      </c>
      <c r="C45" s="285">
        <v>30000</v>
      </c>
      <c r="D45" s="573">
        <f>'9.1.1. sz. mell. '!C45+'9.1.2. sz. mell.'!C45</f>
        <v>30000</v>
      </c>
      <c r="E45" s="573">
        <f>'9.1.1. sz. mell. '!C45+'9.1.2. sz. mell.'!C45</f>
        <v>30000</v>
      </c>
      <c r="F45" s="577">
        <f>'9.1.1. sz. mell. '!C45+'9.1.2. sz. mell.'!C45</f>
        <v>30000</v>
      </c>
      <c r="G45" s="578">
        <f t="shared" si="0"/>
        <v>0</v>
      </c>
      <c r="H45" s="573">
        <f t="shared" si="1"/>
        <v>0</v>
      </c>
    </row>
    <row r="46" spans="1:8" s="49" customFormat="1" ht="12" customHeight="1" x14ac:dyDescent="0.2">
      <c r="A46" s="226" t="s">
        <v>219</v>
      </c>
      <c r="B46" s="212" t="s">
        <v>229</v>
      </c>
      <c r="C46" s="285"/>
      <c r="D46" s="573">
        <f>'9.1.1. sz. mell. '!C46+'9.1.2. sz. mell.'!C46</f>
        <v>0</v>
      </c>
      <c r="E46" s="573">
        <f>'9.1.1. sz. mell. '!C46+'9.1.2. sz. mell.'!C46</f>
        <v>0</v>
      </c>
      <c r="F46" s="577">
        <f>'9.1.1. sz. mell. '!C46+'9.1.2. sz. mell.'!C46</f>
        <v>0</v>
      </c>
      <c r="G46" s="578">
        <f t="shared" si="0"/>
        <v>0</v>
      </c>
      <c r="H46" s="573">
        <f t="shared" si="1"/>
        <v>0</v>
      </c>
    </row>
    <row r="47" spans="1:8" s="49" customFormat="1" ht="12" customHeight="1" x14ac:dyDescent="0.2">
      <c r="A47" s="227" t="s">
        <v>220</v>
      </c>
      <c r="B47" s="213" t="s">
        <v>455</v>
      </c>
      <c r="C47" s="289">
        <v>500000</v>
      </c>
      <c r="D47" s="573">
        <f>'9.1.1. sz. mell. '!C47+'9.1.2. sz. mell.'!C47</f>
        <v>500000</v>
      </c>
      <c r="E47" s="573">
        <f>'9.1.1. sz. mell. '!C47+'9.1.2. sz. mell.'!C47</f>
        <v>500000</v>
      </c>
      <c r="F47" s="577">
        <f>'9.1.1. sz. mell. '!C47+'9.1.2. sz. mell.'!C47</f>
        <v>500000</v>
      </c>
      <c r="G47" s="578">
        <f t="shared" si="0"/>
        <v>0</v>
      </c>
      <c r="H47" s="573">
        <f t="shared" si="1"/>
        <v>0</v>
      </c>
    </row>
    <row r="48" spans="1:8" s="49" customFormat="1" ht="12" customHeight="1" thickBot="1" x14ac:dyDescent="0.25">
      <c r="A48" s="227" t="s">
        <v>456</v>
      </c>
      <c r="B48" s="213" t="s">
        <v>230</v>
      </c>
      <c r="C48" s="289">
        <f>60000+600000</f>
        <v>660000</v>
      </c>
      <c r="D48" s="573">
        <f>'9.1.1. sz. mell. '!C48+'9.1.2. sz. mell.'!C48</f>
        <v>660000</v>
      </c>
      <c r="E48" s="573">
        <f>'9.1.1. sz. mell. '!C48+'9.1.2. sz. mell.'!C48</f>
        <v>660000</v>
      </c>
      <c r="F48" s="579">
        <f>'9.1.1. sz. mell. '!C48+'9.1.2. sz. mell.'!C48</f>
        <v>660000</v>
      </c>
      <c r="G48" s="580">
        <f t="shared" si="0"/>
        <v>0</v>
      </c>
      <c r="H48" s="573">
        <f t="shared" si="1"/>
        <v>0</v>
      </c>
    </row>
    <row r="49" spans="1:8" s="49" customFormat="1" ht="12" customHeight="1" thickBot="1" x14ac:dyDescent="0.25">
      <c r="A49" s="26" t="s">
        <v>27</v>
      </c>
      <c r="B49" s="20" t="s">
        <v>231</v>
      </c>
      <c r="C49" s="130">
        <f>SUM(C50:C54)</f>
        <v>30332500</v>
      </c>
      <c r="D49" s="573">
        <f>'9.1.1. sz. mell. '!C49+'9.1.2. sz. mell.'!C49</f>
        <v>30332500</v>
      </c>
      <c r="E49" s="573">
        <f>'9.1.1. sz. mell. '!C49+'9.1.2. sz. mell.'!C49</f>
        <v>30332500</v>
      </c>
      <c r="F49" s="574">
        <f>'9.1.1. sz. mell. '!C49+'9.1.2. sz. mell.'!C49</f>
        <v>30332500</v>
      </c>
      <c r="G49" s="574">
        <f t="shared" si="0"/>
        <v>0</v>
      </c>
      <c r="H49" s="573">
        <f t="shared" si="1"/>
        <v>0</v>
      </c>
    </row>
    <row r="50" spans="1:8" s="49" customFormat="1" ht="12" customHeight="1" x14ac:dyDescent="0.2">
      <c r="A50" s="225" t="s">
        <v>96</v>
      </c>
      <c r="B50" s="211" t="s">
        <v>235</v>
      </c>
      <c r="C50" s="249"/>
      <c r="D50" s="573">
        <f>'9.1.1. sz. mell. '!C50+'9.1.2. sz. mell.'!C50</f>
        <v>0</v>
      </c>
      <c r="E50" s="573">
        <f>'9.1.1. sz. mell. '!C50+'9.1.2. sz. mell.'!C50</f>
        <v>0</v>
      </c>
      <c r="F50" s="575">
        <f>'9.1.1. sz. mell. '!C50+'9.1.2. sz. mell.'!C50</f>
        <v>0</v>
      </c>
      <c r="G50" s="576">
        <f t="shared" si="0"/>
        <v>0</v>
      </c>
      <c r="H50" s="573">
        <f t="shared" si="1"/>
        <v>0</v>
      </c>
    </row>
    <row r="51" spans="1:8" s="49" customFormat="1" ht="12" customHeight="1" x14ac:dyDescent="0.2">
      <c r="A51" s="226" t="s">
        <v>97</v>
      </c>
      <c r="B51" s="212" t="s">
        <v>236</v>
      </c>
      <c r="C51" s="285">
        <v>30332500</v>
      </c>
      <c r="D51" s="573">
        <f>'9.1.1. sz. mell. '!C51+'9.1.2. sz. mell.'!C51</f>
        <v>30332500</v>
      </c>
      <c r="E51" s="573">
        <f>'9.1.1. sz. mell. '!C51+'9.1.2. sz. mell.'!C51</f>
        <v>30332500</v>
      </c>
      <c r="F51" s="577">
        <f>'9.1.1. sz. mell. '!C51+'9.1.2. sz. mell.'!C51</f>
        <v>30332500</v>
      </c>
      <c r="G51" s="578">
        <f t="shared" si="0"/>
        <v>0</v>
      </c>
      <c r="H51" s="573">
        <f t="shared" si="1"/>
        <v>0</v>
      </c>
    </row>
    <row r="52" spans="1:8" s="49" customFormat="1" ht="12" customHeight="1" x14ac:dyDescent="0.2">
      <c r="A52" s="226" t="s">
        <v>232</v>
      </c>
      <c r="B52" s="212" t="s">
        <v>237</v>
      </c>
      <c r="C52" s="134"/>
      <c r="D52" s="573">
        <f>'9.1.1. sz. mell. '!C52+'9.1.2. sz. mell.'!C52</f>
        <v>0</v>
      </c>
      <c r="E52" s="573">
        <f>'9.1.1. sz. mell. '!C52+'9.1.2. sz. mell.'!C52</f>
        <v>0</v>
      </c>
      <c r="F52" s="577">
        <f>'9.1.1. sz. mell. '!C52+'9.1.2. sz. mell.'!C52</f>
        <v>0</v>
      </c>
      <c r="G52" s="578">
        <f t="shared" si="0"/>
        <v>0</v>
      </c>
      <c r="H52" s="573">
        <f t="shared" si="1"/>
        <v>0</v>
      </c>
    </row>
    <row r="53" spans="1:8" s="49" customFormat="1" ht="12" customHeight="1" x14ac:dyDescent="0.2">
      <c r="A53" s="226" t="s">
        <v>233</v>
      </c>
      <c r="B53" s="212" t="s">
        <v>238</v>
      </c>
      <c r="C53" s="134"/>
      <c r="D53" s="573">
        <f>'9.1.1. sz. mell. '!C53+'9.1.2. sz. mell.'!C53</f>
        <v>0</v>
      </c>
      <c r="E53" s="573">
        <f>'9.1.1. sz. mell. '!C53+'9.1.2. sz. mell.'!C53</f>
        <v>0</v>
      </c>
      <c r="F53" s="577">
        <f>'9.1.1. sz. mell. '!C53+'9.1.2. sz. mell.'!C53</f>
        <v>0</v>
      </c>
      <c r="G53" s="578">
        <f t="shared" si="0"/>
        <v>0</v>
      </c>
      <c r="H53" s="573">
        <f t="shared" si="1"/>
        <v>0</v>
      </c>
    </row>
    <row r="54" spans="1:8" s="49" customFormat="1" ht="12" customHeight="1" thickBot="1" x14ac:dyDescent="0.25">
      <c r="A54" s="227" t="s">
        <v>234</v>
      </c>
      <c r="B54" s="213" t="s">
        <v>239</v>
      </c>
      <c r="C54" s="200"/>
      <c r="D54" s="573">
        <f>'9.1.1. sz. mell. '!C54+'9.1.2. sz. mell.'!C54</f>
        <v>0</v>
      </c>
      <c r="E54" s="573">
        <f>'9.1.1. sz. mell. '!C54+'9.1.2. sz. mell.'!C54</f>
        <v>0</v>
      </c>
      <c r="F54" s="579">
        <f>'9.1.1. sz. mell. '!C54+'9.1.2. sz. mell.'!C54</f>
        <v>0</v>
      </c>
      <c r="G54" s="580">
        <f t="shared" si="0"/>
        <v>0</v>
      </c>
      <c r="H54" s="573">
        <f t="shared" si="1"/>
        <v>0</v>
      </c>
    </row>
    <row r="55" spans="1:8" s="49" customFormat="1" ht="12" customHeight="1" thickBot="1" x14ac:dyDescent="0.25">
      <c r="A55" s="26" t="s">
        <v>144</v>
      </c>
      <c r="B55" s="20" t="s">
        <v>240</v>
      </c>
      <c r="C55" s="130">
        <f>SUM(C56:C58)</f>
        <v>4766000</v>
      </c>
      <c r="D55" s="573">
        <f>'9.1.1. sz. mell. '!C55+'9.1.2. sz. mell.'!C55</f>
        <v>4766000</v>
      </c>
      <c r="E55" s="573">
        <f>'9.1.1. sz. mell. '!C55+'9.1.2. sz. mell.'!C55</f>
        <v>4766000</v>
      </c>
      <c r="F55" s="574">
        <f>'9.1.1. sz. mell. '!C55+'9.1.2. sz. mell.'!C55</f>
        <v>4766000</v>
      </c>
      <c r="G55" s="574">
        <f t="shared" si="0"/>
        <v>0</v>
      </c>
      <c r="H55" s="573">
        <f t="shared" si="1"/>
        <v>0</v>
      </c>
    </row>
    <row r="56" spans="1:8" s="49" customFormat="1" ht="12" customHeight="1" x14ac:dyDescent="0.2">
      <c r="A56" s="225" t="s">
        <v>98</v>
      </c>
      <c r="B56" s="211" t="s">
        <v>241</v>
      </c>
      <c r="C56" s="249"/>
      <c r="D56" s="573">
        <f>'9.1.1. sz. mell. '!C56+'9.1.2. sz. mell.'!C56</f>
        <v>0</v>
      </c>
      <c r="E56" s="573">
        <f>'9.1.1. sz. mell. '!C56+'9.1.2. sz. mell.'!C56</f>
        <v>0</v>
      </c>
      <c r="F56" s="575">
        <f>'9.1.1. sz. mell. '!C56+'9.1.2. sz. mell.'!C56</f>
        <v>0</v>
      </c>
      <c r="G56" s="576">
        <f t="shared" si="0"/>
        <v>0</v>
      </c>
      <c r="H56" s="573">
        <f t="shared" si="1"/>
        <v>0</v>
      </c>
    </row>
    <row r="57" spans="1:8" s="49" customFormat="1" ht="12" customHeight="1" x14ac:dyDescent="0.2">
      <c r="A57" s="226" t="s">
        <v>99</v>
      </c>
      <c r="B57" s="212" t="s">
        <v>372</v>
      </c>
      <c r="C57" s="285">
        <f>1566000+300000</f>
        <v>1866000</v>
      </c>
      <c r="D57" s="573">
        <f>'9.1.1. sz. mell. '!C57+'9.1.2. sz. mell.'!C57</f>
        <v>1866000</v>
      </c>
      <c r="E57" s="573">
        <f>'9.1.1. sz. mell. '!C57+'9.1.2. sz. mell.'!C57</f>
        <v>1866000</v>
      </c>
      <c r="F57" s="577">
        <f>'9.1.1. sz. mell. '!C57+'9.1.2. sz. mell.'!C57</f>
        <v>1866000</v>
      </c>
      <c r="G57" s="578">
        <f t="shared" si="0"/>
        <v>0</v>
      </c>
      <c r="H57" s="573">
        <f t="shared" si="1"/>
        <v>0</v>
      </c>
    </row>
    <row r="58" spans="1:8" s="49" customFormat="1" ht="12" customHeight="1" x14ac:dyDescent="0.2">
      <c r="A58" s="226" t="s">
        <v>244</v>
      </c>
      <c r="B58" s="212" t="s">
        <v>242</v>
      </c>
      <c r="C58" s="285">
        <v>2900000</v>
      </c>
      <c r="D58" s="573">
        <f>'9.1.1. sz. mell. '!C58+'9.1.2. sz. mell.'!C58</f>
        <v>2900000</v>
      </c>
      <c r="E58" s="573">
        <f>'9.1.1. sz. mell. '!C58+'9.1.2. sz. mell.'!C58</f>
        <v>2900000</v>
      </c>
      <c r="F58" s="577">
        <f>'9.1.1. sz. mell. '!C58+'9.1.2. sz. mell.'!C58</f>
        <v>2900000</v>
      </c>
      <c r="G58" s="578">
        <f t="shared" si="0"/>
        <v>0</v>
      </c>
      <c r="H58" s="573">
        <f t="shared" si="1"/>
        <v>0</v>
      </c>
    </row>
    <row r="59" spans="1:8" s="49" customFormat="1" ht="12" customHeight="1" thickBot="1" x14ac:dyDescent="0.25">
      <c r="A59" s="227" t="s">
        <v>245</v>
      </c>
      <c r="B59" s="213" t="s">
        <v>243</v>
      </c>
      <c r="C59" s="133"/>
      <c r="D59" s="573">
        <f>'9.1.1. sz. mell. '!C59+'9.1.2. sz. mell.'!C59</f>
        <v>0</v>
      </c>
      <c r="E59" s="573">
        <f>'9.1.1. sz. mell. '!C59+'9.1.2. sz. mell.'!C59</f>
        <v>0</v>
      </c>
      <c r="F59" s="579">
        <f>'9.1.1. sz. mell. '!C59+'9.1.2. sz. mell.'!C59</f>
        <v>0</v>
      </c>
      <c r="G59" s="580">
        <f t="shared" si="0"/>
        <v>0</v>
      </c>
      <c r="H59" s="573">
        <f t="shared" si="1"/>
        <v>0</v>
      </c>
    </row>
    <row r="60" spans="1:8" s="49" customFormat="1" ht="12" customHeight="1" thickBot="1" x14ac:dyDescent="0.25">
      <c r="A60" s="26" t="s">
        <v>29</v>
      </c>
      <c r="B60" s="125" t="s">
        <v>246</v>
      </c>
      <c r="C60" s="130">
        <f>SUM(C61:C63)</f>
        <v>0</v>
      </c>
      <c r="D60" s="573">
        <f>'9.1.1. sz. mell. '!C60+'9.1.2. sz. mell.'!C60</f>
        <v>0</v>
      </c>
      <c r="E60" s="573">
        <f>'9.1.1. sz. mell. '!C60+'9.1.2. sz. mell.'!C60</f>
        <v>0</v>
      </c>
      <c r="F60" s="574">
        <f>'9.1.1. sz. mell. '!C60+'9.1.2. sz. mell.'!C60</f>
        <v>0</v>
      </c>
      <c r="G60" s="574">
        <f t="shared" si="0"/>
        <v>0</v>
      </c>
      <c r="H60" s="573">
        <f t="shared" si="1"/>
        <v>0</v>
      </c>
    </row>
    <row r="61" spans="1:8" s="49" customFormat="1" ht="12" customHeight="1" x14ac:dyDescent="0.2">
      <c r="A61" s="225" t="s">
        <v>145</v>
      </c>
      <c r="B61" s="211" t="s">
        <v>248</v>
      </c>
      <c r="C61" s="134"/>
      <c r="D61" s="573">
        <f>'9.1.1. sz. mell. '!C61+'9.1.2. sz. mell.'!C61</f>
        <v>0</v>
      </c>
      <c r="E61" s="573">
        <f>'9.1.1. sz. mell. '!C61+'9.1.2. sz. mell.'!C61</f>
        <v>0</v>
      </c>
      <c r="F61" s="575">
        <f>'9.1.1. sz. mell. '!C61+'9.1.2. sz. mell.'!C61</f>
        <v>0</v>
      </c>
      <c r="G61" s="576">
        <f t="shared" si="0"/>
        <v>0</v>
      </c>
      <c r="H61" s="573">
        <f t="shared" si="1"/>
        <v>0</v>
      </c>
    </row>
    <row r="62" spans="1:8" s="49" customFormat="1" ht="12" customHeight="1" x14ac:dyDescent="0.2">
      <c r="A62" s="226" t="s">
        <v>146</v>
      </c>
      <c r="B62" s="212" t="s">
        <v>373</v>
      </c>
      <c r="C62" s="134"/>
      <c r="D62" s="573">
        <f>'9.1.1. sz. mell. '!C62+'9.1.2. sz. mell.'!C62</f>
        <v>0</v>
      </c>
      <c r="E62" s="573">
        <f>'9.1.1. sz. mell. '!C62+'9.1.2. sz. mell.'!C62</f>
        <v>0</v>
      </c>
      <c r="F62" s="577">
        <f>'9.1.1. sz. mell. '!C62+'9.1.2. sz. mell.'!C62</f>
        <v>0</v>
      </c>
      <c r="G62" s="578">
        <f t="shared" si="0"/>
        <v>0</v>
      </c>
      <c r="H62" s="573">
        <f t="shared" si="1"/>
        <v>0</v>
      </c>
    </row>
    <row r="63" spans="1:8" s="49" customFormat="1" ht="12" customHeight="1" x14ac:dyDescent="0.2">
      <c r="A63" s="226" t="s">
        <v>171</v>
      </c>
      <c r="B63" s="212" t="s">
        <v>249</v>
      </c>
      <c r="C63" s="134"/>
      <c r="D63" s="573">
        <f>'9.1.1. sz. mell. '!C63+'9.1.2. sz. mell.'!C63</f>
        <v>0</v>
      </c>
      <c r="E63" s="573">
        <f>'9.1.1. sz. mell. '!C63+'9.1.2. sz. mell.'!C63</f>
        <v>0</v>
      </c>
      <c r="F63" s="577">
        <f>'9.1.1. sz. mell. '!C63+'9.1.2. sz. mell.'!C63</f>
        <v>0</v>
      </c>
      <c r="G63" s="578">
        <f t="shared" si="0"/>
        <v>0</v>
      </c>
      <c r="H63" s="573">
        <f t="shared" si="1"/>
        <v>0</v>
      </c>
    </row>
    <row r="64" spans="1:8" s="49" customFormat="1" ht="12" customHeight="1" thickBot="1" x14ac:dyDescent="0.25">
      <c r="A64" s="227" t="s">
        <v>247</v>
      </c>
      <c r="B64" s="213" t="s">
        <v>250</v>
      </c>
      <c r="C64" s="134"/>
      <c r="D64" s="573">
        <f>'9.1.1. sz. mell. '!C64+'9.1.2. sz. mell.'!C64</f>
        <v>0</v>
      </c>
      <c r="E64" s="573">
        <f>'9.1.1. sz. mell. '!C64+'9.1.2. sz. mell.'!C64</f>
        <v>0</v>
      </c>
      <c r="F64" s="579">
        <f>'9.1.1. sz. mell. '!C64+'9.1.2. sz. mell.'!C64</f>
        <v>0</v>
      </c>
      <c r="G64" s="580">
        <f t="shared" si="0"/>
        <v>0</v>
      </c>
      <c r="H64" s="573">
        <f t="shared" si="1"/>
        <v>0</v>
      </c>
    </row>
    <row r="65" spans="1:8" s="49" customFormat="1" ht="12" customHeight="1" thickBot="1" x14ac:dyDescent="0.25">
      <c r="A65" s="26" t="s">
        <v>30</v>
      </c>
      <c r="B65" s="20" t="s">
        <v>251</v>
      </c>
      <c r="C65" s="135">
        <f>+C8+C15+C22+C29+C37+C49+C55+C60</f>
        <v>1918731618</v>
      </c>
      <c r="D65" s="573">
        <f>'9.1.1. sz. mell. '!C65+'9.1.2. sz. mell.'!C65</f>
        <v>1918731618</v>
      </c>
      <c r="E65" s="573">
        <f>'9.1.1. sz. mell. '!C65+'9.1.2. sz. mell.'!C65</f>
        <v>1918731618</v>
      </c>
      <c r="F65" s="574">
        <f>'9.1.1. sz. mell. '!C65+'9.1.2. sz. mell.'!C65</f>
        <v>1918731618</v>
      </c>
      <c r="G65" s="574">
        <f t="shared" si="0"/>
        <v>0</v>
      </c>
      <c r="H65" s="573">
        <f t="shared" si="1"/>
        <v>0</v>
      </c>
    </row>
    <row r="66" spans="1:8" s="49" customFormat="1" ht="12" customHeight="1" thickBot="1" x14ac:dyDescent="0.2">
      <c r="A66" s="228" t="s">
        <v>341</v>
      </c>
      <c r="B66" s="125" t="s">
        <v>253</v>
      </c>
      <c r="C66" s="130">
        <f>SUM(C67:C69)</f>
        <v>193478462</v>
      </c>
      <c r="D66" s="573">
        <f>'9.1.1. sz. mell. '!C66+'9.1.2. sz. mell.'!C66</f>
        <v>193478462</v>
      </c>
      <c r="E66" s="573">
        <f>'9.1.1. sz. mell. '!C66+'9.1.2. sz. mell.'!C66</f>
        <v>193478462</v>
      </c>
      <c r="F66" s="574">
        <f>'9.1.1. sz. mell. '!C66+'9.1.2. sz. mell.'!C66</f>
        <v>193478462</v>
      </c>
      <c r="G66" s="574">
        <f t="shared" si="0"/>
        <v>0</v>
      </c>
      <c r="H66" s="573">
        <f t="shared" si="1"/>
        <v>0</v>
      </c>
    </row>
    <row r="67" spans="1:8" s="49" customFormat="1" ht="12" customHeight="1" x14ac:dyDescent="0.2">
      <c r="A67" s="225" t="s">
        <v>284</v>
      </c>
      <c r="B67" s="211" t="s">
        <v>254</v>
      </c>
      <c r="C67" s="285">
        <v>93478462</v>
      </c>
      <c r="D67" s="573">
        <f>'9.1.1. sz. mell. '!C67+'9.1.2. sz. mell.'!C67</f>
        <v>93478462</v>
      </c>
      <c r="E67" s="573">
        <f>'9.1.1. sz. mell. '!C67+'9.1.2. sz. mell.'!C67</f>
        <v>93478462</v>
      </c>
      <c r="F67" s="575">
        <f>'9.1.1. sz. mell. '!C67+'9.1.2. sz. mell.'!C67</f>
        <v>93478462</v>
      </c>
      <c r="G67" s="576">
        <f t="shared" si="0"/>
        <v>0</v>
      </c>
      <c r="H67" s="573">
        <f t="shared" si="1"/>
        <v>0</v>
      </c>
    </row>
    <row r="68" spans="1:8" s="49" customFormat="1" ht="12" customHeight="1" x14ac:dyDescent="0.2">
      <c r="A68" s="226" t="s">
        <v>293</v>
      </c>
      <c r="B68" s="212" t="s">
        <v>255</v>
      </c>
      <c r="C68" s="285">
        <v>100000000</v>
      </c>
      <c r="D68" s="573">
        <f>'9.1.1. sz. mell. '!C68+'9.1.2. sz. mell.'!C68</f>
        <v>100000000</v>
      </c>
      <c r="E68" s="573">
        <f>'9.1.1. sz. mell. '!C68+'9.1.2. sz. mell.'!C68</f>
        <v>100000000</v>
      </c>
      <c r="F68" s="577">
        <f>'9.1.1. sz. mell. '!C68+'9.1.2. sz. mell.'!C68</f>
        <v>100000000</v>
      </c>
      <c r="G68" s="578">
        <f t="shared" si="0"/>
        <v>0</v>
      </c>
      <c r="H68" s="573">
        <f t="shared" si="1"/>
        <v>0</v>
      </c>
    </row>
    <row r="69" spans="1:8" s="49" customFormat="1" ht="12" customHeight="1" thickBot="1" x14ac:dyDescent="0.25">
      <c r="A69" s="227" t="s">
        <v>294</v>
      </c>
      <c r="B69" s="214" t="s">
        <v>256</v>
      </c>
      <c r="C69" s="134"/>
      <c r="D69" s="573">
        <f>'9.1.1. sz. mell. '!C69+'9.1.2. sz. mell.'!C69</f>
        <v>0</v>
      </c>
      <c r="E69" s="573">
        <f>'9.1.1. sz. mell. '!C69+'9.1.2. sz. mell.'!C69</f>
        <v>0</v>
      </c>
      <c r="F69" s="579">
        <f>'9.1.1. sz. mell. '!C69+'9.1.2. sz. mell.'!C69</f>
        <v>0</v>
      </c>
      <c r="G69" s="580">
        <f t="shared" si="0"/>
        <v>0</v>
      </c>
      <c r="H69" s="573">
        <f t="shared" si="1"/>
        <v>0</v>
      </c>
    </row>
    <row r="70" spans="1:8" s="49" customFormat="1" ht="12" customHeight="1" thickBot="1" x14ac:dyDescent="0.2">
      <c r="A70" s="228" t="s">
        <v>257</v>
      </c>
      <c r="B70" s="125" t="s">
        <v>258</v>
      </c>
      <c r="C70" s="130">
        <f>SUM(C71:C74)</f>
        <v>0</v>
      </c>
      <c r="D70" s="573">
        <f>'9.1.1. sz. mell. '!C70+'9.1.2. sz. mell.'!C70</f>
        <v>0</v>
      </c>
      <c r="E70" s="573">
        <f>'9.1.1. sz. mell. '!C70+'9.1.2. sz. mell.'!C70</f>
        <v>0</v>
      </c>
      <c r="F70" s="574">
        <f>'9.1.1. sz. mell. '!C70+'9.1.2. sz. mell.'!C70</f>
        <v>0</v>
      </c>
      <c r="G70" s="574">
        <f t="shared" si="0"/>
        <v>0</v>
      </c>
      <c r="H70" s="573">
        <f t="shared" si="1"/>
        <v>0</v>
      </c>
    </row>
    <row r="71" spans="1:8" s="49" customFormat="1" ht="12" customHeight="1" x14ac:dyDescent="0.2">
      <c r="A71" s="225" t="s">
        <v>125</v>
      </c>
      <c r="B71" s="211" t="s">
        <v>259</v>
      </c>
      <c r="C71" s="134"/>
      <c r="D71" s="573">
        <f>'9.1.1. sz. mell. '!C71+'9.1.2. sz. mell.'!C71</f>
        <v>0</v>
      </c>
      <c r="E71" s="573">
        <f>'9.1.1. sz. mell. '!C71+'9.1.2. sz. mell.'!C71</f>
        <v>0</v>
      </c>
      <c r="F71" s="575">
        <f>'9.1.1. sz. mell. '!C71+'9.1.2. sz. mell.'!C71</f>
        <v>0</v>
      </c>
      <c r="G71" s="576">
        <f t="shared" si="0"/>
        <v>0</v>
      </c>
      <c r="H71" s="573">
        <f t="shared" si="1"/>
        <v>0</v>
      </c>
    </row>
    <row r="72" spans="1:8" s="49" customFormat="1" ht="12" customHeight="1" x14ac:dyDescent="0.2">
      <c r="A72" s="226" t="s">
        <v>126</v>
      </c>
      <c r="B72" s="212" t="s">
        <v>260</v>
      </c>
      <c r="C72" s="134"/>
      <c r="D72" s="573">
        <f>'9.1.1. sz. mell. '!C72+'9.1.2. sz. mell.'!C72</f>
        <v>0</v>
      </c>
      <c r="E72" s="573">
        <f>'9.1.1. sz. mell. '!C72+'9.1.2. sz. mell.'!C72</f>
        <v>0</v>
      </c>
      <c r="F72" s="577">
        <f>'9.1.1. sz. mell. '!C72+'9.1.2. sz. mell.'!C72</f>
        <v>0</v>
      </c>
      <c r="G72" s="578">
        <f t="shared" si="0"/>
        <v>0</v>
      </c>
      <c r="H72" s="573">
        <f t="shared" si="1"/>
        <v>0</v>
      </c>
    </row>
    <row r="73" spans="1:8" s="49" customFormat="1" ht="12" customHeight="1" x14ac:dyDescent="0.2">
      <c r="A73" s="226" t="s">
        <v>285</v>
      </c>
      <c r="B73" s="212" t="s">
        <v>261</v>
      </c>
      <c r="C73" s="134"/>
      <c r="D73" s="573">
        <f>'9.1.1. sz. mell. '!C73+'9.1.2. sz. mell.'!C73</f>
        <v>0</v>
      </c>
      <c r="E73" s="573">
        <f>'9.1.1. sz. mell. '!C73+'9.1.2. sz. mell.'!C73</f>
        <v>0</v>
      </c>
      <c r="F73" s="577">
        <f>'9.1.1. sz. mell. '!C73+'9.1.2. sz. mell.'!C73</f>
        <v>0</v>
      </c>
      <c r="G73" s="578">
        <f t="shared" ref="G73:G136" si="2">C73-F73</f>
        <v>0</v>
      </c>
      <c r="H73" s="573">
        <f t="shared" ref="H73:H136" si="3">C73-D73</f>
        <v>0</v>
      </c>
    </row>
    <row r="74" spans="1:8" s="49" customFormat="1" ht="12" customHeight="1" thickBot="1" x14ac:dyDescent="0.25">
      <c r="A74" s="227" t="s">
        <v>286</v>
      </c>
      <c r="B74" s="213" t="s">
        <v>262</v>
      </c>
      <c r="C74" s="134"/>
      <c r="D74" s="573">
        <f>'9.1.1. sz. mell. '!C74+'9.1.2. sz. mell.'!C74</f>
        <v>0</v>
      </c>
      <c r="E74" s="573">
        <f>'9.1.1. sz. mell. '!C74+'9.1.2. sz. mell.'!C74</f>
        <v>0</v>
      </c>
      <c r="F74" s="579">
        <f>'9.1.1. sz. mell. '!C74+'9.1.2. sz. mell.'!C74</f>
        <v>0</v>
      </c>
      <c r="G74" s="580">
        <f t="shared" si="2"/>
        <v>0</v>
      </c>
      <c r="H74" s="573">
        <f t="shared" si="3"/>
        <v>0</v>
      </c>
    </row>
    <row r="75" spans="1:8" s="49" customFormat="1" ht="12" customHeight="1" thickBot="1" x14ac:dyDescent="0.2">
      <c r="A75" s="228" t="s">
        <v>263</v>
      </c>
      <c r="B75" s="125" t="s">
        <v>264</v>
      </c>
      <c r="C75" s="130">
        <f>SUM(C76:C77)</f>
        <v>569119704</v>
      </c>
      <c r="D75" s="573">
        <f>'9.1.1. sz. mell. '!C75+'9.1.2. sz. mell.'!C75</f>
        <v>569119704</v>
      </c>
      <c r="E75" s="573">
        <f>'9.1.1. sz. mell. '!C75+'9.1.2. sz. mell.'!C75</f>
        <v>569119704</v>
      </c>
      <c r="F75" s="574">
        <f>'9.1.1. sz. mell. '!C75+'9.1.2. sz. mell.'!C75</f>
        <v>569119704</v>
      </c>
      <c r="G75" s="574">
        <f t="shared" si="2"/>
        <v>0</v>
      </c>
      <c r="H75" s="573">
        <f t="shared" si="3"/>
        <v>0</v>
      </c>
    </row>
    <row r="76" spans="1:8" s="49" customFormat="1" ht="12" customHeight="1" x14ac:dyDescent="0.2">
      <c r="A76" s="225" t="s">
        <v>287</v>
      </c>
      <c r="B76" s="211" t="s">
        <v>265</v>
      </c>
      <c r="C76" s="285">
        <v>569119704</v>
      </c>
      <c r="D76" s="573">
        <f>'9.1.1. sz. mell. '!C76+'9.1.2. sz. mell.'!C76</f>
        <v>569119704</v>
      </c>
      <c r="E76" s="573">
        <f>'9.1.1. sz. mell. '!C76+'9.1.2. sz. mell.'!C76</f>
        <v>569119704</v>
      </c>
      <c r="F76" s="575">
        <f>'9.1.1. sz. mell. '!C76+'9.1.2. sz. mell.'!C76</f>
        <v>569119704</v>
      </c>
      <c r="G76" s="576">
        <f t="shared" si="2"/>
        <v>0</v>
      </c>
      <c r="H76" s="573">
        <f t="shared" si="3"/>
        <v>0</v>
      </c>
    </row>
    <row r="77" spans="1:8" s="49" customFormat="1" ht="12" customHeight="1" thickBot="1" x14ac:dyDescent="0.25">
      <c r="A77" s="227" t="s">
        <v>288</v>
      </c>
      <c r="B77" s="213" t="s">
        <v>266</v>
      </c>
      <c r="C77" s="134"/>
      <c r="D77" s="573">
        <f>'9.1.1. sz. mell. '!C77+'9.1.2. sz. mell.'!C77</f>
        <v>0</v>
      </c>
      <c r="E77" s="573">
        <f>'9.1.1. sz. mell. '!C77+'9.1.2. sz. mell.'!C77</f>
        <v>0</v>
      </c>
      <c r="F77" s="579">
        <f>'9.1.1. sz. mell. '!C77+'9.1.2. sz. mell.'!C77</f>
        <v>0</v>
      </c>
      <c r="G77" s="580">
        <f t="shared" si="2"/>
        <v>0</v>
      </c>
      <c r="H77" s="573">
        <f t="shared" si="3"/>
        <v>0</v>
      </c>
    </row>
    <row r="78" spans="1:8" s="48" customFormat="1" ht="12" customHeight="1" thickBot="1" x14ac:dyDescent="0.2">
      <c r="A78" s="228" t="s">
        <v>267</v>
      </c>
      <c r="B78" s="125" t="s">
        <v>268</v>
      </c>
      <c r="C78" s="130">
        <f>SUM(C79:C81)</f>
        <v>0</v>
      </c>
      <c r="D78" s="573">
        <f>'9.1.1. sz. mell. '!C78+'9.1.2. sz. mell.'!C78</f>
        <v>0</v>
      </c>
      <c r="E78" s="573">
        <f>'9.1.1. sz. mell. '!C78+'9.1.2. sz. mell.'!C78</f>
        <v>0</v>
      </c>
      <c r="F78" s="574">
        <f>'9.1.1. sz. mell. '!C78+'9.1.2. sz. mell.'!C78</f>
        <v>0</v>
      </c>
      <c r="G78" s="574">
        <f t="shared" si="2"/>
        <v>0</v>
      </c>
      <c r="H78" s="573">
        <f t="shared" si="3"/>
        <v>0</v>
      </c>
    </row>
    <row r="79" spans="1:8" s="49" customFormat="1" ht="12" customHeight="1" x14ac:dyDescent="0.2">
      <c r="A79" s="225" t="s">
        <v>289</v>
      </c>
      <c r="B79" s="211" t="s">
        <v>269</v>
      </c>
      <c r="C79" s="134"/>
      <c r="D79" s="573">
        <f>'9.1.1. sz. mell. '!C79+'9.1.2. sz. mell.'!C79</f>
        <v>0</v>
      </c>
      <c r="E79" s="573">
        <f>'9.1.1. sz. mell. '!C79+'9.1.2. sz. mell.'!C79</f>
        <v>0</v>
      </c>
      <c r="F79" s="575">
        <f>'9.1.1. sz. mell. '!C79+'9.1.2. sz. mell.'!C79</f>
        <v>0</v>
      </c>
      <c r="G79" s="576">
        <f t="shared" si="2"/>
        <v>0</v>
      </c>
      <c r="H79" s="573">
        <f t="shared" si="3"/>
        <v>0</v>
      </c>
    </row>
    <row r="80" spans="1:8" s="49" customFormat="1" ht="12" customHeight="1" x14ac:dyDescent="0.2">
      <c r="A80" s="226" t="s">
        <v>290</v>
      </c>
      <c r="B80" s="212" t="s">
        <v>270</v>
      </c>
      <c r="C80" s="134"/>
      <c r="D80" s="573">
        <f>'9.1.1. sz. mell. '!C80+'9.1.2. sz. mell.'!C80</f>
        <v>0</v>
      </c>
      <c r="E80" s="573">
        <f>'9.1.1. sz. mell. '!C80+'9.1.2. sz. mell.'!C80</f>
        <v>0</v>
      </c>
      <c r="F80" s="577">
        <f>'9.1.1. sz. mell. '!C80+'9.1.2. sz. mell.'!C80</f>
        <v>0</v>
      </c>
      <c r="G80" s="578">
        <f t="shared" si="2"/>
        <v>0</v>
      </c>
      <c r="H80" s="573">
        <f t="shared" si="3"/>
        <v>0</v>
      </c>
    </row>
    <row r="81" spans="1:8" s="49" customFormat="1" ht="12" customHeight="1" thickBot="1" x14ac:dyDescent="0.25">
      <c r="A81" s="227" t="s">
        <v>291</v>
      </c>
      <c r="B81" s="213" t="s">
        <v>271</v>
      </c>
      <c r="C81" s="134"/>
      <c r="D81" s="573">
        <f>'9.1.1. sz. mell. '!C81+'9.1.2. sz. mell.'!C81</f>
        <v>0</v>
      </c>
      <c r="E81" s="573">
        <f>'9.1.1. sz. mell. '!C81+'9.1.2. sz. mell.'!C81</f>
        <v>0</v>
      </c>
      <c r="F81" s="579">
        <f>'9.1.1. sz. mell. '!C81+'9.1.2. sz. mell.'!C81</f>
        <v>0</v>
      </c>
      <c r="G81" s="580">
        <f t="shared" si="2"/>
        <v>0</v>
      </c>
      <c r="H81" s="573">
        <f t="shared" si="3"/>
        <v>0</v>
      </c>
    </row>
    <row r="82" spans="1:8" s="49" customFormat="1" ht="12" customHeight="1" thickBot="1" x14ac:dyDescent="0.2">
      <c r="A82" s="228" t="s">
        <v>272</v>
      </c>
      <c r="B82" s="125" t="s">
        <v>292</v>
      </c>
      <c r="C82" s="130">
        <f>SUM(C83:C86)</f>
        <v>0</v>
      </c>
      <c r="D82" s="573">
        <f>'9.1.1. sz. mell. '!C82+'9.1.2. sz. mell.'!C82</f>
        <v>0</v>
      </c>
      <c r="E82" s="573">
        <f>'9.1.1. sz. mell. '!C82+'9.1.2. sz. mell.'!C82</f>
        <v>0</v>
      </c>
      <c r="F82" s="574">
        <f>'9.1.1. sz. mell. '!C82+'9.1.2. sz. mell.'!C82</f>
        <v>0</v>
      </c>
      <c r="G82" s="574">
        <f t="shared" si="2"/>
        <v>0</v>
      </c>
      <c r="H82" s="573">
        <f t="shared" si="3"/>
        <v>0</v>
      </c>
    </row>
    <row r="83" spans="1:8" s="49" customFormat="1" ht="12" customHeight="1" x14ac:dyDescent="0.2">
      <c r="A83" s="229" t="s">
        <v>273</v>
      </c>
      <c r="B83" s="211" t="s">
        <v>274</v>
      </c>
      <c r="C83" s="134"/>
      <c r="D83" s="573">
        <f>'9.1.1. sz. mell. '!C83+'9.1.2. sz. mell.'!C83</f>
        <v>0</v>
      </c>
      <c r="E83" s="573">
        <f>'9.1.1. sz. mell. '!C83+'9.1.2. sz. mell.'!C83</f>
        <v>0</v>
      </c>
      <c r="F83" s="575">
        <f>'9.1.1. sz. mell. '!C83+'9.1.2. sz. mell.'!C83</f>
        <v>0</v>
      </c>
      <c r="G83" s="576">
        <f t="shared" si="2"/>
        <v>0</v>
      </c>
      <c r="H83" s="573">
        <f t="shared" si="3"/>
        <v>0</v>
      </c>
    </row>
    <row r="84" spans="1:8" s="49" customFormat="1" ht="12" customHeight="1" x14ac:dyDescent="0.2">
      <c r="A84" s="230" t="s">
        <v>275</v>
      </c>
      <c r="B84" s="212" t="s">
        <v>276</v>
      </c>
      <c r="C84" s="134"/>
      <c r="D84" s="573">
        <f>'9.1.1. sz. mell. '!C84+'9.1.2. sz. mell.'!C84</f>
        <v>0</v>
      </c>
      <c r="E84" s="573">
        <f>'9.1.1. sz. mell. '!C84+'9.1.2. sz. mell.'!C84</f>
        <v>0</v>
      </c>
      <c r="F84" s="577">
        <f>'9.1.1. sz. mell. '!C84+'9.1.2. sz. mell.'!C84</f>
        <v>0</v>
      </c>
      <c r="G84" s="578">
        <f t="shared" si="2"/>
        <v>0</v>
      </c>
      <c r="H84" s="573">
        <f t="shared" si="3"/>
        <v>0</v>
      </c>
    </row>
    <row r="85" spans="1:8" s="49" customFormat="1" ht="12" customHeight="1" x14ac:dyDescent="0.2">
      <c r="A85" s="230" t="s">
        <v>277</v>
      </c>
      <c r="B85" s="212" t="s">
        <v>278</v>
      </c>
      <c r="C85" s="134"/>
      <c r="D85" s="573">
        <f>'9.1.1. sz. mell. '!C85+'9.1.2. sz. mell.'!C85</f>
        <v>0</v>
      </c>
      <c r="E85" s="573">
        <f>'9.1.1. sz. mell. '!C85+'9.1.2. sz. mell.'!C85</f>
        <v>0</v>
      </c>
      <c r="F85" s="577">
        <f>'9.1.1. sz. mell. '!C85+'9.1.2. sz. mell.'!C85</f>
        <v>0</v>
      </c>
      <c r="G85" s="578">
        <f t="shared" si="2"/>
        <v>0</v>
      </c>
      <c r="H85" s="573">
        <f t="shared" si="3"/>
        <v>0</v>
      </c>
    </row>
    <row r="86" spans="1:8" s="48" customFormat="1" ht="12" customHeight="1" thickBot="1" x14ac:dyDescent="0.25">
      <c r="A86" s="231" t="s">
        <v>279</v>
      </c>
      <c r="B86" s="213" t="s">
        <v>280</v>
      </c>
      <c r="C86" s="134"/>
      <c r="D86" s="573">
        <f>'9.1.1. sz. mell. '!C86+'9.1.2. sz. mell.'!C86</f>
        <v>0</v>
      </c>
      <c r="E86" s="573">
        <f>'9.1.1. sz. mell. '!C86+'9.1.2. sz. mell.'!C86</f>
        <v>0</v>
      </c>
      <c r="F86" s="579">
        <f>'9.1.1. sz. mell. '!C86+'9.1.2. sz. mell.'!C86</f>
        <v>0</v>
      </c>
      <c r="G86" s="580">
        <f t="shared" si="2"/>
        <v>0</v>
      </c>
      <c r="H86" s="573">
        <f t="shared" si="3"/>
        <v>0</v>
      </c>
    </row>
    <row r="87" spans="1:8" s="48" customFormat="1" ht="12" customHeight="1" thickBot="1" x14ac:dyDescent="0.2">
      <c r="A87" s="228" t="s">
        <v>281</v>
      </c>
      <c r="B87" s="125" t="s">
        <v>459</v>
      </c>
      <c r="C87" s="250"/>
      <c r="D87" s="573">
        <f>'9.1.1. sz. mell. '!C87+'9.1.2. sz. mell.'!C87</f>
        <v>0</v>
      </c>
      <c r="E87" s="573">
        <f>'9.1.1. sz. mell. '!C87+'9.1.2. sz. mell.'!C87</f>
        <v>0</v>
      </c>
      <c r="F87" s="574">
        <f>'9.1.1. sz. mell. '!C87+'9.1.2. sz. mell.'!C87</f>
        <v>0</v>
      </c>
      <c r="G87" s="574">
        <f t="shared" si="2"/>
        <v>0</v>
      </c>
      <c r="H87" s="573">
        <f t="shared" si="3"/>
        <v>0</v>
      </c>
    </row>
    <row r="88" spans="1:8" s="48" customFormat="1" ht="12" customHeight="1" thickBot="1" x14ac:dyDescent="0.2">
      <c r="A88" s="228" t="s">
        <v>512</v>
      </c>
      <c r="B88" s="125" t="s">
        <v>282</v>
      </c>
      <c r="C88" s="250"/>
      <c r="D88" s="573">
        <f>'9.1.1. sz. mell. '!C88+'9.1.2. sz. mell.'!C88</f>
        <v>0</v>
      </c>
      <c r="E88" s="573">
        <f>'9.1.1. sz. mell. '!C88+'9.1.2. sz. mell.'!C88</f>
        <v>0</v>
      </c>
      <c r="F88" s="574">
        <f>'9.1.1. sz. mell. '!C88+'9.1.2. sz. mell.'!C88</f>
        <v>0</v>
      </c>
      <c r="G88" s="574">
        <f t="shared" si="2"/>
        <v>0</v>
      </c>
      <c r="H88" s="573">
        <f t="shared" si="3"/>
        <v>0</v>
      </c>
    </row>
    <row r="89" spans="1:8" s="48" customFormat="1" ht="12" customHeight="1" thickBot="1" x14ac:dyDescent="0.2">
      <c r="A89" s="228" t="s">
        <v>513</v>
      </c>
      <c r="B89" s="218" t="s">
        <v>460</v>
      </c>
      <c r="C89" s="135">
        <f>+C66+C70+C75+C78+C82+C88+C87</f>
        <v>762598166</v>
      </c>
      <c r="D89" s="573">
        <f>'9.1.1. sz. mell. '!C89+'9.1.2. sz. mell.'!C89</f>
        <v>762598166</v>
      </c>
      <c r="E89" s="573">
        <f>'9.1.1. sz. mell. '!C89+'9.1.2. sz. mell.'!C89</f>
        <v>762598166</v>
      </c>
      <c r="F89" s="574">
        <f>'9.1.1. sz. mell. '!C89+'9.1.2. sz. mell.'!C89</f>
        <v>762598166</v>
      </c>
      <c r="G89" s="574">
        <f t="shared" si="2"/>
        <v>0</v>
      </c>
      <c r="H89" s="573">
        <f t="shared" si="3"/>
        <v>0</v>
      </c>
    </row>
    <row r="90" spans="1:8" s="48" customFormat="1" ht="12" customHeight="1" thickBot="1" x14ac:dyDescent="0.2">
      <c r="A90" s="232" t="s">
        <v>514</v>
      </c>
      <c r="B90" s="219" t="s">
        <v>515</v>
      </c>
      <c r="C90" s="135">
        <f>+C65+C89</f>
        <v>2681329784</v>
      </c>
      <c r="D90" s="573">
        <f>'9.1.1. sz. mell. '!C90+'9.1.2. sz. mell.'!C90</f>
        <v>2681329784</v>
      </c>
      <c r="E90" s="573">
        <f>'9.1.1. sz. mell. '!C90+'9.1.2. sz. mell.'!C90</f>
        <v>2681329784</v>
      </c>
      <c r="F90" s="574">
        <f>'9.1.1. sz. mell. '!C90+'9.1.2. sz. mell.'!C90</f>
        <v>2681329784</v>
      </c>
      <c r="G90" s="574">
        <f t="shared" si="2"/>
        <v>0</v>
      </c>
      <c r="H90" s="573">
        <f t="shared" si="3"/>
        <v>0</v>
      </c>
    </row>
    <row r="91" spans="1:8" s="49" customFormat="1" ht="15" customHeight="1" thickBot="1" x14ac:dyDescent="0.25">
      <c r="A91" s="102"/>
      <c r="B91" s="103"/>
      <c r="C91" s="188"/>
      <c r="D91" s="573">
        <f>'9.1.1. sz. mell. '!C91+'9.1.2. sz. mell.'!C91</f>
        <v>0</v>
      </c>
      <c r="E91" s="573">
        <f>'9.1.1. sz. mell. '!C91+'9.1.2. sz. mell.'!C91</f>
        <v>0</v>
      </c>
      <c r="F91" s="569"/>
      <c r="G91" s="569"/>
      <c r="H91" s="573">
        <f t="shared" si="3"/>
        <v>0</v>
      </c>
    </row>
    <row r="92" spans="1:8" s="40" customFormat="1" ht="16.5" customHeight="1" thickBot="1" x14ac:dyDescent="0.25">
      <c r="A92" s="106"/>
      <c r="B92" s="107" t="s">
        <v>60</v>
      </c>
      <c r="C92" s="190"/>
      <c r="D92" s="573">
        <f>'9.1.1. sz. mell. '!C92+'9.1.2. sz. mell.'!C92</f>
        <v>0</v>
      </c>
      <c r="E92" s="573">
        <f>'9.1.1. sz. mell. '!C92+'9.1.2. sz. mell.'!C92</f>
        <v>0</v>
      </c>
      <c r="F92" s="569"/>
      <c r="G92" s="569"/>
      <c r="H92" s="573">
        <f t="shared" si="3"/>
        <v>0</v>
      </c>
    </row>
    <row r="93" spans="1:8" s="50" customFormat="1" ht="12" customHeight="1" thickBot="1" x14ac:dyDescent="0.25">
      <c r="A93" s="203" t="s">
        <v>22</v>
      </c>
      <c r="B93" s="25" t="s">
        <v>526</v>
      </c>
      <c r="C93" s="129">
        <f>+C94+C95+C96+C97+C98+C111</f>
        <v>684142871</v>
      </c>
      <c r="D93" s="573">
        <f>'9.1.1. sz. mell. '!C93+'9.1.2. sz. mell.'!C93</f>
        <v>684142871</v>
      </c>
      <c r="E93" s="573">
        <f>'9.1.1. sz. mell. '!C93+'9.1.2. sz. mell.'!C93</f>
        <v>684142871</v>
      </c>
      <c r="F93" s="574">
        <f>'9.1.1. sz. mell. '!C93+'9.1.2. sz. mell.'!C93</f>
        <v>684142871</v>
      </c>
      <c r="G93" s="574">
        <f t="shared" si="2"/>
        <v>0</v>
      </c>
      <c r="H93" s="573">
        <f t="shared" si="3"/>
        <v>0</v>
      </c>
    </row>
    <row r="94" spans="1:8" ht="12" customHeight="1" x14ac:dyDescent="0.2">
      <c r="A94" s="233" t="s">
        <v>100</v>
      </c>
      <c r="B94" s="9" t="s">
        <v>52</v>
      </c>
      <c r="C94" s="927">
        <f>2854500+25097896+75000+16116992+1182990+2491000+1095900</f>
        <v>48914278</v>
      </c>
      <c r="D94" s="573">
        <f>'9.1.1. sz. mell. '!C94+'9.1.2. sz. mell.'!C94</f>
        <v>48914278</v>
      </c>
      <c r="E94" s="573">
        <f>'9.1.1. sz. mell. '!C94+'9.1.2. sz. mell.'!C94</f>
        <v>48914278</v>
      </c>
      <c r="F94" s="575">
        <f>'9.1.1. sz. mell. '!C94+'9.1.2. sz. mell.'!C94</f>
        <v>48914278</v>
      </c>
      <c r="G94" s="576">
        <f t="shared" si="2"/>
        <v>0</v>
      </c>
      <c r="H94" s="573">
        <f t="shared" si="3"/>
        <v>0</v>
      </c>
    </row>
    <row r="95" spans="1:8" ht="12" customHeight="1" x14ac:dyDescent="0.2">
      <c r="A95" s="226" t="s">
        <v>101</v>
      </c>
      <c r="B95" s="7" t="s">
        <v>147</v>
      </c>
      <c r="C95" s="926">
        <f>500965+4771305+13275+17258+2940000+14000+207615+1015000+213701+281135</f>
        <v>9974254</v>
      </c>
      <c r="D95" s="573">
        <f>'9.1.1. sz. mell. '!C95+'9.1.2. sz. mell.'!C95</f>
        <v>9974254</v>
      </c>
      <c r="E95" s="573">
        <f>'9.1.1. sz. mell. '!C95+'9.1.2. sz. mell.'!C95</f>
        <v>9974254</v>
      </c>
      <c r="F95" s="577">
        <f>'9.1.1. sz. mell. '!C95+'9.1.2. sz. mell.'!C95</f>
        <v>9974254</v>
      </c>
      <c r="G95" s="578">
        <f t="shared" si="2"/>
        <v>0</v>
      </c>
      <c r="H95" s="573">
        <f t="shared" si="3"/>
        <v>0</v>
      </c>
    </row>
    <row r="96" spans="1:8" ht="12" customHeight="1" x14ac:dyDescent="0.2">
      <c r="A96" s="226" t="s">
        <v>102</v>
      </c>
      <c r="B96" s="7" t="s">
        <v>123</v>
      </c>
      <c r="C96" s="928">
        <f>13447475+835000+16099000+50000+52909601+3082677+6787092+2456000+4504030+871220+397000+194467+34163000+50473064+34200000+3285067+156511+9000000+563000+17207888+2681000+3300000+17042731+48545760+500000+381000+44100-8245</f>
        <v>323168438</v>
      </c>
      <c r="D96" s="573">
        <f>'9.1.1. sz. mell. '!C96+'9.1.2. sz. mell.'!C96</f>
        <v>323168438</v>
      </c>
      <c r="E96" s="573">
        <f>'9.1.1. sz. mell. '!C96+'9.1.2. sz. mell.'!C96</f>
        <v>323168438</v>
      </c>
      <c r="F96" s="577">
        <f>'9.1.1. sz. mell. '!C96+'9.1.2. sz. mell.'!C96</f>
        <v>323168438</v>
      </c>
      <c r="G96" s="578">
        <f t="shared" si="2"/>
        <v>0</v>
      </c>
      <c r="H96" s="573">
        <f t="shared" si="3"/>
        <v>0</v>
      </c>
    </row>
    <row r="97" spans="1:8" ht="12" customHeight="1" x14ac:dyDescent="0.2">
      <c r="A97" s="226" t="s">
        <v>103</v>
      </c>
      <c r="B97" s="10" t="s">
        <v>148</v>
      </c>
      <c r="C97" s="289">
        <f>69500000+3500000</f>
        <v>73000000</v>
      </c>
      <c r="D97" s="573">
        <f>'9.1.1. sz. mell. '!C97+'9.1.2. sz. mell.'!C97</f>
        <v>73000000</v>
      </c>
      <c r="E97" s="573">
        <f>'9.1.1. sz. mell. '!C97+'9.1.2. sz. mell.'!C97</f>
        <v>73000000</v>
      </c>
      <c r="F97" s="577">
        <f>'9.1.1. sz. mell. '!C97+'9.1.2. sz. mell.'!C97</f>
        <v>73000000</v>
      </c>
      <c r="G97" s="578">
        <f t="shared" si="2"/>
        <v>0</v>
      </c>
      <c r="H97" s="573">
        <f t="shared" si="3"/>
        <v>0</v>
      </c>
    </row>
    <row r="98" spans="1:8" ht="12" customHeight="1" x14ac:dyDescent="0.2">
      <c r="A98" s="226" t="s">
        <v>114</v>
      </c>
      <c r="B98" s="18" t="s">
        <v>149</v>
      </c>
      <c r="C98" s="289">
        <f>45183973+52959801+660000+100000+49357310</f>
        <v>148261084</v>
      </c>
      <c r="D98" s="573">
        <f>'9.1.1. sz. mell. '!C98+'9.1.2. sz. mell.'!C98</f>
        <v>148261084</v>
      </c>
      <c r="E98" s="573">
        <f>'9.1.1. sz. mell. '!C98+'9.1.2. sz. mell.'!C98</f>
        <v>148261084</v>
      </c>
      <c r="F98" s="577">
        <f>'9.1.1. sz. mell. '!C98+'9.1.2. sz. mell.'!C98</f>
        <v>148261084</v>
      </c>
      <c r="G98" s="578">
        <f t="shared" si="2"/>
        <v>0</v>
      </c>
      <c r="H98" s="573">
        <f t="shared" si="3"/>
        <v>0</v>
      </c>
    </row>
    <row r="99" spans="1:8" ht="12" customHeight="1" x14ac:dyDescent="0.2">
      <c r="A99" s="226" t="s">
        <v>104</v>
      </c>
      <c r="B99" s="7" t="s">
        <v>516</v>
      </c>
      <c r="C99" s="289">
        <v>100000</v>
      </c>
      <c r="D99" s="573">
        <f>'9.1.1. sz. mell. '!C99+'9.1.2. sz. mell.'!C99</f>
        <v>100000</v>
      </c>
      <c r="E99" s="573">
        <f>'9.1.1. sz. mell. '!C99+'9.1.2. sz. mell.'!C99</f>
        <v>100000</v>
      </c>
      <c r="F99" s="577">
        <f>'9.1.1. sz. mell. '!C99+'9.1.2. sz. mell.'!C99</f>
        <v>100000</v>
      </c>
      <c r="G99" s="578">
        <f t="shared" si="2"/>
        <v>0</v>
      </c>
      <c r="H99" s="573">
        <f t="shared" si="3"/>
        <v>0</v>
      </c>
    </row>
    <row r="100" spans="1:8" ht="12" customHeight="1" x14ac:dyDescent="0.2">
      <c r="A100" s="226" t="s">
        <v>105</v>
      </c>
      <c r="B100" s="72" t="s">
        <v>464</v>
      </c>
      <c r="C100" s="289"/>
      <c r="D100" s="573">
        <f>'9.1.1. sz. mell. '!C100+'9.1.2. sz. mell.'!C100</f>
        <v>0</v>
      </c>
      <c r="E100" s="573">
        <f>'9.1.1. sz. mell. '!C100+'9.1.2. sz. mell.'!C100</f>
        <v>0</v>
      </c>
      <c r="F100" s="577">
        <f>'9.1.1. sz. mell. '!C100+'9.1.2. sz. mell.'!C100</f>
        <v>0</v>
      </c>
      <c r="G100" s="578">
        <f t="shared" si="2"/>
        <v>0</v>
      </c>
      <c r="H100" s="573">
        <f t="shared" si="3"/>
        <v>0</v>
      </c>
    </row>
    <row r="101" spans="1:8" ht="12" customHeight="1" x14ac:dyDescent="0.2">
      <c r="A101" s="226" t="s">
        <v>115</v>
      </c>
      <c r="B101" s="72" t="s">
        <v>465</v>
      </c>
      <c r="C101" s="289"/>
      <c r="D101" s="573">
        <f>'9.1.1. sz. mell. '!C101+'9.1.2. sz. mell.'!C101</f>
        <v>0</v>
      </c>
      <c r="E101" s="573">
        <f>'9.1.1. sz. mell. '!C101+'9.1.2. sz. mell.'!C101</f>
        <v>0</v>
      </c>
      <c r="F101" s="577">
        <f>'9.1.1. sz. mell. '!C101+'9.1.2. sz. mell.'!C101</f>
        <v>0</v>
      </c>
      <c r="G101" s="578">
        <f t="shared" si="2"/>
        <v>0</v>
      </c>
      <c r="H101" s="573">
        <f t="shared" si="3"/>
        <v>0</v>
      </c>
    </row>
    <row r="102" spans="1:8" ht="12" customHeight="1" x14ac:dyDescent="0.2">
      <c r="A102" s="226" t="s">
        <v>116</v>
      </c>
      <c r="B102" s="72" t="s">
        <v>298</v>
      </c>
      <c r="C102" s="289"/>
      <c r="D102" s="573">
        <f>'9.1.1. sz. mell. '!C102+'9.1.2. sz. mell.'!C102</f>
        <v>0</v>
      </c>
      <c r="E102" s="573">
        <f>'9.1.1. sz. mell. '!C102+'9.1.2. sz. mell.'!C102</f>
        <v>0</v>
      </c>
      <c r="F102" s="577">
        <f>'9.1.1. sz. mell. '!C102+'9.1.2. sz. mell.'!C102</f>
        <v>0</v>
      </c>
      <c r="G102" s="578">
        <f t="shared" si="2"/>
        <v>0</v>
      </c>
      <c r="H102" s="573">
        <f t="shared" si="3"/>
        <v>0</v>
      </c>
    </row>
    <row r="103" spans="1:8" ht="12" customHeight="1" x14ac:dyDescent="0.2">
      <c r="A103" s="226" t="s">
        <v>117</v>
      </c>
      <c r="B103" s="73" t="s">
        <v>299</v>
      </c>
      <c r="C103" s="289"/>
      <c r="D103" s="573">
        <f>'9.1.1. sz. mell. '!C103+'9.1.2. sz. mell.'!C103</f>
        <v>0</v>
      </c>
      <c r="E103" s="573">
        <f>'9.1.1. sz. mell. '!C103+'9.1.2. sz. mell.'!C103</f>
        <v>0</v>
      </c>
      <c r="F103" s="577">
        <f>'9.1.1. sz. mell. '!C103+'9.1.2. sz. mell.'!C103</f>
        <v>0</v>
      </c>
      <c r="G103" s="578">
        <f t="shared" si="2"/>
        <v>0</v>
      </c>
      <c r="H103" s="573">
        <f t="shared" si="3"/>
        <v>0</v>
      </c>
    </row>
    <row r="104" spans="1:8" ht="12" customHeight="1" x14ac:dyDescent="0.2">
      <c r="A104" s="226" t="s">
        <v>118</v>
      </c>
      <c r="B104" s="73" t="s">
        <v>300</v>
      </c>
      <c r="C104" s="289"/>
      <c r="D104" s="573">
        <f>'9.1.1. sz. mell. '!C104+'9.1.2. sz. mell.'!C104</f>
        <v>0</v>
      </c>
      <c r="E104" s="573">
        <f>'9.1.1. sz. mell. '!C104+'9.1.2. sz. mell.'!C104</f>
        <v>0</v>
      </c>
      <c r="F104" s="577">
        <f>'9.1.1. sz. mell. '!C104+'9.1.2. sz. mell.'!C104</f>
        <v>0</v>
      </c>
      <c r="G104" s="578">
        <f t="shared" si="2"/>
        <v>0</v>
      </c>
      <c r="H104" s="573">
        <f t="shared" si="3"/>
        <v>0</v>
      </c>
    </row>
    <row r="105" spans="1:8" ht="12" customHeight="1" x14ac:dyDescent="0.2">
      <c r="A105" s="226" t="s">
        <v>120</v>
      </c>
      <c r="B105" s="72" t="s">
        <v>301</v>
      </c>
      <c r="C105" s="928">
        <f>660000</f>
        <v>660000</v>
      </c>
      <c r="D105" s="573">
        <f>'9.1.1. sz. mell. '!C105+'9.1.2. sz. mell.'!C105</f>
        <v>660000</v>
      </c>
      <c r="E105" s="573">
        <f>'9.1.1. sz. mell. '!C105+'9.1.2. sz. mell.'!C105</f>
        <v>660000</v>
      </c>
      <c r="F105" s="577">
        <f>'9.1.1. sz. mell. '!C105+'9.1.2. sz. mell.'!C105</f>
        <v>660000</v>
      </c>
      <c r="G105" s="578">
        <f t="shared" si="2"/>
        <v>0</v>
      </c>
      <c r="H105" s="573">
        <f t="shared" si="3"/>
        <v>0</v>
      </c>
    </row>
    <row r="106" spans="1:8" ht="12" customHeight="1" x14ac:dyDescent="0.2">
      <c r="A106" s="226" t="s">
        <v>150</v>
      </c>
      <c r="B106" s="72" t="s">
        <v>302</v>
      </c>
      <c r="C106" s="289"/>
      <c r="D106" s="573">
        <f>'9.1.1. sz. mell. '!C106+'9.1.2. sz. mell.'!C106</f>
        <v>0</v>
      </c>
      <c r="E106" s="573">
        <f>'9.1.1. sz. mell. '!C106+'9.1.2. sz. mell.'!C106</f>
        <v>0</v>
      </c>
      <c r="F106" s="577">
        <f>'9.1.1. sz. mell. '!C106+'9.1.2. sz. mell.'!C106</f>
        <v>0</v>
      </c>
      <c r="G106" s="578">
        <f t="shared" si="2"/>
        <v>0</v>
      </c>
      <c r="H106" s="573">
        <f t="shared" si="3"/>
        <v>0</v>
      </c>
    </row>
    <row r="107" spans="1:8" ht="12" customHeight="1" x14ac:dyDescent="0.2">
      <c r="A107" s="226" t="s">
        <v>296</v>
      </c>
      <c r="B107" s="73" t="s">
        <v>303</v>
      </c>
      <c r="C107" s="289"/>
      <c r="D107" s="573">
        <f>'9.1.1. sz. mell. '!C107+'9.1.2. sz. mell.'!C107</f>
        <v>0</v>
      </c>
      <c r="E107" s="573">
        <f>'9.1.1. sz. mell. '!C107+'9.1.2. sz. mell.'!C107</f>
        <v>0</v>
      </c>
      <c r="F107" s="577">
        <f>'9.1.1. sz. mell. '!C107+'9.1.2. sz. mell.'!C107</f>
        <v>0</v>
      </c>
      <c r="G107" s="578">
        <f t="shared" si="2"/>
        <v>0</v>
      </c>
      <c r="H107" s="573">
        <f t="shared" si="3"/>
        <v>0</v>
      </c>
    </row>
    <row r="108" spans="1:8" ht="12" customHeight="1" x14ac:dyDescent="0.2">
      <c r="A108" s="234" t="s">
        <v>297</v>
      </c>
      <c r="B108" s="74" t="s">
        <v>304</v>
      </c>
      <c r="C108" s="289"/>
      <c r="D108" s="573">
        <f>'9.1.1. sz. mell. '!C108+'9.1.2. sz. mell.'!C108</f>
        <v>0</v>
      </c>
      <c r="E108" s="573">
        <f>'9.1.1. sz. mell. '!C108+'9.1.2. sz. mell.'!C108</f>
        <v>0</v>
      </c>
      <c r="F108" s="577">
        <f>'9.1.1. sz. mell. '!C108+'9.1.2. sz. mell.'!C108</f>
        <v>0</v>
      </c>
      <c r="G108" s="578">
        <f t="shared" si="2"/>
        <v>0</v>
      </c>
      <c r="H108" s="573">
        <f t="shared" si="3"/>
        <v>0</v>
      </c>
    </row>
    <row r="109" spans="1:8" ht="12" customHeight="1" x14ac:dyDescent="0.2">
      <c r="A109" s="226" t="s">
        <v>466</v>
      </c>
      <c r="B109" s="74" t="s">
        <v>305</v>
      </c>
      <c r="C109" s="289"/>
      <c r="D109" s="573">
        <f>'9.1.1. sz. mell. '!C109+'9.1.2. sz. mell.'!C109</f>
        <v>0</v>
      </c>
      <c r="E109" s="573">
        <f>'9.1.1. sz. mell. '!C109+'9.1.2. sz. mell.'!C109</f>
        <v>0</v>
      </c>
      <c r="F109" s="577">
        <f>'9.1.1. sz. mell. '!C109+'9.1.2. sz. mell.'!C109</f>
        <v>0</v>
      </c>
      <c r="G109" s="578">
        <f t="shared" si="2"/>
        <v>0</v>
      </c>
      <c r="H109" s="573">
        <f t="shared" si="3"/>
        <v>0</v>
      </c>
    </row>
    <row r="110" spans="1:8" ht="12" customHeight="1" x14ac:dyDescent="0.2">
      <c r="A110" s="226" t="s">
        <v>467</v>
      </c>
      <c r="B110" s="73" t="s">
        <v>306</v>
      </c>
      <c r="C110" s="926">
        <f>5697126+16985629+22501218+52959801+660000+49357310-660000</f>
        <v>147501084</v>
      </c>
      <c r="D110" s="573">
        <f>'9.1.1. sz. mell. '!C110+'9.1.2. sz. mell.'!C110</f>
        <v>147501084</v>
      </c>
      <c r="E110" s="573">
        <f>'9.1.1. sz. mell. '!C110+'9.1.2. sz. mell.'!C110</f>
        <v>147501084</v>
      </c>
      <c r="F110" s="577">
        <f>'9.1.1. sz. mell. '!C110+'9.1.2. sz. mell.'!C110</f>
        <v>147501084</v>
      </c>
      <c r="G110" s="578">
        <f t="shared" si="2"/>
        <v>0</v>
      </c>
      <c r="H110" s="573">
        <f t="shared" si="3"/>
        <v>0</v>
      </c>
    </row>
    <row r="111" spans="1:8" ht="12" customHeight="1" x14ac:dyDescent="0.2">
      <c r="A111" s="226" t="s">
        <v>468</v>
      </c>
      <c r="B111" s="10" t="s">
        <v>53</v>
      </c>
      <c r="C111" s="134">
        <f>C112+C113</f>
        <v>80824817</v>
      </c>
      <c r="D111" s="573">
        <f>'9.1.1. sz. mell. '!C111+'9.1.2. sz. mell.'!C111</f>
        <v>80824817</v>
      </c>
      <c r="E111" s="573">
        <f>'9.1.1. sz. mell. '!C111+'9.1.2. sz. mell.'!C111</f>
        <v>80824817</v>
      </c>
      <c r="F111" s="577">
        <f>'9.1.1. sz. mell. '!C111+'9.1.2. sz. mell.'!C111</f>
        <v>80824817</v>
      </c>
      <c r="G111" s="578">
        <f t="shared" si="2"/>
        <v>0</v>
      </c>
      <c r="H111" s="573">
        <f t="shared" si="3"/>
        <v>0</v>
      </c>
    </row>
    <row r="112" spans="1:8" ht="12" customHeight="1" x14ac:dyDescent="0.2">
      <c r="A112" s="227" t="s">
        <v>469</v>
      </c>
      <c r="B112" s="7" t="s">
        <v>517</v>
      </c>
      <c r="C112" s="928">
        <f>15000000-21705</f>
        <v>14978295</v>
      </c>
      <c r="D112" s="573">
        <f>'9.1.1. sz. mell. '!C112+'9.1.2. sz. mell.'!C112</f>
        <v>14978295</v>
      </c>
      <c r="E112" s="573">
        <f>'9.1.1. sz. mell. '!C112+'9.1.2. sz. mell.'!C112</f>
        <v>14978295</v>
      </c>
      <c r="F112" s="577">
        <f>'9.1.1. sz. mell. '!C112+'9.1.2. sz. mell.'!C112</f>
        <v>14978295</v>
      </c>
      <c r="G112" s="578">
        <f t="shared" si="2"/>
        <v>0</v>
      </c>
      <c r="H112" s="573">
        <f t="shared" si="3"/>
        <v>0</v>
      </c>
    </row>
    <row r="113" spans="1:8" ht="12" customHeight="1" thickBot="1" x14ac:dyDescent="0.25">
      <c r="A113" s="235" t="s">
        <v>471</v>
      </c>
      <c r="B113" s="75" t="s">
        <v>518</v>
      </c>
      <c r="C113" s="356">
        <v>65846522</v>
      </c>
      <c r="D113" s="573">
        <f>'9.1.1. sz. mell. '!C113+'9.1.2. sz. mell.'!C113</f>
        <v>65846522</v>
      </c>
      <c r="E113" s="573">
        <f>'9.1.1. sz. mell. '!C113+'9.1.2. sz. mell.'!C113</f>
        <v>65846522</v>
      </c>
      <c r="F113" s="579">
        <f>'9.1.1. sz. mell. '!C113+'9.1.2. sz. mell.'!C113</f>
        <v>65846522</v>
      </c>
      <c r="G113" s="580">
        <f t="shared" si="2"/>
        <v>0</v>
      </c>
      <c r="H113" s="573">
        <f t="shared" si="3"/>
        <v>0</v>
      </c>
    </row>
    <row r="114" spans="1:8" ht="12" customHeight="1" thickBot="1" x14ac:dyDescent="0.25">
      <c r="A114" s="26" t="s">
        <v>23</v>
      </c>
      <c r="B114" s="24" t="s">
        <v>307</v>
      </c>
      <c r="C114" s="130">
        <f>+C115+C117+C119</f>
        <v>529079194</v>
      </c>
      <c r="D114" s="573">
        <f>'9.1.1. sz. mell. '!C114+'9.1.2. sz. mell.'!C114</f>
        <v>529079194</v>
      </c>
      <c r="E114" s="573">
        <f>'9.1.1. sz. mell. '!C114+'9.1.2. sz. mell.'!C114</f>
        <v>529079194</v>
      </c>
      <c r="F114" s="574">
        <f>'9.1.1. sz. mell. '!C114+'9.1.2. sz. mell.'!C114</f>
        <v>529079194</v>
      </c>
      <c r="G114" s="574">
        <f t="shared" si="2"/>
        <v>0</v>
      </c>
      <c r="H114" s="573">
        <f t="shared" si="3"/>
        <v>0</v>
      </c>
    </row>
    <row r="115" spans="1:8" ht="12" customHeight="1" x14ac:dyDescent="0.2">
      <c r="A115" s="225" t="s">
        <v>106</v>
      </c>
      <c r="B115" s="7" t="s">
        <v>170</v>
      </c>
      <c r="C115" s="313">
        <f>359410+2345001+219008101+12873483+381000+1500000+3139585+33894811+377190+2338070+4950460</f>
        <v>281167111</v>
      </c>
      <c r="D115" s="573">
        <f>'9.1.1. sz. mell. '!C115+'9.1.2. sz. mell.'!C115</f>
        <v>281167111</v>
      </c>
      <c r="E115" s="573">
        <f>'9.1.1. sz. mell. '!C115+'9.1.2. sz. mell.'!C115</f>
        <v>281167111</v>
      </c>
      <c r="F115" s="575">
        <f>'9.1.1. sz. mell. '!C115+'9.1.2. sz. mell.'!C115</f>
        <v>281167111</v>
      </c>
      <c r="G115" s="576">
        <f t="shared" si="2"/>
        <v>0</v>
      </c>
      <c r="H115" s="573">
        <f t="shared" si="3"/>
        <v>0</v>
      </c>
    </row>
    <row r="116" spans="1:8" ht="12" customHeight="1" x14ac:dyDescent="0.2">
      <c r="A116" s="225" t="s">
        <v>107</v>
      </c>
      <c r="B116" s="11" t="s">
        <v>311</v>
      </c>
      <c r="C116" s="701">
        <f>12873483+33259811+218246101</f>
        <v>264379395</v>
      </c>
      <c r="D116" s="573">
        <f>'9.1.1. sz. mell. '!C116+'9.1.2. sz. mell.'!C116</f>
        <v>264379395</v>
      </c>
      <c r="E116" s="573">
        <f>'9.1.1. sz. mell. '!C116+'9.1.2. sz. mell.'!C116</f>
        <v>264379395</v>
      </c>
      <c r="F116" s="577">
        <f>'9.1.1. sz. mell. '!C116+'9.1.2. sz. mell.'!C116</f>
        <v>264379395</v>
      </c>
      <c r="G116" s="578">
        <f t="shared" si="2"/>
        <v>0</v>
      </c>
      <c r="H116" s="573">
        <f t="shared" si="3"/>
        <v>0</v>
      </c>
    </row>
    <row r="117" spans="1:8" ht="12" customHeight="1" x14ac:dyDescent="0.2">
      <c r="A117" s="225" t="s">
        <v>108</v>
      </c>
      <c r="B117" s="11" t="s">
        <v>151</v>
      </c>
      <c r="C117" s="285">
        <f>180701362+1500000</f>
        <v>182201362</v>
      </c>
      <c r="D117" s="573">
        <f>'9.1.1. sz. mell. '!C117+'9.1.2. sz. mell.'!C117</f>
        <v>182201362</v>
      </c>
      <c r="E117" s="573">
        <f>'9.1.1. sz. mell. '!C117+'9.1.2. sz. mell.'!C117</f>
        <v>182201362</v>
      </c>
      <c r="F117" s="577">
        <f>'9.1.1. sz. mell. '!C117+'9.1.2. sz. mell.'!C117</f>
        <v>182201362</v>
      </c>
      <c r="G117" s="578">
        <f t="shared" si="2"/>
        <v>0</v>
      </c>
      <c r="H117" s="573">
        <f t="shared" si="3"/>
        <v>0</v>
      </c>
    </row>
    <row r="118" spans="1:8" ht="12" customHeight="1" x14ac:dyDescent="0.2">
      <c r="A118" s="225" t="s">
        <v>109</v>
      </c>
      <c r="B118" s="11" t="s">
        <v>312</v>
      </c>
      <c r="C118" s="700">
        <v>146098020</v>
      </c>
      <c r="D118" s="573">
        <f>'9.1.1. sz. mell. '!C118+'9.1.2. sz. mell.'!C118</f>
        <v>146098020</v>
      </c>
      <c r="E118" s="573">
        <f>'9.1.1. sz. mell. '!C118+'9.1.2. sz. mell.'!C118</f>
        <v>146098020</v>
      </c>
      <c r="F118" s="577">
        <f>'9.1.1. sz. mell. '!C118+'9.1.2. sz. mell.'!C118</f>
        <v>146098020</v>
      </c>
      <c r="G118" s="578">
        <f t="shared" si="2"/>
        <v>0</v>
      </c>
      <c r="H118" s="573">
        <f t="shared" si="3"/>
        <v>0</v>
      </c>
    </row>
    <row r="119" spans="1:8" ht="12" customHeight="1" x14ac:dyDescent="0.2">
      <c r="A119" s="225" t="s">
        <v>110</v>
      </c>
      <c r="B119" s="127" t="s">
        <v>172</v>
      </c>
      <c r="C119" s="285">
        <v>65710721</v>
      </c>
      <c r="D119" s="573">
        <f>'9.1.1. sz. mell. '!C119+'9.1.2. sz. mell.'!C119</f>
        <v>65710721</v>
      </c>
      <c r="E119" s="573">
        <f>'9.1.1. sz. mell. '!C119+'9.1.2. sz. mell.'!C119</f>
        <v>65710721</v>
      </c>
      <c r="F119" s="577">
        <f>'9.1.1. sz. mell. '!C119+'9.1.2. sz. mell.'!C119</f>
        <v>65710721</v>
      </c>
      <c r="G119" s="578">
        <f t="shared" si="2"/>
        <v>0</v>
      </c>
      <c r="H119" s="573">
        <f t="shared" si="3"/>
        <v>0</v>
      </c>
    </row>
    <row r="120" spans="1:8" ht="12" customHeight="1" x14ac:dyDescent="0.2">
      <c r="A120" s="225" t="s">
        <v>119</v>
      </c>
      <c r="B120" s="126" t="s">
        <v>374</v>
      </c>
      <c r="C120" s="115"/>
      <c r="D120" s="573">
        <f>'9.1.1. sz. mell. '!C120+'9.1.2. sz. mell.'!C120</f>
        <v>0</v>
      </c>
      <c r="E120" s="573">
        <f>'9.1.1. sz. mell. '!C120+'9.1.2. sz. mell.'!C120</f>
        <v>0</v>
      </c>
      <c r="F120" s="577">
        <f>'9.1.1. sz. mell. '!C120+'9.1.2. sz. mell.'!C120</f>
        <v>0</v>
      </c>
      <c r="G120" s="578">
        <f t="shared" si="2"/>
        <v>0</v>
      </c>
      <c r="H120" s="573">
        <f t="shared" si="3"/>
        <v>0</v>
      </c>
    </row>
    <row r="121" spans="1:8" ht="12" customHeight="1" x14ac:dyDescent="0.2">
      <c r="A121" s="225" t="s">
        <v>121</v>
      </c>
      <c r="B121" s="207" t="s">
        <v>317</v>
      </c>
      <c r="C121" s="115"/>
      <c r="D121" s="573">
        <f>'9.1.1. sz. mell. '!C121+'9.1.2. sz. mell.'!C121</f>
        <v>0</v>
      </c>
      <c r="E121" s="573">
        <f>'9.1.1. sz. mell. '!C121+'9.1.2. sz. mell.'!C121</f>
        <v>0</v>
      </c>
      <c r="F121" s="577">
        <f>'9.1.1. sz. mell. '!C121+'9.1.2. sz. mell.'!C121</f>
        <v>0</v>
      </c>
      <c r="G121" s="578">
        <f t="shared" si="2"/>
        <v>0</v>
      </c>
      <c r="H121" s="573">
        <f t="shared" si="3"/>
        <v>0</v>
      </c>
    </row>
    <row r="122" spans="1:8" ht="12" customHeight="1" x14ac:dyDescent="0.2">
      <c r="A122" s="225" t="s">
        <v>152</v>
      </c>
      <c r="B122" s="73" t="s">
        <v>300</v>
      </c>
      <c r="C122" s="115"/>
      <c r="D122" s="573">
        <f>'9.1.1. sz. mell. '!C122+'9.1.2. sz. mell.'!C122</f>
        <v>0</v>
      </c>
      <c r="E122" s="573">
        <f>'9.1.1. sz. mell. '!C122+'9.1.2. sz. mell.'!C122</f>
        <v>0</v>
      </c>
      <c r="F122" s="577">
        <f>'9.1.1. sz. mell. '!C122+'9.1.2. sz. mell.'!C122</f>
        <v>0</v>
      </c>
      <c r="G122" s="578">
        <f t="shared" si="2"/>
        <v>0</v>
      </c>
      <c r="H122" s="573">
        <f t="shared" si="3"/>
        <v>0</v>
      </c>
    </row>
    <row r="123" spans="1:8" ht="12" customHeight="1" x14ac:dyDescent="0.2">
      <c r="A123" s="225" t="s">
        <v>153</v>
      </c>
      <c r="B123" s="73" t="s">
        <v>316</v>
      </c>
      <c r="C123" s="115"/>
      <c r="D123" s="573">
        <f>'9.1.1. sz. mell. '!C123+'9.1.2. sz. mell.'!C123</f>
        <v>0</v>
      </c>
      <c r="E123" s="573">
        <f>'9.1.1. sz. mell. '!C123+'9.1.2. sz. mell.'!C123</f>
        <v>0</v>
      </c>
      <c r="F123" s="577">
        <f>'9.1.1. sz. mell. '!C123+'9.1.2. sz. mell.'!C123</f>
        <v>0</v>
      </c>
      <c r="G123" s="578">
        <f t="shared" si="2"/>
        <v>0</v>
      </c>
      <c r="H123" s="573">
        <f t="shared" si="3"/>
        <v>0</v>
      </c>
    </row>
    <row r="124" spans="1:8" ht="12" customHeight="1" x14ac:dyDescent="0.2">
      <c r="A124" s="225" t="s">
        <v>154</v>
      </c>
      <c r="B124" s="73" t="s">
        <v>315</v>
      </c>
      <c r="C124" s="115"/>
      <c r="D124" s="573">
        <f>'9.1.1. sz. mell. '!C124+'9.1.2. sz. mell.'!C124</f>
        <v>0</v>
      </c>
      <c r="E124" s="573">
        <f>'9.1.1. sz. mell. '!C124+'9.1.2. sz. mell.'!C124</f>
        <v>0</v>
      </c>
      <c r="F124" s="577">
        <f>'9.1.1. sz. mell. '!C124+'9.1.2. sz. mell.'!C124</f>
        <v>0</v>
      </c>
      <c r="G124" s="578">
        <f t="shared" si="2"/>
        <v>0</v>
      </c>
      <c r="H124" s="573">
        <f t="shared" si="3"/>
        <v>0</v>
      </c>
    </row>
    <row r="125" spans="1:8" ht="12" customHeight="1" x14ac:dyDescent="0.2">
      <c r="A125" s="225" t="s">
        <v>308</v>
      </c>
      <c r="B125" s="73" t="s">
        <v>303</v>
      </c>
      <c r="C125" s="115"/>
      <c r="D125" s="573">
        <f>'9.1.1. sz. mell. '!C125+'9.1.2. sz. mell.'!C125</f>
        <v>0</v>
      </c>
      <c r="E125" s="573">
        <f>'9.1.1. sz. mell. '!C125+'9.1.2. sz. mell.'!C125</f>
        <v>0</v>
      </c>
      <c r="F125" s="577">
        <f>'9.1.1. sz. mell. '!C125+'9.1.2. sz. mell.'!C125</f>
        <v>0</v>
      </c>
      <c r="G125" s="578">
        <f t="shared" si="2"/>
        <v>0</v>
      </c>
      <c r="H125" s="573">
        <f t="shared" si="3"/>
        <v>0</v>
      </c>
    </row>
    <row r="126" spans="1:8" ht="12" customHeight="1" x14ac:dyDescent="0.2">
      <c r="A126" s="225" t="s">
        <v>309</v>
      </c>
      <c r="B126" s="73" t="s">
        <v>314</v>
      </c>
      <c r="C126" s="115"/>
      <c r="D126" s="573">
        <f>'9.1.1. sz. mell. '!C126+'9.1.2. sz. mell.'!C126</f>
        <v>0</v>
      </c>
      <c r="E126" s="573">
        <f>'9.1.1. sz. mell. '!C126+'9.1.2. sz. mell.'!C126</f>
        <v>0</v>
      </c>
      <c r="F126" s="577">
        <f>'9.1.1. sz. mell. '!C126+'9.1.2. sz. mell.'!C126</f>
        <v>0</v>
      </c>
      <c r="G126" s="578">
        <f t="shared" si="2"/>
        <v>0</v>
      </c>
      <c r="H126" s="573">
        <f t="shared" si="3"/>
        <v>0</v>
      </c>
    </row>
    <row r="127" spans="1:8" ht="12" customHeight="1" thickBot="1" x14ac:dyDescent="0.25">
      <c r="A127" s="234" t="s">
        <v>310</v>
      </c>
      <c r="B127" s="73" t="s">
        <v>313</v>
      </c>
      <c r="C127" s="289">
        <v>65710721</v>
      </c>
      <c r="D127" s="573">
        <f>'9.1.1. sz. mell. '!C127+'9.1.2. sz. mell.'!C127</f>
        <v>65710721</v>
      </c>
      <c r="E127" s="573">
        <f>'9.1.1. sz. mell. '!C127+'9.1.2. sz. mell.'!C127</f>
        <v>65710721</v>
      </c>
      <c r="F127" s="579">
        <f>'9.1.1. sz. mell. '!C127+'9.1.2. sz. mell.'!C127</f>
        <v>65710721</v>
      </c>
      <c r="G127" s="580">
        <f t="shared" si="2"/>
        <v>0</v>
      </c>
      <c r="H127" s="573">
        <f t="shared" si="3"/>
        <v>0</v>
      </c>
    </row>
    <row r="128" spans="1:8" ht="12" customHeight="1" thickBot="1" x14ac:dyDescent="0.25">
      <c r="A128" s="26" t="s">
        <v>24</v>
      </c>
      <c r="B128" s="68" t="s">
        <v>473</v>
      </c>
      <c r="C128" s="130">
        <f>+C93+C114</f>
        <v>1213222065</v>
      </c>
      <c r="D128" s="573">
        <f>'9.1.1. sz. mell. '!C128+'9.1.2. sz. mell.'!C128</f>
        <v>1213222065</v>
      </c>
      <c r="E128" s="573">
        <f>'9.1.1. sz. mell. '!C128+'9.1.2. sz. mell.'!C128</f>
        <v>1213222065</v>
      </c>
      <c r="F128" s="574">
        <f>'9.1.1. sz. mell. '!C128+'9.1.2. sz. mell.'!C128</f>
        <v>1213222065</v>
      </c>
      <c r="G128" s="574">
        <f t="shared" si="2"/>
        <v>0</v>
      </c>
      <c r="H128" s="573">
        <f t="shared" si="3"/>
        <v>0</v>
      </c>
    </row>
    <row r="129" spans="1:11" ht="12" customHeight="1" thickBot="1" x14ac:dyDescent="0.25">
      <c r="A129" s="26" t="s">
        <v>25</v>
      </c>
      <c r="B129" s="68" t="s">
        <v>474</v>
      </c>
      <c r="C129" s="130">
        <f>+C130+C131+C132</f>
        <v>108486704</v>
      </c>
      <c r="D129" s="573">
        <f>'9.1.1. sz. mell. '!C129+'9.1.2. sz. mell.'!C129</f>
        <v>108486704</v>
      </c>
      <c r="E129" s="573">
        <f>'9.1.1. sz. mell. '!C129+'9.1.2. sz. mell.'!C129</f>
        <v>108486704</v>
      </c>
      <c r="F129" s="574">
        <f>'9.1.1. sz. mell. '!C129+'9.1.2. sz. mell.'!C129</f>
        <v>108486704</v>
      </c>
      <c r="G129" s="574">
        <f t="shared" si="2"/>
        <v>0</v>
      </c>
      <c r="H129" s="573">
        <f t="shared" si="3"/>
        <v>0</v>
      </c>
    </row>
    <row r="130" spans="1:11" s="50" customFormat="1" ht="12" customHeight="1" x14ac:dyDescent="0.2">
      <c r="A130" s="225" t="s">
        <v>208</v>
      </c>
      <c r="B130" s="8" t="s">
        <v>519</v>
      </c>
      <c r="C130" s="285">
        <f>4042704+4444000</f>
        <v>8486704</v>
      </c>
      <c r="D130" s="573">
        <f>'9.1.1. sz. mell. '!C130+'9.1.2. sz. mell.'!C130</f>
        <v>8486704</v>
      </c>
      <c r="E130" s="573">
        <f>'9.1.1. sz. mell. '!C130+'9.1.2. sz. mell.'!C130</f>
        <v>8486704</v>
      </c>
      <c r="F130" s="575">
        <f>'9.1.1. sz. mell. '!C130+'9.1.2. sz. mell.'!C130</f>
        <v>8486704</v>
      </c>
      <c r="G130" s="576">
        <f t="shared" si="2"/>
        <v>0</v>
      </c>
      <c r="H130" s="573">
        <f t="shared" si="3"/>
        <v>0</v>
      </c>
    </row>
    <row r="131" spans="1:11" ht="12" customHeight="1" x14ac:dyDescent="0.2">
      <c r="A131" s="225" t="s">
        <v>211</v>
      </c>
      <c r="B131" s="8" t="s">
        <v>476</v>
      </c>
      <c r="C131" s="115">
        <v>100000000</v>
      </c>
      <c r="D131" s="573">
        <f>'9.1.1. sz. mell. '!C131+'9.1.2. sz. mell.'!C131</f>
        <v>100000000</v>
      </c>
      <c r="E131" s="573">
        <f>'9.1.1. sz. mell. '!C131+'9.1.2. sz. mell.'!C131</f>
        <v>100000000</v>
      </c>
      <c r="F131" s="577">
        <f>'9.1.1. sz. mell. '!C131+'9.1.2. sz. mell.'!C131</f>
        <v>100000000</v>
      </c>
      <c r="G131" s="578">
        <f t="shared" si="2"/>
        <v>0</v>
      </c>
      <c r="H131" s="573">
        <f t="shared" si="3"/>
        <v>0</v>
      </c>
    </row>
    <row r="132" spans="1:11" ht="12" customHeight="1" thickBot="1" x14ac:dyDescent="0.25">
      <c r="A132" s="234" t="s">
        <v>212</v>
      </c>
      <c r="B132" s="6" t="s">
        <v>520</v>
      </c>
      <c r="C132" s="115"/>
      <c r="D132" s="573">
        <f>'9.1.1. sz. mell. '!C132+'9.1.2. sz. mell.'!C132</f>
        <v>0</v>
      </c>
      <c r="E132" s="573">
        <f>'9.1.1. sz. mell. '!C132+'9.1.2. sz. mell.'!C132</f>
        <v>0</v>
      </c>
      <c r="F132" s="579">
        <f>'9.1.1. sz. mell. '!C132+'9.1.2. sz. mell.'!C132</f>
        <v>0</v>
      </c>
      <c r="G132" s="580">
        <f t="shared" si="2"/>
        <v>0</v>
      </c>
      <c r="H132" s="573">
        <f t="shared" si="3"/>
        <v>0</v>
      </c>
    </row>
    <row r="133" spans="1:11" ht="12" customHeight="1" thickBot="1" x14ac:dyDescent="0.25">
      <c r="A133" s="26" t="s">
        <v>26</v>
      </c>
      <c r="B133" s="68" t="s">
        <v>478</v>
      </c>
      <c r="C133" s="130">
        <f>+C134+C135+C136+C137+C138+C139</f>
        <v>0</v>
      </c>
      <c r="D133" s="573">
        <f>'9.1.1. sz. mell. '!C133+'9.1.2. sz. mell.'!C133</f>
        <v>0</v>
      </c>
      <c r="E133" s="573">
        <f>'9.1.1. sz. mell. '!C133+'9.1.2. sz. mell.'!C133</f>
        <v>0</v>
      </c>
      <c r="F133" s="574">
        <f>'9.1.1. sz. mell. '!C133+'9.1.2. sz. mell.'!C133</f>
        <v>0</v>
      </c>
      <c r="G133" s="574">
        <f t="shared" si="2"/>
        <v>0</v>
      </c>
      <c r="H133" s="573">
        <f t="shared" si="3"/>
        <v>0</v>
      </c>
    </row>
    <row r="134" spans="1:11" ht="12" customHeight="1" x14ac:dyDescent="0.2">
      <c r="A134" s="225" t="s">
        <v>93</v>
      </c>
      <c r="B134" s="8" t="s">
        <v>479</v>
      </c>
      <c r="C134" s="115"/>
      <c r="D134" s="573">
        <f>'9.1.1. sz. mell. '!C134+'9.1.2. sz. mell.'!C134</f>
        <v>0</v>
      </c>
      <c r="E134" s="573">
        <f>'9.1.1. sz. mell. '!C134+'9.1.2. sz. mell.'!C134</f>
        <v>0</v>
      </c>
      <c r="F134" s="575">
        <f>'9.1.1. sz. mell. '!C134+'9.1.2. sz. mell.'!C134</f>
        <v>0</v>
      </c>
      <c r="G134" s="576">
        <f t="shared" si="2"/>
        <v>0</v>
      </c>
      <c r="H134" s="573">
        <f t="shared" si="3"/>
        <v>0</v>
      </c>
    </row>
    <row r="135" spans="1:11" ht="12" customHeight="1" x14ac:dyDescent="0.2">
      <c r="A135" s="225" t="s">
        <v>94</v>
      </c>
      <c r="B135" s="8" t="s">
        <v>480</v>
      </c>
      <c r="C135" s="115"/>
      <c r="D135" s="573">
        <f>'9.1.1. sz. mell. '!C135+'9.1.2. sz. mell.'!C135</f>
        <v>0</v>
      </c>
      <c r="E135" s="573">
        <f>'9.1.1. sz. mell. '!C135+'9.1.2. sz. mell.'!C135</f>
        <v>0</v>
      </c>
      <c r="F135" s="577">
        <f>'9.1.1. sz. mell. '!C135+'9.1.2. sz. mell.'!C135</f>
        <v>0</v>
      </c>
      <c r="G135" s="578">
        <f t="shared" si="2"/>
        <v>0</v>
      </c>
      <c r="H135" s="573">
        <f t="shared" si="3"/>
        <v>0</v>
      </c>
    </row>
    <row r="136" spans="1:11" ht="12" customHeight="1" x14ac:dyDescent="0.2">
      <c r="A136" s="225" t="s">
        <v>95</v>
      </c>
      <c r="B136" s="8" t="s">
        <v>481</v>
      </c>
      <c r="C136" s="115"/>
      <c r="D136" s="573">
        <f>'9.1.1. sz. mell. '!C136+'9.1.2. sz. mell.'!C136</f>
        <v>0</v>
      </c>
      <c r="E136" s="573">
        <f>'9.1.1. sz. mell. '!C136+'9.1.2. sz. mell.'!C136</f>
        <v>0</v>
      </c>
      <c r="F136" s="577">
        <f>'9.1.1. sz. mell. '!C136+'9.1.2. sz. mell.'!C136</f>
        <v>0</v>
      </c>
      <c r="G136" s="578">
        <f t="shared" si="2"/>
        <v>0</v>
      </c>
      <c r="H136" s="573">
        <f t="shared" si="3"/>
        <v>0</v>
      </c>
    </row>
    <row r="137" spans="1:11" ht="12" customHeight="1" x14ac:dyDescent="0.2">
      <c r="A137" s="225" t="s">
        <v>139</v>
      </c>
      <c r="B137" s="8" t="s">
        <v>521</v>
      </c>
      <c r="C137" s="115"/>
      <c r="D137" s="573">
        <f>'9.1.1. sz. mell. '!C137+'9.1.2. sz. mell.'!C137</f>
        <v>0</v>
      </c>
      <c r="E137" s="573">
        <f>'9.1.1. sz. mell. '!C137+'9.1.2. sz. mell.'!C137</f>
        <v>0</v>
      </c>
      <c r="F137" s="577">
        <f>'9.1.1. sz. mell. '!C137+'9.1.2. sz. mell.'!C137</f>
        <v>0</v>
      </c>
      <c r="G137" s="578">
        <f t="shared" ref="G137:G155" si="4">C137-F137</f>
        <v>0</v>
      </c>
      <c r="H137" s="573">
        <f t="shared" ref="H137:H158" si="5">C137-D137</f>
        <v>0</v>
      </c>
    </row>
    <row r="138" spans="1:11" ht="12" customHeight="1" x14ac:dyDescent="0.2">
      <c r="A138" s="225" t="s">
        <v>140</v>
      </c>
      <c r="B138" s="8" t="s">
        <v>483</v>
      </c>
      <c r="C138" s="115"/>
      <c r="D138" s="573">
        <f>'9.1.1. sz. mell. '!C138+'9.1.2. sz. mell.'!C138</f>
        <v>0</v>
      </c>
      <c r="E138" s="573">
        <f>'9.1.1. sz. mell. '!C138+'9.1.2. sz. mell.'!C138</f>
        <v>0</v>
      </c>
      <c r="F138" s="577">
        <f>'9.1.1. sz. mell. '!C138+'9.1.2. sz. mell.'!C138</f>
        <v>0</v>
      </c>
      <c r="G138" s="578">
        <f t="shared" si="4"/>
        <v>0</v>
      </c>
      <c r="H138" s="573">
        <f t="shared" si="5"/>
        <v>0</v>
      </c>
    </row>
    <row r="139" spans="1:11" s="50" customFormat="1" ht="12" customHeight="1" thickBot="1" x14ac:dyDescent="0.25">
      <c r="A139" s="234" t="s">
        <v>141</v>
      </c>
      <c r="B139" s="6" t="s">
        <v>484</v>
      </c>
      <c r="C139" s="115"/>
      <c r="D139" s="573">
        <f>'9.1.1. sz. mell. '!C139+'9.1.2. sz. mell.'!C139</f>
        <v>0</v>
      </c>
      <c r="E139" s="573">
        <f>'9.1.1. sz. mell. '!C139+'9.1.2. sz. mell.'!C139</f>
        <v>0</v>
      </c>
      <c r="F139" s="579">
        <f>'9.1.1. sz. mell. '!C139+'9.1.2. sz. mell.'!C139</f>
        <v>0</v>
      </c>
      <c r="G139" s="580">
        <f t="shared" si="4"/>
        <v>0</v>
      </c>
      <c r="H139" s="573">
        <f t="shared" si="5"/>
        <v>0</v>
      </c>
    </row>
    <row r="140" spans="1:11" ht="12" customHeight="1" thickBot="1" x14ac:dyDescent="0.25">
      <c r="A140" s="26" t="s">
        <v>27</v>
      </c>
      <c r="B140" s="68" t="s">
        <v>522</v>
      </c>
      <c r="C140" s="135">
        <f>+C141+C142+C144+C145+C143</f>
        <v>38167591</v>
      </c>
      <c r="D140" s="573">
        <f>'9.1.1. sz. mell. '!C140+'9.1.2. sz. mell.'!C140</f>
        <v>38167591</v>
      </c>
      <c r="E140" s="573">
        <f>'9.1.1. sz. mell. '!C140+'9.1.2. sz. mell.'!C140</f>
        <v>38167591</v>
      </c>
      <c r="F140" s="574">
        <f>'9.1.1. sz. mell. '!C140+'9.1.2. sz. mell.'!C140</f>
        <v>38167591</v>
      </c>
      <c r="G140" s="574">
        <f t="shared" si="4"/>
        <v>0</v>
      </c>
      <c r="H140" s="573">
        <f t="shared" si="5"/>
        <v>0</v>
      </c>
      <c r="K140" s="114"/>
    </row>
    <row r="141" spans="1:11" x14ac:dyDescent="0.2">
      <c r="A141" s="225" t="s">
        <v>96</v>
      </c>
      <c r="B141" s="8" t="s">
        <v>318</v>
      </c>
      <c r="C141" s="115"/>
      <c r="D141" s="573">
        <f>'9.1.1. sz. mell. '!C141+'9.1.2. sz. mell.'!C141</f>
        <v>0</v>
      </c>
      <c r="E141" s="573">
        <f>'9.1.1. sz. mell. '!C141+'9.1.2. sz. mell.'!C141</f>
        <v>0</v>
      </c>
      <c r="F141" s="575">
        <f>'9.1.1. sz. mell. '!C141+'9.1.2. sz. mell.'!C141</f>
        <v>0</v>
      </c>
      <c r="G141" s="576">
        <f t="shared" si="4"/>
        <v>0</v>
      </c>
      <c r="H141" s="573">
        <f t="shared" si="5"/>
        <v>0</v>
      </c>
    </row>
    <row r="142" spans="1:11" ht="12" customHeight="1" x14ac:dyDescent="0.2">
      <c r="A142" s="225" t="s">
        <v>97</v>
      </c>
      <c r="B142" s="8" t="s">
        <v>319</v>
      </c>
      <c r="C142" s="115">
        <v>38167591</v>
      </c>
      <c r="D142" s="573">
        <f>'9.1.1. sz. mell. '!C142+'9.1.2. sz. mell.'!C142</f>
        <v>38167591</v>
      </c>
      <c r="E142" s="573">
        <f>'9.1.1. sz. mell. '!C142+'9.1.2. sz. mell.'!C142</f>
        <v>38167591</v>
      </c>
      <c r="F142" s="577">
        <f>'9.1.1. sz. mell. '!C142+'9.1.2. sz. mell.'!C142</f>
        <v>38167591</v>
      </c>
      <c r="G142" s="578">
        <f t="shared" si="4"/>
        <v>0</v>
      </c>
      <c r="H142" s="573">
        <f t="shared" si="5"/>
        <v>0</v>
      </c>
    </row>
    <row r="143" spans="1:11" ht="12" customHeight="1" x14ac:dyDescent="0.2">
      <c r="A143" s="225" t="s">
        <v>232</v>
      </c>
      <c r="B143" s="8" t="s">
        <v>523</v>
      </c>
      <c r="C143" s="115"/>
      <c r="D143" s="573">
        <f>'9.1.1. sz. mell. '!C143+'9.1.2. sz. mell.'!C143</f>
        <v>0</v>
      </c>
      <c r="E143" s="573">
        <f>'9.1.1. sz. mell. '!C143+'9.1.2. sz. mell.'!C143</f>
        <v>0</v>
      </c>
      <c r="F143" s="577">
        <f>'9.1.1. sz. mell. '!C143+'9.1.2. sz. mell.'!C143</f>
        <v>0</v>
      </c>
      <c r="G143" s="578">
        <f t="shared" si="4"/>
        <v>0</v>
      </c>
      <c r="H143" s="573">
        <f t="shared" si="5"/>
        <v>0</v>
      </c>
    </row>
    <row r="144" spans="1:11" s="50" customFormat="1" ht="12" customHeight="1" x14ac:dyDescent="0.2">
      <c r="A144" s="225" t="s">
        <v>233</v>
      </c>
      <c r="B144" s="8" t="s">
        <v>486</v>
      </c>
      <c r="C144" s="115"/>
      <c r="D144" s="573">
        <f>'9.1.1. sz. mell. '!C144+'9.1.2. sz. mell.'!C144</f>
        <v>0</v>
      </c>
      <c r="E144" s="573">
        <f>'9.1.1. sz. mell. '!C144+'9.1.2. sz. mell.'!C144</f>
        <v>0</v>
      </c>
      <c r="F144" s="577">
        <f>'9.1.1. sz. mell. '!C144+'9.1.2. sz. mell.'!C144</f>
        <v>0</v>
      </c>
      <c r="G144" s="578">
        <f t="shared" si="4"/>
        <v>0</v>
      </c>
      <c r="H144" s="573">
        <f t="shared" si="5"/>
        <v>0</v>
      </c>
    </row>
    <row r="145" spans="1:8" s="50" customFormat="1" ht="12" customHeight="1" thickBot="1" x14ac:dyDescent="0.25">
      <c r="A145" s="234" t="s">
        <v>234</v>
      </c>
      <c r="B145" s="6" t="s">
        <v>337</v>
      </c>
      <c r="C145" s="115"/>
      <c r="D145" s="573">
        <f>'9.1.1. sz. mell. '!C145+'9.1.2. sz. mell.'!C145</f>
        <v>0</v>
      </c>
      <c r="E145" s="573">
        <f>'9.1.1. sz. mell. '!C145+'9.1.2. sz. mell.'!C145</f>
        <v>0</v>
      </c>
      <c r="F145" s="579">
        <f>'9.1.1. sz. mell. '!C145+'9.1.2. sz. mell.'!C145</f>
        <v>0</v>
      </c>
      <c r="G145" s="580">
        <f t="shared" si="4"/>
        <v>0</v>
      </c>
      <c r="H145" s="573">
        <f t="shared" si="5"/>
        <v>0</v>
      </c>
    </row>
    <row r="146" spans="1:8" s="50" customFormat="1" ht="12" customHeight="1" thickBot="1" x14ac:dyDescent="0.25">
      <c r="A146" s="26" t="s">
        <v>28</v>
      </c>
      <c r="B146" s="68" t="s">
        <v>487</v>
      </c>
      <c r="C146" s="138">
        <f>+C147+C148+C149+C150+C151</f>
        <v>0</v>
      </c>
      <c r="D146" s="573">
        <f>'9.1.1. sz. mell. '!C146+'9.1.2. sz. mell.'!C146</f>
        <v>0</v>
      </c>
      <c r="E146" s="573">
        <f>'9.1.1. sz. mell. '!C146+'9.1.2. sz. mell.'!C146</f>
        <v>0</v>
      </c>
      <c r="F146" s="574">
        <f>'9.1.1. sz. mell. '!C146+'9.1.2. sz. mell.'!C146</f>
        <v>0</v>
      </c>
      <c r="G146" s="574">
        <f t="shared" si="4"/>
        <v>0</v>
      </c>
      <c r="H146" s="573">
        <f t="shared" si="5"/>
        <v>0</v>
      </c>
    </row>
    <row r="147" spans="1:8" s="50" customFormat="1" ht="12" customHeight="1" x14ac:dyDescent="0.2">
      <c r="A147" s="225" t="s">
        <v>98</v>
      </c>
      <c r="B147" s="8" t="s">
        <v>488</v>
      </c>
      <c r="C147" s="115"/>
      <c r="D147" s="573">
        <f>'9.1.1. sz. mell. '!C147+'9.1.2. sz. mell.'!C147</f>
        <v>0</v>
      </c>
      <c r="E147" s="573">
        <f>'9.1.1. sz. mell. '!C147+'9.1.2. sz. mell.'!C147</f>
        <v>0</v>
      </c>
      <c r="F147" s="575">
        <f>'9.1.1. sz. mell. '!C147+'9.1.2. sz. mell.'!C147</f>
        <v>0</v>
      </c>
      <c r="G147" s="576">
        <f t="shared" si="4"/>
        <v>0</v>
      </c>
      <c r="H147" s="573">
        <f t="shared" si="5"/>
        <v>0</v>
      </c>
    </row>
    <row r="148" spans="1:8" s="50" customFormat="1" ht="12" customHeight="1" x14ac:dyDescent="0.2">
      <c r="A148" s="225" t="s">
        <v>99</v>
      </c>
      <c r="B148" s="8" t="s">
        <v>489</v>
      </c>
      <c r="C148" s="115"/>
      <c r="D148" s="573">
        <f>'9.1.1. sz. mell. '!C148+'9.1.2. sz. mell.'!C148</f>
        <v>0</v>
      </c>
      <c r="E148" s="573">
        <f>'9.1.1. sz. mell. '!C148+'9.1.2. sz. mell.'!C148</f>
        <v>0</v>
      </c>
      <c r="F148" s="577">
        <f>'9.1.1. sz. mell. '!C148+'9.1.2. sz. mell.'!C148</f>
        <v>0</v>
      </c>
      <c r="G148" s="578">
        <f t="shared" si="4"/>
        <v>0</v>
      </c>
      <c r="H148" s="573">
        <f t="shared" si="5"/>
        <v>0</v>
      </c>
    </row>
    <row r="149" spans="1:8" s="50" customFormat="1" ht="12" customHeight="1" x14ac:dyDescent="0.2">
      <c r="A149" s="225" t="s">
        <v>244</v>
      </c>
      <c r="B149" s="8" t="s">
        <v>490</v>
      </c>
      <c r="C149" s="115"/>
      <c r="D149" s="573">
        <f>'9.1.1. sz. mell. '!C149+'9.1.2. sz. mell.'!C149</f>
        <v>0</v>
      </c>
      <c r="E149" s="573">
        <f>'9.1.1. sz. mell. '!C149+'9.1.2. sz. mell.'!C149</f>
        <v>0</v>
      </c>
      <c r="F149" s="577">
        <f>'9.1.1. sz. mell. '!C149+'9.1.2. sz. mell.'!C149</f>
        <v>0</v>
      </c>
      <c r="G149" s="578">
        <f t="shared" si="4"/>
        <v>0</v>
      </c>
      <c r="H149" s="573">
        <f t="shared" si="5"/>
        <v>0</v>
      </c>
    </row>
    <row r="150" spans="1:8" s="50" customFormat="1" ht="12" customHeight="1" x14ac:dyDescent="0.2">
      <c r="A150" s="225" t="s">
        <v>245</v>
      </c>
      <c r="B150" s="8" t="s">
        <v>524</v>
      </c>
      <c r="C150" s="115"/>
      <c r="D150" s="573">
        <f>'9.1.1. sz. mell. '!C150+'9.1.2. sz. mell.'!C150</f>
        <v>0</v>
      </c>
      <c r="E150" s="573">
        <f>'9.1.1. sz. mell. '!C150+'9.1.2. sz. mell.'!C150</f>
        <v>0</v>
      </c>
      <c r="F150" s="577">
        <f>'9.1.1. sz. mell. '!C150+'9.1.2. sz. mell.'!C150</f>
        <v>0</v>
      </c>
      <c r="G150" s="578">
        <f t="shared" si="4"/>
        <v>0</v>
      </c>
      <c r="H150" s="573">
        <f t="shared" si="5"/>
        <v>0</v>
      </c>
    </row>
    <row r="151" spans="1:8" ht="12.75" customHeight="1" thickBot="1" x14ac:dyDescent="0.25">
      <c r="A151" s="234" t="s">
        <v>492</v>
      </c>
      <c r="B151" s="6" t="s">
        <v>493</v>
      </c>
      <c r="C151" s="116"/>
      <c r="D151" s="573">
        <f>'9.1.1. sz. mell. '!C151+'9.1.2. sz. mell.'!C151</f>
        <v>0</v>
      </c>
      <c r="E151" s="573">
        <f>'9.1.1. sz. mell. '!C151+'9.1.2. sz. mell.'!C151</f>
        <v>0</v>
      </c>
      <c r="F151" s="579">
        <f>'9.1.1. sz. mell. '!C151+'9.1.2. sz. mell.'!C151</f>
        <v>0</v>
      </c>
      <c r="G151" s="580">
        <f t="shared" si="4"/>
        <v>0</v>
      </c>
      <c r="H151" s="573">
        <f t="shared" si="5"/>
        <v>0</v>
      </c>
    </row>
    <row r="152" spans="1:8" ht="12.75" customHeight="1" thickBot="1" x14ac:dyDescent="0.25">
      <c r="A152" s="282" t="s">
        <v>29</v>
      </c>
      <c r="B152" s="68" t="s">
        <v>494</v>
      </c>
      <c r="C152" s="138"/>
      <c r="D152" s="573">
        <f>'9.1.1. sz. mell. '!C152+'9.1.2. sz. mell.'!C152</f>
        <v>0</v>
      </c>
      <c r="E152" s="573">
        <f>'9.1.1. sz. mell. '!C152+'9.1.2. sz. mell.'!C152</f>
        <v>0</v>
      </c>
      <c r="F152" s="574">
        <f>'9.1.1. sz. mell. '!C152+'9.1.2. sz. mell.'!C152</f>
        <v>0</v>
      </c>
      <c r="G152" s="574">
        <f t="shared" si="4"/>
        <v>0</v>
      </c>
      <c r="H152" s="573">
        <f t="shared" si="5"/>
        <v>0</v>
      </c>
    </row>
    <row r="153" spans="1:8" ht="12.75" customHeight="1" thickBot="1" x14ac:dyDescent="0.25">
      <c r="A153" s="282" t="s">
        <v>30</v>
      </c>
      <c r="B153" s="68" t="s">
        <v>495</v>
      </c>
      <c r="C153" s="138"/>
      <c r="D153" s="573">
        <f>'9.1.1. sz. mell. '!C153+'9.1.2. sz. mell.'!C153</f>
        <v>0</v>
      </c>
      <c r="E153" s="573">
        <f>'9.1.1. sz. mell. '!C153+'9.1.2. sz. mell.'!C153</f>
        <v>0</v>
      </c>
      <c r="F153" s="581">
        <f>'9.1.1. sz. mell. '!C153+'9.1.2. sz. mell.'!C153</f>
        <v>0</v>
      </c>
      <c r="G153" s="581">
        <f t="shared" si="4"/>
        <v>0</v>
      </c>
      <c r="H153" s="573">
        <f t="shared" si="5"/>
        <v>0</v>
      </c>
    </row>
    <row r="154" spans="1:8" ht="12" customHeight="1" thickBot="1" x14ac:dyDescent="0.25">
      <c r="A154" s="26" t="s">
        <v>31</v>
      </c>
      <c r="B154" s="68" t="s">
        <v>496</v>
      </c>
      <c r="C154" s="221">
        <f>+C129+C133+C140+C146+C152+C153</f>
        <v>146654295</v>
      </c>
      <c r="D154" s="573">
        <f>'9.1.1. sz. mell. '!C154+'9.1.2. sz. mell.'!C154</f>
        <v>146654295</v>
      </c>
      <c r="E154" s="573">
        <f>'9.1.1. sz. mell. '!C154+'9.1.2. sz. mell.'!C154</f>
        <v>146654295</v>
      </c>
      <c r="F154" s="574">
        <f>'9.1.1. sz. mell. '!C154+'9.1.2. sz. mell.'!C154</f>
        <v>146654295</v>
      </c>
      <c r="G154" s="574">
        <f t="shared" si="4"/>
        <v>0</v>
      </c>
      <c r="H154" s="573">
        <f t="shared" si="5"/>
        <v>0</v>
      </c>
    </row>
    <row r="155" spans="1:8" ht="15" customHeight="1" thickBot="1" x14ac:dyDescent="0.25">
      <c r="A155" s="236" t="s">
        <v>32</v>
      </c>
      <c r="B155" s="196" t="s">
        <v>497</v>
      </c>
      <c r="C155" s="221">
        <f>+C128+C154</f>
        <v>1359876360</v>
      </c>
      <c r="D155" s="573">
        <f>'9.1.1. sz. mell. '!C155+'9.1.2. sz. mell.'!C155</f>
        <v>1359876360</v>
      </c>
      <c r="E155" s="573">
        <f>'9.1.1. sz. mell. '!C155+'9.1.2. sz. mell.'!C155</f>
        <v>1359876360</v>
      </c>
      <c r="F155" s="574">
        <f>'9.1.1. sz. mell. '!C155+'9.1.2. sz. mell.'!C155</f>
        <v>1359876360</v>
      </c>
      <c r="G155" s="574">
        <f t="shared" si="4"/>
        <v>0</v>
      </c>
      <c r="H155" s="573">
        <f t="shared" si="5"/>
        <v>0</v>
      </c>
    </row>
    <row r="156" spans="1:8" ht="13.5" thickBot="1" x14ac:dyDescent="0.25">
      <c r="D156" s="573">
        <f>'9.1.1. sz. mell. '!C156+'9.1.2. sz. mell.'!C156</f>
        <v>0</v>
      </c>
      <c r="E156" s="573">
        <f>'9.1.1. sz. mell. '!C156+'9.1.2. sz. mell.'!C156</f>
        <v>0</v>
      </c>
      <c r="H156" s="573">
        <f t="shared" si="5"/>
        <v>0</v>
      </c>
    </row>
    <row r="157" spans="1:8" ht="15" customHeight="1" thickBot="1" x14ac:dyDescent="0.25">
      <c r="A157" s="111" t="s">
        <v>525</v>
      </c>
      <c r="B157" s="112"/>
      <c r="C157" s="67">
        <v>6</v>
      </c>
      <c r="D157" s="573">
        <f>'9.1.1. sz. mell. '!C157+'9.1.2. sz. mell.'!C157</f>
        <v>6</v>
      </c>
      <c r="E157" s="573">
        <f>'9.1.1. sz. mell. '!C157+'9.1.2. sz. mell.'!C157</f>
        <v>6</v>
      </c>
      <c r="F157" s="569">
        <f t="shared" ref="F157:F158" si="6">C157-E157</f>
        <v>0</v>
      </c>
      <c r="H157" s="573">
        <f t="shared" si="5"/>
        <v>0</v>
      </c>
    </row>
    <row r="158" spans="1:8" ht="14.25" customHeight="1" thickBot="1" x14ac:dyDescent="0.25">
      <c r="A158" s="111" t="s">
        <v>165</v>
      </c>
      <c r="B158" s="112"/>
      <c r="C158" s="67"/>
      <c r="D158" s="573">
        <f>'9.1.1. sz. mell. '!C158+'9.1.2. sz. mell.'!C158</f>
        <v>0</v>
      </c>
      <c r="E158" s="573">
        <f>'9.1.1. sz. mell. '!C158+'9.1.2. sz. mell.'!C158</f>
        <v>0</v>
      </c>
      <c r="F158" s="569">
        <f t="shared" si="6"/>
        <v>0</v>
      </c>
      <c r="H158" s="573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4/2018.(III.29.)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18</vt:i4>
      </vt:variant>
    </vt:vector>
  </HeadingPairs>
  <TitlesOfParts>
    <vt:vector size="43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3.sz.mell.</vt:lpstr>
      <vt:lpstr>6.sz.mell.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9.6. sz. mell Kornisné Kp.</vt:lpstr>
      <vt:lpstr>9.6.1. sz. mell Kornisné Kp. </vt:lpstr>
      <vt:lpstr>9.6.2. sz. mell Kornisné Kp.</vt:lpstr>
      <vt:lpstr>int.összesítő</vt:lpstr>
      <vt:lpstr>tartalék</vt:lpstr>
      <vt:lpstr>1.sz tájékoztató t </vt:lpstr>
      <vt:lpstr>2. sz tájékoztató t.</vt:lpstr>
      <vt:lpstr>4.sz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'9.6. sz. mell Kornisné Kp.'!Nyomtatási_cím</vt:lpstr>
      <vt:lpstr>'9.6.1. sz. mell Kornisné Kp. '!Nyomtatási_cím</vt:lpstr>
      <vt:lpstr>'9.6.2. sz. mell Kornisné Kp.'!Nyomtatási_cím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2018-04-04T09:45:28Z</cp:lastPrinted>
  <dcterms:created xsi:type="dcterms:W3CDTF">1999-10-30T10:30:45Z</dcterms:created>
  <dcterms:modified xsi:type="dcterms:W3CDTF">2018-04-04T09:47:07Z</dcterms:modified>
</cp:coreProperties>
</file>