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BF36A229-C560-42E3-8C56-B4E25CC98777}" xr6:coauthVersionLast="40" xr6:coauthVersionMax="40" xr10:uidLastSave="{00000000-0000-0000-0000-000000000000}"/>
  <bookViews>
    <workbookView xWindow="-120" yWindow="-120" windowWidth="20730" windowHeight="11160" xr2:uid="{BCE907DF-C422-4617-B5C3-31837948752C}"/>
  </bookViews>
  <sheets>
    <sheet name="feladatos Önk. " sheetId="1" r:id="rId1"/>
  </sheets>
  <definedNames>
    <definedName name="_xlnm.Print_Area" localSheetId="0">'feladatos Önk. '!$A$1:$N$56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F54" i="1"/>
  <c r="F56" i="1" s="1"/>
  <c r="N53" i="1"/>
  <c r="G53" i="1"/>
  <c r="I52" i="1"/>
  <c r="N52" i="1" s="1"/>
  <c r="B52" i="1"/>
  <c r="G52" i="1" s="1"/>
  <c r="I51" i="1"/>
  <c r="N51" i="1" s="1"/>
  <c r="G51" i="1"/>
  <c r="N50" i="1"/>
  <c r="J50" i="1"/>
  <c r="G50" i="1"/>
  <c r="I49" i="1"/>
  <c r="N49" i="1" s="1"/>
  <c r="B49" i="1"/>
  <c r="G49" i="1" s="1"/>
  <c r="N48" i="1"/>
  <c r="G48" i="1"/>
  <c r="J47" i="1"/>
  <c r="I47" i="1"/>
  <c r="N47" i="1" s="1"/>
  <c r="G47" i="1"/>
  <c r="B47" i="1"/>
  <c r="N46" i="1"/>
  <c r="J46" i="1"/>
  <c r="I46" i="1"/>
  <c r="C46" i="1"/>
  <c r="G46" i="1" s="1"/>
  <c r="J45" i="1"/>
  <c r="N45" i="1" s="1"/>
  <c r="I45" i="1"/>
  <c r="G45" i="1"/>
  <c r="B45" i="1"/>
  <c r="N44" i="1"/>
  <c r="G44" i="1"/>
  <c r="N43" i="1"/>
  <c r="G43" i="1"/>
  <c r="J42" i="1"/>
  <c r="I42" i="1"/>
  <c r="N42" i="1" s="1"/>
  <c r="C42" i="1"/>
  <c r="B42" i="1"/>
  <c r="G42" i="1" s="1"/>
  <c r="N41" i="1"/>
  <c r="I41" i="1"/>
  <c r="G41" i="1"/>
  <c r="J40" i="1"/>
  <c r="I40" i="1"/>
  <c r="N40" i="1" s="1"/>
  <c r="G40" i="1"/>
  <c r="I39" i="1"/>
  <c r="N39" i="1" s="1"/>
  <c r="G39" i="1"/>
  <c r="I38" i="1"/>
  <c r="N38" i="1" s="1"/>
  <c r="G38" i="1"/>
  <c r="B38" i="1"/>
  <c r="I37" i="1"/>
  <c r="N37" i="1" s="1"/>
  <c r="G37" i="1"/>
  <c r="B37" i="1"/>
  <c r="I36" i="1"/>
  <c r="N36" i="1" s="1"/>
  <c r="G36" i="1"/>
  <c r="B36" i="1"/>
  <c r="J35" i="1"/>
  <c r="I35" i="1"/>
  <c r="N35" i="1" s="1"/>
  <c r="G35" i="1"/>
  <c r="C35" i="1"/>
  <c r="N34" i="1"/>
  <c r="G34" i="1"/>
  <c r="N33" i="1"/>
  <c r="F33" i="1"/>
  <c r="G33" i="1" s="1"/>
  <c r="N32" i="1"/>
  <c r="L32" i="1"/>
  <c r="I32" i="1"/>
  <c r="E32" i="1"/>
  <c r="G32" i="1" s="1"/>
  <c r="C31" i="1"/>
  <c r="G31" i="1" s="1"/>
  <c r="I30" i="1"/>
  <c r="N30" i="1" s="1"/>
  <c r="B30" i="1"/>
  <c r="G30" i="1" s="1"/>
  <c r="G28" i="1" s="1"/>
  <c r="N29" i="1"/>
  <c r="G29" i="1"/>
  <c r="B29" i="1"/>
  <c r="M28" i="1"/>
  <c r="M54" i="1" s="1"/>
  <c r="M56" i="1" s="1"/>
  <c r="L28" i="1"/>
  <c r="L54" i="1" s="1"/>
  <c r="L56" i="1" s="1"/>
  <c r="K28" i="1"/>
  <c r="J28" i="1"/>
  <c r="F28" i="1"/>
  <c r="E28" i="1"/>
  <c r="E54" i="1" s="1"/>
  <c r="E56" i="1" s="1"/>
  <c r="D28" i="1"/>
  <c r="C28" i="1"/>
  <c r="B28" i="1"/>
  <c r="J27" i="1"/>
  <c r="I27" i="1"/>
  <c r="N27" i="1" s="1"/>
  <c r="B27" i="1"/>
  <c r="G27" i="1" s="1"/>
  <c r="I26" i="1"/>
  <c r="N26" i="1" s="1"/>
  <c r="G26" i="1"/>
  <c r="N25" i="1"/>
  <c r="G25" i="1"/>
  <c r="N24" i="1"/>
  <c r="J24" i="1"/>
  <c r="I24" i="1"/>
  <c r="B24" i="1"/>
  <c r="G24" i="1" s="1"/>
  <c r="N23" i="1"/>
  <c r="G23" i="1"/>
  <c r="D23" i="1"/>
  <c r="N22" i="1"/>
  <c r="D22" i="1"/>
  <c r="G22" i="1" s="1"/>
  <c r="I21" i="1"/>
  <c r="N21" i="1" s="1"/>
  <c r="D21" i="1"/>
  <c r="G21" i="1" s="1"/>
  <c r="K20" i="1"/>
  <c r="K54" i="1" s="1"/>
  <c r="K56" i="1" s="1"/>
  <c r="D20" i="1"/>
  <c r="D54" i="1" s="1"/>
  <c r="D56" i="1" s="1"/>
  <c r="C20" i="1"/>
  <c r="B20" i="1"/>
  <c r="B54" i="1" s="1"/>
  <c r="B56" i="1" s="1"/>
  <c r="I19" i="1"/>
  <c r="N19" i="1" s="1"/>
  <c r="G19" i="1"/>
  <c r="N18" i="1"/>
  <c r="I18" i="1"/>
  <c r="G18" i="1"/>
  <c r="B18" i="1"/>
  <c r="N17" i="1"/>
  <c r="I17" i="1"/>
  <c r="G17" i="1"/>
  <c r="I16" i="1"/>
  <c r="N16" i="1" s="1"/>
  <c r="G16" i="1"/>
  <c r="B16" i="1"/>
  <c r="J15" i="1"/>
  <c r="I15" i="1"/>
  <c r="N15" i="1" s="1"/>
  <c r="G15" i="1"/>
  <c r="C15" i="1"/>
  <c r="N14" i="1"/>
  <c r="I14" i="1"/>
  <c r="G14" i="1"/>
  <c r="B14" i="1"/>
  <c r="N13" i="1"/>
  <c r="H13" i="1"/>
  <c r="H54" i="1" s="1"/>
  <c r="H56" i="1" s="1"/>
  <c r="G13" i="1"/>
  <c r="N12" i="1"/>
  <c r="G12" i="1"/>
  <c r="C12" i="1"/>
  <c r="C54" i="1" s="1"/>
  <c r="C56" i="1" s="1"/>
  <c r="N11" i="1"/>
  <c r="G11" i="1"/>
  <c r="N10" i="1"/>
  <c r="I10" i="1"/>
  <c r="G10" i="1"/>
  <c r="J9" i="1"/>
  <c r="J54" i="1" s="1"/>
  <c r="J56" i="1" s="1"/>
  <c r="G9" i="1"/>
  <c r="B9" i="1"/>
  <c r="I54" i="1" l="1"/>
  <c r="I56" i="1" s="1"/>
  <c r="G20" i="1"/>
  <c r="G54" i="1" s="1"/>
  <c r="G56" i="1" s="1"/>
  <c r="N9" i="1"/>
  <c r="N54" i="1" s="1"/>
  <c r="N20" i="1"/>
  <c r="I28" i="1"/>
  <c r="N28" i="1" s="1"/>
  <c r="N56" i="1" l="1"/>
  <c r="O54" i="1"/>
</calcChain>
</file>

<file path=xl/sharedStrings.xml><?xml version="1.0" encoding="utf-8"?>
<sst xmlns="http://schemas.openxmlformats.org/spreadsheetml/2006/main" count="75" uniqueCount="71">
  <si>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</si>
  <si>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</si>
  <si>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</si>
  <si>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</si>
  <si>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</si>
  <si>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</si>
  <si>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</si>
  <si>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</si>
  <si>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</si>
  <si>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</si>
  <si>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</si>
  <si>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</si>
  <si>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</si>
  <si>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</si>
  <si>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</si>
  <si>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</si>
  <si>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</si>
  <si>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</si>
  <si>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</si>
  <si>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</si>
  <si>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</si>
  <si>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</si>
  <si>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</si>
  <si>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</si>
  <si>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</si>
  <si>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</si>
  <si>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</si>
  <si>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Gyermekvédelmi pénzbeli és természetbeni ellátások</t>
  </si>
  <si>
    <t>Növénytermesztés, állattenyésztés</t>
  </si>
  <si>
    <t>Közutak, hidak üzemeltetése, fenntartása</t>
  </si>
  <si>
    <t>Lakóingatlan bérbeadása, üzemeltetése</t>
  </si>
  <si>
    <t>Egyéb kiadói tevékenység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</si>
  <si>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</si>
  <si>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</si>
  <si>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</si>
  <si>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</si>
  <si>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</si>
  <si>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</si>
  <si>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</si>
  <si>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</si>
  <si>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</si>
  <si>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</si>
  <si>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</si>
  <si>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</si>
  <si>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</si>
  <si>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</si>
  <si>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</si>
  <si>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</si>
  <si>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</si>
  <si>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</si>
  <si>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Család és nővédelmi gondozás</t>
  </si>
  <si>
    <t>Ifjúság-egészségügyi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</si>
  <si>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</si>
  <si>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</si>
  <si>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</si>
  <si>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</si>
  <si>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Fiatalok társadalmi integrációjának segítése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</si>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</sst>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sz val="10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7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/>
    <xf numFmtId="3" fontId="18" fillId="0" borderId="4" xfId="1" applyNumberFormat="1" applyFont="1" applyBorder="1"/>
    <xf numFmtId="0" fontId="19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7" fillId="0" borderId="24" xfId="1" applyNumberFormat="1" applyFont="1" applyBorder="1"/>
    <xf numFmtId="3" fontId="18" fillId="0" borderId="23" xfId="1" applyNumberFormat="1" applyFont="1" applyBorder="1"/>
    <xf numFmtId="3" fontId="16" fillId="0" borderId="24" xfId="1" applyNumberFormat="1" applyFont="1" applyBorder="1"/>
    <xf numFmtId="3" fontId="14" fillId="0" borderId="0" xfId="1" applyNumberFormat="1" applyFont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7" fillId="0" borderId="21" xfId="1" applyNumberFormat="1" applyFont="1" applyBorder="1"/>
    <xf numFmtId="3" fontId="20" fillId="0" borderId="22" xfId="1" applyNumberFormat="1" applyFont="1" applyBorder="1"/>
    <xf numFmtId="3" fontId="21" fillId="0" borderId="10" xfId="1" applyNumberFormat="1" applyFont="1" applyBorder="1"/>
    <xf numFmtId="0" fontId="22" fillId="0" borderId="0" xfId="1" applyFont="1"/>
    <xf numFmtId="3" fontId="20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49" fontId="20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3" fillId="0" borderId="20" xfId="1" applyFont="1" applyBorder="1"/>
    <xf numFmtId="0" fontId="16" fillId="0" borderId="26" xfId="1" applyFont="1" applyBorder="1"/>
    <xf numFmtId="3" fontId="17" fillId="0" borderId="27" xfId="1" applyNumberFormat="1" applyFont="1" applyBorder="1"/>
    <xf numFmtId="3" fontId="16" fillId="0" borderId="8" xfId="1" applyNumberFormat="1" applyFont="1" applyBorder="1"/>
    <xf numFmtId="3" fontId="20" fillId="0" borderId="8" xfId="1" applyNumberFormat="1" applyFont="1" applyBorder="1"/>
    <xf numFmtId="3" fontId="18" fillId="0" borderId="9" xfId="1" applyNumberFormat="1" applyFont="1" applyBorder="1"/>
    <xf numFmtId="3" fontId="17" fillId="0" borderId="7" xfId="1" applyNumberFormat="1" applyFont="1" applyBorder="1"/>
    <xf numFmtId="3" fontId="8" fillId="0" borderId="26" xfId="1" applyNumberFormat="1" applyFont="1" applyBorder="1"/>
    <xf numFmtId="3" fontId="17" fillId="0" borderId="22" xfId="1" applyNumberFormat="1" applyFont="1" applyBorder="1"/>
    <xf numFmtId="3" fontId="16" fillId="0" borderId="27" xfId="1" applyNumberFormat="1" applyFont="1" applyBorder="1"/>
    <xf numFmtId="3" fontId="17" fillId="0" borderId="8" xfId="1" applyNumberFormat="1" applyFont="1" applyBorder="1"/>
    <xf numFmtId="3" fontId="24" fillId="0" borderId="10" xfId="1" applyNumberFormat="1" applyFont="1" applyBorder="1"/>
    <xf numFmtId="3" fontId="16" fillId="0" borderId="7" xfId="1" applyNumberFormat="1" applyFont="1" applyBorder="1"/>
    <xf numFmtId="3" fontId="25" fillId="0" borderId="10" xfId="1" applyNumberFormat="1" applyFont="1" applyBorder="1"/>
    <xf numFmtId="0" fontId="16" fillId="0" borderId="10" xfId="1" applyFont="1" applyBorder="1"/>
    <xf numFmtId="0" fontId="14" fillId="0" borderId="1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5" fillId="0" borderId="23" xfId="1" applyNumberFormat="1" applyFont="1" applyBorder="1"/>
    <xf numFmtId="0" fontId="14" fillId="0" borderId="28" xfId="1" applyFont="1" applyBorder="1"/>
    <xf numFmtId="3" fontId="14" fillId="0" borderId="29" xfId="1" applyNumberFormat="1" applyFont="1" applyBorder="1"/>
    <xf numFmtId="3" fontId="14" fillId="0" borderId="30" xfId="1" applyNumberFormat="1" applyFont="1" applyBorder="1"/>
    <xf numFmtId="3" fontId="14" fillId="0" borderId="28" xfId="1" applyNumberFormat="1" applyFont="1" applyBorder="1"/>
    <xf numFmtId="3" fontId="14" fillId="0" borderId="31" xfId="1" applyNumberFormat="1" applyFont="1" applyBorder="1"/>
    <xf numFmtId="0" fontId="26" fillId="0" borderId="0" xfId="1" quotePrefix="1" applyFont="1"/>
    <xf numFmtId="3" fontId="15" fillId="0" borderId="0" xfId="1" applyNumberFormat="1" applyFont="1"/>
    <xf numFmtId="3" fontId="8" fillId="0" borderId="0" xfId="1" applyNumberFormat="1" applyFont="1"/>
    <xf numFmtId="3" fontId="26" fillId="0" borderId="0" xfId="1" applyNumberFormat="1" applyFont="1"/>
    <xf numFmtId="3" fontId="27" fillId="0" borderId="0" xfId="1" applyNumberFormat="1" applyFont="1"/>
  </cellXfs>
  <cellStyles count="2">
    <cellStyle name="Normál" xfId="0" builtinId="0"/>
    <cellStyle name="Normál_Göngyölített 12.13 2 2" xfId="1" xr:uid="{715EEFF0-CBBC-4413-ADCE-682BF9B59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50DD-D8FC-418D-97C5-8F22F3B7C2DB}">
  <sheetPr codeName="Munka31"/>
  <dimension ref="A1:GL63"/>
  <sheetViews>
    <sheetView tabSelected="1" view="pageLayout" zoomScale="85" zoomScaleNormal="100" zoomScalePageLayoutView="85" workbookViewId="0">
      <selection activeCell="O4" sqref="O4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 x14ac:dyDescent="0.3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 x14ac:dyDescent="0.35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 x14ac:dyDescent="0.2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 x14ac:dyDescent="0.2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 x14ac:dyDescent="0.25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 x14ac:dyDescent="0.2">
      <c r="A9" s="35" t="s">
        <v>23</v>
      </c>
      <c r="B9" s="36">
        <f>2900000-1000000</f>
        <v>1900000</v>
      </c>
      <c r="C9" s="37"/>
      <c r="D9" s="38"/>
      <c r="E9" s="37"/>
      <c r="F9" s="37"/>
      <c r="G9" s="39">
        <f>SUM(B9:F9)</f>
        <v>1900000</v>
      </c>
      <c r="H9" s="40"/>
      <c r="I9" s="41"/>
      <c r="J9" s="37">
        <f>359410+592500+159975</f>
        <v>1111885</v>
      </c>
      <c r="K9" s="42"/>
      <c r="L9" s="37"/>
      <c r="M9" s="37"/>
      <c r="N9" s="43">
        <f t="shared" ref="N9:N53" si="0">SUM(I9:M9)</f>
        <v>1111885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 x14ac:dyDescent="0.2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f>13447475-3300000</f>
        <v>10147475</v>
      </c>
      <c r="J10" s="47"/>
      <c r="K10" s="47"/>
      <c r="L10" s="47"/>
      <c r="M10" s="47"/>
      <c r="N10" s="51">
        <f t="shared" si="0"/>
        <v>10147475</v>
      </c>
    </row>
    <row r="11" spans="1:194" x14ac:dyDescent="0.2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2">
        <v>835000</v>
      </c>
      <c r="J11" s="47"/>
      <c r="K11" s="47"/>
      <c r="L11" s="47"/>
      <c r="M11" s="47"/>
      <c r="N11" s="51">
        <f t="shared" si="0"/>
        <v>835000</v>
      </c>
    </row>
    <row r="12" spans="1:194" x14ac:dyDescent="0.2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3"/>
      <c r="I12" s="52">
        <v>50000</v>
      </c>
      <c r="J12" s="47">
        <v>2345001</v>
      </c>
      <c r="K12" s="47"/>
      <c r="L12" s="47"/>
      <c r="M12" s="47"/>
      <c r="N12" s="51">
        <f t="shared" si="0"/>
        <v>2395001</v>
      </c>
    </row>
    <row r="13" spans="1:194" x14ac:dyDescent="0.2">
      <c r="A13" s="45" t="s">
        <v>27</v>
      </c>
      <c r="B13" s="46"/>
      <c r="C13" s="47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2">
        <v>24050000</v>
      </c>
      <c r="J13" s="47"/>
      <c r="K13" s="47"/>
      <c r="L13" s="47"/>
      <c r="M13" s="47"/>
      <c r="N13" s="51">
        <f t="shared" si="0"/>
        <v>24050000</v>
      </c>
    </row>
    <row r="14" spans="1:194" x14ac:dyDescent="0.2">
      <c r="A14" s="55" t="s">
        <v>28</v>
      </c>
      <c r="B14" s="56">
        <f>19342000+1040220-3283000</f>
        <v>17099220</v>
      </c>
      <c r="C14" s="57"/>
      <c r="D14" s="47"/>
      <c r="E14" s="57"/>
      <c r="F14" s="57"/>
      <c r="G14" s="51">
        <f t="shared" si="1"/>
        <v>17099220</v>
      </c>
      <c r="H14" s="49"/>
      <c r="I14" s="52">
        <f>16099000+50000-50000+764+38100</f>
        <v>16137864</v>
      </c>
      <c r="J14" s="47"/>
      <c r="K14" s="57"/>
      <c r="L14" s="57"/>
      <c r="M14" s="57"/>
      <c r="N14" s="51">
        <f t="shared" si="0"/>
        <v>16137864</v>
      </c>
    </row>
    <row r="15" spans="1:194" x14ac:dyDescent="0.2">
      <c r="A15" s="45" t="s">
        <v>29</v>
      </c>
      <c r="B15" s="46"/>
      <c r="C15" s="47">
        <f>19431000-19431000</f>
        <v>0</v>
      </c>
      <c r="D15" s="47"/>
      <c r="E15" s="47"/>
      <c r="F15" s="47"/>
      <c r="G15" s="48">
        <f t="shared" si="1"/>
        <v>0</v>
      </c>
      <c r="H15" s="49"/>
      <c r="I15" s="50">
        <f>12484218-1724410-465591+80000-3300000</f>
        <v>7074217</v>
      </c>
      <c r="J15" s="47">
        <f>1881000+2678898+723303</f>
        <v>5283201</v>
      </c>
      <c r="K15" s="47"/>
      <c r="L15" s="47"/>
      <c r="M15" s="47"/>
      <c r="N15" s="51">
        <f t="shared" si="0"/>
        <v>12357418</v>
      </c>
    </row>
    <row r="16" spans="1:194" x14ac:dyDescent="0.2">
      <c r="A16" s="45" t="s">
        <v>30</v>
      </c>
      <c r="B16" s="46">
        <f>481000+180000</f>
        <v>661000</v>
      </c>
      <c r="C16" s="47"/>
      <c r="D16" s="47"/>
      <c r="E16" s="47"/>
      <c r="F16" s="47"/>
      <c r="G16" s="48">
        <f t="shared" si="1"/>
        <v>661000</v>
      </c>
      <c r="H16" s="49"/>
      <c r="I16" s="52">
        <f>2456000+115748-115748</f>
        <v>2456000</v>
      </c>
      <c r="J16" s="47"/>
      <c r="K16" s="47"/>
      <c r="L16" s="47"/>
      <c r="M16" s="47"/>
      <c r="N16" s="51">
        <f t="shared" si="0"/>
        <v>2456000</v>
      </c>
    </row>
    <row r="17" spans="1:14" s="59" customFormat="1" x14ac:dyDescent="0.2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58"/>
      <c r="I17" s="52">
        <f>421346+73948+614933+56032+27000</f>
        <v>1193259</v>
      </c>
      <c r="J17" s="47"/>
      <c r="K17" s="47"/>
      <c r="L17" s="47"/>
      <c r="M17" s="47"/>
      <c r="N17" s="51">
        <f t="shared" si="0"/>
        <v>1193259</v>
      </c>
    </row>
    <row r="18" spans="1:14" x14ac:dyDescent="0.2">
      <c r="A18" s="45" t="s">
        <v>32</v>
      </c>
      <c r="B18" s="60">
        <f>63500</f>
        <v>63500</v>
      </c>
      <c r="C18" s="57"/>
      <c r="D18" s="57"/>
      <c r="E18" s="57"/>
      <c r="F18" s="57"/>
      <c r="G18" s="51">
        <f t="shared" si="1"/>
        <v>63500</v>
      </c>
      <c r="H18" s="61"/>
      <c r="I18" s="50">
        <f>34373231+1095900+213701-198000-34749+70000+23800+4650-232749+12000+2331-58577-972+59549+2452756+662244-232749+5000+1151+885-4500000-990000</f>
        <v>32729402</v>
      </c>
      <c r="J18" s="47"/>
      <c r="K18" s="57"/>
      <c r="L18" s="57"/>
      <c r="M18" s="57"/>
      <c r="N18" s="51">
        <f t="shared" si="0"/>
        <v>32729402</v>
      </c>
    </row>
    <row r="19" spans="1:14" x14ac:dyDescent="0.2">
      <c r="A19" s="55" t="s">
        <v>33</v>
      </c>
      <c r="B19" s="60"/>
      <c r="C19" s="57"/>
      <c r="D19" s="57"/>
      <c r="E19" s="57"/>
      <c r="F19" s="57"/>
      <c r="G19" s="51">
        <f t="shared" si="1"/>
        <v>0</v>
      </c>
      <c r="H19" s="61"/>
      <c r="I19" s="52">
        <f>17856849+1016000+498000-216000+150000</f>
        <v>19304849</v>
      </c>
      <c r="J19" s="57"/>
      <c r="K19" s="57"/>
      <c r="L19" s="57"/>
      <c r="M19" s="57"/>
      <c r="N19" s="51">
        <f t="shared" si="0"/>
        <v>19304849</v>
      </c>
    </row>
    <row r="20" spans="1:14" x14ac:dyDescent="0.2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396208000</v>
      </c>
      <c r="E20" s="47"/>
      <c r="F20" s="47"/>
      <c r="G20" s="51">
        <f>SUM(G21:G23)</f>
        <v>396208000</v>
      </c>
      <c r="H20" s="61"/>
      <c r="I20" s="62"/>
      <c r="J20" s="57"/>
      <c r="K20" s="57">
        <f>SUM(K21:K23)</f>
        <v>0</v>
      </c>
      <c r="L20" s="57"/>
      <c r="M20" s="57"/>
      <c r="N20" s="51">
        <f t="shared" si="0"/>
        <v>0</v>
      </c>
    </row>
    <row r="21" spans="1:14" x14ac:dyDescent="0.2">
      <c r="A21" s="63" t="s">
        <v>35</v>
      </c>
      <c r="B21" s="46"/>
      <c r="C21" s="57"/>
      <c r="D21" s="56">
        <f>308658000+3500000+52000000+55000000-4000000-1600000-48500000</f>
        <v>365058000</v>
      </c>
      <c r="E21" s="57"/>
      <c r="F21" s="57"/>
      <c r="G21" s="64">
        <f t="shared" ref="G21:G27" si="2">SUM(B21:F21)</f>
        <v>365058000</v>
      </c>
      <c r="H21" s="61"/>
      <c r="I21" s="62">
        <f>6050+4000</f>
        <v>10050</v>
      </c>
      <c r="J21" s="57"/>
      <c r="K21" s="57"/>
      <c r="L21" s="57"/>
      <c r="M21" s="57"/>
      <c r="N21" s="65">
        <f t="shared" si="0"/>
        <v>10050</v>
      </c>
    </row>
    <row r="22" spans="1:14" x14ac:dyDescent="0.2">
      <c r="A22" s="63" t="s">
        <v>36</v>
      </c>
      <c r="B22" s="46"/>
      <c r="C22" s="57"/>
      <c r="D22" s="56">
        <f>28000000+3000000-950000</f>
        <v>30050000</v>
      </c>
      <c r="E22" s="57"/>
      <c r="F22" s="57"/>
      <c r="G22" s="64">
        <f t="shared" si="2"/>
        <v>30050000</v>
      </c>
      <c r="H22" s="61"/>
      <c r="I22" s="62"/>
      <c r="J22" s="57"/>
      <c r="K22" s="57"/>
      <c r="L22" s="57"/>
      <c r="M22" s="57"/>
      <c r="N22" s="65">
        <f t="shared" si="0"/>
        <v>0</v>
      </c>
    </row>
    <row r="23" spans="1:14" x14ac:dyDescent="0.2">
      <c r="A23" s="63" t="s">
        <v>37</v>
      </c>
      <c r="B23" s="46"/>
      <c r="C23" s="57"/>
      <c r="D23" s="56">
        <f>5500000-900000-1500000-2000000</f>
        <v>1100000</v>
      </c>
      <c r="E23" s="57"/>
      <c r="F23" s="57"/>
      <c r="G23" s="64">
        <f t="shared" si="2"/>
        <v>1100000</v>
      </c>
      <c r="H23" s="61"/>
      <c r="I23" s="62"/>
      <c r="J23" s="57"/>
      <c r="K23" s="57"/>
      <c r="L23" s="57"/>
      <c r="M23" s="57"/>
      <c r="N23" s="65">
        <f t="shared" si="0"/>
        <v>0</v>
      </c>
    </row>
    <row r="24" spans="1:14" x14ac:dyDescent="0.2">
      <c r="A24" s="66" t="s">
        <v>38</v>
      </c>
      <c r="B24" s="60">
        <f>15000-15000</f>
        <v>0</v>
      </c>
      <c r="C24" s="57"/>
      <c r="D24" s="57"/>
      <c r="E24" s="57"/>
      <c r="F24" s="57"/>
      <c r="G24" s="64">
        <f t="shared" si="2"/>
        <v>0</v>
      </c>
      <c r="H24" s="61"/>
      <c r="I24" s="52">
        <f>34200000-15200000+862563+168200-862563-168200</f>
        <v>19000000</v>
      </c>
      <c r="J24" s="47">
        <f>1120000+302400+4969510</f>
        <v>6391910</v>
      </c>
      <c r="K24" s="57"/>
      <c r="L24" s="57"/>
      <c r="M24" s="57"/>
      <c r="N24" s="51">
        <f t="shared" si="0"/>
        <v>25391910</v>
      </c>
    </row>
    <row r="25" spans="1:14" x14ac:dyDescent="0.2">
      <c r="A25" s="45" t="s">
        <v>39</v>
      </c>
      <c r="B25" s="60"/>
      <c r="C25" s="57"/>
      <c r="D25" s="57"/>
      <c r="E25" s="57"/>
      <c r="F25" s="57"/>
      <c r="G25" s="51">
        <f t="shared" si="2"/>
        <v>0</v>
      </c>
      <c r="H25" s="61"/>
      <c r="I25" s="52"/>
      <c r="J25" s="57"/>
      <c r="K25" s="57"/>
      <c r="L25" s="57"/>
      <c r="M25" s="57"/>
      <c r="N25" s="51">
        <f t="shared" si="0"/>
        <v>0</v>
      </c>
    </row>
    <row r="26" spans="1:14" x14ac:dyDescent="0.2">
      <c r="A26" s="45" t="s">
        <v>40</v>
      </c>
      <c r="B26" s="60"/>
      <c r="C26" s="57"/>
      <c r="D26" s="57"/>
      <c r="E26" s="57"/>
      <c r="F26" s="57"/>
      <c r="G26" s="51">
        <f t="shared" si="2"/>
        <v>0</v>
      </c>
      <c r="H26" s="61"/>
      <c r="I26" s="50">
        <f>34163000-6750000-2200000</f>
        <v>25213000</v>
      </c>
      <c r="J26" s="57">
        <v>1500000</v>
      </c>
      <c r="K26" s="57"/>
      <c r="L26" s="57"/>
      <c r="M26" s="57"/>
      <c r="N26" s="51">
        <f t="shared" si="0"/>
        <v>26713000</v>
      </c>
    </row>
    <row r="27" spans="1:14" ht="13.5" customHeight="1" x14ac:dyDescent="0.2">
      <c r="A27" s="67" t="s">
        <v>41</v>
      </c>
      <c r="B27" s="68">
        <f>4320000+1400000+378000+60000+300000+1978928+3223528+1452268+723064+195228-1534128-1000000-1100000-1400000-370000</f>
        <v>8626888</v>
      </c>
      <c r="C27" s="69"/>
      <c r="D27" s="69">
        <v>7000000</v>
      </c>
      <c r="E27" s="70"/>
      <c r="F27" s="69"/>
      <c r="G27" s="71">
        <f t="shared" si="2"/>
        <v>15626888</v>
      </c>
      <c r="H27" s="61"/>
      <c r="I27" s="72">
        <f>16116992+2940000+50473064+52959801+61811+78740+37949+50000+13500+45720+1656000+322928+64000-277000-74000+277000+54015+277000-277000+8661630-3392000-318287+95890-1656000+1656000+315000+85050+20000+4602+3540+2000-2000+723064+195228-1220000-14100000-2400000-5000000-1000000+686000-686000</f>
        <v>107474237</v>
      </c>
      <c r="J27" s="69">
        <f>3139585+216535+58465+360000+97200+510000</f>
        <v>4381785</v>
      </c>
      <c r="K27" s="69"/>
      <c r="L27" s="70"/>
      <c r="M27" s="70"/>
      <c r="N27" s="71">
        <f t="shared" si="0"/>
        <v>111856022</v>
      </c>
    </row>
    <row r="28" spans="1:14" x14ac:dyDescent="0.2">
      <c r="A28" s="45" t="s">
        <v>42</v>
      </c>
      <c r="B28" s="46">
        <f t="shared" ref="B28:G28" si="3">SUM(B29:B31)</f>
        <v>1369053269</v>
      </c>
      <c r="C28" s="46">
        <f t="shared" si="3"/>
        <v>19753000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51">
        <f t="shared" si="3"/>
        <v>1388806269</v>
      </c>
      <c r="H28" s="73"/>
      <c r="I28" s="62">
        <f>SUM(I29:I30)</f>
        <v>43498589</v>
      </c>
      <c r="J28" s="62">
        <f>SUM(J29:J30)</f>
        <v>0</v>
      </c>
      <c r="K28" s="62">
        <f>SUM(K29:K30)</f>
        <v>0</v>
      </c>
      <c r="L28" s="62">
        <f>SUM(L29:L30)</f>
        <v>0</v>
      </c>
      <c r="M28" s="62">
        <f>SUM(M29:M30)</f>
        <v>0</v>
      </c>
      <c r="N28" s="51">
        <f t="shared" si="0"/>
        <v>43498589</v>
      </c>
    </row>
    <row r="29" spans="1:14" x14ac:dyDescent="0.2">
      <c r="A29" s="63" t="s">
        <v>43</v>
      </c>
      <c r="B29" s="56">
        <f>227855923+224734134+126991000+65060600+119410000+192410145+62092600+16122040+12622000+735168+7543000+2268933+7392600+8618094-430767-5657410+534048+4090477+341876-1187132-397621-534048-498097-298022-715086</f>
        <v>1069104455</v>
      </c>
      <c r="C29" s="47"/>
      <c r="D29" s="57"/>
      <c r="E29" s="57"/>
      <c r="F29" s="57"/>
      <c r="G29" s="65">
        <f t="shared" ref="G29:G53" si="4">SUM(B29:F29)</f>
        <v>1069104455</v>
      </c>
      <c r="H29" s="61"/>
      <c r="I29" s="52">
        <v>3869819</v>
      </c>
      <c r="J29" s="57"/>
      <c r="K29" s="57"/>
      <c r="L29" s="57"/>
      <c r="M29" s="57"/>
      <c r="N29" s="65">
        <f t="shared" si="0"/>
        <v>3869819</v>
      </c>
    </row>
    <row r="30" spans="1:14" x14ac:dyDescent="0.2">
      <c r="A30" s="63" t="s">
        <v>44</v>
      </c>
      <c r="B30" s="56">
        <f>16254886+63796813+190231327+125887110+24250000+1309600+1013108+1398336+534048-534048+9672244+305691-5914790-538657-2000000-1002120-15000000+7332000-58000000+6500000+41904332+6778141-114229207</f>
        <v>299948814</v>
      </c>
      <c r="C30" s="47"/>
      <c r="D30" s="47"/>
      <c r="E30" s="57"/>
      <c r="F30" s="57"/>
      <c r="G30" s="64">
        <f t="shared" si="4"/>
        <v>299948814</v>
      </c>
      <c r="H30" s="61"/>
      <c r="I30" s="52">
        <f>38267591+1202179+159000</f>
        <v>39628770</v>
      </c>
      <c r="J30" s="57"/>
      <c r="K30" s="57"/>
      <c r="L30" s="57"/>
      <c r="M30" s="57"/>
      <c r="N30" s="51">
        <f t="shared" si="0"/>
        <v>39628770</v>
      </c>
    </row>
    <row r="31" spans="1:14" x14ac:dyDescent="0.2">
      <c r="A31" s="63" t="s">
        <v>45</v>
      </c>
      <c r="B31" s="46"/>
      <c r="C31" s="47">
        <f>322000+19431000</f>
        <v>19753000</v>
      </c>
      <c r="D31" s="47"/>
      <c r="E31" s="57"/>
      <c r="F31" s="57"/>
      <c r="G31" s="64">
        <f t="shared" si="4"/>
        <v>19753000</v>
      </c>
      <c r="H31" s="61"/>
      <c r="I31" s="52"/>
      <c r="J31" s="57"/>
      <c r="K31" s="57"/>
      <c r="L31" s="57"/>
      <c r="M31" s="57"/>
      <c r="N31" s="51"/>
    </row>
    <row r="32" spans="1:14" x14ac:dyDescent="0.2">
      <c r="A32" s="45" t="s">
        <v>46</v>
      </c>
      <c r="B32" s="46">
        <v>30000</v>
      </c>
      <c r="C32" s="47"/>
      <c r="D32" s="47"/>
      <c r="E32" s="47">
        <f>193478462+25000000-315732-5819140</f>
        <v>212343590</v>
      </c>
      <c r="F32" s="47"/>
      <c r="G32" s="48">
        <f t="shared" si="4"/>
        <v>212373590</v>
      </c>
      <c r="H32" s="49"/>
      <c r="I32" s="50">
        <f>3285067+156511+9000000+500000-2750000</f>
        <v>10191578</v>
      </c>
      <c r="J32" s="47"/>
      <c r="K32" s="47"/>
      <c r="L32" s="47">
        <f>104042704+4444000</f>
        <v>108486704</v>
      </c>
      <c r="M32" s="74">
        <v>91990058</v>
      </c>
      <c r="N32" s="51">
        <f t="shared" si="0"/>
        <v>210668340</v>
      </c>
    </row>
    <row r="33" spans="1:15" x14ac:dyDescent="0.2">
      <c r="A33" s="45" t="s">
        <v>47</v>
      </c>
      <c r="B33" s="60"/>
      <c r="C33" s="57"/>
      <c r="D33" s="57"/>
      <c r="E33" s="57"/>
      <c r="F33" s="47">
        <f>569119704+25384054</f>
        <v>594503758</v>
      </c>
      <c r="G33" s="51">
        <f t="shared" si="4"/>
        <v>594503758</v>
      </c>
      <c r="H33" s="61"/>
      <c r="I33" s="52"/>
      <c r="J33" s="47"/>
      <c r="K33" s="74">
        <v>1313309680</v>
      </c>
      <c r="L33" s="47"/>
      <c r="M33" s="47"/>
      <c r="N33" s="51">
        <f t="shared" si="0"/>
        <v>1313309680</v>
      </c>
    </row>
    <row r="34" spans="1:15" x14ac:dyDescent="0.2">
      <c r="A34" s="45" t="s">
        <v>48</v>
      </c>
      <c r="B34" s="46"/>
      <c r="C34" s="47"/>
      <c r="D34" s="47"/>
      <c r="E34" s="47"/>
      <c r="F34" s="47"/>
      <c r="G34" s="51">
        <f t="shared" si="4"/>
        <v>0</v>
      </c>
      <c r="H34" s="61"/>
      <c r="I34" s="52">
        <v>577000</v>
      </c>
      <c r="J34" s="47"/>
      <c r="K34" s="47"/>
      <c r="L34" s="47"/>
      <c r="M34" s="47"/>
      <c r="N34" s="51">
        <f t="shared" si="0"/>
        <v>577000</v>
      </c>
    </row>
    <row r="35" spans="1:15" x14ac:dyDescent="0.2">
      <c r="A35" s="67" t="s">
        <v>49</v>
      </c>
      <c r="B35" s="75"/>
      <c r="C35" s="76">
        <f>3779393-3779393</f>
        <v>0</v>
      </c>
      <c r="D35" s="69"/>
      <c r="E35" s="69"/>
      <c r="F35" s="69"/>
      <c r="G35" s="51">
        <f t="shared" si="4"/>
        <v>0</v>
      </c>
      <c r="H35" s="61"/>
      <c r="I35" s="72">
        <f>1182990+207615+350000+1874803+200000+655000+14128085+169960+5000-5000-1800000</f>
        <v>16968453</v>
      </c>
      <c r="J35" s="69">
        <f>33894811+20930495+628000+169560-169560</f>
        <v>55453306</v>
      </c>
      <c r="K35" s="69"/>
      <c r="L35" s="69"/>
      <c r="M35" s="69"/>
      <c r="N35" s="51">
        <f t="shared" si="0"/>
        <v>72421759</v>
      </c>
    </row>
    <row r="36" spans="1:15" s="59" customFormat="1" x14ac:dyDescent="0.2">
      <c r="A36" s="67" t="s">
        <v>50</v>
      </c>
      <c r="B36" s="75">
        <f>11367000-399000-10968000</f>
        <v>0</v>
      </c>
      <c r="C36" s="69"/>
      <c r="D36" s="69"/>
      <c r="E36" s="69"/>
      <c r="F36" s="69"/>
      <c r="G36" s="51">
        <f t="shared" si="4"/>
        <v>0</v>
      </c>
      <c r="H36" s="77"/>
      <c r="I36" s="78">
        <f>9691353+305233+1949335+140000+110236+59844+44883+375591+532000+97636+185810-532000+44000-9691353-305233-1949335-140000-110236-59844-44883-375591-44000-97636-185810</f>
        <v>0</v>
      </c>
      <c r="J36" s="69"/>
      <c r="K36" s="69"/>
      <c r="L36" s="69"/>
      <c r="M36" s="69"/>
      <c r="N36" s="51">
        <f t="shared" si="0"/>
        <v>0</v>
      </c>
    </row>
    <row r="37" spans="1:15" s="59" customFormat="1" x14ac:dyDescent="0.2">
      <c r="A37" s="67" t="s">
        <v>51</v>
      </c>
      <c r="B37" s="75">
        <f>399000-399000</f>
        <v>0</v>
      </c>
      <c r="C37" s="69"/>
      <c r="D37" s="69"/>
      <c r="E37" s="69"/>
      <c r="F37" s="69"/>
      <c r="G37" s="51">
        <f t="shared" si="4"/>
        <v>0</v>
      </c>
      <c r="H37" s="77"/>
      <c r="I37" s="78">
        <f>532000-532000</f>
        <v>0</v>
      </c>
      <c r="J37" s="69"/>
      <c r="K37" s="69"/>
      <c r="L37" s="69"/>
      <c r="M37" s="69"/>
      <c r="N37" s="51">
        <f t="shared" si="0"/>
        <v>0</v>
      </c>
    </row>
    <row r="38" spans="1:15" x14ac:dyDescent="0.2">
      <c r="A38" s="67" t="s">
        <v>52</v>
      </c>
      <c r="B38" s="75">
        <f>15000-15000</f>
        <v>0</v>
      </c>
      <c r="C38" s="69"/>
      <c r="D38" s="69"/>
      <c r="E38" s="69"/>
      <c r="F38" s="69"/>
      <c r="G38" s="51">
        <f t="shared" si="4"/>
        <v>0</v>
      </c>
      <c r="H38" s="61"/>
      <c r="I38" s="78">
        <f>862563+168200-862563-168200</f>
        <v>0</v>
      </c>
      <c r="J38" s="69"/>
      <c r="K38" s="69"/>
      <c r="L38" s="69"/>
      <c r="M38" s="69"/>
      <c r="N38" s="51">
        <f t="shared" si="0"/>
        <v>0</v>
      </c>
    </row>
    <row r="39" spans="1:15" x14ac:dyDescent="0.2">
      <c r="A39" s="67" t="s">
        <v>53</v>
      </c>
      <c r="B39" s="75"/>
      <c r="C39" s="69"/>
      <c r="D39" s="69"/>
      <c r="E39" s="69"/>
      <c r="F39" s="69"/>
      <c r="G39" s="51">
        <f t="shared" si="4"/>
        <v>0</v>
      </c>
      <c r="H39" s="61"/>
      <c r="I39" s="78">
        <f>6187000+118952+153938</f>
        <v>6459890</v>
      </c>
      <c r="J39" s="69">
        <v>377190</v>
      </c>
      <c r="K39" s="69"/>
      <c r="L39" s="69"/>
      <c r="M39" s="69"/>
      <c r="N39" s="51">
        <f t="shared" si="0"/>
        <v>6837080</v>
      </c>
    </row>
    <row r="40" spans="1:15" x14ac:dyDescent="0.2">
      <c r="A40" s="67" t="s">
        <v>54</v>
      </c>
      <c r="B40" s="75">
        <v>947000</v>
      </c>
      <c r="C40" s="69"/>
      <c r="D40" s="69"/>
      <c r="E40" s="69"/>
      <c r="F40" s="69"/>
      <c r="G40" s="51">
        <f t="shared" si="4"/>
        <v>947000</v>
      </c>
      <c r="H40" s="61"/>
      <c r="I40" s="78">
        <f>17042731+5000-5000</f>
        <v>17042731</v>
      </c>
      <c r="J40" s="69">
        <f>2338070-354488-95712</f>
        <v>1887870</v>
      </c>
      <c r="K40" s="69"/>
      <c r="L40" s="69"/>
      <c r="M40" s="69"/>
      <c r="N40" s="51">
        <f t="shared" si="0"/>
        <v>18930601</v>
      </c>
    </row>
    <row r="41" spans="1:15" x14ac:dyDescent="0.2">
      <c r="A41" s="67" t="s">
        <v>55</v>
      </c>
      <c r="B41" s="75">
        <v>600000</v>
      </c>
      <c r="C41" s="69"/>
      <c r="D41" s="69"/>
      <c r="E41" s="69"/>
      <c r="F41" s="69"/>
      <c r="G41" s="51">
        <f t="shared" si="4"/>
        <v>600000</v>
      </c>
      <c r="H41" s="61"/>
      <c r="I41" s="72">
        <f>73660000+660000-660000+69312000-2000000-1016000-282000+2436008-2436008-480000-22000000-1400000</f>
        <v>115794000</v>
      </c>
      <c r="J41" s="69"/>
      <c r="K41" s="69"/>
      <c r="L41" s="69"/>
      <c r="M41" s="69"/>
      <c r="N41" s="51">
        <f t="shared" si="0"/>
        <v>115794000</v>
      </c>
    </row>
    <row r="42" spans="1:15" s="59" customFormat="1" x14ac:dyDescent="0.2">
      <c r="A42" s="67" t="s">
        <v>56</v>
      </c>
      <c r="B42" s="75">
        <f>85531256-85531256+85531256</f>
        <v>85531256</v>
      </c>
      <c r="C42" s="69">
        <f>55505576-55505576+55505576</f>
        <v>55505576</v>
      </c>
      <c r="D42" s="69"/>
      <c r="E42" s="69"/>
      <c r="F42" s="69"/>
      <c r="G42" s="51">
        <f t="shared" si="4"/>
        <v>141036832</v>
      </c>
      <c r="H42" s="79"/>
      <c r="I42" s="78">
        <f>7285433+1278567+6274800+1380456+237552-237552-7285433-1278567-6274800-1380456+7125983+1438017+6274800+1380456+237552-237552</f>
        <v>16219256</v>
      </c>
      <c r="J42" s="69">
        <f>38042908+10123085+5279199+1425384-38042908-10123085-5279199-1425384+38042908+10123085+5279199+1425384</f>
        <v>54870576</v>
      </c>
      <c r="K42" s="69"/>
      <c r="L42" s="69"/>
      <c r="M42" s="69"/>
      <c r="N42" s="51">
        <f t="shared" si="0"/>
        <v>71089832</v>
      </c>
      <c r="O42" s="5"/>
    </row>
    <row r="43" spans="1:15" x14ac:dyDescent="0.2">
      <c r="A43" s="67" t="s">
        <v>57</v>
      </c>
      <c r="B43" s="75"/>
      <c r="C43" s="69"/>
      <c r="D43" s="69"/>
      <c r="E43" s="69"/>
      <c r="F43" s="69"/>
      <c r="G43" s="51">
        <f t="shared" si="4"/>
        <v>0</v>
      </c>
      <c r="H43" s="61"/>
      <c r="I43" s="78">
        <v>3300000</v>
      </c>
      <c r="J43" s="69"/>
      <c r="K43" s="69"/>
      <c r="L43" s="69"/>
      <c r="M43" s="69"/>
      <c r="N43" s="51">
        <f t="shared" si="0"/>
        <v>3300000</v>
      </c>
    </row>
    <row r="44" spans="1:15" x14ac:dyDescent="0.2">
      <c r="A44" s="67" t="s">
        <v>58</v>
      </c>
      <c r="B44" s="75"/>
      <c r="C44" s="69"/>
      <c r="D44" s="69"/>
      <c r="E44" s="69"/>
      <c r="F44" s="69"/>
      <c r="G44" s="51">
        <f t="shared" si="4"/>
        <v>0</v>
      </c>
      <c r="H44" s="61"/>
      <c r="I44" s="78">
        <v>245000</v>
      </c>
      <c r="J44" s="69"/>
      <c r="K44" s="69"/>
      <c r="L44" s="69"/>
      <c r="M44" s="69"/>
      <c r="N44" s="51">
        <f t="shared" si="0"/>
        <v>245000</v>
      </c>
    </row>
    <row r="45" spans="1:15" x14ac:dyDescent="0.2">
      <c r="A45" s="45" t="s">
        <v>59</v>
      </c>
      <c r="B45" s="75">
        <f>1566000+1577143</f>
        <v>3143143</v>
      </c>
      <c r="C45" s="69"/>
      <c r="D45" s="69"/>
      <c r="E45" s="69"/>
      <c r="F45" s="69"/>
      <c r="G45" s="51">
        <f t="shared" si="4"/>
        <v>3143143</v>
      </c>
      <c r="H45" s="61"/>
      <c r="I45" s="78">
        <f>22501218+397000+44100-60000+4500000+50000+40000-32562</f>
        <v>27439756</v>
      </c>
      <c r="J45" s="69">
        <f>65710721+100000-100000+300000</f>
        <v>66010721</v>
      </c>
      <c r="K45" s="69"/>
      <c r="L45" s="69"/>
      <c r="M45" s="69"/>
      <c r="N45" s="51">
        <f t="shared" si="0"/>
        <v>93450477</v>
      </c>
    </row>
    <row r="46" spans="1:15" x14ac:dyDescent="0.2">
      <c r="A46" s="80" t="s">
        <v>60</v>
      </c>
      <c r="B46" s="75"/>
      <c r="C46" s="69">
        <f>5866130+3796748</f>
        <v>9662878</v>
      </c>
      <c r="D46" s="69"/>
      <c r="E46" s="69"/>
      <c r="F46" s="69"/>
      <c r="G46" s="51">
        <f t="shared" si="4"/>
        <v>9662878</v>
      </c>
      <c r="H46" s="61"/>
      <c r="I46" s="78">
        <f>2854500+500965</f>
        <v>3355465</v>
      </c>
      <c r="J46" s="69">
        <f>218246101+144021480+2376540+60000+16200+1111793+36509260+1097083+296212+3150920+850748</f>
        <v>407736337</v>
      </c>
      <c r="K46" s="69"/>
      <c r="L46" s="69"/>
      <c r="M46" s="69"/>
      <c r="N46" s="51">
        <f t="shared" si="0"/>
        <v>411091802</v>
      </c>
    </row>
    <row r="47" spans="1:15" x14ac:dyDescent="0.2">
      <c r="A47" s="45" t="s">
        <v>61</v>
      </c>
      <c r="B47" s="68">
        <f>15340169+5162000+682000+7239600+1954692+2500000+675000+3200000+2300000-6500000-2337000-300000</f>
        <v>29916461</v>
      </c>
      <c r="C47" s="69">
        <v>30332500</v>
      </c>
      <c r="D47" s="69"/>
      <c r="E47" s="69"/>
      <c r="F47" s="69"/>
      <c r="G47" s="51">
        <f t="shared" si="4"/>
        <v>60248961</v>
      </c>
      <c r="H47" s="61"/>
      <c r="I47" s="72">
        <f>52909601-37621053+2500000+675000+127000-34052-1100000-1600000-1250000+5846</f>
        <v>14612342</v>
      </c>
      <c r="J47" s="69">
        <f>762000+27010505+7292837+7239600+1954692-600000-162000+377443+101910+25000000-127000-315732+63500-4051000-1093770+48285-14233-117274+117274</f>
        <v>63487037</v>
      </c>
      <c r="K47" s="69"/>
      <c r="L47" s="69"/>
      <c r="M47" s="69"/>
      <c r="N47" s="51">
        <f t="shared" si="0"/>
        <v>78099379</v>
      </c>
    </row>
    <row r="48" spans="1:15" x14ac:dyDescent="0.2">
      <c r="A48" s="45" t="s">
        <v>62</v>
      </c>
      <c r="B48" s="75"/>
      <c r="C48" s="69"/>
      <c r="D48" s="69"/>
      <c r="E48" s="69"/>
      <c r="F48" s="69"/>
      <c r="G48" s="51">
        <f t="shared" si="4"/>
        <v>0</v>
      </c>
      <c r="H48" s="61"/>
      <c r="I48" s="78">
        <v>60000</v>
      </c>
      <c r="J48" s="69">
        <v>100000</v>
      </c>
      <c r="K48" s="69"/>
      <c r="L48" s="69"/>
      <c r="M48" s="69"/>
      <c r="N48" s="51">
        <f t="shared" si="0"/>
        <v>160000</v>
      </c>
    </row>
    <row r="49" spans="1:15" x14ac:dyDescent="0.2">
      <c r="A49" s="80" t="s">
        <v>63</v>
      </c>
      <c r="B49" s="75">
        <f>381000+508000</f>
        <v>889000</v>
      </c>
      <c r="C49" s="69"/>
      <c r="D49" s="69"/>
      <c r="E49" s="69"/>
      <c r="F49" s="69"/>
      <c r="G49" s="51">
        <f t="shared" si="4"/>
        <v>889000</v>
      </c>
      <c r="H49" s="61"/>
      <c r="I49" s="78">
        <f>49357310+381000+1407675+250000+508000+95000-95000</f>
        <v>51903985</v>
      </c>
      <c r="J49" s="69">
        <v>4950460</v>
      </c>
      <c r="K49" s="69"/>
      <c r="L49" s="69"/>
      <c r="M49" s="69"/>
      <c r="N49" s="51">
        <f t="shared" si="0"/>
        <v>56854445</v>
      </c>
    </row>
    <row r="50" spans="1:15" x14ac:dyDescent="0.2">
      <c r="A50" s="45" t="s">
        <v>64</v>
      </c>
      <c r="B50" s="75"/>
      <c r="C50" s="69"/>
      <c r="D50" s="69"/>
      <c r="E50" s="69"/>
      <c r="F50" s="69"/>
      <c r="G50" s="51">
        <f t="shared" si="4"/>
        <v>0</v>
      </c>
      <c r="H50" s="61"/>
      <c r="I50" s="78">
        <v>3082677</v>
      </c>
      <c r="J50" s="69">
        <f>12873483-159000</f>
        <v>12714483</v>
      </c>
      <c r="K50" s="69"/>
      <c r="L50" s="69"/>
      <c r="M50" s="69"/>
      <c r="N50" s="51">
        <f t="shared" si="0"/>
        <v>15797160</v>
      </c>
    </row>
    <row r="51" spans="1:15" x14ac:dyDescent="0.2">
      <c r="A51" s="67" t="s">
        <v>65</v>
      </c>
      <c r="B51" s="75"/>
      <c r="C51" s="69"/>
      <c r="D51" s="69"/>
      <c r="E51" s="69"/>
      <c r="F51" s="69"/>
      <c r="G51" s="71">
        <f t="shared" si="4"/>
        <v>0</v>
      </c>
      <c r="H51" s="61"/>
      <c r="I51" s="72">
        <f>48545760-3450000-940000</f>
        <v>44155760</v>
      </c>
      <c r="J51" s="69"/>
      <c r="K51" s="69"/>
      <c r="L51" s="69"/>
      <c r="M51" s="69"/>
      <c r="N51" s="51">
        <f t="shared" si="0"/>
        <v>44155760</v>
      </c>
    </row>
    <row r="52" spans="1:15" x14ac:dyDescent="0.2">
      <c r="A52" s="67" t="s">
        <v>66</v>
      </c>
      <c r="B52" s="75">
        <f>80000+80000</f>
        <v>160000</v>
      </c>
      <c r="C52" s="69"/>
      <c r="D52" s="69"/>
      <c r="E52" s="69"/>
      <c r="F52" s="69"/>
      <c r="G52" s="71">
        <f t="shared" si="4"/>
        <v>160000</v>
      </c>
      <c r="H52" s="61"/>
      <c r="I52" s="78">
        <f>300000+3585+4660-6492-1753+17008+47238+12754+17008+20079+20980+11086+4716+6131+26797+7150-33947</f>
        <v>457000</v>
      </c>
      <c r="J52" s="69">
        <v>3000</v>
      </c>
      <c r="K52" s="69"/>
      <c r="L52" s="69"/>
      <c r="M52" s="69"/>
      <c r="N52" s="71">
        <f t="shared" si="0"/>
        <v>460000</v>
      </c>
    </row>
    <row r="53" spans="1:15" ht="13.5" thickBot="1" x14ac:dyDescent="0.25">
      <c r="A53" s="67" t="s">
        <v>67</v>
      </c>
      <c r="B53" s="75"/>
      <c r="C53" s="69"/>
      <c r="D53" s="69"/>
      <c r="E53" s="69"/>
      <c r="F53" s="69"/>
      <c r="G53" s="71">
        <f t="shared" si="4"/>
        <v>0</v>
      </c>
      <c r="H53" s="61"/>
      <c r="I53" s="78">
        <v>500000</v>
      </c>
      <c r="J53" s="69"/>
      <c r="K53" s="69"/>
      <c r="L53" s="69"/>
      <c r="M53" s="69"/>
      <c r="N53" s="71">
        <f t="shared" si="0"/>
        <v>500000</v>
      </c>
    </row>
    <row r="54" spans="1:15" x14ac:dyDescent="0.2">
      <c r="A54" s="81" t="s">
        <v>68</v>
      </c>
      <c r="B54" s="82">
        <f>SUM(B9:B13,B14:B20,B25:B28,B32:B53,B24)</f>
        <v>1518620737</v>
      </c>
      <c r="C54" s="83">
        <f>SUM(C9:C13,C14:C20,C25:C28,C32:C53,C24)</f>
        <v>115253954</v>
      </c>
      <c r="D54" s="83">
        <f>SUM(D9:D13,D14:D20,D25:D28,D32:D53,D24)</f>
        <v>403208000</v>
      </c>
      <c r="E54" s="83">
        <f>SUM(E9:E13,E14:E20,E25:E28,E32:E53,E24)</f>
        <v>212343590</v>
      </c>
      <c r="F54" s="83">
        <f>SUM(F9:F13,F14:F20,F25:F28,F32:F53,F24)</f>
        <v>594503758</v>
      </c>
      <c r="G54" s="83">
        <f>SUM(G9:G13,G14:G20,G24:G28,G32:G40,G41:G53,)</f>
        <v>2843930039</v>
      </c>
      <c r="H54" s="83" t="e">
        <f>SUM(H9:H13,H15:H20,H25:H28,H32:H40,H41:H53)</f>
        <v>#REF!</v>
      </c>
      <c r="I54" s="83">
        <f t="shared" ref="I54:M54" si="5">SUM(I9:I13,I14:I20,I25:I28,I32:I53,I24)</f>
        <v>641528785</v>
      </c>
      <c r="J54" s="83">
        <f t="shared" si="5"/>
        <v>688604762</v>
      </c>
      <c r="K54" s="83">
        <f t="shared" si="5"/>
        <v>1313309680</v>
      </c>
      <c r="L54" s="83">
        <f t="shared" si="5"/>
        <v>108486704</v>
      </c>
      <c r="M54" s="83">
        <f t="shared" si="5"/>
        <v>91990058</v>
      </c>
      <c r="N54" s="84">
        <f>SUM(N9:N13,N14:N20,N25:N28,N32:N53,N24,N23)+N21</f>
        <v>2843930039</v>
      </c>
      <c r="O54" s="85">
        <f>N54-G54</f>
        <v>0</v>
      </c>
    </row>
    <row r="55" spans="1:15" x14ac:dyDescent="0.2">
      <c r="A55" s="86" t="s">
        <v>69</v>
      </c>
      <c r="B55" s="87"/>
      <c r="C55" s="88"/>
      <c r="D55" s="88"/>
      <c r="E55" s="88"/>
      <c r="F55" s="88"/>
      <c r="G55" s="48"/>
      <c r="H55" s="53"/>
      <c r="I55" s="89"/>
      <c r="J55" s="47"/>
      <c r="K55" s="47">
        <v>1313309680</v>
      </c>
      <c r="L55" s="88"/>
      <c r="M55" s="88"/>
      <c r="N55" s="90">
        <f>SUM(I55:M55)</f>
        <v>1313309680</v>
      </c>
      <c r="O55" s="85"/>
    </row>
    <row r="56" spans="1:15" ht="13.5" thickBot="1" x14ac:dyDescent="0.25">
      <c r="A56" s="91" t="s">
        <v>70</v>
      </c>
      <c r="B56" s="92">
        <f t="shared" ref="B56:N56" si="6">B54-B55</f>
        <v>1518620737</v>
      </c>
      <c r="C56" s="93">
        <f t="shared" si="6"/>
        <v>115253954</v>
      </c>
      <c r="D56" s="93">
        <f t="shared" si="6"/>
        <v>403208000</v>
      </c>
      <c r="E56" s="93">
        <f t="shared" si="6"/>
        <v>212343590</v>
      </c>
      <c r="F56" s="93">
        <f t="shared" si="6"/>
        <v>594503758</v>
      </c>
      <c r="G56" s="93">
        <f t="shared" si="6"/>
        <v>2843930039</v>
      </c>
      <c r="H56" s="94" t="e">
        <f t="shared" si="6"/>
        <v>#REF!</v>
      </c>
      <c r="I56" s="92">
        <f t="shared" si="6"/>
        <v>641528785</v>
      </c>
      <c r="J56" s="93">
        <f t="shared" si="6"/>
        <v>688604762</v>
      </c>
      <c r="K56" s="93">
        <f t="shared" si="6"/>
        <v>0</v>
      </c>
      <c r="L56" s="93">
        <f t="shared" si="6"/>
        <v>108486704</v>
      </c>
      <c r="M56" s="93">
        <f t="shared" si="6"/>
        <v>91990058</v>
      </c>
      <c r="N56" s="95">
        <f t="shared" si="6"/>
        <v>1530620359</v>
      </c>
      <c r="O56" s="85"/>
    </row>
    <row r="57" spans="1:15" x14ac:dyDescent="0.2">
      <c r="A57" s="96"/>
      <c r="B57" s="97"/>
      <c r="C57" s="97"/>
      <c r="D57" s="97"/>
      <c r="E57" s="97"/>
      <c r="F57" s="97"/>
      <c r="G57" s="98"/>
      <c r="H57" s="98"/>
      <c r="I57" s="97"/>
      <c r="J57" s="97"/>
      <c r="K57" s="99"/>
      <c r="L57" s="97"/>
      <c r="M57" s="97"/>
      <c r="N57" s="99"/>
    </row>
    <row r="58" spans="1:15" x14ac:dyDescent="0.2">
      <c r="A58" s="96"/>
      <c r="B58" s="97"/>
      <c r="C58" s="97"/>
      <c r="D58" s="97"/>
      <c r="E58" s="97"/>
      <c r="F58" s="97"/>
      <c r="G58" s="98"/>
      <c r="H58" s="98"/>
      <c r="I58" s="97"/>
      <c r="J58" s="97"/>
      <c r="K58" s="99"/>
      <c r="L58" s="97"/>
      <c r="M58" s="97"/>
      <c r="N58" s="99"/>
    </row>
    <row r="59" spans="1:15" x14ac:dyDescent="0.2">
      <c r="A59" s="96"/>
      <c r="B59" s="97"/>
      <c r="C59" s="97"/>
      <c r="D59" s="97"/>
      <c r="E59" s="97"/>
      <c r="F59" s="97"/>
      <c r="G59" s="98"/>
      <c r="H59" s="98"/>
      <c r="I59" s="100"/>
      <c r="J59" s="97"/>
      <c r="K59" s="99"/>
      <c r="L59" s="97"/>
      <c r="M59" s="97"/>
      <c r="N59" s="99"/>
    </row>
    <row r="60" spans="1:15" x14ac:dyDescent="0.2">
      <c r="A60" s="96"/>
      <c r="B60" s="97"/>
      <c r="C60" s="97"/>
      <c r="D60" s="97"/>
      <c r="E60" s="97"/>
      <c r="F60" s="97"/>
      <c r="G60" s="98"/>
      <c r="H60" s="98"/>
      <c r="I60" s="97"/>
      <c r="J60" s="97"/>
      <c r="K60" s="99"/>
      <c r="L60" s="97"/>
      <c r="M60" s="97"/>
      <c r="N60" s="99"/>
    </row>
    <row r="61" spans="1:15" x14ac:dyDescent="0.2">
      <c r="A61" s="96"/>
      <c r="B61" s="97"/>
      <c r="C61" s="97"/>
      <c r="D61" s="97"/>
      <c r="E61" s="97"/>
      <c r="F61" s="97"/>
      <c r="G61" s="98"/>
      <c r="H61" s="98"/>
      <c r="I61" s="97"/>
      <c r="J61" s="97"/>
      <c r="K61" s="99"/>
      <c r="L61" s="97"/>
      <c r="M61" s="97"/>
      <c r="N61" s="99"/>
    </row>
    <row r="62" spans="1:15" x14ac:dyDescent="0.2">
      <c r="A62" s="96"/>
      <c r="B62" s="97"/>
      <c r="C62" s="97"/>
      <c r="D62" s="97"/>
      <c r="E62" s="97"/>
      <c r="F62" s="97"/>
      <c r="G62" s="98"/>
      <c r="H62" s="98"/>
      <c r="I62" s="97"/>
      <c r="J62" s="97"/>
      <c r="K62" s="99"/>
      <c r="L62" s="97"/>
      <c r="M62" s="97"/>
      <c r="N62" s="99"/>
    </row>
    <row r="63" spans="1:15" x14ac:dyDescent="0.2">
      <c r="A63" s="96"/>
      <c r="B63" s="97"/>
      <c r="C63" s="97"/>
      <c r="D63" s="97"/>
      <c r="E63" s="97"/>
      <c r="F63" s="97"/>
      <c r="G63" s="98"/>
      <c r="H63" s="98"/>
      <c r="I63" s="97"/>
      <c r="J63" s="97"/>
      <c r="K63" s="99"/>
      <c r="L63" s="97"/>
      <c r="M63" s="97"/>
      <c r="N63" s="99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31. melléklet a 6/2019.(II.28.)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2019-02-28T08:50:20Z</dcterms:created>
  <dcterms:modified xsi:type="dcterms:W3CDTF">2019-02-28T08:50:21Z</dcterms:modified>
</cp:coreProperties>
</file>