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" sheetId="10" r:id="rId10"/>
    <sheet name="9" sheetId="11" r:id="rId11"/>
    <sheet name="10" sheetId="12" r:id="rId12"/>
  </sheets>
  <definedNames>
    <definedName name="_xlfn.AGGREGATE" hidden="1">#NAME?</definedName>
    <definedName name="_xlnm.Print_Area" localSheetId="0">'1.'!$A$1:$M$36</definedName>
    <definedName name="_xlnm.Print_Area" localSheetId="11">'10'!$A$1:$F$123</definedName>
    <definedName name="_xlnm.Print_Area" localSheetId="7">'6.'!$A$1:$G$13</definedName>
    <definedName name="_xlnm.Print_Area" localSheetId="8">'7.'!$A$1:$F$67</definedName>
    <definedName name="_xlnm.Print_Area" localSheetId="9">'8'!$A$1:$F$25</definedName>
    <definedName name="_xlnm.Print_Area" localSheetId="10">'9'!$A$1:$D$27</definedName>
  </definedNames>
  <calcPr fullCalcOnLoad="1"/>
</workbook>
</file>

<file path=xl/sharedStrings.xml><?xml version="1.0" encoding="utf-8"?>
<sst xmlns="http://schemas.openxmlformats.org/spreadsheetml/2006/main" count="800" uniqueCount="433">
  <si>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</si>
  <si>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</si>
  <si>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</si>
  <si>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</si>
  <si>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</si>
  <si>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</si>
  <si>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</si>
  <si>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</si>
  <si>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</si>
  <si>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</si>
  <si>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</si>
  <si>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</si>
  <si>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</si>
  <si>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</si>
  <si>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</si>
  <si>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</si>
  <si>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</si>
  <si>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</si>
  <si>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</si>
  <si>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</si>
  <si>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</si>
  <si>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</si>
  <si>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</si>
  <si>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</si>
  <si>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</si>
  <si>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</si>
  <si>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</si>
  <si>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</si>
  <si>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</si>
  <si>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</si>
  <si>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</si>
  <si>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</si>
  <si>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</si>
  <si>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</si>
  <si>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</si>
  <si>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</si>
  <si>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</si>
  <si>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</si>
  <si>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</si>
  <si>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</si>
  <si>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</si>
  <si>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</si>
  <si>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</si>
  <si>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</si>
  <si>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</si>
  <si>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</si>
  <si>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</si>
  <si>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</si>
  <si>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</si>
  <si>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</si>
  <si>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</si>
  <si>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</si>
  <si>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</si>
  <si>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</si>
  <si>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</si>
  <si>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</si>
  <si>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</si>
  <si>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</si>
  <si>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</si>
  <si>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</si>
  <si>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</si>
  <si>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</si>
  <si>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</si>
  <si>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</si>
  <si>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</si>
  <si>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</si>
  <si>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</si>
  <si>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</si>
  <si>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</si>
  <si>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</si>
  <si>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</si>
  <si>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</si>
  <si>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</si>
  <si>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</si>
  <si>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</si>
  <si>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</si>
  <si>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</si>
  <si>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</si>
  <si>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</si>
  <si>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</si>
  <si>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</si>
  <si>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</si>
  <si>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</si>
  <si>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</si>
  <si>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</si>
  <si>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</si>
  <si>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Kötelező feladatok</t>
  </si>
  <si>
    <t>Önként vállalt feladatok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</si>
  <si>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</si>
  <si>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</si>
  <si>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</si>
  <si>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</si>
  <si>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</si>
  <si>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</si>
  <si>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</si>
  <si>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</si>
  <si>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</si>
  <si>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</si>
  <si>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</si>
  <si>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</si>
  <si>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</si>
  <si>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</si>
  <si>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</si>
  <si>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</si>
  <si>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</si>
  <si>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 xml:space="preserve"> - Felhalm. célú pénzeszköz átadás áht. belülre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</si>
  <si>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</si>
  <si>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</si>
  <si>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</si>
  <si>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</si>
  <si>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</si>
  <si>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</si>
  <si>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</si>
  <si>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</si>
  <si>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</si>
  <si>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</si>
  <si>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</si>
  <si>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</si>
  <si>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</si>
  <si>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</si>
  <si>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</si>
  <si>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</si>
  <si>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</si>
  <si>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</si>
  <si>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</si>
  <si>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</si>
  <si>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</si>
  <si>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</si>
  <si>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</si>
  <si>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</si>
  <si>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</si>
  <si>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</si>
  <si>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</si>
  <si>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</si>
  <si>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4.2</t>
  </si>
  <si>
    <t>4.3</t>
  </si>
  <si>
    <t>4.4</t>
  </si>
  <si>
    <t>4.5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</si>
  <si>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</si>
  <si>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</si>
  <si>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</si>
  <si>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</si>
  <si>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</si>
  <si>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</si>
  <si>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</si>
  <si>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</si>
  <si>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</si>
  <si>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</si>
  <si>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</si>
  <si>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</si>
  <si>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</si>
  <si>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</si>
  <si>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</si>
  <si>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</si>
  <si>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</si>
  <si>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</si>
  <si>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</si>
  <si>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</si>
  <si>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</si>
  <si>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</si>
  <si>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</si>
  <si>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</si>
  <si>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</si>
  <si>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</si>
  <si>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</si>
  <si>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</si>
  <si>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</si>
  <si>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</si>
  <si>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</si>
  <si>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</si>
  <si>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</si>
  <si>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</si>
  <si>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</si>
  <si>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</si>
  <si>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</si>
  <si>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</si>
  <si>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</si>
  <si>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</si>
  <si>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</si>
  <si>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</si>
  <si>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</si>
  <si>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</si>
  <si>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</si>
  <si>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</si>
  <si>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</si>
  <si>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</si>
  <si>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</si>
  <si>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</si>
  <si>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</si>
  <si>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</si>
  <si>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</si>
  <si>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</si>
  <si>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</si>
  <si>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</si>
  <si>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</si>
  <si>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</si>
  <si>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</si>
  <si>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</si>
  <si>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</si>
  <si>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</si>
  <si>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</si>
  <si>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Általános tartalék</t>
  </si>
  <si>
    <t>Általános tartalék összesen:</t>
  </si>
  <si>
    <t>Céltartalék összesen: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</si>
  <si>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</si>
  <si>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</si>
  <si>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</si>
  <si>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</si>
  <si>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</si>
  <si>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BERUHÁZÁSOK ÖSSZESEN:</t>
  </si>
  <si>
    <t>KIADÁSOK</t>
  </si>
  <si>
    <t>BEVÉTELEK</t>
  </si>
  <si>
    <t>3.6</t>
  </si>
  <si>
    <t>Kamatbevételek</t>
  </si>
  <si>
    <t>Elvonások, befizetések</t>
  </si>
  <si>
    <t>ÁH-on belüli megelőlegezések visszafizetése</t>
  </si>
  <si>
    <t>5.4</t>
  </si>
  <si>
    <t>ÖNKORMÁNYZAT:</t>
  </si>
  <si>
    <t>HIVATAL:</t>
  </si>
  <si>
    <t xml:space="preserve"> - Magánszemélyek kommunális adója</t>
  </si>
  <si>
    <t xml:space="preserve"> - Reklám- és propaganda kiadások</t>
  </si>
  <si>
    <t xml:space="preserve"> - Egyházak támogatása</t>
  </si>
  <si>
    <t>ÁFA</t>
  </si>
  <si>
    <t>Államigazgatási feladatok</t>
  </si>
  <si>
    <t>Készletértékesítés ellenértéke</t>
  </si>
  <si>
    <t>3.7</t>
  </si>
  <si>
    <t>Felhalmozási célú önkormányzati támogatások</t>
  </si>
  <si>
    <t>Egyéb felhalmozási célú támogatások bevételei</t>
  </si>
  <si>
    <t>Eredeti ei.</t>
  </si>
  <si>
    <t>F</t>
  </si>
  <si>
    <t>Mód. I. előirányzat</t>
  </si>
  <si>
    <t>Harta Nagyközség Önkormányzata</t>
  </si>
  <si>
    <t xml:space="preserve"> - Működési célú ktgvetési tám. és kieg támogatás</t>
  </si>
  <si>
    <t>Informatikai eszközök beszerzése</t>
  </si>
  <si>
    <t>Foglalkoztatással, munkanélküliséggel kapcs.ell.</t>
  </si>
  <si>
    <t>Egyéb felhalmozási célú támogatások ÁHB</t>
  </si>
  <si>
    <t xml:space="preserve"> - DT.hozzájárulása Hivatal működéséhez</t>
  </si>
  <si>
    <t xml:space="preserve"> - EFOP-3.9.2 pályázat támogatása </t>
  </si>
  <si>
    <t xml:space="preserve"> - EFOP-1.5.3 pályázat támogatása </t>
  </si>
  <si>
    <t xml:space="preserve"> - KEHOP Szennyvízelvezetés pályázat támogatása</t>
  </si>
  <si>
    <t xml:space="preserve"> - VP Konyha pályázat támogatása</t>
  </si>
  <si>
    <t xml:space="preserve"> - Mini Bölcsődei feladatokra átadott pée.</t>
  </si>
  <si>
    <t xml:space="preserve"> - EU parlamenti választás</t>
  </si>
  <si>
    <t>TOP-5.3.1 pályázat informatikai eszközök</t>
  </si>
  <si>
    <t>TOP-5.3.1 pályázat - fényképezőgép</t>
  </si>
  <si>
    <t xml:space="preserve">     8.3. Lakástámogatás</t>
  </si>
  <si>
    <t>31</t>
  </si>
  <si>
    <t>G</t>
  </si>
  <si>
    <t xml:space="preserve"> - JETA-Szálláshely II. ütem pályázat támogatása </t>
  </si>
  <si>
    <t xml:space="preserve"> - JETA-Rendezvénytér kialakítása pályázat támogatása </t>
  </si>
  <si>
    <t>Családi támogatások</t>
  </si>
  <si>
    <t xml:space="preserve"> - Elszámolásból származó bevétel</t>
  </si>
  <si>
    <t xml:space="preserve"> - Önkormányzati választás</t>
  </si>
  <si>
    <r>
      <t xml:space="preserve">Harta Nagyközség Önkormányzata 2020. évi </t>
    </r>
    <r>
      <rPr>
        <b/>
        <u val="single"/>
        <sz val="11"/>
        <color indexed="8"/>
        <rFont val="Times New Roman"/>
        <family val="1"/>
      </rPr>
      <t>összevont</t>
    </r>
    <r>
      <rPr>
        <b/>
        <sz val="11"/>
        <color indexed="8"/>
        <rFont val="Times New Roman"/>
        <family val="1"/>
      </rPr>
      <t xml:space="preserve"> költségvetési mérlege közgazdasági tagolásban</t>
    </r>
  </si>
  <si>
    <t>2020. évi költségvetése bevételeinek előirányzat módosítása</t>
  </si>
  <si>
    <t>2020. évi költségvetése kiadásainak előirányzat módosítása</t>
  </si>
  <si>
    <t>2020 . évi költségvetése kiadásainak előirányzat módosítása</t>
  </si>
  <si>
    <t xml:space="preserve">2020. évi tervezett előirányzat </t>
  </si>
  <si>
    <t>6. sz. melléklet</t>
  </si>
  <si>
    <t>Harta Nagyközség Önkormányzata 2020. évben tervezett tartalékai</t>
  </si>
  <si>
    <t>Harta Nagyközség Önkormányzata 2020. évi beruházási kiadásainak előirányzat módosítása</t>
  </si>
  <si>
    <t>7. sz. melléklet</t>
  </si>
  <si>
    <t>2020. évi előirányzat</t>
  </si>
  <si>
    <t xml:space="preserve"> - JETA Szálláshely tetőtér terv pályázat támogatása</t>
  </si>
  <si>
    <t xml:space="preserve"> - Népi építészet - Faluház felújítása pályázat támogatása</t>
  </si>
  <si>
    <t xml:space="preserve"> - Bursa Hungarica Ösztöndíj</t>
  </si>
  <si>
    <t xml:space="preserve"> - Családsegítő Társulásnak átadott pée.</t>
  </si>
  <si>
    <t>Vízműtelep meghibásodása miatti eszközfelújítás</t>
  </si>
  <si>
    <t>Szenyvízátemelő felújítás</t>
  </si>
  <si>
    <t>Első lakáshozjutók támogatása</t>
  </si>
  <si>
    <t>JETA Szálláshely pályázat - II. ütem</t>
  </si>
  <si>
    <t>JETA Szálláshely tetőtér beépítési terv</t>
  </si>
  <si>
    <t>JETA Rendezvénytér pályázat</t>
  </si>
  <si>
    <t>Magyar Falu Program orvosi rendelő bővítés pályázat</t>
  </si>
  <si>
    <t>Zarándokház - árnyékoló előtető</t>
  </si>
  <si>
    <t>Temető - urnafal</t>
  </si>
  <si>
    <t>Temetőhöz vezető út - építés</t>
  </si>
  <si>
    <t>Telekvásárlás temető</t>
  </si>
  <si>
    <t>Dózsa Park világítás</t>
  </si>
  <si>
    <t>51-es tér világítás</t>
  </si>
  <si>
    <t>Bajcsy út parkoló</t>
  </si>
  <si>
    <t>Szoc. Központ - mozgáskorlátozott parkoló</t>
  </si>
  <si>
    <t>KEHOP szennyvízberuházási pályázat</t>
  </si>
  <si>
    <t>Magyar Falu Program orvosi rendelő pályázat - bútorbeszerzés</t>
  </si>
  <si>
    <t>Magyar Falu Program orvosi rendelő pályázat - gépbeszerzés</t>
  </si>
  <si>
    <t>Faluház - gépbeszerzés</t>
  </si>
  <si>
    <t>Művelődási Ház hangosítás</t>
  </si>
  <si>
    <t>Irodabútor</t>
  </si>
  <si>
    <t>3 db. nyomtató</t>
  </si>
  <si>
    <t>Harta Nagyközség Önkormányzata 2020. évi felújítási kiadásainak előirányzat módosítása</t>
  </si>
  <si>
    <t>8. sz. melléklet</t>
  </si>
  <si>
    <t>Ingatlanok felújítása</t>
  </si>
  <si>
    <t>VP Konyha pályázat felújítás</t>
  </si>
  <si>
    <t>Felújítási célú ÁFA</t>
  </si>
  <si>
    <t>FELÚJÍTÁSOK ÖSSZESEN:</t>
  </si>
  <si>
    <t>Népi építészet pályázat - Faluház felújítása</t>
  </si>
  <si>
    <t>BM pályázat Konyha felújítás</t>
  </si>
  <si>
    <t>EFOP 1. 5. 3 pályázat - Művelődési Ház udvar felújítása</t>
  </si>
  <si>
    <t>Szoc. Központ udvar térkövezés</t>
  </si>
  <si>
    <t>Járda felújítás - Hunyadi utca (Kossuth-Templom közti szakasz)</t>
  </si>
  <si>
    <t>Művelődési Ház fűtéskorszerűsítés</t>
  </si>
  <si>
    <t>Harta Nagyközség Önkormányzat és intézménye 2020. évi engedélyezett létszámadatai</t>
  </si>
  <si>
    <t>9. sz. melléklet</t>
  </si>
  <si>
    <t>Intézmény neve</t>
  </si>
  <si>
    <t>Engedélyezett létszám (fő)</t>
  </si>
  <si>
    <t>Eredeti előirányzat</t>
  </si>
  <si>
    <t>I. Hartai Közös Önkormányzati Hivatal</t>
  </si>
  <si>
    <t>II. Önkormányzati feladatok</t>
  </si>
  <si>
    <t xml:space="preserve">     Önkormányzati jogalkotás</t>
  </si>
  <si>
    <t xml:space="preserve">     Hivatal Harta</t>
  </si>
  <si>
    <t xml:space="preserve">     Hivatal Dunatetétlen</t>
  </si>
  <si>
    <t xml:space="preserve">     Város- és községgazdálkodás</t>
  </si>
  <si>
    <t xml:space="preserve">     Háziorvosi szolgálat</t>
  </si>
  <si>
    <t xml:space="preserve">     Védőnők</t>
  </si>
  <si>
    <t xml:space="preserve">     Zöldterületkezelés</t>
  </si>
  <si>
    <t xml:space="preserve">     Útfenntartás</t>
  </si>
  <si>
    <t xml:space="preserve">     Turizmus</t>
  </si>
  <si>
    <t xml:space="preserve">     Temető</t>
  </si>
  <si>
    <t xml:space="preserve">     Múzeum, Művelődési Ház</t>
  </si>
  <si>
    <t xml:space="preserve">     Önkormányzati feladatok összesen</t>
  </si>
  <si>
    <t xml:space="preserve">     Közfoglalkoztatottak</t>
  </si>
  <si>
    <t xml:space="preserve">     ÖNKORMÁNYZAT ÖSSZESEN</t>
  </si>
  <si>
    <t xml:space="preserve">     LÉTSZÁM ÖSSZESEN</t>
  </si>
  <si>
    <t xml:space="preserve">     HARTAI KÖZÖS ÖNKORMÁNYZATI HIVATAL ÖSSZESEN</t>
  </si>
  <si>
    <t>EU-s projekt megnevezése:</t>
  </si>
  <si>
    <t>Azonosító:</t>
  </si>
  <si>
    <t>Ezer forintban</t>
  </si>
  <si>
    <t>Források</t>
  </si>
  <si>
    <t>2017.</t>
  </si>
  <si>
    <t>2018.</t>
  </si>
  <si>
    <t>2019.</t>
  </si>
  <si>
    <t>2020.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</si>
  <si>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</si>
  <si>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</si>
  <si>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</si>
  <si>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</si>
  <si>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</si>
  <si>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</si>
  <si>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</si>
  <si>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</si>
  <si>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</si>
  <si>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</si>
  <si>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</si>
  <si>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Felújítás</t>
  </si>
  <si>
    <t>Összesen:</t>
  </si>
  <si>
    <t>"Előkészítő projekt megvalósítása Dunapataj Nagyközség közösségi szennyvízelvezetésének és tisztításának megoldására"</t>
  </si>
  <si>
    <t>KEHOP-2.2.2-15-2015-00010</t>
  </si>
  <si>
    <t>"Solti konzorcium Humán kapacitások fejlesztése térségi szemléletben"</t>
  </si>
  <si>
    <t>EFOP-3.9.2-16-2017-00008</t>
  </si>
  <si>
    <t>"Solti konzorcium Helyi identitás erősítése és
közösségfejlesztés Solt és Harta településen"</t>
  </si>
  <si>
    <t>TOP-5.3.1-16-BK1-2017-00016</t>
  </si>
  <si>
    <t>"Solti konzorcium Humán szolgáltatások fejlesztése
térségi szemléletben"</t>
  </si>
  <si>
    <t>EFOP-1-5.3-16-2017-00016</t>
  </si>
  <si>
    <t>"Helyi termékértékesítést szolgáló piacok infrastrukturális
fejlesztése, közétkeztetés fejlesztése"</t>
  </si>
  <si>
    <t>VP6-7.2.1-7.4.1.3-17</t>
  </si>
  <si>
    <t xml:space="preserve">Európai uniós támogatással megvalósuló projektek bevételei, kiadásai, hozzájárulások                 </t>
  </si>
  <si>
    <t xml:space="preserve">10. sz.melléklet </t>
  </si>
  <si>
    <t>D</t>
  </si>
  <si>
    <t xml:space="preserve"> - Magyar Falu Program-orvosi eszköz pályázat tám.</t>
  </si>
  <si>
    <t>Térbetonozás EFOP-3.9.2</t>
  </si>
  <si>
    <t xml:space="preserve">EFOP-3.9.2 pályázat informatikai eszközök </t>
  </si>
  <si>
    <t>Térfigyelő rendszer inormatikai eszközök</t>
  </si>
  <si>
    <t>Nyomtató adócsoport (multifunkcionális)</t>
  </si>
  <si>
    <t>Hivatal informatikai hálózati eszközök</t>
  </si>
  <si>
    <t>Hivatal informatikai eszközök</t>
  </si>
  <si>
    <t>Közmunkaprogram, helyi sajátosságok + önerő kegyeleti park felújítás</t>
  </si>
  <si>
    <t>Közmunkaprogram-helyi sajátosságok- Duna part játszótér</t>
  </si>
  <si>
    <t>Közmunkaprogram-helyi sajátosságok- Duna part parkoló</t>
  </si>
  <si>
    <t>Közmunkaprogram-helyi sajátosságok- ütvefúró</t>
  </si>
  <si>
    <t>Közmunkaprogram-szociális- köztéri hulladékgyűjtők</t>
  </si>
  <si>
    <t>Közmunkaprogram-mezőgazdasági- műtrágyaszóró</t>
  </si>
  <si>
    <t>Közmunkaprogram-mezőgazdasági- személygépjármű</t>
  </si>
  <si>
    <t>Közmunkaprogram-mezőgazdasági- új gazdasági épület (Templom u. )</t>
  </si>
  <si>
    <t>VP Konyha pályázat eszközbeszerzés</t>
  </si>
  <si>
    <t>Monitor</t>
  </si>
  <si>
    <t>Kártyaolvasó 3 db</t>
  </si>
  <si>
    <t>Egér 5 db</t>
  </si>
  <si>
    <t>Irodai szék</t>
  </si>
  <si>
    <t>Diktafon</t>
  </si>
  <si>
    <t>Telefon</t>
  </si>
  <si>
    <t>Egyéb működési célú támogatások ÁH-n kívülről</t>
  </si>
  <si>
    <t>Egyéb működési célú átvett pe. Háztartásoktól</t>
  </si>
  <si>
    <t>Egyéb működési célú átvett pe. Vállalkozásoktól</t>
  </si>
  <si>
    <t xml:space="preserve"> - TOP-4.2.1. Szociális alapszolg. Kp. pályázat támogatása </t>
  </si>
  <si>
    <t>2020. évi eredeti
előirányzat</t>
  </si>
  <si>
    <t>Mód. I. ei.</t>
  </si>
  <si>
    <t>Harta Polgármesteri Hivatal elektromos fővezetéki rendszer átkötése napelemes mérőhelyre</t>
  </si>
  <si>
    <t>1. sz. melléklet</t>
  </si>
  <si>
    <t>2. sz. melléklet</t>
  </si>
  <si>
    <t>3. sz. melléklet</t>
  </si>
  <si>
    <t>4. sz. melléklet</t>
  </si>
  <si>
    <t>5. sz. melléklet</t>
  </si>
  <si>
    <t>E Ft.</t>
  </si>
  <si>
    <t>Mód. II. ei.</t>
  </si>
  <si>
    <t xml:space="preserve"> - TOP-1.4. Bölcsőde építése Hartán</t>
  </si>
  <si>
    <t xml:space="preserve"> - Nyári diákmunka támogatása</t>
  </si>
  <si>
    <t xml:space="preserve"> - Védőnők egyszeri juttatásának támogatása</t>
  </si>
  <si>
    <t>Bölcsőde építése Hartán - TOP pályázat</t>
  </si>
  <si>
    <t xml:space="preserve"> - Árubeszerzés</t>
  </si>
  <si>
    <t xml:space="preserve">E </t>
  </si>
  <si>
    <t>Mód. II. előirányzat</t>
  </si>
  <si>
    <t xml:space="preserve"> I. sz. mód. előirányzat</t>
  </si>
  <si>
    <t>II. sz. mód. előirányzat</t>
  </si>
  <si>
    <t>2020. évi I. mód. 
előirányzat</t>
  </si>
  <si>
    <t>2020. évi II. mód. 
előirányzat</t>
  </si>
  <si>
    <t>H</t>
  </si>
  <si>
    <t xml:space="preserve"> - Vállakozások támogatása</t>
  </si>
  <si>
    <t xml:space="preserve"> - Területalapú támogatás</t>
  </si>
  <si>
    <t>Mód. III. ei.</t>
  </si>
  <si>
    <t xml:space="preserve"> - Magyar Falu Program-szolgálati lakás pályázat tám.</t>
  </si>
  <si>
    <t>Mód. III. előirányzat</t>
  </si>
  <si>
    <t>3 db laptop táska</t>
  </si>
  <si>
    <t xml:space="preserve"> - Magyar Falu Program-elhagyott ingatlanok pály. tám.</t>
  </si>
  <si>
    <t xml:space="preserve"> - Magyar Falu Program-temető fejlesztési támogatás</t>
  </si>
  <si>
    <t xml:space="preserve"> - Közfoglalkoztatási program kiemelt támogatása</t>
  </si>
  <si>
    <t>JETA- Szolgálati lakások felújítása</t>
  </si>
  <si>
    <t>Közmunkaprogram-árokásó beszerzés</t>
  </si>
  <si>
    <t>Közmunkaprogram-Kisduna híd felújítás</t>
  </si>
  <si>
    <t>MFP-Szolgálati lakás eszközbeszerzések</t>
  </si>
  <si>
    <t>MFP-Elhagyott ingatlanok-ingatlan beszerzés</t>
  </si>
  <si>
    <t>MFP-Elhagyott ingatlanok-ingatlan felújítás</t>
  </si>
  <si>
    <t>MFP-Temető fejlesztés-ingatlan felújítás</t>
  </si>
  <si>
    <t>Falu Központ kialakításhoz ingatlan beszerzés</t>
  </si>
  <si>
    <t>2020. évi III. mód. 
előirányzat</t>
  </si>
  <si>
    <t>I</t>
  </si>
  <si>
    <t>J</t>
  </si>
  <si>
    <t>Mód. IV. ei.</t>
  </si>
  <si>
    <t>Mód. IV. előirányzat bontása</t>
  </si>
  <si>
    <t>Mód. IV. előirányzat megbontása</t>
  </si>
  <si>
    <t>2020. évi IV. mód. 
előirányzat</t>
  </si>
  <si>
    <t>K</t>
  </si>
  <si>
    <t>L</t>
  </si>
  <si>
    <t>B/ FINANSZÍROZÁSI BEVÉTELEK           HIÁNY FINANSZÍROZÁSÁNAK MÓDJA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</si>
</sst>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_-* #,##0.0\ _F_t_-;\-* #,##0.0\ _F_t_-;_-* &quot;-&quot;??\ _F_t_-;_-@_-"/>
    <numFmt numFmtId="168" formatCode="_-* #,##0\ _F_t_-;\-* #,##0\ _F_t_-;_-* &quot;-&quot;??\ _F_t_-;_-@_-"/>
    <numFmt numFmtId="169" formatCode="#,##0_ ;\-#,##0\ "/>
    <numFmt numFmtId="170" formatCode="#,##0.0"/>
    <numFmt numFmtId="171" formatCode="0.0"/>
  </numFmts>
  <fonts count="92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 CE"/>
      <family val="1"/>
    </font>
    <font>
      <b/>
      <sz val="13"/>
      <name val="Arial CE"/>
      <family val="2"/>
    </font>
    <font>
      <sz val="13"/>
      <name val="Arial CE"/>
      <family val="2"/>
    </font>
    <font>
      <b/>
      <u val="single"/>
      <sz val="12"/>
      <name val="Times New Roman CE"/>
      <family val="1"/>
    </font>
    <font>
      <b/>
      <u val="single"/>
      <sz val="11"/>
      <color indexed="8"/>
      <name val="Calibri"/>
      <family val="2"/>
    </font>
    <font>
      <b/>
      <sz val="13"/>
      <name val="Times New Roman CE"/>
      <family val="0"/>
    </font>
    <font>
      <sz val="13"/>
      <color indexed="8"/>
      <name val="Calibri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E"/>
      <family val="0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1" borderId="7" applyNumberFormat="0" applyFont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84" fillId="28" borderId="0" applyNumberFormat="0" applyBorder="0" applyAlignment="0" applyProtection="0"/>
    <xf numFmtId="0" fontId="85" fillId="29" borderId="8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" fillId="0" borderId="0">
      <alignment/>
      <protection/>
    </xf>
    <xf numFmtId="0" fontId="8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0" borderId="0" applyNumberFormat="0" applyBorder="0" applyAlignment="0" applyProtection="0"/>
    <xf numFmtId="0" fontId="90" fillId="31" borderId="0" applyNumberFormat="0" applyBorder="0" applyAlignment="0" applyProtection="0"/>
    <xf numFmtId="0" fontId="91" fillId="29" borderId="1" applyNumberFormat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166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168" fontId="0" fillId="0" borderId="0" xfId="40" applyNumberFormat="1" applyFont="1" applyAlignment="1">
      <alignment horizontal="center"/>
    </xf>
    <xf numFmtId="0" fontId="4" fillId="0" borderId="12" xfId="56" applyFont="1" applyFill="1" applyBorder="1" applyAlignment="1" applyProtection="1">
      <alignment horizontal="center" vertical="center" wrapText="1"/>
      <protection/>
    </xf>
    <xf numFmtId="0" fontId="4" fillId="0" borderId="13" xfId="56" applyFont="1" applyFill="1" applyBorder="1" applyAlignment="1" applyProtection="1">
      <alignment horizontal="center" vertical="center" wrapText="1" readingOrder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4" xfId="56" applyFont="1" applyFill="1" applyBorder="1" applyAlignment="1" applyProtection="1">
      <alignment horizontal="center" vertical="center" wrapText="1" readingOrder="1"/>
      <protection/>
    </xf>
    <xf numFmtId="0" fontId="5" fillId="0" borderId="15" xfId="56" applyFont="1" applyFill="1" applyBorder="1" applyAlignment="1" applyProtection="1">
      <alignment horizontal="center" vertical="center" wrapText="1"/>
      <protection/>
    </xf>
    <xf numFmtId="49" fontId="5" fillId="0" borderId="16" xfId="56" applyNumberFormat="1" applyFont="1" applyFill="1" applyBorder="1" applyAlignment="1" applyProtection="1">
      <alignment horizontal="center" vertical="center" wrapText="1"/>
      <protection/>
    </xf>
    <xf numFmtId="166" fontId="5" fillId="0" borderId="17" xfId="56" applyNumberFormat="1" applyFont="1" applyFill="1" applyBorder="1" applyAlignment="1" applyProtection="1">
      <alignment horizontal="right" vertical="center" wrapText="1" readingOrder="1"/>
      <protection locked="0"/>
    </xf>
    <xf numFmtId="166" fontId="6" fillId="0" borderId="17" xfId="56" applyNumberFormat="1" applyFont="1" applyFill="1" applyBorder="1" applyAlignment="1" applyProtection="1">
      <alignment horizontal="right" vertical="center" wrapText="1" readingOrder="1"/>
      <protection locked="0"/>
    </xf>
    <xf numFmtId="166" fontId="6" fillId="0" borderId="17" xfId="56" applyNumberFormat="1" applyFont="1" applyFill="1" applyBorder="1" applyAlignment="1" applyProtection="1">
      <alignment horizontal="right" vertical="center" wrapText="1" readingOrder="1"/>
      <protection locked="0"/>
    </xf>
    <xf numFmtId="166" fontId="6" fillId="0" borderId="17" xfId="56" applyNumberFormat="1" applyFont="1" applyFill="1" applyBorder="1" applyAlignment="1" applyProtection="1">
      <alignment horizontal="right" vertical="center" wrapText="1" readingOrder="1"/>
      <protection/>
    </xf>
    <xf numFmtId="166" fontId="7" fillId="0" borderId="17" xfId="56" applyNumberFormat="1" applyFont="1" applyFill="1" applyBorder="1" applyAlignment="1" applyProtection="1">
      <alignment horizontal="right" vertical="center" wrapText="1" readingOrder="1"/>
      <protection/>
    </xf>
    <xf numFmtId="3" fontId="6" fillId="0" borderId="17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7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7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6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166" fontId="5" fillId="32" borderId="17" xfId="56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166" fontId="8" fillId="32" borderId="17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18" xfId="56" applyFont="1" applyFill="1" applyBorder="1" applyAlignment="1" applyProtection="1">
      <alignment horizontal="left" vertical="center" wrapText="1" indent="2"/>
      <protection/>
    </xf>
    <xf numFmtId="166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20" xfId="56" applyFont="1" applyFill="1" applyBorder="1" applyAlignment="1" applyProtection="1">
      <alignment horizontal="center" vertical="center" wrapText="1" readingOrder="1"/>
      <protection/>
    </xf>
    <xf numFmtId="166" fontId="6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166" fontId="6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166" fontId="5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166" fontId="5" fillId="32" borderId="21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166" fontId="5" fillId="32" borderId="21" xfId="56" applyNumberFormat="1" applyFont="1" applyFill="1" applyBorder="1" applyAlignment="1" applyProtection="1">
      <alignment horizontal="right" vertical="center" wrapText="1" readingOrder="1"/>
      <protection locked="0"/>
    </xf>
    <xf numFmtId="166" fontId="8" fillId="32" borderId="21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2" fillId="0" borderId="22" xfId="0" applyNumberFormat="1" applyFont="1" applyFill="1" applyBorder="1" applyAlignment="1">
      <alignment horizontal="center" vertical="center" textRotation="90" wrapText="1"/>
    </xf>
    <xf numFmtId="166" fontId="2" fillId="0" borderId="22" xfId="0" applyNumberFormat="1" applyFont="1" applyFill="1" applyBorder="1" applyAlignment="1" applyProtection="1">
      <alignment horizontal="center" vertical="center" wrapText="1"/>
      <protection/>
    </xf>
    <xf numFmtId="166" fontId="2" fillId="0" borderId="23" xfId="0" applyNumberFormat="1" applyFont="1" applyFill="1" applyBorder="1" applyAlignment="1" applyProtection="1">
      <alignment horizontal="center" vertical="center" wrapText="1"/>
      <protection/>
    </xf>
    <xf numFmtId="166" fontId="22" fillId="0" borderId="0" xfId="0" applyNumberFormat="1" applyFont="1" applyFill="1" applyAlignment="1">
      <alignment horizontal="center" vertical="center" wrapText="1"/>
    </xf>
    <xf numFmtId="166" fontId="2" fillId="0" borderId="24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26" xfId="0" applyNumberFormat="1" applyFont="1" applyFill="1" applyBorder="1" applyAlignment="1">
      <alignment horizontal="center" vertical="center" wrapText="1"/>
    </xf>
    <xf numFmtId="166" fontId="2" fillId="0" borderId="27" xfId="0" applyNumberFormat="1" applyFont="1" applyFill="1" applyBorder="1" applyAlignment="1" applyProtection="1">
      <alignment horizontal="center" vertical="center" wrapText="1"/>
      <protection/>
    </xf>
    <xf numFmtId="166" fontId="2" fillId="0" borderId="22" xfId="0" applyNumberFormat="1" applyFont="1" applyFill="1" applyBorder="1" applyAlignment="1" applyProtection="1">
      <alignment horizontal="right" vertical="center" wrapText="1"/>
      <protection/>
    </xf>
    <xf numFmtId="166" fontId="22" fillId="0" borderId="0" xfId="0" applyNumberFormat="1" applyFont="1" applyFill="1" applyAlignment="1">
      <alignment vertical="center" wrapText="1"/>
    </xf>
    <xf numFmtId="166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3" fontId="6" fillId="0" borderId="17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21" xfId="56" applyNumberFormat="1" applyFont="1" applyFill="1" applyBorder="1" applyAlignment="1" applyProtection="1">
      <alignment horizontal="right" vertical="center" wrapText="1" readingOrder="1"/>
      <protection/>
    </xf>
    <xf numFmtId="166" fontId="0" fillId="0" borderId="0" xfId="0" applyNumberFormat="1" applyFont="1" applyFill="1" applyAlignment="1">
      <alignment vertical="center" wrapText="1"/>
    </xf>
    <xf numFmtId="166" fontId="1" fillId="0" borderId="26" xfId="0" applyNumberFormat="1" applyFont="1" applyFill="1" applyBorder="1" applyAlignment="1" applyProtection="1">
      <alignment horizontal="center" vertical="center" wrapText="1"/>
      <protection/>
    </xf>
    <xf numFmtId="166" fontId="27" fillId="0" borderId="28" xfId="0" applyNumberFormat="1" applyFont="1" applyFill="1" applyBorder="1" applyAlignment="1" applyProtection="1">
      <alignment horizontal="right" vertical="center" wrapText="1"/>
      <protection/>
    </xf>
    <xf numFmtId="166" fontId="27" fillId="0" borderId="26" xfId="0" applyNumberFormat="1" applyFont="1" applyFill="1" applyBorder="1" applyAlignment="1" applyProtection="1">
      <alignment horizontal="right" vertical="center" wrapText="1"/>
      <protection/>
    </xf>
    <xf numFmtId="166" fontId="1" fillId="0" borderId="29" xfId="0" applyNumberFormat="1" applyFont="1" applyFill="1" applyBorder="1" applyAlignment="1" applyProtection="1">
      <alignment horizontal="right" vertical="center" wrapText="1"/>
      <protection/>
    </xf>
    <xf numFmtId="166" fontId="1" fillId="0" borderId="30" xfId="0" applyNumberFormat="1" applyFont="1" applyFill="1" applyBorder="1" applyAlignment="1" applyProtection="1">
      <alignment horizontal="center" vertical="center" wrapText="1"/>
      <protection/>
    </xf>
    <xf numFmtId="166" fontId="27" fillId="0" borderId="29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6" fillId="0" borderId="32" xfId="56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33" xfId="56" applyFont="1" applyFill="1" applyBorder="1" applyAlignment="1" applyProtection="1">
      <alignment horizontal="center" vertical="center" wrapText="1"/>
      <protection/>
    </xf>
    <xf numFmtId="3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33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 wrapText="1"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49" fontId="30" fillId="0" borderId="10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center"/>
    </xf>
    <xf numFmtId="3" fontId="17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17" fillId="0" borderId="34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3" fontId="29" fillId="0" borderId="10" xfId="0" applyNumberFormat="1" applyFont="1" applyBorder="1" applyAlignment="1">
      <alignment horizontal="right"/>
    </xf>
    <xf numFmtId="49" fontId="31" fillId="0" borderId="10" xfId="0" applyNumberFormat="1" applyFont="1" applyBorder="1" applyAlignment="1">
      <alignment/>
    </xf>
    <xf numFmtId="49" fontId="31" fillId="0" borderId="1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10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3" fillId="0" borderId="0" xfId="0" applyFont="1" applyAlignment="1">
      <alignment/>
    </xf>
    <xf numFmtId="49" fontId="30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/>
    </xf>
    <xf numFmtId="3" fontId="31" fillId="0" borderId="10" xfId="0" applyNumberFormat="1" applyFont="1" applyBorder="1" applyAlignment="1">
      <alignment horizontal="left"/>
    </xf>
    <xf numFmtId="3" fontId="35" fillId="0" borderId="10" xfId="0" applyNumberFormat="1" applyFont="1" applyBorder="1" applyAlignment="1">
      <alignment/>
    </xf>
    <xf numFmtId="0" fontId="17" fillId="0" borderId="15" xfId="0" applyFont="1" applyBorder="1" applyAlignment="1" applyProtection="1">
      <alignment horizontal="center" vertical="center" textRotation="90"/>
      <protection locked="0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3" fontId="35" fillId="0" borderId="18" xfId="0" applyNumberFormat="1" applyFont="1" applyBorder="1" applyAlignment="1">
      <alignment/>
    </xf>
    <xf numFmtId="3" fontId="27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8" xfId="56" applyNumberFormat="1" applyFont="1" applyFill="1" applyBorder="1" applyAlignment="1" applyProtection="1">
      <alignment horizontal="center" vertical="center" wrapText="1"/>
      <protection/>
    </xf>
    <xf numFmtId="0" fontId="4" fillId="0" borderId="39" xfId="56" applyFont="1" applyFill="1" applyBorder="1" applyAlignment="1" applyProtection="1">
      <alignment horizontal="center" vertical="center" wrapText="1"/>
      <protection/>
    </xf>
    <xf numFmtId="0" fontId="4" fillId="0" borderId="40" xfId="56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1" fillId="0" borderId="41" xfId="0" applyFont="1" applyBorder="1" applyAlignment="1">
      <alignment/>
    </xf>
    <xf numFmtId="49" fontId="30" fillId="0" borderId="41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166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2" fillId="0" borderId="26" xfId="0" applyNumberFormat="1" applyFont="1" applyFill="1" applyBorder="1" applyAlignment="1" applyProtection="1">
      <alignment horizontal="right" vertical="center" wrapText="1"/>
      <protection/>
    </xf>
    <xf numFmtId="3" fontId="27" fillId="0" borderId="22" xfId="0" applyNumberFormat="1" applyFont="1" applyFill="1" applyBorder="1" applyAlignment="1" applyProtection="1">
      <alignment horizontal="right" vertical="center" wrapText="1"/>
      <protection/>
    </xf>
    <xf numFmtId="166" fontId="1" fillId="0" borderId="22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horizontal="right" vertical="center" wrapText="1"/>
      <protection/>
    </xf>
    <xf numFmtId="166" fontId="1" fillId="0" borderId="42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43" xfId="0" applyNumberFormat="1" applyFont="1" applyFill="1" applyBorder="1" applyAlignment="1" applyProtection="1">
      <alignment horizontal="left" vertical="center" wrapText="1"/>
      <protection/>
    </xf>
    <xf numFmtId="166" fontId="1" fillId="0" borderId="44" xfId="0" applyNumberFormat="1" applyFont="1" applyFill="1" applyBorder="1" applyAlignment="1" applyProtection="1">
      <alignment horizontal="left" vertical="center" wrapText="1"/>
      <protection locked="0"/>
    </xf>
    <xf numFmtId="166" fontId="40" fillId="0" borderId="22" xfId="0" applyNumberFormat="1" applyFont="1" applyFill="1" applyBorder="1" applyAlignment="1">
      <alignment horizontal="left" vertical="center" wrapText="1"/>
    </xf>
    <xf numFmtId="166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45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44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28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46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47" xfId="0" applyNumberFormat="1" applyFont="1" applyFill="1" applyBorder="1" applyAlignment="1" applyProtection="1">
      <alignment horizontal="right" vertical="center" wrapText="1"/>
      <protection locked="0"/>
    </xf>
    <xf numFmtId="170" fontId="1" fillId="0" borderId="47" xfId="0" applyNumberFormat="1" applyFont="1" applyFill="1" applyBorder="1" applyAlignment="1" applyProtection="1">
      <alignment horizontal="right" vertical="center" wrapText="1"/>
      <protection locked="0"/>
    </xf>
    <xf numFmtId="170" fontId="1" fillId="0" borderId="28" xfId="0" applyNumberFormat="1" applyFont="1" applyFill="1" applyBorder="1" applyAlignment="1" applyProtection="1">
      <alignment horizontal="right" vertical="center" wrapText="1"/>
      <protection locked="0"/>
    </xf>
    <xf numFmtId="170" fontId="1" fillId="0" borderId="47" xfId="0" applyNumberFormat="1" applyFont="1" applyFill="1" applyBorder="1" applyAlignment="1" applyProtection="1">
      <alignment horizontal="right" vertical="center" wrapText="1"/>
      <protection locked="0"/>
    </xf>
    <xf numFmtId="170" fontId="1" fillId="0" borderId="28" xfId="0" applyNumberFormat="1" applyFont="1" applyFill="1" applyBorder="1" applyAlignment="1" applyProtection="1">
      <alignment horizontal="right" vertical="center" wrapText="1"/>
      <protection locked="0"/>
    </xf>
    <xf numFmtId="170" fontId="2" fillId="0" borderId="47" xfId="0" applyNumberFormat="1" applyFont="1" applyFill="1" applyBorder="1" applyAlignment="1" applyProtection="1">
      <alignment horizontal="right" vertical="center" wrapText="1"/>
      <protection locked="0"/>
    </xf>
    <xf numFmtId="170" fontId="36" fillId="0" borderId="48" xfId="0" applyNumberFormat="1" applyFont="1" applyFill="1" applyBorder="1" applyAlignment="1" applyProtection="1">
      <alignment horizontal="right" vertical="center" wrapText="1"/>
      <protection/>
    </xf>
    <xf numFmtId="170" fontId="36" fillId="0" borderId="24" xfId="0" applyNumberFormat="1" applyFont="1" applyFill="1" applyBorder="1" applyAlignment="1" applyProtection="1">
      <alignment horizontal="right" vertical="center" wrapText="1"/>
      <protection/>
    </xf>
    <xf numFmtId="170" fontId="27" fillId="0" borderId="46" xfId="0" applyNumberFormat="1" applyFont="1" applyFill="1" applyBorder="1" applyAlignment="1" applyProtection="1">
      <alignment horizontal="right" vertical="center" wrapText="1"/>
      <protection/>
    </xf>
    <xf numFmtId="170" fontId="27" fillId="0" borderId="45" xfId="0" applyNumberFormat="1" applyFont="1" applyFill="1" applyBorder="1" applyAlignment="1" applyProtection="1">
      <alignment horizontal="right" vertical="center" wrapText="1"/>
      <protection/>
    </xf>
    <xf numFmtId="170" fontId="1" fillId="0" borderId="47" xfId="0" applyNumberFormat="1" applyFont="1" applyFill="1" applyBorder="1" applyAlignment="1" applyProtection="1">
      <alignment horizontal="right" vertical="center" wrapText="1"/>
      <protection/>
    </xf>
    <xf numFmtId="170" fontId="1" fillId="0" borderId="28" xfId="0" applyNumberFormat="1" applyFont="1" applyFill="1" applyBorder="1" applyAlignment="1" applyProtection="1">
      <alignment horizontal="right" vertical="center" wrapText="1"/>
      <protection/>
    </xf>
    <xf numFmtId="170" fontId="1" fillId="0" borderId="48" xfId="0" applyNumberFormat="1" applyFont="1" applyFill="1" applyBorder="1" applyAlignment="1" applyProtection="1">
      <alignment horizontal="right" vertical="center" wrapText="1"/>
      <protection/>
    </xf>
    <xf numFmtId="170" fontId="1" fillId="0" borderId="24" xfId="0" applyNumberFormat="1" applyFont="1" applyFill="1" applyBorder="1" applyAlignment="1" applyProtection="1">
      <alignment horizontal="right" vertical="center" wrapText="1"/>
      <protection/>
    </xf>
    <xf numFmtId="170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70" fontId="40" fillId="0" borderId="2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5" fillId="0" borderId="49" xfId="0" applyFont="1" applyFill="1" applyBorder="1" applyAlignment="1" applyProtection="1">
      <alignment vertical="center"/>
      <protection/>
    </xf>
    <xf numFmtId="0" fontId="45" fillId="0" borderId="50" xfId="0" applyFont="1" applyFill="1" applyBorder="1" applyAlignment="1" applyProtection="1">
      <alignment horizontal="center" vertical="center"/>
      <protection/>
    </xf>
    <xf numFmtId="0" fontId="45" fillId="0" borderId="51" xfId="0" applyFont="1" applyFill="1" applyBorder="1" applyAlignment="1" applyProtection="1">
      <alignment horizontal="center" vertical="center"/>
      <protection/>
    </xf>
    <xf numFmtId="0" fontId="45" fillId="0" borderId="52" xfId="0" applyFont="1" applyFill="1" applyBorder="1" applyAlignment="1" applyProtection="1">
      <alignment horizontal="center" vertical="center"/>
      <protection/>
    </xf>
    <xf numFmtId="49" fontId="46" fillId="0" borderId="15" xfId="0" applyNumberFormat="1" applyFont="1" applyFill="1" applyBorder="1" applyAlignment="1" applyProtection="1">
      <alignment vertical="center"/>
      <protection/>
    </xf>
    <xf numFmtId="49" fontId="46" fillId="0" borderId="53" xfId="0" applyNumberFormat="1" applyFont="1" applyFill="1" applyBorder="1" applyAlignment="1" applyProtection="1">
      <alignment horizontal="right" vertical="center"/>
      <protection/>
    </xf>
    <xf numFmtId="3" fontId="46" fillId="0" borderId="11" xfId="0" applyNumberFormat="1" applyFont="1" applyFill="1" applyBorder="1" applyAlignment="1" applyProtection="1">
      <alignment vertical="center"/>
      <protection locked="0"/>
    </xf>
    <xf numFmtId="3" fontId="45" fillId="0" borderId="54" xfId="0" applyNumberFormat="1" applyFont="1" applyFill="1" applyBorder="1" applyAlignment="1" applyProtection="1">
      <alignment vertical="center"/>
      <protection/>
    </xf>
    <xf numFmtId="49" fontId="47" fillId="0" borderId="16" xfId="0" applyNumberFormat="1" applyFont="1" applyFill="1" applyBorder="1" applyAlignment="1" applyProtection="1" quotePrefix="1">
      <alignment horizontal="left" vertical="center" indent="1"/>
      <protection/>
    </xf>
    <xf numFmtId="49" fontId="47" fillId="0" borderId="36" xfId="0" applyNumberFormat="1" applyFont="1" applyFill="1" applyBorder="1" applyAlignment="1" applyProtection="1" quotePrefix="1">
      <alignment horizontal="left" vertical="center" indent="1"/>
      <protection/>
    </xf>
    <xf numFmtId="3" fontId="47" fillId="0" borderId="10" xfId="0" applyNumberFormat="1" applyFont="1" applyFill="1" applyBorder="1" applyAlignment="1" applyProtection="1">
      <alignment vertical="center"/>
      <protection locked="0"/>
    </xf>
    <xf numFmtId="3" fontId="48" fillId="0" borderId="10" xfId="0" applyNumberFormat="1" applyFont="1" applyFill="1" applyBorder="1" applyAlignment="1" applyProtection="1">
      <alignment vertical="center"/>
      <protection locked="0"/>
    </xf>
    <xf numFmtId="3" fontId="48" fillId="0" borderId="55" xfId="0" applyNumberFormat="1" applyFont="1" applyFill="1" applyBorder="1" applyAlignment="1" applyProtection="1">
      <alignment vertical="center"/>
      <protection/>
    </xf>
    <xf numFmtId="49" fontId="46" fillId="0" borderId="16" xfId="0" applyNumberFormat="1" applyFont="1" applyFill="1" applyBorder="1" applyAlignment="1" applyProtection="1">
      <alignment vertical="center"/>
      <protection/>
    </xf>
    <xf numFmtId="3" fontId="46" fillId="0" borderId="36" xfId="0" applyNumberFormat="1" applyFont="1" applyFill="1" applyBorder="1" applyAlignment="1" applyProtection="1">
      <alignment horizontal="right" vertical="center"/>
      <protection/>
    </xf>
    <xf numFmtId="3" fontId="46" fillId="0" borderId="10" xfId="0" applyNumberFormat="1" applyFont="1" applyFill="1" applyBorder="1" applyAlignment="1" applyProtection="1">
      <alignment vertical="center"/>
      <protection locked="0"/>
    </xf>
    <xf numFmtId="3" fontId="45" fillId="0" borderId="55" xfId="0" applyNumberFormat="1" applyFont="1" applyFill="1" applyBorder="1" applyAlignment="1" applyProtection="1">
      <alignment vertical="center"/>
      <protection/>
    </xf>
    <xf numFmtId="49" fontId="46" fillId="0" borderId="36" xfId="0" applyNumberFormat="1" applyFont="1" applyFill="1" applyBorder="1" applyAlignment="1" applyProtection="1">
      <alignment vertical="center"/>
      <protection/>
    </xf>
    <xf numFmtId="3" fontId="45" fillId="0" borderId="10" xfId="0" applyNumberFormat="1" applyFont="1" applyFill="1" applyBorder="1" applyAlignment="1" applyProtection="1">
      <alignment vertical="center"/>
      <protection locked="0"/>
    </xf>
    <xf numFmtId="49" fontId="46" fillId="0" borderId="56" xfId="0" applyNumberFormat="1" applyFont="1" applyFill="1" applyBorder="1" applyAlignment="1" applyProtection="1">
      <alignment vertical="center"/>
      <protection locked="0"/>
    </xf>
    <xf numFmtId="49" fontId="46" fillId="0" borderId="57" xfId="0" applyNumberFormat="1" applyFont="1" applyFill="1" applyBorder="1" applyAlignment="1" applyProtection="1">
      <alignment vertical="center"/>
      <protection locked="0"/>
    </xf>
    <xf numFmtId="3" fontId="46" fillId="0" borderId="41" xfId="0" applyNumberFormat="1" applyFont="1" applyFill="1" applyBorder="1" applyAlignment="1" applyProtection="1">
      <alignment vertical="center"/>
      <protection locked="0"/>
    </xf>
    <xf numFmtId="3" fontId="45" fillId="0" borderId="41" xfId="0" applyNumberFormat="1" applyFont="1" applyFill="1" applyBorder="1" applyAlignment="1" applyProtection="1">
      <alignment vertical="center"/>
      <protection locked="0"/>
    </xf>
    <xf numFmtId="49" fontId="45" fillId="0" borderId="58" xfId="0" applyNumberFormat="1" applyFont="1" applyFill="1" applyBorder="1" applyAlignment="1" applyProtection="1">
      <alignment vertical="center"/>
      <protection/>
    </xf>
    <xf numFmtId="3" fontId="45" fillId="0" borderId="59" xfId="0" applyNumberFormat="1" applyFont="1" applyFill="1" applyBorder="1" applyAlignment="1" applyProtection="1">
      <alignment horizontal="right" vertical="center"/>
      <protection/>
    </xf>
    <xf numFmtId="3" fontId="45" fillId="0" borderId="60" xfId="0" applyNumberFormat="1" applyFont="1" applyFill="1" applyBorder="1" applyAlignment="1" applyProtection="1">
      <alignment vertical="center"/>
      <protection/>
    </xf>
    <xf numFmtId="3" fontId="45" fillId="0" borderId="61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/>
    </xf>
    <xf numFmtId="49" fontId="46" fillId="0" borderId="53" xfId="0" applyNumberFormat="1" applyFont="1" applyFill="1" applyBorder="1" applyAlignment="1" applyProtection="1">
      <alignment vertical="center"/>
      <protection/>
    </xf>
    <xf numFmtId="49" fontId="46" fillId="0" borderId="16" xfId="0" applyNumberFormat="1" applyFont="1" applyFill="1" applyBorder="1" applyAlignment="1" applyProtection="1">
      <alignment horizontal="left" vertical="center"/>
      <protection/>
    </xf>
    <xf numFmtId="3" fontId="46" fillId="0" borderId="36" xfId="0" applyNumberFormat="1" applyFont="1" applyFill="1" applyBorder="1" applyAlignment="1" applyProtection="1">
      <alignment horizontal="right"/>
      <protection/>
    </xf>
    <xf numFmtId="49" fontId="46" fillId="0" borderId="16" xfId="0" applyNumberFormat="1" applyFont="1" applyFill="1" applyBorder="1" applyAlignment="1" applyProtection="1">
      <alignment vertical="center"/>
      <protection locked="0"/>
    </xf>
    <xf numFmtId="49" fontId="46" fillId="0" borderId="36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Alignment="1" applyProtection="1">
      <alignment vertical="center"/>
      <protection/>
    </xf>
    <xf numFmtId="3" fontId="6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0" fontId="4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9" fillId="0" borderId="10" xfId="0" applyFont="1" applyBorder="1" applyAlignment="1">
      <alignment vertical="center" textRotation="90"/>
    </xf>
    <xf numFmtId="3" fontId="1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0" applyFont="1" applyBorder="1" applyAlignment="1">
      <alignment/>
    </xf>
    <xf numFmtId="49" fontId="30" fillId="0" borderId="35" xfId="0" applyNumberFormat="1" applyFont="1" applyBorder="1" applyAlignment="1">
      <alignment horizontal="center"/>
    </xf>
    <xf numFmtId="0" fontId="30" fillId="0" borderId="36" xfId="0" applyFont="1" applyBorder="1" applyAlignment="1">
      <alignment/>
    </xf>
    <xf numFmtId="0" fontId="30" fillId="0" borderId="34" xfId="0" applyFont="1" applyBorder="1" applyAlignment="1">
      <alignment horizontal="center"/>
    </xf>
    <xf numFmtId="0" fontId="51" fillId="0" borderId="10" xfId="0" applyFont="1" applyBorder="1" applyAlignment="1">
      <alignment vertical="center" textRotation="90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3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0" applyFont="1" applyAlignment="1">
      <alignment horizontal="center"/>
    </xf>
    <xf numFmtId="166" fontId="2" fillId="0" borderId="44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4" fillId="0" borderId="21" xfId="56" applyFont="1" applyFill="1" applyBorder="1" applyAlignment="1" applyProtection="1">
      <alignment horizontal="center" vertical="center" wrapText="1" readingOrder="1"/>
      <protection/>
    </xf>
    <xf numFmtId="0" fontId="5" fillId="0" borderId="63" xfId="56" applyFont="1" applyFill="1" applyBorder="1" applyAlignment="1" applyProtection="1">
      <alignment horizontal="center" vertical="center" wrapText="1" readingOrder="1"/>
      <protection/>
    </xf>
    <xf numFmtId="0" fontId="53" fillId="0" borderId="33" xfId="0" applyFont="1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center"/>
      <protection/>
    </xf>
    <xf numFmtId="0" fontId="29" fillId="0" borderId="33" xfId="0" applyFont="1" applyBorder="1" applyAlignment="1">
      <alignment horizontal="right" vertical="top"/>
    </xf>
    <xf numFmtId="166" fontId="54" fillId="0" borderId="0" xfId="0" applyNumberFormat="1" applyFont="1" applyFill="1" applyAlignment="1" applyProtection="1">
      <alignment horizontal="right" vertical="center" wrapText="1"/>
      <protection/>
    </xf>
    <xf numFmtId="166" fontId="37" fillId="0" borderId="0" xfId="0" applyNumberFormat="1" applyFont="1" applyFill="1" applyAlignment="1" applyProtection="1">
      <alignment horizontal="center" vertical="center" wrapText="1"/>
      <protection/>
    </xf>
    <xf numFmtId="3" fontId="34" fillId="0" borderId="34" xfId="0" applyNumberFormat="1" applyFont="1" applyBorder="1" applyAlignment="1">
      <alignment vertical="center" wrapText="1"/>
    </xf>
    <xf numFmtId="0" fontId="29" fillId="0" borderId="64" xfId="0" applyFont="1" applyBorder="1" applyAlignment="1">
      <alignment horizontal="right"/>
    </xf>
    <xf numFmtId="3" fontId="17" fillId="0" borderId="34" xfId="0" applyNumberFormat="1" applyFont="1" applyBorder="1" applyAlignment="1">
      <alignment vertical="center" wrapText="1"/>
    </xf>
    <xf numFmtId="3" fontId="17" fillId="0" borderId="65" xfId="0" applyNumberFormat="1" applyFont="1" applyBorder="1" applyAlignment="1">
      <alignment vertical="center" wrapText="1"/>
    </xf>
    <xf numFmtId="0" fontId="17" fillId="0" borderId="66" xfId="0" applyFont="1" applyBorder="1" applyAlignment="1">
      <alignment horizontal="center" vertical="center" wrapText="1"/>
    </xf>
    <xf numFmtId="3" fontId="31" fillId="0" borderId="34" xfId="0" applyNumberFormat="1" applyFont="1" applyBorder="1" applyAlignment="1">
      <alignment horizontal="right" vertical="center" wrapText="1"/>
    </xf>
    <xf numFmtId="3" fontId="31" fillId="0" borderId="34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textRotation="90"/>
    </xf>
    <xf numFmtId="0" fontId="44" fillId="0" borderId="10" xfId="0" applyFont="1" applyBorder="1" applyAlignment="1">
      <alignment horizontal="center"/>
    </xf>
    <xf numFmtId="0" fontId="4" fillId="0" borderId="53" xfId="56" applyFont="1" applyFill="1" applyBorder="1" applyAlignment="1" applyProtection="1">
      <alignment horizontal="center" vertical="center" wrapText="1"/>
      <protection/>
    </xf>
    <xf numFmtId="0" fontId="6" fillId="0" borderId="36" xfId="56" applyFont="1" applyFill="1" applyBorder="1" applyAlignment="1" applyProtection="1">
      <alignment horizontal="left" vertical="center" wrapText="1" indent="1"/>
      <protection/>
    </xf>
    <xf numFmtId="0" fontId="6" fillId="0" borderId="36" xfId="56" applyFont="1" applyFill="1" applyBorder="1" applyAlignment="1" applyProtection="1">
      <alignment horizontal="left" vertical="center" wrapText="1" indent="1"/>
      <protection/>
    </xf>
    <xf numFmtId="0" fontId="5" fillId="0" borderId="36" xfId="56" applyFont="1" applyFill="1" applyBorder="1" applyAlignment="1" applyProtection="1">
      <alignment horizontal="left" vertical="center" wrapText="1" indent="1"/>
      <protection/>
    </xf>
    <xf numFmtId="0" fontId="5" fillId="32" borderId="36" xfId="56" applyFont="1" applyFill="1" applyBorder="1" applyAlignment="1" applyProtection="1">
      <alignment horizontal="left" vertical="center" wrapText="1" indent="1"/>
      <protection/>
    </xf>
    <xf numFmtId="0" fontId="6" fillId="0" borderId="35" xfId="56" applyFont="1" applyFill="1" applyBorder="1" applyAlignment="1" applyProtection="1">
      <alignment horizontal="left" vertical="center" wrapText="1" indent="6"/>
      <protection/>
    </xf>
    <xf numFmtId="0" fontId="6" fillId="0" borderId="36" xfId="56" applyFont="1" applyFill="1" applyBorder="1" applyAlignment="1" applyProtection="1">
      <alignment horizontal="left" vertical="center" wrapText="1" indent="6"/>
      <protection/>
    </xf>
    <xf numFmtId="0" fontId="5" fillId="32" borderId="36" xfId="56" applyFont="1" applyFill="1" applyBorder="1" applyAlignment="1" applyProtection="1">
      <alignment horizontal="left" vertical="center" wrapText="1" indent="1"/>
      <protection/>
    </xf>
    <xf numFmtId="0" fontId="6" fillId="0" borderId="40" xfId="56" applyFont="1" applyFill="1" applyBorder="1" applyAlignment="1" applyProtection="1">
      <alignment horizontal="left" vertical="center" wrapText="1" indent="1"/>
      <protection/>
    </xf>
    <xf numFmtId="0" fontId="3" fillId="32" borderId="36" xfId="56" applyFont="1" applyFill="1" applyBorder="1" applyAlignment="1" applyProtection="1">
      <alignment horizontal="left" vertical="center" wrapText="1" indent="1"/>
      <protection/>
    </xf>
    <xf numFmtId="0" fontId="6" fillId="0" borderId="67" xfId="56" applyFont="1" applyFill="1" applyBorder="1" applyAlignment="1" applyProtection="1">
      <alignment horizontal="left" vertical="center" wrapText="1" indent="2"/>
      <protection/>
    </xf>
    <xf numFmtId="3" fontId="24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166" fontId="1" fillId="32" borderId="30" xfId="0" applyNumberFormat="1" applyFont="1" applyFill="1" applyBorder="1" applyAlignment="1" applyProtection="1">
      <alignment horizontal="center" vertical="center" wrapText="1"/>
      <protection/>
    </xf>
    <xf numFmtId="166" fontId="1" fillId="32" borderId="25" xfId="0" applyNumberFormat="1" applyFont="1" applyFill="1" applyBorder="1" applyAlignment="1" applyProtection="1">
      <alignment horizontal="left" vertical="center" wrapText="1"/>
      <protection locked="0"/>
    </xf>
    <xf numFmtId="166" fontId="1" fillId="32" borderId="29" xfId="0" applyNumberFormat="1" applyFont="1" applyFill="1" applyBorder="1" applyAlignment="1" applyProtection="1">
      <alignment horizontal="right" vertical="center" wrapText="1"/>
      <protection/>
    </xf>
    <xf numFmtId="3" fontId="1" fillId="32" borderId="29" xfId="0" applyNumberFormat="1" applyFont="1" applyFill="1" applyBorder="1" applyAlignment="1" applyProtection="1">
      <alignment horizontal="right" vertical="center" wrapText="1"/>
      <protection/>
    </xf>
    <xf numFmtId="166" fontId="0" fillId="32" borderId="0" xfId="0" applyNumberFormat="1" applyFill="1" applyAlignment="1" applyProtection="1">
      <alignment vertical="center" wrapText="1"/>
      <protection/>
    </xf>
    <xf numFmtId="166" fontId="1" fillId="32" borderId="26" xfId="0" applyNumberFormat="1" applyFont="1" applyFill="1" applyBorder="1" applyAlignment="1">
      <alignment horizontal="center" vertical="center" wrapText="1"/>
    </xf>
    <xf numFmtId="166" fontId="1" fillId="32" borderId="25" xfId="0" applyNumberFormat="1" applyFont="1" applyFill="1" applyBorder="1" applyAlignment="1" applyProtection="1">
      <alignment horizontal="left" vertical="center" wrapText="1"/>
      <protection locked="0"/>
    </xf>
    <xf numFmtId="166" fontId="1" fillId="32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26" xfId="0" applyNumberFormat="1" applyFont="1" applyFill="1" applyBorder="1" applyAlignment="1" applyProtection="1">
      <alignment horizontal="right" vertical="center" wrapText="1"/>
      <protection locked="0"/>
    </xf>
    <xf numFmtId="166" fontId="0" fillId="32" borderId="0" xfId="0" applyNumberFormat="1" applyFill="1" applyAlignment="1">
      <alignment vertical="center" wrapText="1"/>
    </xf>
    <xf numFmtId="166" fontId="1" fillId="32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26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3" fontId="31" fillId="0" borderId="69" xfId="0" applyNumberFormat="1" applyFont="1" applyBorder="1" applyAlignment="1">
      <alignment horizontal="right" vertical="center" wrapText="1"/>
    </xf>
    <xf numFmtId="3" fontId="17" fillId="0" borderId="69" xfId="0" applyNumberFormat="1" applyFont="1" applyBorder="1" applyAlignment="1">
      <alignment vertical="center" wrapText="1"/>
    </xf>
    <xf numFmtId="3" fontId="31" fillId="0" borderId="69" xfId="0" applyNumberFormat="1" applyFont="1" applyBorder="1" applyAlignment="1">
      <alignment vertical="center" wrapText="1"/>
    </xf>
    <xf numFmtId="3" fontId="34" fillId="0" borderId="69" xfId="0" applyNumberFormat="1" applyFont="1" applyBorder="1" applyAlignment="1">
      <alignment vertical="center" wrapText="1"/>
    </xf>
    <xf numFmtId="3" fontId="17" fillId="0" borderId="70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3" fontId="17" fillId="0" borderId="10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 wrapText="1"/>
    </xf>
    <xf numFmtId="3" fontId="17" fillId="0" borderId="18" xfId="0" applyNumberFormat="1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51" fillId="0" borderId="41" xfId="0" applyFont="1" applyBorder="1" applyAlignment="1">
      <alignment vertical="center" textRotation="90"/>
    </xf>
    <xf numFmtId="0" fontId="51" fillId="0" borderId="71" xfId="0" applyFont="1" applyBorder="1" applyAlignment="1">
      <alignment vertical="center" textRotation="90"/>
    </xf>
    <xf numFmtId="0" fontId="17" fillId="0" borderId="41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17" fillId="0" borderId="34" xfId="0" applyFont="1" applyBorder="1" applyAlignment="1">
      <alignment/>
    </xf>
    <xf numFmtId="0" fontId="17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72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73" xfId="0" applyFont="1" applyBorder="1" applyAlignment="1">
      <alignment/>
    </xf>
    <xf numFmtId="0" fontId="17" fillId="0" borderId="74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31" fillId="0" borderId="41" xfId="0" applyFont="1" applyBorder="1" applyAlignment="1">
      <alignment vertical="center" textRotation="90"/>
    </xf>
    <xf numFmtId="0" fontId="31" fillId="0" borderId="71" xfId="0" applyFont="1" applyBorder="1" applyAlignment="1">
      <alignment vertical="center" textRotation="90"/>
    </xf>
    <xf numFmtId="0" fontId="17" fillId="0" borderId="36" xfId="0" applyFont="1" applyBorder="1" applyAlignment="1">
      <alignment/>
    </xf>
    <xf numFmtId="0" fontId="31" fillId="0" borderId="0" xfId="0" applyFont="1" applyAlignment="1">
      <alignment/>
    </xf>
    <xf numFmtId="0" fontId="17" fillId="0" borderId="75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41" fillId="0" borderId="41" xfId="0" applyFont="1" applyBorder="1" applyAlignment="1">
      <alignment vertical="center" textRotation="90"/>
    </xf>
    <xf numFmtId="0" fontId="41" fillId="0" borderId="71" xfId="0" applyFont="1" applyBorder="1" applyAlignment="1">
      <alignment vertical="center" textRotation="90"/>
    </xf>
    <xf numFmtId="0" fontId="28" fillId="0" borderId="73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55" fillId="0" borderId="7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166" fontId="25" fillId="0" borderId="76" xfId="0" applyNumberFormat="1" applyFont="1" applyFill="1" applyBorder="1" applyAlignment="1" applyProtection="1">
      <alignment horizontal="left" vertical="center" wrapText="1"/>
      <protection/>
    </xf>
    <xf numFmtId="0" fontId="26" fillId="0" borderId="68" xfId="0" applyFont="1" applyBorder="1" applyAlignment="1">
      <alignment horizontal="left" vertical="center" wrapText="1"/>
    </xf>
    <xf numFmtId="166" fontId="25" fillId="0" borderId="43" xfId="0" applyNumberFormat="1" applyFont="1" applyFill="1" applyBorder="1" applyAlignment="1" applyProtection="1">
      <alignment horizontal="left" vertical="center" wrapText="1"/>
      <protection/>
    </xf>
    <xf numFmtId="0" fontId="26" fillId="0" borderId="77" xfId="0" applyFont="1" applyBorder="1" applyAlignment="1">
      <alignment horizontal="left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6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43" fillId="0" borderId="64" xfId="0" applyFont="1" applyFill="1" applyBorder="1" applyAlignment="1" applyProtection="1">
      <alignment horizontal="right"/>
      <protection/>
    </xf>
    <xf numFmtId="0" fontId="44" fillId="0" borderId="64" xfId="0" applyFont="1" applyBorder="1" applyAlignment="1">
      <alignment horizontal="right"/>
    </xf>
    <xf numFmtId="0" fontId="39" fillId="0" borderId="0" xfId="0" applyFont="1" applyAlignment="1">
      <alignment wrapText="1"/>
    </xf>
    <xf numFmtId="0" fontId="42" fillId="0" borderId="0" xfId="0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 applyProtection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FFFFFF"/>
      </font>
      <border/>
    </dxf>
  </dxfs>
  <tableStyles count="1" defaultTableStyle="TableStyleMedium2" defaultPivotStyle="PivotStyleMedium9">
    <tableStyle name="MySqlDefault" pivot="0" table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SheetLayoutView="100" workbookViewId="0" topLeftCell="C1">
      <selection activeCell="B28" sqref="B28"/>
    </sheetView>
  </sheetViews>
  <sheetFormatPr defaultColWidth="9.140625" defaultRowHeight="15"/>
  <cols>
    <col min="1" max="1" width="4.28125" style="0" customWidth="1"/>
    <col min="2" max="2" width="38.7109375" style="0" customWidth="1"/>
    <col min="3" max="3" width="11.7109375" style="0" customWidth="1"/>
    <col min="4" max="5" width="11.57421875" style="0" customWidth="1"/>
    <col min="6" max="7" width="11.8515625" style="0" customWidth="1"/>
    <col min="8" max="8" width="42.00390625" style="8" customWidth="1"/>
    <col min="9" max="9" width="11.8515625" style="8" customWidth="1"/>
    <col min="10" max="10" width="11.28125" style="8" customWidth="1"/>
    <col min="11" max="11" width="11.421875" style="8" customWidth="1"/>
    <col min="12" max="13" width="11.7109375" style="8" customWidth="1"/>
  </cols>
  <sheetData>
    <row r="1" spans="1:13" ht="13.5" customHeight="1">
      <c r="A1" s="286" t="s">
        <v>253</v>
      </c>
      <c r="B1" s="286"/>
      <c r="C1" s="286"/>
      <c r="D1" s="286"/>
      <c r="E1" s="286"/>
      <c r="F1" s="286"/>
      <c r="G1" s="286"/>
      <c r="H1" s="286"/>
      <c r="I1" s="286"/>
      <c r="J1" s="286"/>
      <c r="K1" s="287"/>
      <c r="L1" s="287"/>
      <c r="M1" s="287"/>
    </row>
    <row r="2" spans="1:13" ht="13.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8" customHeight="1" thickBot="1">
      <c r="A3" s="1" t="s">
        <v>0</v>
      </c>
      <c r="B3" s="1"/>
      <c r="C3" s="1"/>
      <c r="D3" s="1"/>
      <c r="E3" s="1"/>
      <c r="F3" s="1"/>
      <c r="G3" s="1"/>
      <c r="H3" s="13" t="s">
        <v>3</v>
      </c>
      <c r="I3" s="234"/>
      <c r="J3" s="234" t="s">
        <v>392</v>
      </c>
      <c r="K3" s="234"/>
      <c r="L3" s="233"/>
      <c r="M3" s="233" t="s">
        <v>387</v>
      </c>
    </row>
    <row r="4" spans="1:13" ht="22.5" customHeight="1">
      <c r="A4" s="15" t="s">
        <v>1</v>
      </c>
      <c r="B4" s="6" t="s">
        <v>2</v>
      </c>
      <c r="C4" s="14" t="s">
        <v>384</v>
      </c>
      <c r="D4" s="14" t="s">
        <v>403</v>
      </c>
      <c r="E4" s="14" t="s">
        <v>404</v>
      </c>
      <c r="F4" s="14" t="s">
        <v>423</v>
      </c>
      <c r="G4" s="14" t="s">
        <v>429</v>
      </c>
      <c r="H4" s="248" t="s">
        <v>4</v>
      </c>
      <c r="I4" s="14" t="s">
        <v>384</v>
      </c>
      <c r="J4" s="232" t="s">
        <v>403</v>
      </c>
      <c r="K4" s="232" t="s">
        <v>404</v>
      </c>
      <c r="L4" s="232" t="s">
        <v>423</v>
      </c>
      <c r="M4" s="232" t="s">
        <v>429</v>
      </c>
    </row>
    <row r="5" spans="1:13" ht="11.25" customHeight="1">
      <c r="A5" s="9"/>
      <c r="B5" s="137" t="s">
        <v>6</v>
      </c>
      <c r="C5" s="138" t="s">
        <v>7</v>
      </c>
      <c r="D5" s="10" t="s">
        <v>8</v>
      </c>
      <c r="E5" s="10" t="s">
        <v>357</v>
      </c>
      <c r="F5" s="10" t="s">
        <v>104</v>
      </c>
      <c r="G5" s="10" t="s">
        <v>229</v>
      </c>
      <c r="H5" s="89" t="s">
        <v>247</v>
      </c>
      <c r="I5" s="34" t="s">
        <v>405</v>
      </c>
      <c r="J5" s="231" t="s">
        <v>424</v>
      </c>
      <c r="K5" s="231" t="s">
        <v>425</v>
      </c>
      <c r="L5" s="231" t="s">
        <v>430</v>
      </c>
      <c r="M5" s="231" t="s">
        <v>431</v>
      </c>
    </row>
    <row r="6" spans="1:13" ht="15" customHeight="1">
      <c r="A6" s="16" t="s">
        <v>72</v>
      </c>
      <c r="B6" s="5" t="s">
        <v>33</v>
      </c>
      <c r="C6" s="19">
        <f>SUM(C7+C8)</f>
        <v>230505</v>
      </c>
      <c r="D6" s="19">
        <f>SUM(D7+D8)</f>
        <v>296188</v>
      </c>
      <c r="E6" s="19">
        <f>SUM(E7+E8)</f>
        <v>304032</v>
      </c>
      <c r="F6" s="19">
        <f>SUM(F7+F8)</f>
        <v>284512</v>
      </c>
      <c r="G6" s="19">
        <f>SUM(G7+G8)</f>
        <v>292883</v>
      </c>
      <c r="H6" s="249" t="s">
        <v>9</v>
      </c>
      <c r="I6" s="35">
        <v>138389</v>
      </c>
      <c r="J6" s="35">
        <f>'3.'!L9+'5.'!L9</f>
        <v>178992</v>
      </c>
      <c r="K6" s="35">
        <f>'3.'!M9+'5.'!M9</f>
        <v>176066</v>
      </c>
      <c r="L6" s="35">
        <f>'3.'!N9+'5.'!N9</f>
        <v>169766</v>
      </c>
      <c r="M6" s="35">
        <f>'3.'!O9+'5.'!O9</f>
        <v>169766</v>
      </c>
    </row>
    <row r="7" spans="1:13" ht="15" customHeight="1">
      <c r="A7" s="16" t="s">
        <v>19</v>
      </c>
      <c r="B7" s="2" t="s">
        <v>34</v>
      </c>
      <c r="C7" s="19">
        <v>176903</v>
      </c>
      <c r="D7" s="19">
        <f>'2.'!L10</f>
        <v>195445</v>
      </c>
      <c r="E7" s="19">
        <f>'2.'!M10</f>
        <v>200046</v>
      </c>
      <c r="F7" s="19">
        <f>'2.'!N10</f>
        <v>203897</v>
      </c>
      <c r="G7" s="19">
        <f>'2.'!O10</f>
        <v>203917</v>
      </c>
      <c r="H7" s="249" t="s">
        <v>44</v>
      </c>
      <c r="I7" s="35">
        <v>23857</v>
      </c>
      <c r="J7" s="35">
        <f>'3.'!L10+'5.'!L10</f>
        <v>26187</v>
      </c>
      <c r="K7" s="35">
        <f>'3.'!M10+'5.'!M10</f>
        <v>25784</v>
      </c>
      <c r="L7" s="35">
        <f>'3.'!N10+'5.'!N10</f>
        <v>24690</v>
      </c>
      <c r="M7" s="35">
        <f>'3.'!O10+'5.'!O10</f>
        <v>24690</v>
      </c>
    </row>
    <row r="8" spans="1:13" ht="15" customHeight="1">
      <c r="A8" s="16" t="s">
        <v>20</v>
      </c>
      <c r="B8" s="2" t="s">
        <v>35</v>
      </c>
      <c r="C8" s="19">
        <v>53602</v>
      </c>
      <c r="D8" s="19">
        <f>'2.'!L16</f>
        <v>100743</v>
      </c>
      <c r="E8" s="19">
        <f>'2.'!M16</f>
        <v>103986</v>
      </c>
      <c r="F8" s="19">
        <f>'2.'!N16</f>
        <v>80615</v>
      </c>
      <c r="G8" s="19">
        <f>'2.'!O16</f>
        <v>88966</v>
      </c>
      <c r="H8" s="249" t="s">
        <v>10</v>
      </c>
      <c r="I8" s="35">
        <v>105598</v>
      </c>
      <c r="J8" s="35">
        <f>'3.'!L11+'5.'!L11</f>
        <v>129120</v>
      </c>
      <c r="K8" s="35">
        <f>'3.'!M11+'5.'!M11</f>
        <v>133026</v>
      </c>
      <c r="L8" s="35">
        <f>'3.'!N11+'5.'!N11</f>
        <v>125164</v>
      </c>
      <c r="M8" s="35">
        <f>'3.'!O11+'5.'!O11</f>
        <v>125948</v>
      </c>
    </row>
    <row r="9" spans="1:13" s="24" customFormat="1" ht="13.5" customHeight="1">
      <c r="A9" s="16" t="s">
        <v>21</v>
      </c>
      <c r="B9" s="5" t="s">
        <v>36</v>
      </c>
      <c r="C9" s="76">
        <v>10598</v>
      </c>
      <c r="D9" s="76">
        <f>'2.'!L51</f>
        <v>48473</v>
      </c>
      <c r="E9" s="76">
        <f>'2.'!M51</f>
        <v>131673</v>
      </c>
      <c r="F9" s="76">
        <f>'2.'!N51</f>
        <v>174580</v>
      </c>
      <c r="G9" s="76">
        <f>'2.'!O51</f>
        <v>174580</v>
      </c>
      <c r="H9" s="249" t="s">
        <v>11</v>
      </c>
      <c r="I9" s="35">
        <v>9145</v>
      </c>
      <c r="J9" s="35">
        <f>'3.'!L34+'5.'!L31</f>
        <v>9145</v>
      </c>
      <c r="K9" s="35">
        <f>'3.'!M34+'5.'!M31</f>
        <v>9145</v>
      </c>
      <c r="L9" s="35">
        <f>'3.'!N34+'5.'!N31</f>
        <v>15827</v>
      </c>
      <c r="M9" s="35">
        <f>'3.'!O34+'5.'!O31</f>
        <v>15827</v>
      </c>
    </row>
    <row r="10" spans="1:13" ht="12.75" customHeight="1">
      <c r="A10" s="16" t="s">
        <v>22</v>
      </c>
      <c r="B10" s="5" t="s">
        <v>37</v>
      </c>
      <c r="C10" s="19">
        <f>SUM(C11:C13)</f>
        <v>127960</v>
      </c>
      <c r="D10" s="19">
        <f>SUM(D11:D13)</f>
        <v>114650</v>
      </c>
      <c r="E10" s="19">
        <f>SUM(E11:E13)</f>
        <v>113660</v>
      </c>
      <c r="F10" s="19">
        <f>SUM(F11:F13)</f>
        <v>113660</v>
      </c>
      <c r="G10" s="19">
        <f>SUM(G11:G13)</f>
        <v>113660</v>
      </c>
      <c r="H10" s="249" t="s">
        <v>45</v>
      </c>
      <c r="I10" s="35">
        <f>SUM(I11:I14)</f>
        <v>100424</v>
      </c>
      <c r="J10" s="35">
        <f>SUM(J11:J14)</f>
        <v>108064</v>
      </c>
      <c r="K10" s="35">
        <f>SUM(K11:K14)</f>
        <v>119822</v>
      </c>
      <c r="L10" s="35">
        <f>SUM(L11:L14)</f>
        <v>117165</v>
      </c>
      <c r="M10" s="35">
        <f>SUM(M11:M14)</f>
        <v>124752</v>
      </c>
    </row>
    <row r="11" spans="1:13" ht="12" customHeight="1">
      <c r="A11" s="16" t="s">
        <v>23</v>
      </c>
      <c r="B11" s="2" t="s">
        <v>38</v>
      </c>
      <c r="C11" s="18">
        <v>23000</v>
      </c>
      <c r="D11" s="18">
        <f>'2.'!L27</f>
        <v>23000</v>
      </c>
      <c r="E11" s="18">
        <f>'2.'!M27</f>
        <v>23000</v>
      </c>
      <c r="F11" s="18">
        <f>'2.'!N27</f>
        <v>23000</v>
      </c>
      <c r="G11" s="18">
        <f>'2.'!O27</f>
        <v>23000</v>
      </c>
      <c r="H11" s="250" t="s">
        <v>46</v>
      </c>
      <c r="I11" s="36">
        <v>0</v>
      </c>
      <c r="J11" s="213">
        <f>'3.'!L41</f>
        <v>1707</v>
      </c>
      <c r="K11" s="213">
        <f>'3.'!M41</f>
        <v>1707</v>
      </c>
      <c r="L11" s="213">
        <f>'3.'!N41</f>
        <v>1707</v>
      </c>
      <c r="M11" s="213">
        <f>'3.'!O41</f>
        <v>1707</v>
      </c>
    </row>
    <row r="12" spans="1:13" ht="12" customHeight="1">
      <c r="A12" s="16" t="s">
        <v>24</v>
      </c>
      <c r="B12" s="2" t="s">
        <v>107</v>
      </c>
      <c r="C12" s="18">
        <v>104400</v>
      </c>
      <c r="D12" s="18">
        <f>'2.'!L30+'2.'!L33+'2.'!L35</f>
        <v>91090</v>
      </c>
      <c r="E12" s="18">
        <f>'2.'!M30+'2.'!M33+'2.'!M35</f>
        <v>90400</v>
      </c>
      <c r="F12" s="18">
        <f>'2.'!N30+'2.'!N33+'2.'!N35</f>
        <v>90400</v>
      </c>
      <c r="G12" s="18">
        <f>'2.'!O30+'2.'!O33+'2.'!O35</f>
        <v>90400</v>
      </c>
      <c r="H12" s="250" t="s">
        <v>47</v>
      </c>
      <c r="I12" s="35">
        <v>81664</v>
      </c>
      <c r="J12" s="35">
        <f>'3.'!L42</f>
        <v>84568</v>
      </c>
      <c r="K12" s="35">
        <f>'3.'!M42</f>
        <v>85873</v>
      </c>
      <c r="L12" s="35">
        <f>'3.'!N42</f>
        <v>87123</v>
      </c>
      <c r="M12" s="35">
        <f>'3.'!O42</f>
        <v>91816</v>
      </c>
    </row>
    <row r="13" spans="1:13" ht="12.75" customHeight="1">
      <c r="A13" s="16" t="s">
        <v>25</v>
      </c>
      <c r="B13" s="2" t="s">
        <v>39</v>
      </c>
      <c r="C13" s="18">
        <v>560</v>
      </c>
      <c r="D13" s="18">
        <f>'2.'!L37+'4.'!L14</f>
        <v>560</v>
      </c>
      <c r="E13" s="18">
        <f>'2.'!M37+'4.'!M14</f>
        <v>260</v>
      </c>
      <c r="F13" s="18">
        <f>'2.'!N37+'4.'!N14</f>
        <v>260</v>
      </c>
      <c r="G13" s="18">
        <f>'2.'!O37+'4.'!O14</f>
        <v>260</v>
      </c>
      <c r="H13" s="250" t="s">
        <v>48</v>
      </c>
      <c r="I13" s="37">
        <v>14000</v>
      </c>
      <c r="J13" s="37">
        <f>'3.'!L47</f>
        <v>11950</v>
      </c>
      <c r="K13" s="37">
        <f>'3.'!M47</f>
        <v>12100</v>
      </c>
      <c r="L13" s="37">
        <f>'3.'!N47</f>
        <v>11120</v>
      </c>
      <c r="M13" s="37">
        <f>'3.'!O47</f>
        <v>11120</v>
      </c>
    </row>
    <row r="14" spans="1:13" ht="14.25" customHeight="1">
      <c r="A14" s="16" t="s">
        <v>26</v>
      </c>
      <c r="B14" s="5" t="s">
        <v>40</v>
      </c>
      <c r="C14" s="19">
        <v>16561</v>
      </c>
      <c r="D14" s="19">
        <f>'2.'!L39+'4.'!L20</f>
        <v>17224</v>
      </c>
      <c r="E14" s="19">
        <f>'2.'!M39+'4.'!M20</f>
        <v>21616</v>
      </c>
      <c r="F14" s="19">
        <f>'2.'!N39+'4.'!N20</f>
        <v>21616</v>
      </c>
      <c r="G14" s="19">
        <f>'2.'!O39+'4.'!O20</f>
        <v>21616</v>
      </c>
      <c r="H14" s="250" t="s">
        <v>49</v>
      </c>
      <c r="I14" s="37">
        <v>4760</v>
      </c>
      <c r="J14" s="37">
        <f>'3.'!L51</f>
        <v>9839</v>
      </c>
      <c r="K14" s="37">
        <f>'3.'!M51</f>
        <v>20142</v>
      </c>
      <c r="L14" s="37">
        <f>'3.'!N51</f>
        <v>17215</v>
      </c>
      <c r="M14" s="37">
        <f>'3.'!O51</f>
        <v>20109</v>
      </c>
    </row>
    <row r="15" spans="1:13" ht="13.5" customHeight="1">
      <c r="A15" s="16" t="s">
        <v>27</v>
      </c>
      <c r="B15" s="5" t="s">
        <v>41</v>
      </c>
      <c r="C15" s="25">
        <v>0</v>
      </c>
      <c r="D15" s="22">
        <f>'2.'!L66</f>
        <v>717</v>
      </c>
      <c r="E15" s="22">
        <f>'2.'!M66</f>
        <v>1806</v>
      </c>
      <c r="F15" s="22">
        <f>'2.'!N66</f>
        <v>1806</v>
      </c>
      <c r="G15" s="22">
        <f>'2.'!O66</f>
        <v>1806</v>
      </c>
      <c r="H15" s="249" t="s">
        <v>50</v>
      </c>
      <c r="I15" s="38">
        <v>137832</v>
      </c>
      <c r="J15" s="38">
        <f>'3.'!L53+'5.'!L34</f>
        <v>160067</v>
      </c>
      <c r="K15" s="38">
        <f>'3.'!M53+'5.'!M34</f>
        <v>243267</v>
      </c>
      <c r="L15" s="38">
        <f>'3.'!N53+'5.'!N34</f>
        <v>251036</v>
      </c>
      <c r="M15" s="38">
        <f>'3.'!O53+'5.'!O34</f>
        <v>251036</v>
      </c>
    </row>
    <row r="16" spans="1:13" ht="14.25" customHeight="1">
      <c r="A16" s="16" t="s">
        <v>28</v>
      </c>
      <c r="B16" s="5" t="s">
        <v>42</v>
      </c>
      <c r="C16" s="25">
        <v>0</v>
      </c>
      <c r="D16" s="22">
        <f>'2.'!L47</f>
        <v>3343</v>
      </c>
      <c r="E16" s="22">
        <f>'2.'!M47</f>
        <v>3343</v>
      </c>
      <c r="F16" s="22">
        <f>'2.'!N47</f>
        <v>3343</v>
      </c>
      <c r="G16" s="22">
        <f>'2.'!O47</f>
        <v>3343</v>
      </c>
      <c r="H16" s="249" t="s">
        <v>51</v>
      </c>
      <c r="I16" s="38">
        <v>62634</v>
      </c>
      <c r="J16" s="38">
        <f>'3.'!L54+'5.'!L35</f>
        <v>60612</v>
      </c>
      <c r="K16" s="38">
        <f>'3.'!M54+'5.'!M35</f>
        <v>60612</v>
      </c>
      <c r="L16" s="38">
        <f>'3.'!N54+'5.'!N35</f>
        <v>84141</v>
      </c>
      <c r="M16" s="38">
        <f>'3.'!O54+'5.'!O35</f>
        <v>84141</v>
      </c>
    </row>
    <row r="17" spans="1:13" ht="13.5" customHeight="1">
      <c r="A17" s="16" t="s">
        <v>5</v>
      </c>
      <c r="B17" s="5" t="s">
        <v>43</v>
      </c>
      <c r="C17" s="22">
        <v>79384</v>
      </c>
      <c r="D17" s="22">
        <f>'2.'!L68</f>
        <v>79384</v>
      </c>
      <c r="E17" s="22">
        <f>'2.'!M68</f>
        <v>79384</v>
      </c>
      <c r="F17" s="22">
        <f>'2.'!N68</f>
        <v>76064</v>
      </c>
      <c r="G17" s="22">
        <f>'2.'!O68</f>
        <v>76064</v>
      </c>
      <c r="H17" s="249" t="s">
        <v>57</v>
      </c>
      <c r="I17" s="213">
        <f>SUM(I18:I20)</f>
        <v>0</v>
      </c>
      <c r="J17" s="35">
        <f>SUM(J18:J20)</f>
        <v>663</v>
      </c>
      <c r="K17" s="35">
        <f>SUM(K18:K20)</f>
        <v>663</v>
      </c>
      <c r="L17" s="35">
        <f>SUM(L18:L20)</f>
        <v>663</v>
      </c>
      <c r="M17" s="35">
        <f>SUM(M18:M20)</f>
        <v>663</v>
      </c>
    </row>
    <row r="18" spans="1:13" ht="13.5" customHeight="1">
      <c r="A18" s="16" t="s">
        <v>29</v>
      </c>
      <c r="B18" s="2"/>
      <c r="C18" s="18"/>
      <c r="D18" s="18"/>
      <c r="E18" s="18"/>
      <c r="F18" s="18"/>
      <c r="G18" s="18"/>
      <c r="H18" s="250" t="s">
        <v>52</v>
      </c>
      <c r="I18" s="213">
        <v>0</v>
      </c>
      <c r="J18" s="213">
        <f>'3.'!L56</f>
        <v>63</v>
      </c>
      <c r="K18" s="213">
        <f>'3.'!M56</f>
        <v>63</v>
      </c>
      <c r="L18" s="213">
        <f>'3.'!N56</f>
        <v>63</v>
      </c>
      <c r="M18" s="213">
        <f>'3.'!O56</f>
        <v>63</v>
      </c>
    </row>
    <row r="19" spans="1:13" ht="13.5" customHeight="1">
      <c r="A19" s="16" t="s">
        <v>30</v>
      </c>
      <c r="B19" s="2"/>
      <c r="C19" s="18"/>
      <c r="D19" s="18"/>
      <c r="E19" s="18"/>
      <c r="F19" s="18"/>
      <c r="G19" s="18"/>
      <c r="H19" s="250" t="s">
        <v>53</v>
      </c>
      <c r="I19" s="213">
        <v>0</v>
      </c>
      <c r="J19" s="213">
        <f>'3.'!L57</f>
        <v>0</v>
      </c>
      <c r="K19" s="213">
        <f>'3.'!M57</f>
        <v>0</v>
      </c>
      <c r="L19" s="213">
        <f>'3.'!N57</f>
        <v>0</v>
      </c>
      <c r="M19" s="213">
        <f>'3.'!O57</f>
        <v>0</v>
      </c>
    </row>
    <row r="20" spans="1:13" ht="13.5" customHeight="1">
      <c r="A20" s="16" t="s">
        <v>31</v>
      </c>
      <c r="B20" s="2"/>
      <c r="C20" s="18"/>
      <c r="D20" s="18"/>
      <c r="E20" s="18"/>
      <c r="F20" s="18"/>
      <c r="G20" s="18"/>
      <c r="H20" s="250" t="s">
        <v>245</v>
      </c>
      <c r="I20" s="38">
        <v>0</v>
      </c>
      <c r="J20" s="37">
        <f>'3.'!L58</f>
        <v>600</v>
      </c>
      <c r="K20" s="37">
        <f>'3.'!M58</f>
        <v>600</v>
      </c>
      <c r="L20" s="37">
        <f>'3.'!N58</f>
        <v>600</v>
      </c>
      <c r="M20" s="37">
        <f>'3.'!O58</f>
        <v>600</v>
      </c>
    </row>
    <row r="21" spans="1:13" ht="12.75" customHeight="1">
      <c r="A21" s="16" t="s">
        <v>73</v>
      </c>
      <c r="B21" s="11" t="s">
        <v>54</v>
      </c>
      <c r="C21" s="17">
        <f>SUM(C6+C10+C14+C16)</f>
        <v>375026</v>
      </c>
      <c r="D21" s="17">
        <f>SUM(D6+D10+D14+D16)</f>
        <v>431405</v>
      </c>
      <c r="E21" s="17">
        <f>SUM(E6+E10+E14+E16)</f>
        <v>442651</v>
      </c>
      <c r="F21" s="17">
        <f>SUM(F6+F10+F14+F16)</f>
        <v>423131</v>
      </c>
      <c r="G21" s="17">
        <f>SUM(G6+G10+G14+G16)</f>
        <v>431502</v>
      </c>
      <c r="H21" s="251" t="s">
        <v>56</v>
      </c>
      <c r="I21" s="39">
        <f>SUM(I6:I10)</f>
        <v>377413</v>
      </c>
      <c r="J21" s="39">
        <f>SUM(J6:J10)</f>
        <v>451508</v>
      </c>
      <c r="K21" s="39">
        <f>SUM(K6:K10)</f>
        <v>463843</v>
      </c>
      <c r="L21" s="39">
        <f>SUM(L6:L10)</f>
        <v>452612</v>
      </c>
      <c r="M21" s="39">
        <f>SUM(M6:M10)</f>
        <v>460983</v>
      </c>
    </row>
    <row r="22" spans="1:13" ht="13.5" customHeight="1">
      <c r="A22" s="26">
        <v>17</v>
      </c>
      <c r="B22" s="11" t="s">
        <v>55</v>
      </c>
      <c r="C22" s="17">
        <f>SUM(C9+C15+C17)</f>
        <v>89982</v>
      </c>
      <c r="D22" s="17">
        <f>SUM(D9+D15+D17)</f>
        <v>128574</v>
      </c>
      <c r="E22" s="17">
        <f>SUM(E9+E15+E17)</f>
        <v>212863</v>
      </c>
      <c r="F22" s="17">
        <f>SUM(F9+F15+F17)</f>
        <v>252450</v>
      </c>
      <c r="G22" s="17">
        <f>SUM(G9+G15+G17)</f>
        <v>252450</v>
      </c>
      <c r="H22" s="251" t="s">
        <v>58</v>
      </c>
      <c r="I22" s="39">
        <f>SUM(I15:I17)</f>
        <v>200466</v>
      </c>
      <c r="J22" s="39">
        <f>SUM(J15:J17)</f>
        <v>221342</v>
      </c>
      <c r="K22" s="39">
        <f>SUM(K15:K17)</f>
        <v>304542</v>
      </c>
      <c r="L22" s="39">
        <f>SUM(L15:L17)</f>
        <v>335840</v>
      </c>
      <c r="M22" s="39">
        <f>SUM(M15:M17)</f>
        <v>335840</v>
      </c>
    </row>
    <row r="23" spans="1:13" s="29" customFormat="1" ht="12.75" customHeight="1">
      <c r="A23" s="16" t="s">
        <v>74</v>
      </c>
      <c r="B23" s="27" t="s">
        <v>59</v>
      </c>
      <c r="C23" s="28">
        <f>SUM(C21+C22)</f>
        <v>465008</v>
      </c>
      <c r="D23" s="28">
        <f>SUM(D21+D22)</f>
        <v>559979</v>
      </c>
      <c r="E23" s="28">
        <f>SUM(E21+E22)</f>
        <v>655514</v>
      </c>
      <c r="F23" s="28">
        <f>SUM(F21+F22)</f>
        <v>675581</v>
      </c>
      <c r="G23" s="28">
        <f>SUM(G21+G22)</f>
        <v>683952</v>
      </c>
      <c r="H23" s="252" t="s">
        <v>60</v>
      </c>
      <c r="I23" s="40">
        <f>SUM(I21+I22)</f>
        <v>577879</v>
      </c>
      <c r="J23" s="40">
        <f>SUM(J21+J22)</f>
        <v>672850</v>
      </c>
      <c r="K23" s="40">
        <f>SUM(K21+K22)</f>
        <v>768385</v>
      </c>
      <c r="L23" s="40">
        <f>SUM(L21+L22)</f>
        <v>788452</v>
      </c>
      <c r="M23" s="40">
        <f>SUM(M21+M22)</f>
        <v>796823</v>
      </c>
    </row>
    <row r="24" spans="1:13" ht="14.25" customHeight="1">
      <c r="A24" s="16" t="s">
        <v>75</v>
      </c>
      <c r="B24" s="7"/>
      <c r="C24" s="20"/>
      <c r="D24" s="20"/>
      <c r="E24" s="20"/>
      <c r="F24" s="20"/>
      <c r="G24" s="20"/>
      <c r="H24" s="253" t="s">
        <v>12</v>
      </c>
      <c r="I24" s="38">
        <v>7077</v>
      </c>
      <c r="J24" s="38">
        <f>'3.'!L61</f>
        <v>7077</v>
      </c>
      <c r="K24" s="38">
        <f>'3.'!M61</f>
        <v>7077</v>
      </c>
      <c r="L24" s="38">
        <f>'3.'!N61</f>
        <v>7077</v>
      </c>
      <c r="M24" s="38">
        <f>'3.'!O61</f>
        <v>7077</v>
      </c>
    </row>
    <row r="25" spans="1:13" ht="13.5" customHeight="1">
      <c r="A25" s="16" t="s">
        <v>76</v>
      </c>
      <c r="B25" s="3"/>
      <c r="C25" s="19"/>
      <c r="D25" s="19"/>
      <c r="E25" s="19"/>
      <c r="F25" s="19"/>
      <c r="G25" s="19"/>
      <c r="H25" s="254" t="s">
        <v>13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</row>
    <row r="26" spans="1:13" ht="13.5" customHeight="1">
      <c r="A26" s="16" t="s">
        <v>77</v>
      </c>
      <c r="B26" s="3"/>
      <c r="C26" s="19"/>
      <c r="D26" s="19"/>
      <c r="E26" s="19"/>
      <c r="F26" s="19"/>
      <c r="G26" s="19"/>
      <c r="H26" s="252" t="s">
        <v>14</v>
      </c>
      <c r="I26" s="77">
        <f>SUM(I24:I25)</f>
        <v>7077</v>
      </c>
      <c r="J26" s="77">
        <f>SUM(J24:J25)</f>
        <v>7077</v>
      </c>
      <c r="K26" s="77">
        <f>SUM(K24:K25)</f>
        <v>7077</v>
      </c>
      <c r="L26" s="77">
        <f>SUM(L24:L25)</f>
        <v>7077</v>
      </c>
      <c r="M26" s="77">
        <f>SUM(M24:M25)</f>
        <v>7077</v>
      </c>
    </row>
    <row r="27" spans="1:13" ht="20.25" customHeight="1">
      <c r="A27" s="16" t="s">
        <v>78</v>
      </c>
      <c r="B27" s="12" t="s">
        <v>432</v>
      </c>
      <c r="C27" s="17">
        <f>SUM(C28)</f>
        <v>119948</v>
      </c>
      <c r="D27" s="17">
        <f>SUM(D28)</f>
        <v>119948</v>
      </c>
      <c r="E27" s="17">
        <f>SUM(E28)</f>
        <v>119948</v>
      </c>
      <c r="F27" s="17">
        <f>SUM(F28)</f>
        <v>119948</v>
      </c>
      <c r="G27" s="17">
        <f>SUM(G28)</f>
        <v>119948</v>
      </c>
      <c r="H27" s="255" t="s">
        <v>15</v>
      </c>
      <c r="I27" s="42">
        <f>SUM(C23-I23)</f>
        <v>-112871</v>
      </c>
      <c r="J27" s="42">
        <f>SUM(D23-J23)</f>
        <v>-112871</v>
      </c>
      <c r="K27" s="42">
        <f>SUM(E23-K23)</f>
        <v>-112871</v>
      </c>
      <c r="L27" s="42">
        <f>SUM(F23-L23)</f>
        <v>-112871</v>
      </c>
      <c r="M27" s="42">
        <f>SUM(G23-M23)</f>
        <v>-112871</v>
      </c>
    </row>
    <row r="28" spans="1:13" ht="15.75" customHeight="1">
      <c r="A28" s="16" t="s">
        <v>79</v>
      </c>
      <c r="B28" s="12" t="s">
        <v>61</v>
      </c>
      <c r="C28" s="17">
        <f>SUM(C29+C30)</f>
        <v>119948</v>
      </c>
      <c r="D28" s="17">
        <f>SUM(D29+D30)</f>
        <v>119948</v>
      </c>
      <c r="E28" s="17">
        <f>SUM(E29+E30)</f>
        <v>119948</v>
      </c>
      <c r="F28" s="17">
        <f>SUM(F29+F30)</f>
        <v>119948</v>
      </c>
      <c r="G28" s="17">
        <f>SUM(G29+G30)</f>
        <v>119948</v>
      </c>
      <c r="H28" s="256" t="s">
        <v>16</v>
      </c>
      <c r="I28" s="18">
        <f aca="true" t="shared" si="0" ref="I28:M29">SUM(C21-I21)</f>
        <v>-2387</v>
      </c>
      <c r="J28" s="37">
        <f t="shared" si="0"/>
        <v>-20103</v>
      </c>
      <c r="K28" s="37">
        <f t="shared" si="0"/>
        <v>-21192</v>
      </c>
      <c r="L28" s="37">
        <f t="shared" si="0"/>
        <v>-29481</v>
      </c>
      <c r="M28" s="37">
        <f t="shared" si="0"/>
        <v>-29481</v>
      </c>
    </row>
    <row r="29" spans="1:13" ht="12.75" customHeight="1">
      <c r="A29" s="16" t="s">
        <v>80</v>
      </c>
      <c r="B29" s="3" t="s">
        <v>62</v>
      </c>
      <c r="C29" s="19">
        <v>9464</v>
      </c>
      <c r="D29" s="19">
        <v>27180</v>
      </c>
      <c r="E29" s="19">
        <v>28269</v>
      </c>
      <c r="F29" s="19">
        <v>36558</v>
      </c>
      <c r="G29" s="19">
        <v>36558</v>
      </c>
      <c r="H29" s="250" t="s">
        <v>17</v>
      </c>
      <c r="I29" s="37">
        <f t="shared" si="0"/>
        <v>-110484</v>
      </c>
      <c r="J29" s="37">
        <f t="shared" si="0"/>
        <v>-92768</v>
      </c>
      <c r="K29" s="37">
        <f t="shared" si="0"/>
        <v>-91679</v>
      </c>
      <c r="L29" s="37">
        <f t="shared" si="0"/>
        <v>-83390</v>
      </c>
      <c r="M29" s="37">
        <f t="shared" si="0"/>
        <v>-83390</v>
      </c>
    </row>
    <row r="30" spans="1:13" ht="12.75" customHeight="1">
      <c r="A30" s="16" t="s">
        <v>81</v>
      </c>
      <c r="B30" s="3" t="s">
        <v>63</v>
      </c>
      <c r="C30" s="20">
        <v>110484</v>
      </c>
      <c r="D30" s="20">
        <v>92768</v>
      </c>
      <c r="E30" s="20">
        <v>91679</v>
      </c>
      <c r="F30" s="20">
        <v>83390</v>
      </c>
      <c r="G30" s="20">
        <v>83390</v>
      </c>
      <c r="H30" s="250"/>
      <c r="I30" s="37"/>
      <c r="J30" s="37"/>
      <c r="K30" s="37"/>
      <c r="L30" s="37"/>
      <c r="M30" s="37"/>
    </row>
    <row r="31" spans="1:13" ht="12.75" customHeight="1">
      <c r="A31" s="16" t="s">
        <v>82</v>
      </c>
      <c r="B31" s="12" t="s">
        <v>70</v>
      </c>
      <c r="C31" s="23">
        <v>0</v>
      </c>
      <c r="D31" s="23">
        <v>0</v>
      </c>
      <c r="E31" s="23"/>
      <c r="F31" s="23"/>
      <c r="G31" s="23"/>
      <c r="H31" s="250"/>
      <c r="I31" s="37"/>
      <c r="J31" s="37"/>
      <c r="K31" s="37"/>
      <c r="L31" s="37"/>
      <c r="M31" s="37"/>
    </row>
    <row r="32" spans="1:13" ht="15.75" customHeight="1">
      <c r="A32" s="16" t="s">
        <v>83</v>
      </c>
      <c r="B32" s="3" t="s">
        <v>64</v>
      </c>
      <c r="C32" s="22">
        <v>0</v>
      </c>
      <c r="D32" s="22">
        <v>0</v>
      </c>
      <c r="E32" s="22"/>
      <c r="F32" s="22"/>
      <c r="G32" s="22"/>
      <c r="H32" s="250"/>
      <c r="I32" s="37"/>
      <c r="J32" s="37"/>
      <c r="K32" s="37"/>
      <c r="L32" s="37"/>
      <c r="M32" s="37"/>
    </row>
    <row r="33" spans="1:13" ht="12.75" customHeight="1">
      <c r="A33" s="26">
        <v>28</v>
      </c>
      <c r="B33" s="3" t="s">
        <v>65</v>
      </c>
      <c r="C33" s="22">
        <v>0</v>
      </c>
      <c r="D33" s="22">
        <v>0</v>
      </c>
      <c r="E33" s="22"/>
      <c r="F33" s="22"/>
      <c r="G33" s="22"/>
      <c r="H33" s="250"/>
      <c r="I33" s="37"/>
      <c r="J33" s="37"/>
      <c r="K33" s="37"/>
      <c r="L33" s="37"/>
      <c r="M33" s="37"/>
    </row>
    <row r="34" spans="1:13" s="29" customFormat="1" ht="13.5" customHeight="1">
      <c r="A34" s="16" t="s">
        <v>84</v>
      </c>
      <c r="B34" s="30" t="s">
        <v>71</v>
      </c>
      <c r="C34" s="31">
        <f>SUM(C23+C27)</f>
        <v>584956</v>
      </c>
      <c r="D34" s="31">
        <f>SUM(D23+D27)</f>
        <v>679927</v>
      </c>
      <c r="E34" s="31">
        <f>SUM(E23+E27)</f>
        <v>775462</v>
      </c>
      <c r="F34" s="31">
        <f>SUM(F23+F27)</f>
        <v>795529</v>
      </c>
      <c r="G34" s="31">
        <f>SUM(G23+G27)</f>
        <v>803900</v>
      </c>
      <c r="H34" s="257" t="s">
        <v>18</v>
      </c>
      <c r="I34" s="43">
        <f>SUM(I23+I26)</f>
        <v>584956</v>
      </c>
      <c r="J34" s="43">
        <f>SUM(J23+J26)</f>
        <v>679927</v>
      </c>
      <c r="K34" s="43">
        <f>SUM(K23+K26)</f>
        <v>775462</v>
      </c>
      <c r="L34" s="43">
        <f>SUM(L23+L26)</f>
        <v>795529</v>
      </c>
      <c r="M34" s="43">
        <f>SUM(M23+M26)</f>
        <v>803900</v>
      </c>
    </row>
    <row r="35" spans="1:13" ht="13.5" customHeight="1">
      <c r="A35" s="16" t="s">
        <v>85</v>
      </c>
      <c r="B35" s="5" t="s">
        <v>66</v>
      </c>
      <c r="C35" s="21">
        <f aca="true" t="shared" si="1" ref="C35:G36">SUM(C21+C29)</f>
        <v>384490</v>
      </c>
      <c r="D35" s="21">
        <f t="shared" si="1"/>
        <v>458585</v>
      </c>
      <c r="E35" s="21">
        <f t="shared" si="1"/>
        <v>470920</v>
      </c>
      <c r="F35" s="21">
        <f>SUM(F21+F29)</f>
        <v>459689</v>
      </c>
      <c r="G35" s="21">
        <f t="shared" si="1"/>
        <v>468060</v>
      </c>
      <c r="H35" s="249" t="s">
        <v>68</v>
      </c>
      <c r="I35" s="37">
        <f aca="true" t="shared" si="2" ref="I35:M36">SUM(I21+I24)</f>
        <v>384490</v>
      </c>
      <c r="J35" s="37">
        <f t="shared" si="2"/>
        <v>458585</v>
      </c>
      <c r="K35" s="37">
        <f t="shared" si="2"/>
        <v>470920</v>
      </c>
      <c r="L35" s="37">
        <f>SUM(L21+L24)</f>
        <v>459689</v>
      </c>
      <c r="M35" s="37">
        <f t="shared" si="2"/>
        <v>468060</v>
      </c>
    </row>
    <row r="36" spans="1:13" ht="13.5" customHeight="1" thickBot="1">
      <c r="A36" s="136" t="s">
        <v>246</v>
      </c>
      <c r="B36" s="32" t="s">
        <v>67</v>
      </c>
      <c r="C36" s="33">
        <f t="shared" si="1"/>
        <v>200466</v>
      </c>
      <c r="D36" s="33">
        <f t="shared" si="1"/>
        <v>221342</v>
      </c>
      <c r="E36" s="33">
        <f t="shared" si="1"/>
        <v>304542</v>
      </c>
      <c r="F36" s="33">
        <f>SUM(F22+F30)</f>
        <v>335840</v>
      </c>
      <c r="G36" s="33">
        <f t="shared" si="1"/>
        <v>335840</v>
      </c>
      <c r="H36" s="258" t="s">
        <v>69</v>
      </c>
      <c r="I36" s="88">
        <f t="shared" si="2"/>
        <v>200466</v>
      </c>
      <c r="J36" s="88">
        <f t="shared" si="2"/>
        <v>221342</v>
      </c>
      <c r="K36" s="88">
        <f t="shared" si="2"/>
        <v>304542</v>
      </c>
      <c r="L36" s="88">
        <f>SUM(L22+L25)</f>
        <v>335840</v>
      </c>
      <c r="M36" s="88">
        <f t="shared" si="2"/>
        <v>335840</v>
      </c>
    </row>
    <row r="37" spans="1:7" ht="12.75" customHeight="1">
      <c r="A37" s="4"/>
      <c r="B37" s="4"/>
      <c r="C37" s="4"/>
      <c r="D37" s="4"/>
      <c r="E37" s="4"/>
      <c r="F37" s="4"/>
      <c r="G37" s="4"/>
    </row>
  </sheetData>
  <sheetProtection/>
  <mergeCells count="1">
    <mergeCell ref="A1:M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1">
      <selection activeCell="F23" sqref="F23"/>
    </sheetView>
  </sheetViews>
  <sheetFormatPr defaultColWidth="9.28125" defaultRowHeight="15"/>
  <cols>
    <col min="1" max="1" width="5.8515625" style="57" customWidth="1"/>
    <col min="2" max="2" width="54.7109375" style="58" customWidth="1"/>
    <col min="3" max="3" width="18.140625" style="58" customWidth="1"/>
    <col min="4" max="4" width="16.00390625" style="58" customWidth="1"/>
    <col min="5" max="5" width="16.421875" style="58" customWidth="1"/>
    <col min="6" max="6" width="15.7109375" style="58" customWidth="1"/>
    <col min="7" max="7" width="11.7109375" style="57" customWidth="1"/>
    <col min="8" max="16384" width="9.28125" style="57" customWidth="1"/>
  </cols>
  <sheetData>
    <row r="3" spans="1:6" ht="20.25" customHeight="1">
      <c r="A3" s="330" t="s">
        <v>289</v>
      </c>
      <c r="B3" s="331"/>
      <c r="C3" s="331"/>
      <c r="D3" s="331"/>
      <c r="E3" s="331"/>
      <c r="F3" s="57"/>
    </row>
    <row r="5" spans="1:6" ht="26.25" customHeight="1" thickBot="1">
      <c r="A5" s="58"/>
      <c r="B5" s="59"/>
      <c r="C5" s="237"/>
      <c r="D5" s="237" t="s">
        <v>392</v>
      </c>
      <c r="E5" s="236"/>
      <c r="F5" s="236" t="s">
        <v>290</v>
      </c>
    </row>
    <row r="6" spans="1:6" s="63" customFormat="1" ht="49.5" customHeight="1" thickBot="1">
      <c r="A6" s="60" t="s">
        <v>162</v>
      </c>
      <c r="B6" s="61" t="s">
        <v>208</v>
      </c>
      <c r="C6" s="62" t="s">
        <v>262</v>
      </c>
      <c r="D6" s="62" t="s">
        <v>230</v>
      </c>
      <c r="E6" s="62" t="s">
        <v>400</v>
      </c>
      <c r="F6" s="62" t="s">
        <v>410</v>
      </c>
    </row>
    <row r="7" spans="1:6" s="65" customFormat="1" ht="18" customHeight="1" thickBot="1">
      <c r="A7" s="74"/>
      <c r="B7" s="61" t="s">
        <v>6</v>
      </c>
      <c r="C7" s="64" t="s">
        <v>7</v>
      </c>
      <c r="D7" s="64" t="s">
        <v>8</v>
      </c>
      <c r="E7" s="64" t="s">
        <v>357</v>
      </c>
      <c r="F7" s="64" t="s">
        <v>104</v>
      </c>
    </row>
    <row r="8" spans="1:6" s="65" customFormat="1" ht="18" customHeight="1">
      <c r="A8" s="326" t="s">
        <v>217</v>
      </c>
      <c r="B8" s="327"/>
      <c r="C8" s="80"/>
      <c r="D8" s="80"/>
      <c r="E8" s="80"/>
      <c r="F8" s="80"/>
    </row>
    <row r="9" spans="1:6" s="65" customFormat="1" ht="18" customHeight="1">
      <c r="A9" s="83">
        <v>1</v>
      </c>
      <c r="B9" s="66" t="s">
        <v>291</v>
      </c>
      <c r="C9" s="147">
        <f>SUM(C10:C22)</f>
        <v>49779</v>
      </c>
      <c r="D9" s="147">
        <f>SUM(D10:D22)</f>
        <v>47726</v>
      </c>
      <c r="E9" s="147">
        <f>SUM(E10:E22)</f>
        <v>47726</v>
      </c>
      <c r="F9" s="147">
        <f>SUM(F10:F22)</f>
        <v>66287</v>
      </c>
    </row>
    <row r="10" spans="1:6" s="65" customFormat="1" ht="18" customHeight="1">
      <c r="A10" s="83">
        <v>2</v>
      </c>
      <c r="B10" s="67" t="s">
        <v>292</v>
      </c>
      <c r="C10" s="82">
        <v>6361</v>
      </c>
      <c r="D10" s="82">
        <v>2368</v>
      </c>
      <c r="E10" s="82">
        <v>2368</v>
      </c>
      <c r="F10" s="82">
        <v>2530</v>
      </c>
    </row>
    <row r="11" spans="1:6" ht="15.75" customHeight="1">
      <c r="A11" s="83">
        <v>3</v>
      </c>
      <c r="B11" s="145" t="s">
        <v>295</v>
      </c>
      <c r="C11" s="146">
        <v>7080</v>
      </c>
      <c r="D11" s="146">
        <v>7080</v>
      </c>
      <c r="E11" s="146">
        <v>7080</v>
      </c>
      <c r="F11" s="227">
        <v>0</v>
      </c>
    </row>
    <row r="12" spans="1:6" ht="15.75" customHeight="1">
      <c r="A12" s="83">
        <v>4</v>
      </c>
      <c r="B12" s="67" t="s">
        <v>296</v>
      </c>
      <c r="C12" s="68">
        <v>31338</v>
      </c>
      <c r="D12" s="68">
        <v>32232</v>
      </c>
      <c r="E12" s="68">
        <v>32232</v>
      </c>
      <c r="F12" s="68">
        <v>32232</v>
      </c>
    </row>
    <row r="13" spans="1:6" ht="15.75" customHeight="1">
      <c r="A13" s="83">
        <v>5</v>
      </c>
      <c r="B13" s="67" t="s">
        <v>297</v>
      </c>
      <c r="C13" s="68">
        <v>2381</v>
      </c>
      <c r="D13" s="68">
        <v>2381</v>
      </c>
      <c r="E13" s="68">
        <v>2381</v>
      </c>
      <c r="F13" s="68">
        <v>2381</v>
      </c>
    </row>
    <row r="14" spans="1:6" ht="15.75" customHeight="1">
      <c r="A14" s="83">
        <v>6</v>
      </c>
      <c r="B14" s="67" t="s">
        <v>298</v>
      </c>
      <c r="C14" s="68">
        <v>1430</v>
      </c>
      <c r="D14" s="68">
        <v>1430</v>
      </c>
      <c r="E14" s="68">
        <v>1430</v>
      </c>
      <c r="F14" s="68">
        <v>1430</v>
      </c>
    </row>
    <row r="15" spans="1:6" ht="30.75" customHeight="1">
      <c r="A15" s="83">
        <v>7</v>
      </c>
      <c r="B15" s="67" t="s">
        <v>299</v>
      </c>
      <c r="C15" s="68">
        <v>559</v>
      </c>
      <c r="D15" s="68">
        <v>559</v>
      </c>
      <c r="E15" s="68">
        <v>559</v>
      </c>
      <c r="F15" s="68">
        <v>559</v>
      </c>
    </row>
    <row r="16" spans="1:6" ht="15.75" customHeight="1">
      <c r="A16" s="83">
        <v>8</v>
      </c>
      <c r="B16" s="67" t="s">
        <v>300</v>
      </c>
      <c r="C16" s="68">
        <v>630</v>
      </c>
      <c r="D16" s="87">
        <v>0</v>
      </c>
      <c r="E16" s="87">
        <v>0</v>
      </c>
      <c r="F16" s="87">
        <v>0</v>
      </c>
    </row>
    <row r="17" spans="1:6" ht="33" customHeight="1">
      <c r="A17" s="83">
        <v>9</v>
      </c>
      <c r="B17" s="67" t="s">
        <v>365</v>
      </c>
      <c r="C17" s="87">
        <v>0</v>
      </c>
      <c r="D17" s="68">
        <f>500+748</f>
        <v>1248</v>
      </c>
      <c r="E17" s="68">
        <f>500+748</f>
        <v>1248</v>
      </c>
      <c r="F17" s="68">
        <f>500+748</f>
        <v>1248</v>
      </c>
    </row>
    <row r="18" spans="1:6" ht="33" customHeight="1">
      <c r="A18" s="83">
        <v>10</v>
      </c>
      <c r="B18" s="67" t="s">
        <v>386</v>
      </c>
      <c r="C18" s="87">
        <v>0</v>
      </c>
      <c r="D18" s="68">
        <v>428</v>
      </c>
      <c r="E18" s="68">
        <v>428</v>
      </c>
      <c r="F18" s="68">
        <v>428</v>
      </c>
    </row>
    <row r="19" spans="1:6" ht="24" customHeight="1">
      <c r="A19" s="83">
        <v>11</v>
      </c>
      <c r="B19" s="67" t="s">
        <v>415</v>
      </c>
      <c r="C19" s="87">
        <v>0</v>
      </c>
      <c r="D19" s="87">
        <v>0</v>
      </c>
      <c r="E19" s="87">
        <v>0</v>
      </c>
      <c r="F19" s="87">
        <v>16535</v>
      </c>
    </row>
    <row r="20" spans="1:6" ht="21" customHeight="1">
      <c r="A20" s="83">
        <v>12</v>
      </c>
      <c r="B20" s="67" t="s">
        <v>417</v>
      </c>
      <c r="C20" s="87">
        <v>0</v>
      </c>
      <c r="D20" s="87">
        <v>0</v>
      </c>
      <c r="E20" s="87">
        <v>0</v>
      </c>
      <c r="F20" s="87">
        <v>4074</v>
      </c>
    </row>
    <row r="21" spans="1:6" ht="19.5" customHeight="1">
      <c r="A21" s="83">
        <v>13</v>
      </c>
      <c r="B21" s="67" t="s">
        <v>420</v>
      </c>
      <c r="C21" s="87">
        <v>0</v>
      </c>
      <c r="D21" s="87">
        <v>0</v>
      </c>
      <c r="E21" s="87">
        <v>0</v>
      </c>
      <c r="F21" s="87">
        <v>933</v>
      </c>
    </row>
    <row r="22" spans="1:6" ht="19.5" customHeight="1">
      <c r="A22" s="83">
        <v>14</v>
      </c>
      <c r="B22" s="67" t="s">
        <v>421</v>
      </c>
      <c r="C22" s="87">
        <v>0</v>
      </c>
      <c r="D22" s="87">
        <v>0</v>
      </c>
      <c r="E22" s="87">
        <v>0</v>
      </c>
      <c r="F22" s="87">
        <v>3937</v>
      </c>
    </row>
    <row r="23" spans="1:6" ht="15.75" customHeight="1">
      <c r="A23" s="83">
        <v>15</v>
      </c>
      <c r="B23" s="66" t="s">
        <v>293</v>
      </c>
      <c r="C23" s="86">
        <f>SUM(C24:C24)</f>
        <v>12855</v>
      </c>
      <c r="D23" s="86">
        <f>SUM(D24:D24)</f>
        <v>12886</v>
      </c>
      <c r="E23" s="86">
        <f>SUM(E24:E24)</f>
        <v>12886</v>
      </c>
      <c r="F23" s="86">
        <f>SUM(F24:F24)</f>
        <v>17854</v>
      </c>
    </row>
    <row r="24" spans="1:6" ht="15.75" customHeight="1" thickBot="1">
      <c r="A24" s="83">
        <v>16</v>
      </c>
      <c r="B24" s="67" t="s">
        <v>222</v>
      </c>
      <c r="C24" s="85">
        <v>12855</v>
      </c>
      <c r="D24" s="85">
        <v>12886</v>
      </c>
      <c r="E24" s="85">
        <f>12886</f>
        <v>12886</v>
      </c>
      <c r="F24" s="85">
        <f>12886+4465+1100+252+1063-1912</f>
        <v>17854</v>
      </c>
    </row>
    <row r="25" spans="1:6" s="72" customFormat="1" ht="18" customHeight="1" thickBot="1">
      <c r="A25" s="83">
        <v>17</v>
      </c>
      <c r="B25" s="70" t="s">
        <v>294</v>
      </c>
      <c r="C25" s="148">
        <f>C9+C23</f>
        <v>62634</v>
      </c>
      <c r="D25" s="148">
        <f>D9+D23</f>
        <v>60612</v>
      </c>
      <c r="E25" s="148">
        <f>E9+E23</f>
        <v>60612</v>
      </c>
      <c r="F25" s="148">
        <f>F9+F23</f>
        <v>84141</v>
      </c>
    </row>
  </sheetData>
  <sheetProtection/>
  <mergeCells count="2">
    <mergeCell ref="A8:B8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1">
      <selection activeCell="D9" sqref="D9"/>
    </sheetView>
  </sheetViews>
  <sheetFormatPr defaultColWidth="9.28125" defaultRowHeight="15"/>
  <cols>
    <col min="1" max="1" width="52.7109375" style="58" customWidth="1"/>
    <col min="2" max="2" width="23.421875" style="58" customWidth="1"/>
    <col min="3" max="3" width="26.7109375" style="58" customWidth="1"/>
    <col min="4" max="4" width="27.28125" style="58" customWidth="1"/>
    <col min="5" max="5" width="11.7109375" style="57" customWidth="1"/>
    <col min="6" max="16384" width="9.28125" style="57" customWidth="1"/>
  </cols>
  <sheetData>
    <row r="3" spans="1:4" ht="20.25" customHeight="1">
      <c r="A3" s="330" t="s">
        <v>301</v>
      </c>
      <c r="B3" s="331"/>
      <c r="C3" s="331"/>
      <c r="D3" s="331"/>
    </row>
    <row r="5" spans="1:4" ht="26.25" customHeight="1" thickBot="1">
      <c r="A5" s="59"/>
      <c r="B5" s="150"/>
      <c r="C5" s="236"/>
      <c r="D5" s="236" t="s">
        <v>302</v>
      </c>
    </row>
    <row r="6" spans="1:4" ht="26.25" customHeight="1" thickBot="1">
      <c r="A6" s="332" t="s">
        <v>303</v>
      </c>
      <c r="B6" s="61" t="s">
        <v>305</v>
      </c>
      <c r="C6" s="61" t="s">
        <v>401</v>
      </c>
      <c r="D6" s="61" t="s">
        <v>402</v>
      </c>
    </row>
    <row r="7" spans="1:4" s="63" customFormat="1" ht="49.5" customHeight="1" thickBot="1">
      <c r="A7" s="333"/>
      <c r="B7" s="61" t="s">
        <v>304</v>
      </c>
      <c r="C7" s="61" t="s">
        <v>304</v>
      </c>
      <c r="D7" s="61" t="s">
        <v>304</v>
      </c>
    </row>
    <row r="8" spans="1:4" s="65" customFormat="1" ht="18" customHeight="1" thickBot="1">
      <c r="A8" s="61" t="s">
        <v>6</v>
      </c>
      <c r="B8" s="64" t="s">
        <v>7</v>
      </c>
      <c r="C8" s="64" t="s">
        <v>8</v>
      </c>
      <c r="D8" s="64" t="s">
        <v>357</v>
      </c>
    </row>
    <row r="9" spans="1:4" s="65" customFormat="1" ht="18" customHeight="1">
      <c r="A9" s="152" t="s">
        <v>306</v>
      </c>
      <c r="B9" s="168"/>
      <c r="C9" s="169"/>
      <c r="D9" s="169"/>
    </row>
    <row r="10" spans="1:4" s="65" customFormat="1" ht="18" customHeight="1">
      <c r="A10" s="153" t="s">
        <v>309</v>
      </c>
      <c r="B10" s="170">
        <v>11</v>
      </c>
      <c r="C10" s="171">
        <v>11</v>
      </c>
      <c r="D10" s="171">
        <v>11</v>
      </c>
    </row>
    <row r="11" spans="1:4" s="65" customFormat="1" ht="18" customHeight="1" thickBot="1">
      <c r="A11" s="151" t="s">
        <v>310</v>
      </c>
      <c r="B11" s="172">
        <v>2</v>
      </c>
      <c r="C11" s="173">
        <v>2</v>
      </c>
      <c r="D11" s="173">
        <v>2</v>
      </c>
    </row>
    <row r="12" spans="1:4" ht="15.75" customHeight="1" thickBot="1">
      <c r="A12" s="154" t="s">
        <v>323</v>
      </c>
      <c r="B12" s="174">
        <f>SUM(B10:B11)</f>
        <v>13</v>
      </c>
      <c r="C12" s="174">
        <f>SUM(C10:C11)</f>
        <v>13</v>
      </c>
      <c r="D12" s="174">
        <f>SUM(D10:D11)</f>
        <v>13</v>
      </c>
    </row>
    <row r="13" spans="1:4" ht="15.75" customHeight="1">
      <c r="A13" s="155"/>
      <c r="B13" s="159"/>
      <c r="C13" s="156"/>
      <c r="D13" s="156"/>
    </row>
    <row r="14" spans="1:4" ht="15.75" customHeight="1">
      <c r="A14" s="157" t="s">
        <v>307</v>
      </c>
      <c r="B14" s="160"/>
      <c r="C14" s="158"/>
      <c r="D14" s="158"/>
    </row>
    <row r="15" spans="1:4" ht="15.75" customHeight="1">
      <c r="A15" s="157" t="s">
        <v>308</v>
      </c>
      <c r="B15" s="161">
        <v>2.5</v>
      </c>
      <c r="C15" s="162">
        <v>2.5</v>
      </c>
      <c r="D15" s="162">
        <v>2.5</v>
      </c>
    </row>
    <row r="16" spans="1:4" ht="30.75" customHeight="1">
      <c r="A16" s="157" t="s">
        <v>311</v>
      </c>
      <c r="B16" s="161">
        <v>6</v>
      </c>
      <c r="C16" s="162">
        <v>6</v>
      </c>
      <c r="D16" s="162">
        <v>6</v>
      </c>
    </row>
    <row r="17" spans="1:4" ht="15.75" customHeight="1">
      <c r="A17" s="157" t="s">
        <v>312</v>
      </c>
      <c r="B17" s="161">
        <v>2</v>
      </c>
      <c r="C17" s="162">
        <v>2</v>
      </c>
      <c r="D17" s="162">
        <v>2</v>
      </c>
    </row>
    <row r="18" spans="1:4" ht="15.75" customHeight="1">
      <c r="A18" s="157" t="s">
        <v>313</v>
      </c>
      <c r="B18" s="161">
        <v>2</v>
      </c>
      <c r="C18" s="162">
        <v>2</v>
      </c>
      <c r="D18" s="162">
        <v>2</v>
      </c>
    </row>
    <row r="19" spans="1:4" ht="15.75" customHeight="1">
      <c r="A19" s="157" t="s">
        <v>314</v>
      </c>
      <c r="B19" s="161">
        <v>1</v>
      </c>
      <c r="C19" s="162">
        <v>1</v>
      </c>
      <c r="D19" s="162">
        <v>1</v>
      </c>
    </row>
    <row r="20" spans="1:4" ht="15.75" customHeight="1">
      <c r="A20" s="157" t="s">
        <v>315</v>
      </c>
      <c r="B20" s="161">
        <v>1</v>
      </c>
      <c r="C20" s="162">
        <v>1</v>
      </c>
      <c r="D20" s="162">
        <v>1</v>
      </c>
    </row>
    <row r="21" spans="1:4" ht="15.75" customHeight="1">
      <c r="A21" s="157" t="s">
        <v>316</v>
      </c>
      <c r="B21" s="161">
        <v>1</v>
      </c>
      <c r="C21" s="162">
        <v>1</v>
      </c>
      <c r="D21" s="162">
        <v>1</v>
      </c>
    </row>
    <row r="22" spans="1:4" ht="15.75" customHeight="1">
      <c r="A22" s="157" t="s">
        <v>317</v>
      </c>
      <c r="B22" s="161">
        <v>1</v>
      </c>
      <c r="C22" s="162">
        <v>1</v>
      </c>
      <c r="D22" s="162">
        <v>1</v>
      </c>
    </row>
    <row r="23" spans="1:4" ht="15.75" customHeight="1">
      <c r="A23" s="157" t="s">
        <v>318</v>
      </c>
      <c r="B23" s="163">
        <v>1.5</v>
      </c>
      <c r="C23" s="164">
        <v>1.5</v>
      </c>
      <c r="D23" s="164">
        <v>1.5</v>
      </c>
    </row>
    <row r="24" spans="1:4" ht="15.75" customHeight="1">
      <c r="A24" s="229" t="s">
        <v>319</v>
      </c>
      <c r="B24" s="165">
        <f>SUM(B15:B23)</f>
        <v>18</v>
      </c>
      <c r="C24" s="165">
        <f>SUM(C15:C23)</f>
        <v>18</v>
      </c>
      <c r="D24" s="165">
        <f>SUM(D15:D23)</f>
        <v>18</v>
      </c>
    </row>
    <row r="25" spans="1:4" s="72" customFormat="1" ht="18" customHeight="1" thickBot="1">
      <c r="A25" s="230" t="s">
        <v>320</v>
      </c>
      <c r="B25" s="166">
        <v>6</v>
      </c>
      <c r="C25" s="167">
        <v>37</v>
      </c>
      <c r="D25" s="167">
        <v>37</v>
      </c>
    </row>
    <row r="26" spans="1:4" ht="15.75" thickBot="1">
      <c r="A26" s="154" t="s">
        <v>321</v>
      </c>
      <c r="B26" s="175">
        <f>B24+B25</f>
        <v>24</v>
      </c>
      <c r="C26" s="175">
        <f>C24+C25</f>
        <v>55</v>
      </c>
      <c r="D26" s="175">
        <f>D24+D25</f>
        <v>55</v>
      </c>
    </row>
    <row r="27" spans="1:4" ht="15.75" thickBot="1">
      <c r="A27" s="154" t="s">
        <v>322</v>
      </c>
      <c r="B27" s="175">
        <f>B12+B26</f>
        <v>37</v>
      </c>
      <c r="C27" s="175">
        <f>C12+C26</f>
        <v>68</v>
      </c>
      <c r="D27" s="175">
        <f>D12+D26</f>
        <v>68</v>
      </c>
    </row>
  </sheetData>
  <sheetProtection/>
  <mergeCells count="2">
    <mergeCell ref="A6:A7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9">
      <selection activeCell="H76" sqref="H76"/>
    </sheetView>
  </sheetViews>
  <sheetFormatPr defaultColWidth="9.28125" defaultRowHeight="15"/>
  <cols>
    <col min="1" max="1" width="33.28125" style="176" customWidth="1"/>
    <col min="2" max="5" width="11.7109375" style="176" customWidth="1"/>
    <col min="6" max="6" width="11.28125" style="176" customWidth="1"/>
    <col min="7" max="16384" width="9.28125" style="176" customWidth="1"/>
  </cols>
  <sheetData>
    <row r="1" spans="1:6" ht="27.75" customHeight="1">
      <c r="A1" s="339" t="s">
        <v>355</v>
      </c>
      <c r="B1" s="339"/>
      <c r="C1" s="339"/>
      <c r="D1" s="339"/>
      <c r="E1" s="339"/>
      <c r="F1" s="287"/>
    </row>
    <row r="2" spans="1:6" ht="14.25">
      <c r="A2" s="339"/>
      <c r="B2" s="339"/>
      <c r="C2" s="339"/>
      <c r="D2" s="339"/>
      <c r="E2" s="339"/>
      <c r="F2" s="287"/>
    </row>
    <row r="3" spans="1:6" ht="14.25">
      <c r="A3" s="339" t="s">
        <v>331</v>
      </c>
      <c r="B3" s="287"/>
      <c r="C3" s="287"/>
      <c r="D3" s="287"/>
      <c r="E3" s="287"/>
      <c r="F3" s="287"/>
    </row>
    <row r="4" spans="1:6" ht="14.25">
      <c r="A4" s="177"/>
      <c r="B4" s="340" t="s">
        <v>356</v>
      </c>
      <c r="C4" s="287"/>
      <c r="D4" s="287"/>
      <c r="E4" s="287"/>
      <c r="F4" s="287"/>
    </row>
    <row r="6" spans="1:6" ht="30" customHeight="1">
      <c r="A6" s="212" t="s">
        <v>324</v>
      </c>
      <c r="B6" s="336" t="s">
        <v>345</v>
      </c>
      <c r="C6" s="336"/>
      <c r="D6" s="336"/>
      <c r="E6" s="336"/>
      <c r="F6" s="336"/>
    </row>
    <row r="7" spans="1:6" ht="15">
      <c r="A7" s="178" t="s">
        <v>325</v>
      </c>
      <c r="B7" s="337" t="s">
        <v>346</v>
      </c>
      <c r="C7" s="338"/>
      <c r="D7" s="338"/>
      <c r="E7" s="338"/>
      <c r="F7" s="338"/>
    </row>
    <row r="8" spans="1:6" ht="15.75" thickBot="1">
      <c r="A8" s="178"/>
      <c r="B8" s="178"/>
      <c r="C8" s="334" t="s">
        <v>326</v>
      </c>
      <c r="D8" s="334"/>
      <c r="E8" s="335"/>
      <c r="F8" s="335"/>
    </row>
    <row r="9" spans="1:6" ht="15" thickBot="1">
      <c r="A9" s="179" t="s">
        <v>327</v>
      </c>
      <c r="B9" s="180" t="s">
        <v>328</v>
      </c>
      <c r="C9" s="181" t="s">
        <v>329</v>
      </c>
      <c r="D9" s="181" t="s">
        <v>330</v>
      </c>
      <c r="E9" s="181" t="s">
        <v>331</v>
      </c>
      <c r="F9" s="182" t="s">
        <v>332</v>
      </c>
    </row>
    <row r="10" spans="1:6" ht="14.25">
      <c r="A10" s="183" t="s">
        <v>333</v>
      </c>
      <c r="B10" s="184"/>
      <c r="C10" s="185">
        <v>27652</v>
      </c>
      <c r="D10" s="185"/>
      <c r="E10" s="185">
        <v>18373</v>
      </c>
      <c r="F10" s="186">
        <f>SUM(B10:E10)</f>
        <v>46025</v>
      </c>
    </row>
    <row r="11" spans="1:6" ht="14.25">
      <c r="A11" s="187" t="s">
        <v>334</v>
      </c>
      <c r="B11" s="188"/>
      <c r="C11" s="189">
        <v>27652</v>
      </c>
      <c r="D11" s="190"/>
      <c r="E11" s="189">
        <v>18373</v>
      </c>
      <c r="F11" s="191">
        <f>SUM(C11:E11)</f>
        <v>46025</v>
      </c>
    </row>
    <row r="12" spans="1:6" ht="14.25">
      <c r="A12" s="192" t="s">
        <v>335</v>
      </c>
      <c r="B12" s="193">
        <v>232200</v>
      </c>
      <c r="C12" s="194">
        <f>111608-27652</f>
        <v>83956</v>
      </c>
      <c r="D12" s="194">
        <v>105077</v>
      </c>
      <c r="E12" s="194"/>
      <c r="F12" s="195">
        <f>SUM(B12:E12)</f>
        <v>421233</v>
      </c>
    </row>
    <row r="13" spans="1:6" ht="14.25">
      <c r="A13" s="192" t="s">
        <v>336</v>
      </c>
      <c r="B13" s="196"/>
      <c r="C13" s="194"/>
      <c r="D13" s="197"/>
      <c r="E13" s="194"/>
      <c r="F13" s="195">
        <f>SUM(C13:E13)</f>
        <v>0</v>
      </c>
    </row>
    <row r="14" spans="1:6" ht="14.25">
      <c r="A14" s="192" t="s">
        <v>337</v>
      </c>
      <c r="B14" s="196"/>
      <c r="C14" s="194"/>
      <c r="D14" s="197"/>
      <c r="E14" s="194"/>
      <c r="F14" s="195">
        <f>SUM(C14:E14)</f>
        <v>0</v>
      </c>
    </row>
    <row r="15" spans="1:6" ht="14.25">
      <c r="A15" s="192" t="s">
        <v>338</v>
      </c>
      <c r="B15" s="196"/>
      <c r="C15" s="194"/>
      <c r="D15" s="194"/>
      <c r="E15" s="194"/>
      <c r="F15" s="195">
        <f>SUM(C15:E15)</f>
        <v>0</v>
      </c>
    </row>
    <row r="16" spans="1:6" ht="15" thickBot="1">
      <c r="A16" s="198"/>
      <c r="B16" s="199"/>
      <c r="C16" s="200"/>
      <c r="D16" s="201"/>
      <c r="E16" s="200"/>
      <c r="F16" s="195">
        <f>SUM(C16:E16)</f>
        <v>0</v>
      </c>
    </row>
    <row r="17" spans="1:6" ht="15" thickBot="1">
      <c r="A17" s="202" t="s">
        <v>339</v>
      </c>
      <c r="B17" s="203">
        <v>232200</v>
      </c>
      <c r="C17" s="204">
        <f>C10+SUM(C12:C16)</f>
        <v>111608</v>
      </c>
      <c r="D17" s="204">
        <f>D10+SUM(D12:D16)</f>
        <v>105077</v>
      </c>
      <c r="E17" s="204">
        <f>E10+SUM(E12:E16)</f>
        <v>18373</v>
      </c>
      <c r="F17" s="205">
        <f>F10+SUM(F12:F16)</f>
        <v>467258</v>
      </c>
    </row>
    <row r="18" spans="1:6" ht="15" thickBot="1">
      <c r="A18" s="206"/>
      <c r="B18" s="206"/>
      <c r="C18" s="206"/>
      <c r="D18" s="206"/>
      <c r="E18" s="206"/>
      <c r="F18" s="206"/>
    </row>
    <row r="19" spans="1:6" ht="15" thickBot="1">
      <c r="A19" s="179" t="s">
        <v>340</v>
      </c>
      <c r="B19" s="180" t="s">
        <v>328</v>
      </c>
      <c r="C19" s="181" t="s">
        <v>329</v>
      </c>
      <c r="D19" s="181" t="s">
        <v>330</v>
      </c>
      <c r="E19" s="181" t="s">
        <v>331</v>
      </c>
      <c r="F19" s="182" t="s">
        <v>332</v>
      </c>
    </row>
    <row r="20" spans="1:6" ht="14.25">
      <c r="A20" s="183" t="s">
        <v>341</v>
      </c>
      <c r="B20" s="207"/>
      <c r="C20" s="185"/>
      <c r="D20" s="185"/>
      <c r="E20" s="185"/>
      <c r="F20" s="186">
        <f>SUM(C20:E20)</f>
        <v>0</v>
      </c>
    </row>
    <row r="21" spans="1:6" ht="14.25">
      <c r="A21" s="208" t="s">
        <v>342</v>
      </c>
      <c r="B21" s="193">
        <v>232200</v>
      </c>
      <c r="C21" s="194">
        <v>111608</v>
      </c>
      <c r="D21" s="194">
        <v>105077</v>
      </c>
      <c r="E21" s="194">
        <v>15515</v>
      </c>
      <c r="F21" s="195">
        <f>SUM(B21:E21)</f>
        <v>464400</v>
      </c>
    </row>
    <row r="22" spans="1:6" ht="14.25">
      <c r="A22" s="192" t="s">
        <v>343</v>
      </c>
      <c r="B22" s="196"/>
      <c r="C22" s="194"/>
      <c r="D22" s="194"/>
      <c r="E22" s="194"/>
      <c r="F22" s="195">
        <f>SUM(B22:E22)</f>
        <v>0</v>
      </c>
    </row>
    <row r="23" spans="1:6" ht="14.25">
      <c r="A23" s="192" t="s">
        <v>94</v>
      </c>
      <c r="B23" s="209"/>
      <c r="C23" s="194"/>
      <c r="D23" s="194"/>
      <c r="E23" s="194">
        <v>2858</v>
      </c>
      <c r="F23" s="195">
        <f>SUM(B23:E23)</f>
        <v>2858</v>
      </c>
    </row>
    <row r="24" spans="1:6" ht="14.25">
      <c r="A24" s="210"/>
      <c r="B24" s="211"/>
      <c r="C24" s="194"/>
      <c r="D24" s="194"/>
      <c r="E24" s="194"/>
      <c r="F24" s="195">
        <f>SUM(C24:E24)</f>
        <v>0</v>
      </c>
    </row>
    <row r="25" spans="1:6" ht="14.25">
      <c r="A25" s="210"/>
      <c r="B25" s="211"/>
      <c r="C25" s="194"/>
      <c r="D25" s="194"/>
      <c r="E25" s="194"/>
      <c r="F25" s="195">
        <f>SUM(C25:E25)</f>
        <v>0</v>
      </c>
    </row>
    <row r="26" spans="1:6" ht="15" thickBot="1">
      <c r="A26" s="198"/>
      <c r="B26" s="199"/>
      <c r="C26" s="200"/>
      <c r="D26" s="200"/>
      <c r="E26" s="200"/>
      <c r="F26" s="195">
        <f>SUM(C26:E26)</f>
        <v>0</v>
      </c>
    </row>
    <row r="27" spans="1:6" ht="15" thickBot="1">
      <c r="A27" s="202" t="s">
        <v>344</v>
      </c>
      <c r="B27" s="203">
        <v>232200</v>
      </c>
      <c r="C27" s="204">
        <f>SUM(C20:C26)</f>
        <v>111608</v>
      </c>
      <c r="D27" s="204">
        <f>SUM(D20:D26)</f>
        <v>105077</v>
      </c>
      <c r="E27" s="204">
        <f>SUM(E20:E26)</f>
        <v>18373</v>
      </c>
      <c r="F27" s="205">
        <f>SUM(F20:F26)</f>
        <v>467258</v>
      </c>
    </row>
    <row r="30" spans="1:6" ht="27.75" customHeight="1">
      <c r="A30" s="212" t="s">
        <v>324</v>
      </c>
      <c r="B30" s="336" t="s">
        <v>347</v>
      </c>
      <c r="C30" s="336"/>
      <c r="D30" s="336"/>
      <c r="E30" s="336"/>
      <c r="F30" s="336"/>
    </row>
    <row r="31" spans="1:6" ht="15">
      <c r="A31" s="178" t="s">
        <v>325</v>
      </c>
      <c r="B31" s="337" t="s">
        <v>348</v>
      </c>
      <c r="C31" s="338"/>
      <c r="D31" s="338"/>
      <c r="E31" s="338"/>
      <c r="F31" s="338"/>
    </row>
    <row r="32" spans="1:6" ht="15.75" thickBot="1">
      <c r="A32" s="178"/>
      <c r="B32" s="178"/>
      <c r="C32" s="334" t="s">
        <v>326</v>
      </c>
      <c r="D32" s="334"/>
      <c r="E32" s="335"/>
      <c r="F32" s="335"/>
    </row>
    <row r="33" spans="1:6" ht="15" thickBot="1">
      <c r="A33" s="179" t="s">
        <v>327</v>
      </c>
      <c r="B33" s="180" t="s">
        <v>328</v>
      </c>
      <c r="C33" s="181" t="s">
        <v>329</v>
      </c>
      <c r="D33" s="181" t="s">
        <v>330</v>
      </c>
      <c r="E33" s="181" t="s">
        <v>331</v>
      </c>
      <c r="F33" s="182" t="s">
        <v>332</v>
      </c>
    </row>
    <row r="34" spans="1:6" ht="14.25">
      <c r="A34" s="183" t="s">
        <v>333</v>
      </c>
      <c r="B34" s="184"/>
      <c r="C34" s="185"/>
      <c r="D34" s="185"/>
      <c r="E34" s="185"/>
      <c r="F34" s="186">
        <f>SUM(B34:E34)</f>
        <v>0</v>
      </c>
    </row>
    <row r="35" spans="1:6" ht="14.25">
      <c r="A35" s="187" t="s">
        <v>334</v>
      </c>
      <c r="B35" s="188"/>
      <c r="C35" s="189"/>
      <c r="D35" s="190"/>
      <c r="E35" s="189"/>
      <c r="F35" s="191">
        <f>SUM(C35:E35)</f>
        <v>0</v>
      </c>
    </row>
    <row r="36" spans="1:6" ht="14.25">
      <c r="A36" s="192" t="s">
        <v>335</v>
      </c>
      <c r="B36" s="193"/>
      <c r="C36" s="194">
        <v>41950</v>
      </c>
      <c r="D36" s="194"/>
      <c r="E36" s="194">
        <v>12214</v>
      </c>
      <c r="F36" s="195">
        <f>SUM(B36:E36)</f>
        <v>54164</v>
      </c>
    </row>
    <row r="37" spans="1:6" ht="14.25">
      <c r="A37" s="192" t="s">
        <v>336</v>
      </c>
      <c r="B37" s="196"/>
      <c r="C37" s="194"/>
      <c r="D37" s="197"/>
      <c r="E37" s="194"/>
      <c r="F37" s="195">
        <f>SUM(C37:E37)</f>
        <v>0</v>
      </c>
    </row>
    <row r="38" spans="1:6" ht="14.25">
      <c r="A38" s="192" t="s">
        <v>337</v>
      </c>
      <c r="B38" s="196"/>
      <c r="C38" s="194"/>
      <c r="D38" s="197"/>
      <c r="E38" s="194"/>
      <c r="F38" s="195">
        <f>SUM(C38:E38)</f>
        <v>0</v>
      </c>
    </row>
    <row r="39" spans="1:6" ht="14.25">
      <c r="A39" s="192" t="s">
        <v>338</v>
      </c>
      <c r="B39" s="196"/>
      <c r="C39" s="194"/>
      <c r="D39" s="194"/>
      <c r="E39" s="194"/>
      <c r="F39" s="195">
        <f>SUM(C39:E39)</f>
        <v>0</v>
      </c>
    </row>
    <row r="40" spans="1:6" ht="15" thickBot="1">
      <c r="A40" s="198"/>
      <c r="B40" s="199"/>
      <c r="C40" s="200"/>
      <c r="D40" s="201"/>
      <c r="E40" s="200"/>
      <c r="F40" s="195">
        <f>SUM(C40:E40)</f>
        <v>0</v>
      </c>
    </row>
    <row r="41" spans="1:6" ht="15" thickBot="1">
      <c r="A41" s="202" t="s">
        <v>339</v>
      </c>
      <c r="B41" s="203"/>
      <c r="C41" s="204">
        <f>C34+SUM(C36:C40)</f>
        <v>41950</v>
      </c>
      <c r="D41" s="204">
        <f>D34+SUM(D36:D40)</f>
        <v>0</v>
      </c>
      <c r="E41" s="204">
        <f>E34+SUM(E36:E40)</f>
        <v>12214</v>
      </c>
      <c r="F41" s="205">
        <f>F34+SUM(F36:F40)</f>
        <v>54164</v>
      </c>
    </row>
    <row r="42" spans="1:6" ht="15" thickBot="1">
      <c r="A42" s="206"/>
      <c r="B42" s="206"/>
      <c r="C42" s="206"/>
      <c r="D42" s="206"/>
      <c r="E42" s="206"/>
      <c r="F42" s="206"/>
    </row>
    <row r="43" spans="1:6" ht="15" thickBot="1">
      <c r="A43" s="179" t="s">
        <v>340</v>
      </c>
      <c r="B43" s="180" t="s">
        <v>328</v>
      </c>
      <c r="C43" s="181" t="s">
        <v>329</v>
      </c>
      <c r="D43" s="181" t="s">
        <v>330</v>
      </c>
      <c r="E43" s="181" t="s">
        <v>331</v>
      </c>
      <c r="F43" s="182" t="s">
        <v>332</v>
      </c>
    </row>
    <row r="44" spans="1:6" ht="14.25">
      <c r="A44" s="183" t="s">
        <v>341</v>
      </c>
      <c r="B44" s="207"/>
      <c r="C44" s="185">
        <v>7211</v>
      </c>
      <c r="D44" s="185">
        <f>11950-7211</f>
        <v>4739</v>
      </c>
      <c r="E44" s="185">
        <v>5860</v>
      </c>
      <c r="F44" s="186">
        <f>SUM(C44:E44)</f>
        <v>17810</v>
      </c>
    </row>
    <row r="45" spans="1:6" ht="14.25">
      <c r="A45" s="208" t="s">
        <v>342</v>
      </c>
      <c r="B45" s="193"/>
      <c r="C45" s="194">
        <v>2700</v>
      </c>
      <c r="D45" s="194"/>
      <c r="E45" s="194">
        <v>2285</v>
      </c>
      <c r="F45" s="195">
        <f>SUM(B45:E45)</f>
        <v>4985</v>
      </c>
    </row>
    <row r="46" spans="1:6" ht="14.25">
      <c r="A46" s="192" t="s">
        <v>343</v>
      </c>
      <c r="B46" s="196"/>
      <c r="C46" s="194"/>
      <c r="D46" s="194"/>
      <c r="E46" s="194"/>
      <c r="F46" s="195">
        <f>SUM(B46:E46)</f>
        <v>0</v>
      </c>
    </row>
    <row r="47" spans="1:6" ht="14.25">
      <c r="A47" s="192" t="s">
        <v>94</v>
      </c>
      <c r="B47" s="209"/>
      <c r="C47" s="194">
        <v>5287</v>
      </c>
      <c r="D47" s="194">
        <f>25410-2097</f>
        <v>23313</v>
      </c>
      <c r="E47" s="194">
        <v>2769</v>
      </c>
      <c r="F47" s="195">
        <f>SUM(B47:E47)</f>
        <v>31369</v>
      </c>
    </row>
    <row r="48" spans="1:6" ht="14.25">
      <c r="A48" s="210"/>
      <c r="B48" s="211"/>
      <c r="C48" s="194"/>
      <c r="D48" s="194"/>
      <c r="E48" s="194"/>
      <c r="F48" s="195">
        <f>SUM(C48:E48)</f>
        <v>0</v>
      </c>
    </row>
    <row r="49" spans="1:6" ht="14.25">
      <c r="A49" s="210"/>
      <c r="B49" s="211"/>
      <c r="C49" s="194"/>
      <c r="D49" s="194"/>
      <c r="E49" s="194"/>
      <c r="F49" s="195">
        <f>SUM(C49:E49)</f>
        <v>0</v>
      </c>
    </row>
    <row r="50" spans="1:6" ht="15" thickBot="1">
      <c r="A50" s="198"/>
      <c r="B50" s="199"/>
      <c r="C50" s="200"/>
      <c r="D50" s="200"/>
      <c r="E50" s="200"/>
      <c r="F50" s="195">
        <f>SUM(C50:E50)</f>
        <v>0</v>
      </c>
    </row>
    <row r="51" spans="1:6" ht="15" thickBot="1">
      <c r="A51" s="202" t="s">
        <v>344</v>
      </c>
      <c r="B51" s="203"/>
      <c r="C51" s="204">
        <f>SUM(C44:C50)</f>
        <v>15198</v>
      </c>
      <c r="D51" s="204">
        <f>SUM(D44:D50)</f>
        <v>28052</v>
      </c>
      <c r="E51" s="204">
        <f>SUM(E44:E50)</f>
        <v>10914</v>
      </c>
      <c r="F51" s="205">
        <f>SUM(F44:F50)</f>
        <v>54164</v>
      </c>
    </row>
    <row r="54" spans="1:6" ht="30.75" customHeight="1">
      <c r="A54" s="212" t="s">
        <v>324</v>
      </c>
      <c r="B54" s="336" t="s">
        <v>349</v>
      </c>
      <c r="C54" s="336"/>
      <c r="D54" s="336"/>
      <c r="E54" s="336"/>
      <c r="F54" s="336"/>
    </row>
    <row r="55" spans="1:6" ht="15">
      <c r="A55" s="178" t="s">
        <v>325</v>
      </c>
      <c r="B55" s="337" t="s">
        <v>350</v>
      </c>
      <c r="C55" s="338"/>
      <c r="D55" s="338"/>
      <c r="E55" s="338"/>
      <c r="F55" s="338"/>
    </row>
    <row r="56" spans="1:6" ht="15.75" thickBot="1">
      <c r="A56" s="178"/>
      <c r="B56" s="178"/>
      <c r="C56" s="334" t="s">
        <v>326</v>
      </c>
      <c r="D56" s="334"/>
      <c r="E56" s="335"/>
      <c r="F56" s="335"/>
    </row>
    <row r="57" spans="1:6" ht="15" thickBot="1">
      <c r="A57" s="179" t="s">
        <v>327</v>
      </c>
      <c r="B57" s="180" t="s">
        <v>328</v>
      </c>
      <c r="C57" s="181" t="s">
        <v>329</v>
      </c>
      <c r="D57" s="181" t="s">
        <v>330</v>
      </c>
      <c r="E57" s="181" t="s">
        <v>331</v>
      </c>
      <c r="F57" s="182" t="s">
        <v>332</v>
      </c>
    </row>
    <row r="58" spans="1:6" ht="14.25">
      <c r="A58" s="183" t="s">
        <v>333</v>
      </c>
      <c r="B58" s="184"/>
      <c r="C58" s="185"/>
      <c r="D58" s="185"/>
      <c r="E58" s="185"/>
      <c r="F58" s="186">
        <f>SUM(B58:E58)</f>
        <v>0</v>
      </c>
    </row>
    <row r="59" spans="1:6" ht="14.25">
      <c r="A59" s="187" t="s">
        <v>334</v>
      </c>
      <c r="B59" s="188"/>
      <c r="C59" s="189"/>
      <c r="D59" s="190"/>
      <c r="E59" s="189"/>
      <c r="F59" s="191">
        <f>SUM(C59:E59)</f>
        <v>0</v>
      </c>
    </row>
    <row r="60" spans="1:6" ht="14.25">
      <c r="A60" s="192" t="s">
        <v>335</v>
      </c>
      <c r="B60" s="193"/>
      <c r="C60" s="194"/>
      <c r="D60" s="194">
        <v>5100</v>
      </c>
      <c r="E60" s="194"/>
      <c r="F60" s="195">
        <f>SUM(B60:E60)</f>
        <v>5100</v>
      </c>
    </row>
    <row r="61" spans="1:6" ht="14.25">
      <c r="A61" s="192" t="s">
        <v>336</v>
      </c>
      <c r="B61" s="196"/>
      <c r="C61" s="194"/>
      <c r="D61" s="197"/>
      <c r="E61" s="194"/>
      <c r="F61" s="195">
        <f>SUM(C61:E61)</f>
        <v>0</v>
      </c>
    </row>
    <row r="62" spans="1:6" ht="14.25">
      <c r="A62" s="192" t="s">
        <v>337</v>
      </c>
      <c r="B62" s="196"/>
      <c r="C62" s="194"/>
      <c r="D62" s="197"/>
      <c r="E62" s="194"/>
      <c r="F62" s="195">
        <f>SUM(C62:E62)</f>
        <v>0</v>
      </c>
    </row>
    <row r="63" spans="1:6" ht="14.25">
      <c r="A63" s="192" t="s">
        <v>338</v>
      </c>
      <c r="B63" s="196"/>
      <c r="C63" s="194"/>
      <c r="D63" s="194"/>
      <c r="E63" s="194"/>
      <c r="F63" s="195">
        <f>SUM(C63:E63)</f>
        <v>0</v>
      </c>
    </row>
    <row r="64" spans="1:6" ht="15" thickBot="1">
      <c r="A64" s="198"/>
      <c r="B64" s="199"/>
      <c r="C64" s="200"/>
      <c r="D64" s="201"/>
      <c r="E64" s="200"/>
      <c r="F64" s="195">
        <f>SUM(C64:E64)</f>
        <v>0</v>
      </c>
    </row>
    <row r="65" spans="1:6" ht="15" thickBot="1">
      <c r="A65" s="202" t="s">
        <v>339</v>
      </c>
      <c r="B65" s="203"/>
      <c r="C65" s="204">
        <f>C58+SUM(C60:C64)</f>
        <v>0</v>
      </c>
      <c r="D65" s="204">
        <f>D58+SUM(D60:D64)</f>
        <v>5100</v>
      </c>
      <c r="E65" s="204">
        <f>E58+SUM(E60:E64)</f>
        <v>0</v>
      </c>
      <c r="F65" s="205">
        <f>F58+SUM(F60:F64)</f>
        <v>5100</v>
      </c>
    </row>
    <row r="66" spans="1:6" ht="15" thickBot="1">
      <c r="A66" s="206"/>
      <c r="B66" s="206"/>
      <c r="C66" s="206"/>
      <c r="D66" s="206"/>
      <c r="E66" s="206"/>
      <c r="F66" s="206"/>
    </row>
    <row r="67" spans="1:6" ht="15" thickBot="1">
      <c r="A67" s="179" t="s">
        <v>340</v>
      </c>
      <c r="B67" s="180" t="s">
        <v>328</v>
      </c>
      <c r="C67" s="181" t="s">
        <v>329</v>
      </c>
      <c r="D67" s="181" t="s">
        <v>330</v>
      </c>
      <c r="E67" s="181" t="s">
        <v>331</v>
      </c>
      <c r="F67" s="182" t="s">
        <v>332</v>
      </c>
    </row>
    <row r="68" spans="1:6" ht="14.25">
      <c r="A68" s="183" t="s">
        <v>341</v>
      </c>
      <c r="B68" s="207"/>
      <c r="C68" s="185"/>
      <c r="D68" s="185"/>
      <c r="E68" s="185">
        <v>425</v>
      </c>
      <c r="F68" s="186">
        <f>SUM(C68:E68)</f>
        <v>425</v>
      </c>
    </row>
    <row r="69" spans="1:6" ht="14.25">
      <c r="A69" s="208" t="s">
        <v>342</v>
      </c>
      <c r="B69" s="193"/>
      <c r="C69" s="194"/>
      <c r="D69" s="194"/>
      <c r="E69" s="194">
        <v>1188</v>
      </c>
      <c r="F69" s="195">
        <f>SUM(B69:E69)</f>
        <v>1188</v>
      </c>
    </row>
    <row r="70" spans="1:6" ht="14.25">
      <c r="A70" s="192" t="s">
        <v>343</v>
      </c>
      <c r="B70" s="196"/>
      <c r="C70" s="194"/>
      <c r="D70" s="194"/>
      <c r="E70" s="194"/>
      <c r="F70" s="195">
        <f>SUM(B70:E70)</f>
        <v>0</v>
      </c>
    </row>
    <row r="71" spans="1:6" ht="14.25">
      <c r="A71" s="192" t="s">
        <v>94</v>
      </c>
      <c r="B71" s="209"/>
      <c r="C71" s="194"/>
      <c r="D71" s="194"/>
      <c r="E71" s="194">
        <v>3487</v>
      </c>
      <c r="F71" s="195">
        <f>SUM(B71:E71)</f>
        <v>3487</v>
      </c>
    </row>
    <row r="72" spans="1:6" ht="14.25">
      <c r="A72" s="210"/>
      <c r="B72" s="211"/>
      <c r="C72" s="194"/>
      <c r="D72" s="194"/>
      <c r="E72" s="194"/>
      <c r="F72" s="195">
        <f>SUM(C72:E72)</f>
        <v>0</v>
      </c>
    </row>
    <row r="73" spans="1:6" ht="14.25">
      <c r="A73" s="210"/>
      <c r="B73" s="211"/>
      <c r="C73" s="194"/>
      <c r="D73" s="194"/>
      <c r="E73" s="194"/>
      <c r="F73" s="195">
        <f>SUM(C73:E73)</f>
        <v>0</v>
      </c>
    </row>
    <row r="74" spans="1:6" ht="15" thickBot="1">
      <c r="A74" s="198"/>
      <c r="B74" s="199"/>
      <c r="C74" s="200"/>
      <c r="D74" s="200"/>
      <c r="E74" s="200"/>
      <c r="F74" s="195">
        <f>SUM(C74:E74)</f>
        <v>0</v>
      </c>
    </row>
    <row r="75" spans="1:6" ht="15" thickBot="1">
      <c r="A75" s="202" t="s">
        <v>344</v>
      </c>
      <c r="B75" s="203"/>
      <c r="C75" s="204">
        <f>SUM(C68:C74)</f>
        <v>0</v>
      </c>
      <c r="D75" s="204">
        <f>SUM(D68:D74)</f>
        <v>0</v>
      </c>
      <c r="E75" s="204">
        <f>SUM(E68:E74)</f>
        <v>5100</v>
      </c>
      <c r="F75" s="205">
        <f>SUM(F68:F74)</f>
        <v>5100</v>
      </c>
    </row>
    <row r="78" spans="1:6" ht="33" customHeight="1">
      <c r="A78" s="212" t="s">
        <v>324</v>
      </c>
      <c r="B78" s="336" t="s">
        <v>351</v>
      </c>
      <c r="C78" s="336"/>
      <c r="D78" s="336"/>
      <c r="E78" s="336"/>
      <c r="F78" s="336"/>
    </row>
    <row r="79" spans="1:6" ht="15">
      <c r="A79" s="178" t="s">
        <v>325</v>
      </c>
      <c r="B79" s="337" t="s">
        <v>352</v>
      </c>
      <c r="C79" s="338"/>
      <c r="D79" s="338"/>
      <c r="E79" s="338"/>
      <c r="F79" s="338"/>
    </row>
    <row r="80" spans="1:6" ht="15.75" thickBot="1">
      <c r="A80" s="178"/>
      <c r="B80" s="178"/>
      <c r="C80" s="334" t="s">
        <v>326</v>
      </c>
      <c r="D80" s="334"/>
      <c r="E80" s="335"/>
      <c r="F80" s="335"/>
    </row>
    <row r="81" spans="1:6" ht="15" thickBot="1">
      <c r="A81" s="179" t="s">
        <v>327</v>
      </c>
      <c r="B81" s="180" t="s">
        <v>328</v>
      </c>
      <c r="C81" s="181" t="s">
        <v>329</v>
      </c>
      <c r="D81" s="181" t="s">
        <v>330</v>
      </c>
      <c r="E81" s="181" t="s">
        <v>331</v>
      </c>
      <c r="F81" s="182" t="s">
        <v>332</v>
      </c>
    </row>
    <row r="82" spans="1:6" ht="14.25">
      <c r="A82" s="183" t="s">
        <v>333</v>
      </c>
      <c r="B82" s="184"/>
      <c r="C82" s="185"/>
      <c r="D82" s="185"/>
      <c r="E82" s="185"/>
      <c r="F82" s="186">
        <f>SUM(B82:E82)</f>
        <v>0</v>
      </c>
    </row>
    <row r="83" spans="1:6" ht="14.25">
      <c r="A83" s="187" t="s">
        <v>334</v>
      </c>
      <c r="B83" s="188"/>
      <c r="C83" s="189"/>
      <c r="D83" s="190"/>
      <c r="E83" s="189"/>
      <c r="F83" s="191">
        <f>SUM(C83:E83)</f>
        <v>0</v>
      </c>
    </row>
    <row r="84" spans="1:6" ht="14.25">
      <c r="A84" s="192" t="s">
        <v>335</v>
      </c>
      <c r="B84" s="193"/>
      <c r="C84" s="194"/>
      <c r="D84" s="194">
        <v>36400</v>
      </c>
      <c r="E84" s="194">
        <v>23856</v>
      </c>
      <c r="F84" s="195">
        <f>SUM(B84:E84)</f>
        <v>60256</v>
      </c>
    </row>
    <row r="85" spans="1:6" ht="14.25">
      <c r="A85" s="192" t="s">
        <v>336</v>
      </c>
      <c r="B85" s="196"/>
      <c r="C85" s="194"/>
      <c r="D85" s="197"/>
      <c r="E85" s="194"/>
      <c r="F85" s="195">
        <f>SUM(C85:E85)</f>
        <v>0</v>
      </c>
    </row>
    <row r="86" spans="1:6" ht="14.25">
      <c r="A86" s="192" t="s">
        <v>337</v>
      </c>
      <c r="B86" s="196"/>
      <c r="C86" s="194"/>
      <c r="D86" s="197"/>
      <c r="E86" s="194"/>
      <c r="F86" s="195">
        <f>SUM(C86:E86)</f>
        <v>0</v>
      </c>
    </row>
    <row r="87" spans="1:6" ht="14.25">
      <c r="A87" s="192" t="s">
        <v>338</v>
      </c>
      <c r="B87" s="196"/>
      <c r="C87" s="194"/>
      <c r="D87" s="194"/>
      <c r="E87" s="194"/>
      <c r="F87" s="195">
        <f>SUM(C87:E87)</f>
        <v>0</v>
      </c>
    </row>
    <row r="88" spans="1:6" ht="15" thickBot="1">
      <c r="A88" s="198"/>
      <c r="B88" s="199"/>
      <c r="C88" s="200"/>
      <c r="D88" s="201"/>
      <c r="E88" s="200"/>
      <c r="F88" s="195">
        <f>SUM(C88:E88)</f>
        <v>0</v>
      </c>
    </row>
    <row r="89" spans="1:6" ht="15" thickBot="1">
      <c r="A89" s="202" t="s">
        <v>339</v>
      </c>
      <c r="B89" s="203"/>
      <c r="C89" s="204">
        <f>C82+SUM(C84:C88)</f>
        <v>0</v>
      </c>
      <c r="D89" s="204">
        <f>D82+SUM(D84:D88)</f>
        <v>36400</v>
      </c>
      <c r="E89" s="204">
        <f>E82+SUM(E84:E88)</f>
        <v>23856</v>
      </c>
      <c r="F89" s="205">
        <f>F82+SUM(F84:F88)</f>
        <v>60256</v>
      </c>
    </row>
    <row r="90" spans="1:6" ht="15" thickBot="1">
      <c r="A90" s="206"/>
      <c r="B90" s="206"/>
      <c r="C90" s="206"/>
      <c r="D90" s="206"/>
      <c r="E90" s="206"/>
      <c r="F90" s="206"/>
    </row>
    <row r="91" spans="1:6" ht="15" thickBot="1">
      <c r="A91" s="179" t="s">
        <v>340</v>
      </c>
      <c r="B91" s="180" t="s">
        <v>328</v>
      </c>
      <c r="C91" s="181" t="s">
        <v>329</v>
      </c>
      <c r="D91" s="181" t="s">
        <v>330</v>
      </c>
      <c r="E91" s="181" t="s">
        <v>331</v>
      </c>
      <c r="F91" s="182" t="s">
        <v>332</v>
      </c>
    </row>
    <row r="92" spans="1:6" ht="14.25">
      <c r="A92" s="183" t="s">
        <v>341</v>
      </c>
      <c r="B92" s="207"/>
      <c r="C92" s="185"/>
      <c r="D92" s="185">
        <v>10336</v>
      </c>
      <c r="E92" s="185">
        <v>19671</v>
      </c>
      <c r="F92" s="186">
        <f>SUM(C92:E92)</f>
        <v>30007</v>
      </c>
    </row>
    <row r="93" spans="1:6" ht="14.25">
      <c r="A93" s="208" t="s">
        <v>342</v>
      </c>
      <c r="B93" s="193"/>
      <c r="C93" s="194"/>
      <c r="D93" s="194"/>
      <c r="E93" s="194"/>
      <c r="F93" s="195">
        <f>SUM(B93:E93)</f>
        <v>0</v>
      </c>
    </row>
    <row r="94" spans="1:6" ht="14.25">
      <c r="A94" s="192" t="s">
        <v>343</v>
      </c>
      <c r="B94" s="196"/>
      <c r="C94" s="194"/>
      <c r="D94" s="194"/>
      <c r="E94" s="194">
        <v>3024</v>
      </c>
      <c r="F94" s="195">
        <f>SUM(B94:E94)</f>
        <v>3024</v>
      </c>
    </row>
    <row r="95" spans="1:6" ht="14.25">
      <c r="A95" s="192" t="s">
        <v>94</v>
      </c>
      <c r="B95" s="209"/>
      <c r="C95" s="194"/>
      <c r="D95" s="194">
        <v>11249</v>
      </c>
      <c r="E95" s="194">
        <v>15976</v>
      </c>
      <c r="F95" s="195">
        <f>SUM(B95:E95)</f>
        <v>27225</v>
      </c>
    </row>
    <row r="96" spans="1:6" ht="14.25">
      <c r="A96" s="210"/>
      <c r="B96" s="211"/>
      <c r="C96" s="194"/>
      <c r="D96" s="194"/>
      <c r="E96" s="194"/>
      <c r="F96" s="195">
        <f>SUM(C96:E96)</f>
        <v>0</v>
      </c>
    </row>
    <row r="97" spans="1:6" ht="14.25">
      <c r="A97" s="210"/>
      <c r="B97" s="211"/>
      <c r="C97" s="194"/>
      <c r="D97" s="194"/>
      <c r="E97" s="194"/>
      <c r="F97" s="195">
        <f>SUM(C97:E97)</f>
        <v>0</v>
      </c>
    </row>
    <row r="98" spans="1:6" ht="15" thickBot="1">
      <c r="A98" s="198"/>
      <c r="B98" s="199"/>
      <c r="C98" s="200"/>
      <c r="D98" s="200"/>
      <c r="E98" s="200"/>
      <c r="F98" s="195">
        <f>SUM(C98:E98)</f>
        <v>0</v>
      </c>
    </row>
    <row r="99" spans="1:6" ht="15" thickBot="1">
      <c r="A99" s="202" t="s">
        <v>344</v>
      </c>
      <c r="B99" s="203"/>
      <c r="C99" s="204">
        <f>SUM(C92:C98)</f>
        <v>0</v>
      </c>
      <c r="D99" s="204">
        <f>SUM(D92:D98)</f>
        <v>21585</v>
      </c>
      <c r="E99" s="204">
        <f>SUM(E92:E98)</f>
        <v>38671</v>
      </c>
      <c r="F99" s="205">
        <f>SUM(F92:F98)</f>
        <v>60256</v>
      </c>
    </row>
    <row r="102" spans="1:6" ht="31.5" customHeight="1">
      <c r="A102" s="212" t="s">
        <v>324</v>
      </c>
      <c r="B102" s="336" t="s">
        <v>353</v>
      </c>
      <c r="C102" s="336"/>
      <c r="D102" s="336"/>
      <c r="E102" s="336"/>
      <c r="F102" s="336"/>
    </row>
    <row r="103" spans="1:6" ht="15">
      <c r="A103" s="178" t="s">
        <v>325</v>
      </c>
      <c r="B103" s="337" t="s">
        <v>354</v>
      </c>
      <c r="C103" s="338"/>
      <c r="D103" s="338"/>
      <c r="E103" s="338"/>
      <c r="F103" s="338"/>
    </row>
    <row r="104" spans="1:6" ht="15.75" thickBot="1">
      <c r="A104" s="178"/>
      <c r="B104" s="178"/>
      <c r="C104" s="334" t="s">
        <v>326</v>
      </c>
      <c r="D104" s="334"/>
      <c r="E104" s="335"/>
      <c r="F104" s="335"/>
    </row>
    <row r="105" spans="1:6" ht="15" thickBot="1">
      <c r="A105" s="179" t="s">
        <v>327</v>
      </c>
      <c r="B105" s="180" t="s">
        <v>328</v>
      </c>
      <c r="C105" s="181" t="s">
        <v>329</v>
      </c>
      <c r="D105" s="181" t="s">
        <v>330</v>
      </c>
      <c r="E105" s="181" t="s">
        <v>331</v>
      </c>
      <c r="F105" s="182" t="s">
        <v>332</v>
      </c>
    </row>
    <row r="106" spans="1:6" ht="14.25">
      <c r="A106" s="183" t="s">
        <v>333</v>
      </c>
      <c r="B106" s="184"/>
      <c r="C106" s="185">
        <v>657</v>
      </c>
      <c r="D106" s="185">
        <v>2660</v>
      </c>
      <c r="E106" s="185"/>
      <c r="F106" s="186">
        <f>SUM(B106:E106)</f>
        <v>3317</v>
      </c>
    </row>
    <row r="107" spans="1:6" ht="14.25">
      <c r="A107" s="187" t="s">
        <v>334</v>
      </c>
      <c r="B107" s="188"/>
      <c r="C107" s="189"/>
      <c r="D107" s="190"/>
      <c r="E107" s="189"/>
      <c r="F107" s="191">
        <f>SUM(C107:E107)</f>
        <v>0</v>
      </c>
    </row>
    <row r="108" spans="1:6" ht="14.25">
      <c r="A108" s="192" t="s">
        <v>335</v>
      </c>
      <c r="B108" s="193"/>
      <c r="C108" s="194"/>
      <c r="D108" s="194">
        <v>12425</v>
      </c>
      <c r="E108" s="194">
        <v>7574</v>
      </c>
      <c r="F108" s="195">
        <f>SUM(B108:E108)</f>
        <v>19999</v>
      </c>
    </row>
    <row r="109" spans="1:6" ht="14.25">
      <c r="A109" s="192" t="s">
        <v>336</v>
      </c>
      <c r="B109" s="196"/>
      <c r="C109" s="194"/>
      <c r="D109" s="197"/>
      <c r="E109" s="194"/>
      <c r="F109" s="195">
        <f>SUM(C109:E109)</f>
        <v>0</v>
      </c>
    </row>
    <row r="110" spans="1:6" ht="14.25">
      <c r="A110" s="192" t="s">
        <v>337</v>
      </c>
      <c r="B110" s="196"/>
      <c r="C110" s="194"/>
      <c r="D110" s="197"/>
      <c r="E110" s="194"/>
      <c r="F110" s="195">
        <f>SUM(C110:E110)</f>
        <v>0</v>
      </c>
    </row>
    <row r="111" spans="1:6" ht="14.25">
      <c r="A111" s="192" t="s">
        <v>338</v>
      </c>
      <c r="B111" s="196"/>
      <c r="C111" s="194"/>
      <c r="D111" s="194"/>
      <c r="E111" s="194"/>
      <c r="F111" s="195">
        <f>SUM(C111:E111)</f>
        <v>0</v>
      </c>
    </row>
    <row r="112" spans="1:6" ht="15" thickBot="1">
      <c r="A112" s="198"/>
      <c r="B112" s="199"/>
      <c r="C112" s="200"/>
      <c r="D112" s="201"/>
      <c r="E112" s="200"/>
      <c r="F112" s="195">
        <f>SUM(C112:E112)</f>
        <v>0</v>
      </c>
    </row>
    <row r="113" spans="1:6" ht="15" thickBot="1">
      <c r="A113" s="202" t="s">
        <v>339</v>
      </c>
      <c r="B113" s="203"/>
      <c r="C113" s="204">
        <f>C106+SUM(C108:C112)</f>
        <v>657</v>
      </c>
      <c r="D113" s="204">
        <f>D106+SUM(D108:D112)</f>
        <v>15085</v>
      </c>
      <c r="E113" s="204">
        <f>E106+SUM(E108:E112)</f>
        <v>7574</v>
      </c>
      <c r="F113" s="205">
        <f>F106+SUM(F108:F112)</f>
        <v>23316</v>
      </c>
    </row>
    <row r="114" spans="1:6" ht="15" thickBot="1">
      <c r="A114" s="206"/>
      <c r="B114" s="206"/>
      <c r="C114" s="206"/>
      <c r="D114" s="206"/>
      <c r="E114" s="206"/>
      <c r="F114" s="206"/>
    </row>
    <row r="115" spans="1:6" ht="15" thickBot="1">
      <c r="A115" s="179" t="s">
        <v>340</v>
      </c>
      <c r="B115" s="180" t="s">
        <v>328</v>
      </c>
      <c r="C115" s="181" t="s">
        <v>329</v>
      </c>
      <c r="D115" s="181" t="s">
        <v>330</v>
      </c>
      <c r="E115" s="181" t="s">
        <v>331</v>
      </c>
      <c r="F115" s="182" t="s">
        <v>332</v>
      </c>
    </row>
    <row r="116" spans="1:6" ht="14.25">
      <c r="A116" s="183" t="s">
        <v>341</v>
      </c>
      <c r="B116" s="207"/>
      <c r="C116" s="185"/>
      <c r="D116" s="185"/>
      <c r="E116" s="185"/>
      <c r="F116" s="186">
        <f>SUM(C116:E116)</f>
        <v>0</v>
      </c>
    </row>
    <row r="117" spans="1:6" ht="14.25">
      <c r="A117" s="208" t="s">
        <v>342</v>
      </c>
      <c r="B117" s="193"/>
      <c r="C117" s="194"/>
      <c r="D117" s="194">
        <v>14628</v>
      </c>
      <c r="E117" s="194">
        <f>3763-9</f>
        <v>3754</v>
      </c>
      <c r="F117" s="195">
        <f>SUM(B117:E117)</f>
        <v>18382</v>
      </c>
    </row>
    <row r="118" spans="1:6" ht="14.25">
      <c r="A118" s="192" t="s">
        <v>343</v>
      </c>
      <c r="B118" s="196"/>
      <c r="C118" s="194"/>
      <c r="D118" s="194"/>
      <c r="E118" s="194">
        <v>3007</v>
      </c>
      <c r="F118" s="195">
        <f>SUM(B118:E118)</f>
        <v>3007</v>
      </c>
    </row>
    <row r="119" spans="1:6" ht="14.25">
      <c r="A119" s="192" t="s">
        <v>94</v>
      </c>
      <c r="B119" s="209"/>
      <c r="C119" s="194">
        <v>657</v>
      </c>
      <c r="D119" s="194"/>
      <c r="E119" s="194">
        <f>158+656+1095-639</f>
        <v>1270</v>
      </c>
      <c r="F119" s="195">
        <f>SUM(B119:E119)</f>
        <v>1927</v>
      </c>
    </row>
    <row r="120" spans="1:6" ht="14.25">
      <c r="A120" s="210"/>
      <c r="B120" s="211"/>
      <c r="C120" s="194"/>
      <c r="D120" s="194"/>
      <c r="E120" s="194"/>
      <c r="F120" s="195">
        <f>SUM(C120:E120)</f>
        <v>0</v>
      </c>
    </row>
    <row r="121" spans="1:6" ht="14.25">
      <c r="A121" s="210"/>
      <c r="B121" s="211"/>
      <c r="C121" s="194"/>
      <c r="D121" s="194"/>
      <c r="E121" s="194"/>
      <c r="F121" s="195">
        <f>SUM(C121:E121)</f>
        <v>0</v>
      </c>
    </row>
    <row r="122" spans="1:6" ht="15" thickBot="1">
      <c r="A122" s="198"/>
      <c r="B122" s="199"/>
      <c r="C122" s="200"/>
      <c r="D122" s="200"/>
      <c r="E122" s="200"/>
      <c r="F122" s="195">
        <f>SUM(C122:E122)</f>
        <v>0</v>
      </c>
    </row>
    <row r="123" spans="1:6" ht="15" thickBot="1">
      <c r="A123" s="202" t="s">
        <v>344</v>
      </c>
      <c r="B123" s="203"/>
      <c r="C123" s="204">
        <f>SUM(C116:C122)</f>
        <v>657</v>
      </c>
      <c r="D123" s="204">
        <f>SUM(D116:D122)</f>
        <v>14628</v>
      </c>
      <c r="E123" s="204">
        <f>SUM(E116:E122)</f>
        <v>8031</v>
      </c>
      <c r="F123" s="205">
        <f>SUM(F116:F122)</f>
        <v>23316</v>
      </c>
    </row>
  </sheetData>
  <sheetProtection/>
  <mergeCells count="18">
    <mergeCell ref="A1:F2"/>
    <mergeCell ref="A3:F3"/>
    <mergeCell ref="B55:F55"/>
    <mergeCell ref="C56:F56"/>
    <mergeCell ref="B6:F6"/>
    <mergeCell ref="B4:F4"/>
    <mergeCell ref="B7:F7"/>
    <mergeCell ref="C8:F8"/>
    <mergeCell ref="B30:F30"/>
    <mergeCell ref="B31:F31"/>
    <mergeCell ref="C80:F80"/>
    <mergeCell ref="B102:F102"/>
    <mergeCell ref="C32:F32"/>
    <mergeCell ref="B54:F54"/>
    <mergeCell ref="B103:F103"/>
    <mergeCell ref="C104:F104"/>
    <mergeCell ref="B78:F78"/>
    <mergeCell ref="B79:F79"/>
  </mergeCells>
  <conditionalFormatting sqref="E57">
    <cfRule type="cellIs" priority="8" dxfId="17" operator="equal" stopIfTrue="1">
      <formula>0</formula>
    </cfRule>
  </conditionalFormatting>
  <conditionalFormatting sqref="D8:E8 B22:D22 E25:E27 F10:F17 C17:E17 C27:D27 F20:F27 E15:E16 E18 E20:E22">
    <cfRule type="cellIs" priority="22" dxfId="17" operator="equal" stopIfTrue="1">
      <formula>0</formula>
    </cfRule>
  </conditionalFormatting>
  <conditionalFormatting sqref="E9">
    <cfRule type="cellIs" priority="16" dxfId="17" operator="equal" stopIfTrue="1">
      <formula>0</formula>
    </cfRule>
  </conditionalFormatting>
  <conditionalFormatting sqref="E43">
    <cfRule type="cellIs" priority="12" dxfId="17" operator="equal" stopIfTrue="1">
      <formula>0</formula>
    </cfRule>
  </conditionalFormatting>
  <conditionalFormatting sqref="E19">
    <cfRule type="cellIs" priority="15" dxfId="17" operator="equal" stopIfTrue="1">
      <formula>0</formula>
    </cfRule>
  </conditionalFormatting>
  <conditionalFormatting sqref="E67">
    <cfRule type="cellIs" priority="7" dxfId="17" operator="equal" stopIfTrue="1">
      <formula>0</formula>
    </cfRule>
  </conditionalFormatting>
  <conditionalFormatting sqref="D80:E80 B94:D94 E97:E99 F82:F89 C89:E89 C99:D99 F92:F99 E87:E88 E90 E92:E94">
    <cfRule type="cellIs" priority="6" dxfId="17" operator="equal" stopIfTrue="1">
      <formula>0</formula>
    </cfRule>
  </conditionalFormatting>
  <conditionalFormatting sqref="D32:E32 B46:D46 E49:E51 F34:F41 C41:E41 C51:D51 F44:F51 E39:E40 E42 E44:E46">
    <cfRule type="cellIs" priority="14" dxfId="17" operator="equal" stopIfTrue="1">
      <formula>0</formula>
    </cfRule>
  </conditionalFormatting>
  <conditionalFormatting sqref="E33">
    <cfRule type="cellIs" priority="13" dxfId="17" operator="equal" stopIfTrue="1">
      <formula>0</formula>
    </cfRule>
  </conditionalFormatting>
  <conditionalFormatting sqref="D56:E56 B70:D70 E73:E75 F58:F65 C65:E65 C75:D75 F68:F75 E63:E64 E66 E68:E70">
    <cfRule type="cellIs" priority="9" dxfId="17" operator="equal" stopIfTrue="1">
      <formula>0</formula>
    </cfRule>
  </conditionalFormatting>
  <conditionalFormatting sqref="E91">
    <cfRule type="cellIs" priority="4" dxfId="17" operator="equal" stopIfTrue="1">
      <formula>0</formula>
    </cfRule>
  </conditionalFormatting>
  <conditionalFormatting sqref="E81">
    <cfRule type="cellIs" priority="5" dxfId="17" operator="equal" stopIfTrue="1">
      <formula>0</formula>
    </cfRule>
  </conditionalFormatting>
  <conditionalFormatting sqref="E115">
    <cfRule type="cellIs" priority="1" dxfId="17" operator="equal" stopIfTrue="1">
      <formula>0</formula>
    </cfRule>
  </conditionalFormatting>
  <conditionalFormatting sqref="D104:E104 B118:D118 E121:E123 F106:F113 C113:E113 C123:D123 F116:F123 E111:E112 E114 E116:E118">
    <cfRule type="cellIs" priority="3" dxfId="17" operator="equal" stopIfTrue="1">
      <formula>0</formula>
    </cfRule>
  </conditionalFormatting>
  <conditionalFormatting sqref="E105">
    <cfRule type="cellIs" priority="2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9" r:id="rId1"/>
  <rowBreaks count="2" manualBreakCount="2">
    <brk id="51" max="5" man="1"/>
    <brk id="9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281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9"/>
  <sheetViews>
    <sheetView view="pageBreakPreview" zoomScale="60" zoomScaleNormal="75" zoomScalePageLayoutView="0" workbookViewId="0" topLeftCell="A1">
      <selection activeCell="M66" sqref="M66"/>
    </sheetView>
  </sheetViews>
  <sheetFormatPr defaultColWidth="9.140625" defaultRowHeight="15"/>
  <cols>
    <col min="1" max="1" width="3.7109375" style="0" customWidth="1"/>
    <col min="2" max="7" width="9.28125" style="0" hidden="1" customWidth="1"/>
    <col min="8" max="8" width="3.57421875" style="0" bestFit="1" customWidth="1"/>
    <col min="9" max="9" width="5.421875" style="0" customWidth="1"/>
    <col min="10" max="10" width="55.421875" style="0" customWidth="1"/>
    <col min="11" max="11" width="12.7109375" style="0" customWidth="1"/>
    <col min="12" max="12" width="14.140625" style="0" customWidth="1"/>
    <col min="13" max="14" width="12.8515625" style="0" customWidth="1"/>
    <col min="15" max="15" width="12.7109375" style="0" customWidth="1"/>
    <col min="16" max="16" width="12.28125" style="0" customWidth="1"/>
    <col min="17" max="17" width="12.140625" style="0" customWidth="1"/>
    <col min="18" max="18" width="13.28125" style="0" customWidth="1"/>
  </cols>
  <sheetData>
    <row r="1" spans="8:19" ht="14.25"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44"/>
    </row>
    <row r="2" spans="8:18" s="44" customFormat="1" ht="19.5" customHeight="1">
      <c r="H2" s="289" t="s">
        <v>231</v>
      </c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8:18" ht="16.5">
      <c r="H3" s="290" t="s">
        <v>254</v>
      </c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4" spans="8:18" ht="20.25" customHeight="1">
      <c r="H4" s="91"/>
      <c r="I4" s="91"/>
      <c r="J4" s="91"/>
      <c r="K4" s="91"/>
      <c r="L4" s="91"/>
      <c r="M4" s="91"/>
      <c r="N4" s="91"/>
      <c r="O4" s="91"/>
      <c r="P4" s="91" t="s">
        <v>32</v>
      </c>
      <c r="Q4" s="91"/>
      <c r="R4" s="235" t="s">
        <v>388</v>
      </c>
    </row>
    <row r="5" spans="1:18" s="49" customFormat="1" ht="16.5">
      <c r="A5" s="294" t="s">
        <v>162</v>
      </c>
      <c r="B5" s="45"/>
      <c r="C5" s="45"/>
      <c r="D5" s="45"/>
      <c r="E5" s="45"/>
      <c r="F5" s="45"/>
      <c r="G5" s="45"/>
      <c r="H5" s="307" t="s">
        <v>211</v>
      </c>
      <c r="I5" s="307"/>
      <c r="J5" s="308"/>
      <c r="K5" s="296" t="s">
        <v>228</v>
      </c>
      <c r="L5" s="296" t="s">
        <v>385</v>
      </c>
      <c r="M5" s="296" t="s">
        <v>393</v>
      </c>
      <c r="N5" s="296" t="s">
        <v>408</v>
      </c>
      <c r="O5" s="296" t="s">
        <v>426</v>
      </c>
      <c r="P5" s="291" t="s">
        <v>428</v>
      </c>
      <c r="Q5" s="292"/>
      <c r="R5" s="293"/>
    </row>
    <row r="6" spans="1:18" s="46" customFormat="1" ht="45.75" customHeight="1">
      <c r="A6" s="295"/>
      <c r="B6" s="45"/>
      <c r="C6" s="45"/>
      <c r="D6" s="45"/>
      <c r="E6" s="45"/>
      <c r="F6" s="45"/>
      <c r="G6" s="45"/>
      <c r="H6" s="309"/>
      <c r="I6" s="309"/>
      <c r="J6" s="310"/>
      <c r="K6" s="297"/>
      <c r="L6" s="297"/>
      <c r="M6" s="297"/>
      <c r="N6" s="297"/>
      <c r="O6" s="297"/>
      <c r="P6" s="245" t="s">
        <v>86</v>
      </c>
      <c r="Q6" s="245" t="s">
        <v>87</v>
      </c>
      <c r="R6" s="261" t="s">
        <v>223</v>
      </c>
    </row>
    <row r="7" spans="1:18" s="46" customFormat="1" ht="17.25">
      <c r="A7" s="223"/>
      <c r="B7" s="45"/>
      <c r="C7" s="45"/>
      <c r="D7" s="45"/>
      <c r="E7" s="45"/>
      <c r="F7" s="45"/>
      <c r="G7" s="45"/>
      <c r="H7" s="291" t="s">
        <v>6</v>
      </c>
      <c r="I7" s="311"/>
      <c r="J7" s="312"/>
      <c r="K7" s="92" t="s">
        <v>7</v>
      </c>
      <c r="L7" s="92" t="s">
        <v>8</v>
      </c>
      <c r="M7" s="92" t="s">
        <v>357</v>
      </c>
      <c r="N7" s="92" t="s">
        <v>104</v>
      </c>
      <c r="O7" s="92" t="s">
        <v>229</v>
      </c>
      <c r="P7" s="92" t="s">
        <v>247</v>
      </c>
      <c r="Q7" s="92" t="s">
        <v>405</v>
      </c>
      <c r="R7" s="92" t="s">
        <v>424</v>
      </c>
    </row>
    <row r="8" spans="1:18" s="50" customFormat="1" ht="16.5">
      <c r="A8" s="224">
        <v>1</v>
      </c>
      <c r="H8" s="301" t="s">
        <v>100</v>
      </c>
      <c r="I8" s="302"/>
      <c r="J8" s="303"/>
      <c r="K8" s="96">
        <f aca="true" t="shared" si="0" ref="K8:R8">SUM(K9+K26+K39+K47)</f>
        <v>365838</v>
      </c>
      <c r="L8" s="96">
        <f t="shared" si="0"/>
        <v>422440</v>
      </c>
      <c r="M8" s="96">
        <f t="shared" si="0"/>
        <v>433686</v>
      </c>
      <c r="N8" s="96">
        <f t="shared" si="0"/>
        <v>414166</v>
      </c>
      <c r="O8" s="96">
        <f t="shared" si="0"/>
        <v>422537</v>
      </c>
      <c r="P8" s="96">
        <f t="shared" si="0"/>
        <v>386535</v>
      </c>
      <c r="Q8" s="96">
        <f t="shared" si="0"/>
        <v>36002</v>
      </c>
      <c r="R8" s="96">
        <f t="shared" si="0"/>
        <v>0</v>
      </c>
    </row>
    <row r="9" spans="1:18" s="52" customFormat="1" ht="16.5">
      <c r="A9" s="225">
        <v>2</v>
      </c>
      <c r="H9" s="97" t="s">
        <v>89</v>
      </c>
      <c r="I9" s="98"/>
      <c r="J9" s="98" t="s">
        <v>106</v>
      </c>
      <c r="K9" s="99">
        <f aca="true" t="shared" si="1" ref="K9:Q9">SUM(K10+K16)</f>
        <v>230505</v>
      </c>
      <c r="L9" s="99">
        <f t="shared" si="1"/>
        <v>296188</v>
      </c>
      <c r="M9" s="99">
        <f t="shared" si="1"/>
        <v>304032</v>
      </c>
      <c r="N9" s="99">
        <f t="shared" si="1"/>
        <v>284512</v>
      </c>
      <c r="O9" s="99">
        <f t="shared" si="1"/>
        <v>292883</v>
      </c>
      <c r="P9" s="99">
        <f t="shared" si="1"/>
        <v>269043</v>
      </c>
      <c r="Q9" s="99">
        <f t="shared" si="1"/>
        <v>23840</v>
      </c>
      <c r="R9" s="99">
        <f>SUM(R10:R27)</f>
        <v>0</v>
      </c>
    </row>
    <row r="10" spans="1:18" s="53" customFormat="1" ht="16.5">
      <c r="A10" s="226">
        <v>3</v>
      </c>
      <c r="H10" s="100"/>
      <c r="I10" s="101" t="s">
        <v>167</v>
      </c>
      <c r="J10" s="100" t="s">
        <v>154</v>
      </c>
      <c r="K10" s="102">
        <f aca="true" t="shared" si="2" ref="K10:R10">SUM(K11:K15)</f>
        <v>176903</v>
      </c>
      <c r="L10" s="102">
        <f t="shared" si="2"/>
        <v>195445</v>
      </c>
      <c r="M10" s="102">
        <f t="shared" si="2"/>
        <v>200046</v>
      </c>
      <c r="N10" s="102">
        <f t="shared" si="2"/>
        <v>203897</v>
      </c>
      <c r="O10" s="102">
        <f t="shared" si="2"/>
        <v>203917</v>
      </c>
      <c r="P10" s="102">
        <f t="shared" si="2"/>
        <v>203917</v>
      </c>
      <c r="Q10" s="102">
        <f t="shared" si="2"/>
        <v>0</v>
      </c>
      <c r="R10" s="102">
        <f t="shared" si="2"/>
        <v>0</v>
      </c>
    </row>
    <row r="11" spans="1:18" s="53" customFormat="1" ht="16.5">
      <c r="A11" s="226">
        <v>4</v>
      </c>
      <c r="H11" s="100"/>
      <c r="I11" s="101"/>
      <c r="J11" s="103" t="s">
        <v>155</v>
      </c>
      <c r="K11" s="104">
        <v>82018</v>
      </c>
      <c r="L11" s="104">
        <v>91140</v>
      </c>
      <c r="M11" s="104">
        <v>91140</v>
      </c>
      <c r="N11" s="104">
        <v>91140</v>
      </c>
      <c r="O11" s="104">
        <v>91160</v>
      </c>
      <c r="P11" s="104">
        <v>91160</v>
      </c>
      <c r="Q11" s="104">
        <v>0</v>
      </c>
      <c r="R11" s="104">
        <v>0</v>
      </c>
    </row>
    <row r="12" spans="1:18" s="53" customFormat="1" ht="16.5">
      <c r="A12" s="224">
        <v>5</v>
      </c>
      <c r="H12" s="100"/>
      <c r="I12" s="101"/>
      <c r="J12" s="103" t="s">
        <v>156</v>
      </c>
      <c r="K12" s="104">
        <v>90577</v>
      </c>
      <c r="L12" s="104">
        <v>98516</v>
      </c>
      <c r="M12" s="104">
        <f>99392+429</f>
        <v>99821</v>
      </c>
      <c r="N12" s="104">
        <v>103457</v>
      </c>
      <c r="O12" s="104">
        <v>103457</v>
      </c>
      <c r="P12" s="104">
        <v>103457</v>
      </c>
      <c r="Q12" s="104">
        <v>0</v>
      </c>
      <c r="R12" s="104">
        <v>0</v>
      </c>
    </row>
    <row r="13" spans="1:18" s="53" customFormat="1" ht="16.5">
      <c r="A13" s="224">
        <v>6</v>
      </c>
      <c r="H13" s="100"/>
      <c r="I13" s="101"/>
      <c r="J13" s="103" t="s">
        <v>157</v>
      </c>
      <c r="K13" s="104">
        <v>4308</v>
      </c>
      <c r="L13" s="104">
        <v>5789</v>
      </c>
      <c r="M13" s="104">
        <v>5789</v>
      </c>
      <c r="N13" s="104">
        <v>5789</v>
      </c>
      <c r="O13" s="104">
        <v>5789</v>
      </c>
      <c r="P13" s="104">
        <v>5789</v>
      </c>
      <c r="Q13" s="104">
        <v>0</v>
      </c>
      <c r="R13" s="104">
        <v>0</v>
      </c>
    </row>
    <row r="14" spans="1:18" s="53" customFormat="1" ht="16.5">
      <c r="A14" s="225">
        <v>7</v>
      </c>
      <c r="H14" s="100"/>
      <c r="I14" s="101"/>
      <c r="J14" s="103" t="s">
        <v>232</v>
      </c>
      <c r="K14" s="104">
        <v>0</v>
      </c>
      <c r="L14" s="104">
        <v>0</v>
      </c>
      <c r="M14" s="104">
        <v>3296</v>
      </c>
      <c r="N14" s="104">
        <v>3511</v>
      </c>
      <c r="O14" s="104">
        <v>3511</v>
      </c>
      <c r="P14" s="104">
        <v>3511</v>
      </c>
      <c r="Q14" s="104">
        <v>0</v>
      </c>
      <c r="R14" s="104">
        <v>0</v>
      </c>
    </row>
    <row r="15" spans="1:18" s="53" customFormat="1" ht="16.5">
      <c r="A15" s="226">
        <v>8</v>
      </c>
      <c r="H15" s="100"/>
      <c r="I15" s="101"/>
      <c r="J15" s="103" t="s">
        <v>251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</row>
    <row r="16" spans="1:19" s="53" customFormat="1" ht="16.5">
      <c r="A16" s="226">
        <v>9</v>
      </c>
      <c r="H16" s="100"/>
      <c r="I16" s="101" t="s">
        <v>168</v>
      </c>
      <c r="J16" s="100" t="s">
        <v>158</v>
      </c>
      <c r="K16" s="102">
        <f aca="true" t="shared" si="3" ref="K16:R16">SUM(K17:K25)</f>
        <v>53602</v>
      </c>
      <c r="L16" s="102">
        <f t="shared" si="3"/>
        <v>100743</v>
      </c>
      <c r="M16" s="102">
        <f t="shared" si="3"/>
        <v>103986</v>
      </c>
      <c r="N16" s="102">
        <f t="shared" si="3"/>
        <v>80615</v>
      </c>
      <c r="O16" s="102">
        <f t="shared" si="3"/>
        <v>88966</v>
      </c>
      <c r="P16" s="102">
        <f t="shared" si="3"/>
        <v>65126</v>
      </c>
      <c r="Q16" s="102">
        <f t="shared" si="3"/>
        <v>23840</v>
      </c>
      <c r="R16" s="102">
        <f t="shared" si="3"/>
        <v>0</v>
      </c>
      <c r="S16" s="260"/>
    </row>
    <row r="17" spans="1:18" s="53" customFormat="1" ht="16.5">
      <c r="A17" s="224">
        <v>10</v>
      </c>
      <c r="H17" s="100"/>
      <c r="I17" s="101"/>
      <c r="J17" s="103" t="s">
        <v>159</v>
      </c>
      <c r="K17" s="104">
        <v>22905</v>
      </c>
      <c r="L17" s="104">
        <v>22905</v>
      </c>
      <c r="M17" s="104">
        <v>22905</v>
      </c>
      <c r="N17" s="104">
        <v>22905</v>
      </c>
      <c r="O17" s="104">
        <v>23146</v>
      </c>
      <c r="P17" s="104">
        <v>23146</v>
      </c>
      <c r="Q17" s="104">
        <v>0</v>
      </c>
      <c r="R17" s="104">
        <v>0</v>
      </c>
    </row>
    <row r="18" spans="1:18" s="53" customFormat="1" ht="16.5">
      <c r="A18" s="224">
        <v>11</v>
      </c>
      <c r="H18" s="100"/>
      <c r="I18" s="101"/>
      <c r="J18" s="103" t="s">
        <v>236</v>
      </c>
      <c r="K18" s="104">
        <v>0</v>
      </c>
      <c r="L18" s="104">
        <v>1001</v>
      </c>
      <c r="M18" s="104">
        <f>1001+1000</f>
        <v>2001</v>
      </c>
      <c r="N18" s="104">
        <v>2001</v>
      </c>
      <c r="O18" s="104">
        <v>2001</v>
      </c>
      <c r="P18" s="104">
        <f>1001+1000</f>
        <v>2001</v>
      </c>
      <c r="Q18" s="104">
        <v>0</v>
      </c>
      <c r="R18" s="104">
        <v>0</v>
      </c>
    </row>
    <row r="19" spans="1:18" s="53" customFormat="1" ht="16.5">
      <c r="A19" s="225">
        <v>12</v>
      </c>
      <c r="H19" s="100"/>
      <c r="I19" s="101"/>
      <c r="J19" s="103" t="s">
        <v>166</v>
      </c>
      <c r="K19" s="104">
        <v>7007</v>
      </c>
      <c r="L19" s="104">
        <v>42540</v>
      </c>
      <c r="M19" s="104">
        <v>42540</v>
      </c>
      <c r="N19" s="104">
        <v>42540</v>
      </c>
      <c r="O19" s="104">
        <v>38804</v>
      </c>
      <c r="P19" s="104">
        <v>38804</v>
      </c>
      <c r="Q19" s="104">
        <v>0</v>
      </c>
      <c r="R19" s="104">
        <v>0</v>
      </c>
    </row>
    <row r="20" spans="1:18" s="53" customFormat="1" ht="16.5">
      <c r="A20" s="226">
        <v>13</v>
      </c>
      <c r="H20" s="100"/>
      <c r="I20" s="101"/>
      <c r="J20" s="103" t="s">
        <v>237</v>
      </c>
      <c r="K20" s="104">
        <v>0</v>
      </c>
      <c r="L20" s="104">
        <v>7583</v>
      </c>
      <c r="M20" s="104">
        <v>7583</v>
      </c>
      <c r="N20" s="104">
        <v>7583</v>
      </c>
      <c r="O20" s="104">
        <v>0</v>
      </c>
      <c r="P20" s="104">
        <v>0</v>
      </c>
      <c r="Q20" s="104">
        <v>0</v>
      </c>
      <c r="R20" s="104">
        <v>0</v>
      </c>
    </row>
    <row r="21" spans="1:18" s="53" customFormat="1" ht="16.5">
      <c r="A21" s="226">
        <v>14</v>
      </c>
      <c r="H21" s="100"/>
      <c r="I21" s="101"/>
      <c r="J21" s="103" t="s">
        <v>238</v>
      </c>
      <c r="K21" s="104">
        <v>20832</v>
      </c>
      <c r="L21" s="104">
        <v>23856</v>
      </c>
      <c r="M21" s="104">
        <v>23856</v>
      </c>
      <c r="N21" s="104">
        <v>1193</v>
      </c>
      <c r="O21" s="104">
        <v>22663</v>
      </c>
      <c r="P21" s="104">
        <v>0</v>
      </c>
      <c r="Q21" s="104">
        <v>22663</v>
      </c>
      <c r="R21" s="104">
        <v>0</v>
      </c>
    </row>
    <row r="22" spans="1:18" s="53" customFormat="1" ht="16.5">
      <c r="A22" s="224">
        <v>15</v>
      </c>
      <c r="H22" s="100"/>
      <c r="I22" s="101"/>
      <c r="J22" s="103" t="s">
        <v>239</v>
      </c>
      <c r="K22" s="104">
        <v>2858</v>
      </c>
      <c r="L22" s="104">
        <v>2858</v>
      </c>
      <c r="M22" s="104">
        <v>2858</v>
      </c>
      <c r="N22" s="104">
        <v>2101</v>
      </c>
      <c r="O22" s="104">
        <v>0</v>
      </c>
      <c r="P22" s="104">
        <v>0</v>
      </c>
      <c r="Q22" s="104">
        <v>0</v>
      </c>
      <c r="R22" s="104">
        <v>0</v>
      </c>
    </row>
    <row r="23" spans="1:18" s="53" customFormat="1" ht="16.5">
      <c r="A23" s="224">
        <v>16</v>
      </c>
      <c r="H23" s="100"/>
      <c r="I23" s="101"/>
      <c r="J23" s="103" t="s">
        <v>396</v>
      </c>
      <c r="K23" s="104">
        <v>0</v>
      </c>
      <c r="L23" s="104">
        <v>0</v>
      </c>
      <c r="M23" s="104">
        <v>1175</v>
      </c>
      <c r="N23" s="104">
        <v>1175</v>
      </c>
      <c r="O23" s="104">
        <v>1175</v>
      </c>
      <c r="P23" s="104">
        <v>1175</v>
      </c>
      <c r="Q23" s="104">
        <v>0</v>
      </c>
      <c r="R23" s="104">
        <v>0</v>
      </c>
    </row>
    <row r="24" spans="1:18" s="53" customFormat="1" ht="16.5">
      <c r="A24" s="225">
        <v>17</v>
      </c>
      <c r="H24" s="100"/>
      <c r="I24" s="101"/>
      <c r="J24" s="103" t="s">
        <v>395</v>
      </c>
      <c r="K24" s="104">
        <v>0</v>
      </c>
      <c r="L24" s="104">
        <v>0</v>
      </c>
      <c r="M24" s="104">
        <v>976</v>
      </c>
      <c r="N24" s="104">
        <v>976</v>
      </c>
      <c r="O24" s="104">
        <v>976</v>
      </c>
      <c r="P24" s="104">
        <v>0</v>
      </c>
      <c r="Q24" s="104">
        <v>976</v>
      </c>
      <c r="R24" s="104">
        <v>0</v>
      </c>
    </row>
    <row r="25" spans="1:18" s="53" customFormat="1" ht="16.5">
      <c r="A25" s="226">
        <v>18</v>
      </c>
      <c r="H25" s="100"/>
      <c r="I25" s="101"/>
      <c r="J25" s="103" t="s">
        <v>407</v>
      </c>
      <c r="K25" s="104">
        <v>0</v>
      </c>
      <c r="L25" s="104">
        <v>0</v>
      </c>
      <c r="M25" s="104">
        <v>92</v>
      </c>
      <c r="N25" s="104">
        <f>92+49</f>
        <v>141</v>
      </c>
      <c r="O25" s="104">
        <v>201</v>
      </c>
      <c r="P25" s="104">
        <v>0</v>
      </c>
      <c r="Q25" s="104">
        <v>201</v>
      </c>
      <c r="R25" s="104">
        <v>0</v>
      </c>
    </row>
    <row r="26" spans="1:18" s="52" customFormat="1" ht="16.5">
      <c r="A26" s="226">
        <v>19</v>
      </c>
      <c r="H26" s="97" t="s">
        <v>91</v>
      </c>
      <c r="I26" s="97"/>
      <c r="J26" s="98" t="s">
        <v>101</v>
      </c>
      <c r="K26" s="99">
        <f aca="true" t="shared" si="4" ref="K26:R26">SUM(K27+K30+K33+K35+K37)</f>
        <v>127900</v>
      </c>
      <c r="L26" s="99">
        <f t="shared" si="4"/>
        <v>114590</v>
      </c>
      <c r="M26" s="99">
        <f t="shared" si="4"/>
        <v>113600</v>
      </c>
      <c r="N26" s="99">
        <f t="shared" si="4"/>
        <v>113600</v>
      </c>
      <c r="O26" s="99">
        <f t="shared" si="4"/>
        <v>113600</v>
      </c>
      <c r="P26" s="99">
        <f t="shared" si="4"/>
        <v>113600</v>
      </c>
      <c r="Q26" s="99">
        <f t="shared" si="4"/>
        <v>0</v>
      </c>
      <c r="R26" s="99">
        <f t="shared" si="4"/>
        <v>0</v>
      </c>
    </row>
    <row r="27" spans="1:18" s="53" customFormat="1" ht="16.5">
      <c r="A27" s="224">
        <v>20</v>
      </c>
      <c r="H27" s="100"/>
      <c r="I27" s="101" t="s">
        <v>174</v>
      </c>
      <c r="J27" s="100" t="s">
        <v>169</v>
      </c>
      <c r="K27" s="102">
        <f aca="true" t="shared" si="5" ref="K27:R27">SUM(K28:K29)</f>
        <v>23000</v>
      </c>
      <c r="L27" s="102">
        <f t="shared" si="5"/>
        <v>23000</v>
      </c>
      <c r="M27" s="102">
        <f t="shared" si="5"/>
        <v>23000</v>
      </c>
      <c r="N27" s="102">
        <f t="shared" si="5"/>
        <v>23000</v>
      </c>
      <c r="O27" s="102">
        <f t="shared" si="5"/>
        <v>23000</v>
      </c>
      <c r="P27" s="102">
        <f t="shared" si="5"/>
        <v>23000</v>
      </c>
      <c r="Q27" s="102">
        <f t="shared" si="5"/>
        <v>0</v>
      </c>
      <c r="R27" s="102">
        <f t="shared" si="5"/>
        <v>0</v>
      </c>
    </row>
    <row r="28" spans="1:18" s="48" customFormat="1" ht="16.5">
      <c r="A28" s="224">
        <v>21</v>
      </c>
      <c r="H28" s="103"/>
      <c r="I28" s="105"/>
      <c r="J28" s="103" t="s">
        <v>170</v>
      </c>
      <c r="K28" s="104">
        <v>14000</v>
      </c>
      <c r="L28" s="104">
        <v>14000</v>
      </c>
      <c r="M28" s="104">
        <v>14000</v>
      </c>
      <c r="N28" s="104">
        <v>14000</v>
      </c>
      <c r="O28" s="104">
        <v>14000</v>
      </c>
      <c r="P28" s="104">
        <v>14000</v>
      </c>
      <c r="Q28" s="104">
        <v>0</v>
      </c>
      <c r="R28" s="104">
        <v>0</v>
      </c>
    </row>
    <row r="29" spans="1:18" s="48" customFormat="1" ht="16.5">
      <c r="A29" s="225">
        <v>22</v>
      </c>
      <c r="H29" s="103"/>
      <c r="I29" s="105"/>
      <c r="J29" s="103" t="s">
        <v>219</v>
      </c>
      <c r="K29" s="104">
        <v>9000</v>
      </c>
      <c r="L29" s="104">
        <v>9000</v>
      </c>
      <c r="M29" s="104">
        <v>9000</v>
      </c>
      <c r="N29" s="104">
        <v>9000</v>
      </c>
      <c r="O29" s="104">
        <v>9000</v>
      </c>
      <c r="P29" s="104">
        <v>9000</v>
      </c>
      <c r="Q29" s="104">
        <v>0</v>
      </c>
      <c r="R29" s="104">
        <v>0</v>
      </c>
    </row>
    <row r="30" spans="1:18" s="48" customFormat="1" ht="16.5">
      <c r="A30" s="226">
        <v>23</v>
      </c>
      <c r="H30" s="103"/>
      <c r="I30" s="101" t="s">
        <v>175</v>
      </c>
      <c r="J30" s="100" t="s">
        <v>171</v>
      </c>
      <c r="K30" s="102">
        <f aca="true" t="shared" si="6" ref="K30:P30">SUM(K31+K32)</f>
        <v>90000</v>
      </c>
      <c r="L30" s="102">
        <f t="shared" si="6"/>
        <v>90000</v>
      </c>
      <c r="M30" s="102">
        <f t="shared" si="6"/>
        <v>90000</v>
      </c>
      <c r="N30" s="102">
        <f t="shared" si="6"/>
        <v>90000</v>
      </c>
      <c r="O30" s="102">
        <f t="shared" si="6"/>
        <v>90000</v>
      </c>
      <c r="P30" s="102">
        <f t="shared" si="6"/>
        <v>90000</v>
      </c>
      <c r="Q30" s="102">
        <f>SUM(Q31:Q33)</f>
        <v>0</v>
      </c>
      <c r="R30" s="102">
        <f>SUM(R31:R33)</f>
        <v>0</v>
      </c>
    </row>
    <row r="31" spans="1:18" s="48" customFormat="1" ht="16.5">
      <c r="A31" s="226">
        <v>24</v>
      </c>
      <c r="H31" s="103"/>
      <c r="I31" s="105"/>
      <c r="J31" s="103" t="s">
        <v>172</v>
      </c>
      <c r="K31" s="104">
        <v>90000</v>
      </c>
      <c r="L31" s="104">
        <v>90000</v>
      </c>
      <c r="M31" s="104">
        <v>90000</v>
      </c>
      <c r="N31" s="104">
        <v>90000</v>
      </c>
      <c r="O31" s="104">
        <v>90000</v>
      </c>
      <c r="P31" s="104">
        <v>90000</v>
      </c>
      <c r="Q31" s="104">
        <v>0</v>
      </c>
      <c r="R31" s="104">
        <v>0</v>
      </c>
    </row>
    <row r="32" spans="1:18" s="48" customFormat="1" ht="16.5">
      <c r="A32" s="224">
        <v>25</v>
      </c>
      <c r="H32" s="103"/>
      <c r="I32" s="105"/>
      <c r="J32" s="103" t="s">
        <v>173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</row>
    <row r="33" spans="1:18" s="48" customFormat="1" ht="16.5">
      <c r="A33" s="224">
        <v>26</v>
      </c>
      <c r="H33" s="103"/>
      <c r="I33" s="101" t="s">
        <v>176</v>
      </c>
      <c r="J33" s="100" t="s">
        <v>177</v>
      </c>
      <c r="K33" s="102">
        <f aca="true" t="shared" si="7" ref="K33:P33">SUM(K34)</f>
        <v>14000</v>
      </c>
      <c r="L33" s="102">
        <f t="shared" si="7"/>
        <v>690</v>
      </c>
      <c r="M33" s="102">
        <f t="shared" si="7"/>
        <v>0</v>
      </c>
      <c r="N33" s="102">
        <f t="shared" si="7"/>
        <v>0</v>
      </c>
      <c r="O33" s="102">
        <f t="shared" si="7"/>
        <v>0</v>
      </c>
      <c r="P33" s="102">
        <f t="shared" si="7"/>
        <v>0</v>
      </c>
      <c r="Q33" s="102">
        <v>0</v>
      </c>
      <c r="R33" s="102">
        <v>0</v>
      </c>
    </row>
    <row r="34" spans="1:18" s="48" customFormat="1" ht="16.5">
      <c r="A34" s="225">
        <v>27</v>
      </c>
      <c r="H34" s="103"/>
      <c r="I34" s="101"/>
      <c r="J34" s="103" t="s">
        <v>178</v>
      </c>
      <c r="K34" s="104">
        <v>14000</v>
      </c>
      <c r="L34" s="104">
        <v>690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</row>
    <row r="35" spans="1:18" s="48" customFormat="1" ht="16.5">
      <c r="A35" s="226">
        <v>28</v>
      </c>
      <c r="H35" s="103"/>
      <c r="I35" s="101" t="s">
        <v>179</v>
      </c>
      <c r="J35" s="100" t="s">
        <v>180</v>
      </c>
      <c r="K35" s="102">
        <f aca="true" t="shared" si="8" ref="K35:R35">SUM(K36)</f>
        <v>400</v>
      </c>
      <c r="L35" s="102">
        <f t="shared" si="8"/>
        <v>400</v>
      </c>
      <c r="M35" s="102">
        <f t="shared" si="8"/>
        <v>400</v>
      </c>
      <c r="N35" s="102">
        <f t="shared" si="8"/>
        <v>400</v>
      </c>
      <c r="O35" s="102">
        <f t="shared" si="8"/>
        <v>400</v>
      </c>
      <c r="P35" s="102">
        <f t="shared" si="8"/>
        <v>400</v>
      </c>
      <c r="Q35" s="102">
        <f t="shared" si="8"/>
        <v>0</v>
      </c>
      <c r="R35" s="102">
        <f t="shared" si="8"/>
        <v>0</v>
      </c>
    </row>
    <row r="36" spans="1:18" s="48" customFormat="1" ht="16.5">
      <c r="A36" s="226">
        <v>29</v>
      </c>
      <c r="H36" s="103"/>
      <c r="I36" s="101"/>
      <c r="J36" s="103" t="s">
        <v>181</v>
      </c>
      <c r="K36" s="104">
        <v>400</v>
      </c>
      <c r="L36" s="104">
        <v>400</v>
      </c>
      <c r="M36" s="104">
        <v>400</v>
      </c>
      <c r="N36" s="104">
        <v>400</v>
      </c>
      <c r="O36" s="104">
        <v>400</v>
      </c>
      <c r="P36" s="104">
        <v>400</v>
      </c>
      <c r="Q36" s="104">
        <v>0</v>
      </c>
      <c r="R36" s="104">
        <v>0</v>
      </c>
    </row>
    <row r="37" spans="1:18" s="48" customFormat="1" ht="16.5">
      <c r="A37" s="224">
        <v>30</v>
      </c>
      <c r="H37" s="103"/>
      <c r="I37" s="101" t="s">
        <v>182</v>
      </c>
      <c r="J37" s="100" t="s">
        <v>183</v>
      </c>
      <c r="K37" s="102">
        <f aca="true" t="shared" si="9" ref="K37:P37">SUM(K38)</f>
        <v>500</v>
      </c>
      <c r="L37" s="102">
        <f t="shared" si="9"/>
        <v>500</v>
      </c>
      <c r="M37" s="102">
        <f t="shared" si="9"/>
        <v>200</v>
      </c>
      <c r="N37" s="102">
        <f t="shared" si="9"/>
        <v>200</v>
      </c>
      <c r="O37" s="102">
        <f t="shared" si="9"/>
        <v>200</v>
      </c>
      <c r="P37" s="102">
        <f t="shared" si="9"/>
        <v>200</v>
      </c>
      <c r="Q37" s="102">
        <v>0</v>
      </c>
      <c r="R37" s="102">
        <v>0</v>
      </c>
    </row>
    <row r="38" spans="1:18" s="48" customFormat="1" ht="16.5">
      <c r="A38" s="224">
        <v>31</v>
      </c>
      <c r="H38" s="103"/>
      <c r="I38" s="101"/>
      <c r="J38" s="103" t="s">
        <v>184</v>
      </c>
      <c r="K38" s="104">
        <v>500</v>
      </c>
      <c r="L38" s="104">
        <v>500</v>
      </c>
      <c r="M38" s="104">
        <v>200</v>
      </c>
      <c r="N38" s="104">
        <v>200</v>
      </c>
      <c r="O38" s="104">
        <v>200</v>
      </c>
      <c r="P38" s="104">
        <v>200</v>
      </c>
      <c r="Q38" s="104">
        <v>0</v>
      </c>
      <c r="R38" s="104">
        <v>0</v>
      </c>
    </row>
    <row r="39" spans="1:18" s="52" customFormat="1" ht="16.5">
      <c r="A39" s="225">
        <v>32</v>
      </c>
      <c r="H39" s="97" t="s">
        <v>93</v>
      </c>
      <c r="I39" s="97"/>
      <c r="J39" s="98" t="s">
        <v>185</v>
      </c>
      <c r="K39" s="99">
        <f aca="true" t="shared" si="10" ref="K39:Q39">SUM(K40:K46)</f>
        <v>7433</v>
      </c>
      <c r="L39" s="99">
        <f t="shared" si="10"/>
        <v>8319</v>
      </c>
      <c r="M39" s="99">
        <f t="shared" si="10"/>
        <v>12711</v>
      </c>
      <c r="N39" s="99">
        <f t="shared" si="10"/>
        <v>12711</v>
      </c>
      <c r="O39" s="99">
        <f t="shared" si="10"/>
        <v>12711</v>
      </c>
      <c r="P39" s="99">
        <f t="shared" si="10"/>
        <v>3892</v>
      </c>
      <c r="Q39" s="99">
        <f t="shared" si="10"/>
        <v>8819</v>
      </c>
      <c r="R39" s="99">
        <f>SUM(R41:R46)</f>
        <v>0</v>
      </c>
    </row>
    <row r="40" spans="1:18" s="52" customFormat="1" ht="16.5">
      <c r="A40" s="226">
        <v>33</v>
      </c>
      <c r="H40" s="97"/>
      <c r="I40" s="101" t="s">
        <v>108</v>
      </c>
      <c r="J40" s="100" t="s">
        <v>224</v>
      </c>
      <c r="K40" s="102">
        <v>5</v>
      </c>
      <c r="L40" s="102">
        <v>5</v>
      </c>
      <c r="M40" s="102">
        <v>1531</v>
      </c>
      <c r="N40" s="102">
        <v>1531</v>
      </c>
      <c r="O40" s="102">
        <v>1531</v>
      </c>
      <c r="P40" s="102">
        <v>0</v>
      </c>
      <c r="Q40" s="102">
        <v>1531</v>
      </c>
      <c r="R40" s="102">
        <v>0</v>
      </c>
    </row>
    <row r="41" spans="1:18" s="48" customFormat="1" ht="16.5">
      <c r="A41" s="226">
        <v>34</v>
      </c>
      <c r="H41" s="103"/>
      <c r="I41" s="101" t="s">
        <v>112</v>
      </c>
      <c r="J41" s="100" t="s">
        <v>186</v>
      </c>
      <c r="K41" s="102">
        <v>6661</v>
      </c>
      <c r="L41" s="102">
        <v>6661</v>
      </c>
      <c r="M41" s="102">
        <v>8397</v>
      </c>
      <c r="N41" s="102">
        <v>8397</v>
      </c>
      <c r="O41" s="102">
        <v>8397</v>
      </c>
      <c r="P41" s="102">
        <v>1760</v>
      </c>
      <c r="Q41" s="102">
        <v>6637</v>
      </c>
      <c r="R41" s="102">
        <v>0</v>
      </c>
    </row>
    <row r="42" spans="1:18" s="48" customFormat="1" ht="16.5">
      <c r="A42" s="224">
        <v>35</v>
      </c>
      <c r="H42" s="103"/>
      <c r="I42" s="101" t="s">
        <v>116</v>
      </c>
      <c r="J42" s="100" t="s">
        <v>187</v>
      </c>
      <c r="K42" s="102">
        <v>0</v>
      </c>
      <c r="L42" s="102">
        <v>166</v>
      </c>
      <c r="M42" s="102">
        <v>451</v>
      </c>
      <c r="N42" s="102">
        <v>451</v>
      </c>
      <c r="O42" s="102">
        <v>451</v>
      </c>
      <c r="P42" s="102">
        <v>451</v>
      </c>
      <c r="Q42" s="102">
        <v>0</v>
      </c>
      <c r="R42" s="102">
        <v>0</v>
      </c>
    </row>
    <row r="43" spans="1:18" s="48" customFormat="1" ht="16.5">
      <c r="A43" s="224">
        <v>36</v>
      </c>
      <c r="H43" s="103"/>
      <c r="I43" s="101" t="s">
        <v>125</v>
      </c>
      <c r="J43" s="100" t="s">
        <v>188</v>
      </c>
      <c r="K43" s="102">
        <v>226</v>
      </c>
      <c r="L43" s="102">
        <v>226</v>
      </c>
      <c r="M43" s="102">
        <v>226</v>
      </c>
      <c r="N43" s="102">
        <v>226</v>
      </c>
      <c r="O43" s="102">
        <v>226</v>
      </c>
      <c r="P43" s="102">
        <v>226</v>
      </c>
      <c r="Q43" s="102">
        <v>0</v>
      </c>
      <c r="R43" s="102">
        <v>0</v>
      </c>
    </row>
    <row r="44" spans="1:18" s="48" customFormat="1" ht="16.5">
      <c r="A44" s="225">
        <v>37</v>
      </c>
      <c r="H44" s="103"/>
      <c r="I44" s="101" t="s">
        <v>128</v>
      </c>
      <c r="J44" s="100" t="s">
        <v>189</v>
      </c>
      <c r="K44" s="102">
        <v>496</v>
      </c>
      <c r="L44" s="102">
        <v>496</v>
      </c>
      <c r="M44" s="102">
        <f>574+77</f>
        <v>651</v>
      </c>
      <c r="N44" s="102">
        <v>651</v>
      </c>
      <c r="O44" s="102">
        <v>651</v>
      </c>
      <c r="P44" s="102">
        <v>0</v>
      </c>
      <c r="Q44" s="102">
        <v>651</v>
      </c>
      <c r="R44" s="102">
        <v>0</v>
      </c>
    </row>
    <row r="45" spans="1:18" s="48" customFormat="1" ht="16.5">
      <c r="A45" s="226">
        <v>38</v>
      </c>
      <c r="H45" s="103"/>
      <c r="I45" s="101" t="s">
        <v>212</v>
      </c>
      <c r="J45" s="100" t="s">
        <v>213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</row>
    <row r="46" spans="1:18" s="48" customFormat="1" ht="16.5">
      <c r="A46" s="226">
        <v>39</v>
      </c>
      <c r="H46" s="103"/>
      <c r="I46" s="101" t="s">
        <v>225</v>
      </c>
      <c r="J46" s="100" t="s">
        <v>102</v>
      </c>
      <c r="K46" s="102">
        <v>45</v>
      </c>
      <c r="L46" s="102">
        <v>765</v>
      </c>
      <c r="M46" s="102">
        <v>1455</v>
      </c>
      <c r="N46" s="102">
        <v>1455</v>
      </c>
      <c r="O46" s="102">
        <v>1455</v>
      </c>
      <c r="P46" s="102">
        <v>1455</v>
      </c>
      <c r="Q46" s="102">
        <v>0</v>
      </c>
      <c r="R46" s="102">
        <v>0</v>
      </c>
    </row>
    <row r="47" spans="1:18" s="52" customFormat="1" ht="16.5">
      <c r="A47" s="224">
        <v>40</v>
      </c>
      <c r="H47" s="97" t="s">
        <v>95</v>
      </c>
      <c r="I47" s="97"/>
      <c r="J47" s="98" t="s">
        <v>380</v>
      </c>
      <c r="K47" s="99">
        <f aca="true" t="shared" si="11" ref="K47:R47">SUM(K48:K49)</f>
        <v>0</v>
      </c>
      <c r="L47" s="99">
        <f t="shared" si="11"/>
        <v>3343</v>
      </c>
      <c r="M47" s="99">
        <f t="shared" si="11"/>
        <v>3343</v>
      </c>
      <c r="N47" s="99">
        <f t="shared" si="11"/>
        <v>3343</v>
      </c>
      <c r="O47" s="99">
        <f t="shared" si="11"/>
        <v>3343</v>
      </c>
      <c r="P47" s="99">
        <f t="shared" si="11"/>
        <v>0</v>
      </c>
      <c r="Q47" s="99">
        <f t="shared" si="11"/>
        <v>3343</v>
      </c>
      <c r="R47" s="99">
        <f t="shared" si="11"/>
        <v>0</v>
      </c>
    </row>
    <row r="48" spans="1:18" s="53" customFormat="1" ht="16.5">
      <c r="A48" s="224">
        <v>41</v>
      </c>
      <c r="H48" s="222"/>
      <c r="I48" s="220" t="s">
        <v>133</v>
      </c>
      <c r="J48" s="221" t="s">
        <v>382</v>
      </c>
      <c r="K48" s="102">
        <v>0</v>
      </c>
      <c r="L48" s="102">
        <v>1200</v>
      </c>
      <c r="M48" s="102">
        <v>1200</v>
      </c>
      <c r="N48" s="102">
        <v>1200</v>
      </c>
      <c r="O48" s="102">
        <v>1200</v>
      </c>
      <c r="P48" s="102">
        <v>0</v>
      </c>
      <c r="Q48" s="102">
        <v>1200</v>
      </c>
      <c r="R48" s="102">
        <v>0</v>
      </c>
    </row>
    <row r="49" spans="1:18" s="48" customFormat="1" ht="16.5">
      <c r="A49" s="225">
        <v>42</v>
      </c>
      <c r="H49" s="219"/>
      <c r="I49" s="220" t="s">
        <v>134</v>
      </c>
      <c r="J49" s="221" t="s">
        <v>381</v>
      </c>
      <c r="K49" s="102">
        <v>0</v>
      </c>
      <c r="L49" s="102">
        <v>2143</v>
      </c>
      <c r="M49" s="102">
        <v>2143</v>
      </c>
      <c r="N49" s="102">
        <v>2143</v>
      </c>
      <c r="O49" s="102">
        <v>2143</v>
      </c>
      <c r="P49" s="102">
        <v>0</v>
      </c>
      <c r="Q49" s="102">
        <v>2143</v>
      </c>
      <c r="R49" s="102">
        <v>0</v>
      </c>
    </row>
    <row r="50" spans="1:18" s="47" customFormat="1" ht="16.5">
      <c r="A50" s="226">
        <v>43</v>
      </c>
      <c r="H50" s="301" t="s">
        <v>103</v>
      </c>
      <c r="I50" s="302"/>
      <c r="J50" s="303"/>
      <c r="K50" s="106">
        <f aca="true" t="shared" si="12" ref="K50:R50">SUM(K51+K66+K68)</f>
        <v>89982</v>
      </c>
      <c r="L50" s="106">
        <f t="shared" si="12"/>
        <v>128574</v>
      </c>
      <c r="M50" s="106">
        <f t="shared" si="12"/>
        <v>212863</v>
      </c>
      <c r="N50" s="106">
        <f t="shared" si="12"/>
        <v>252450</v>
      </c>
      <c r="O50" s="106">
        <f t="shared" si="12"/>
        <v>252450</v>
      </c>
      <c r="P50" s="106">
        <f t="shared" si="12"/>
        <v>163641</v>
      </c>
      <c r="Q50" s="106">
        <f t="shared" si="12"/>
        <v>88809</v>
      </c>
      <c r="R50" s="106">
        <f t="shared" si="12"/>
        <v>0</v>
      </c>
    </row>
    <row r="51" spans="1:18" s="48" customFormat="1" ht="16.5">
      <c r="A51" s="226">
        <v>44</v>
      </c>
      <c r="H51" s="97" t="s">
        <v>89</v>
      </c>
      <c r="I51" s="103"/>
      <c r="J51" s="107" t="s">
        <v>190</v>
      </c>
      <c r="K51" s="99">
        <f aca="true" t="shared" si="13" ref="K51:R51">SUM(K52:K53)</f>
        <v>10598</v>
      </c>
      <c r="L51" s="99">
        <f t="shared" si="13"/>
        <v>48473</v>
      </c>
      <c r="M51" s="99">
        <f t="shared" si="13"/>
        <v>131673</v>
      </c>
      <c r="N51" s="99">
        <f t="shared" si="13"/>
        <v>174580</v>
      </c>
      <c r="O51" s="99">
        <f t="shared" si="13"/>
        <v>174580</v>
      </c>
      <c r="P51" s="99">
        <f t="shared" si="13"/>
        <v>142038</v>
      </c>
      <c r="Q51" s="99">
        <f t="shared" si="13"/>
        <v>32542</v>
      </c>
      <c r="R51" s="99">
        <f t="shared" si="13"/>
        <v>0</v>
      </c>
    </row>
    <row r="52" spans="1:18" s="53" customFormat="1" ht="16.5">
      <c r="A52" s="224">
        <v>45</v>
      </c>
      <c r="H52" s="100"/>
      <c r="I52" s="101" t="s">
        <v>167</v>
      </c>
      <c r="J52" s="100" t="s">
        <v>226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</row>
    <row r="53" spans="1:18" s="53" customFormat="1" ht="16.5">
      <c r="A53" s="224">
        <v>46</v>
      </c>
      <c r="H53" s="100"/>
      <c r="I53" s="101" t="s">
        <v>168</v>
      </c>
      <c r="J53" s="100" t="s">
        <v>227</v>
      </c>
      <c r="K53" s="102">
        <f>SUM(K54:K65)</f>
        <v>10598</v>
      </c>
      <c r="L53" s="102">
        <f aca="true" t="shared" si="14" ref="L53:R53">SUM(L54:L65)</f>
        <v>48473</v>
      </c>
      <c r="M53" s="102">
        <f t="shared" si="14"/>
        <v>131673</v>
      </c>
      <c r="N53" s="102">
        <f t="shared" si="14"/>
        <v>174580</v>
      </c>
      <c r="O53" s="102">
        <f t="shared" si="14"/>
        <v>174580</v>
      </c>
      <c r="P53" s="102">
        <f t="shared" si="14"/>
        <v>142038</v>
      </c>
      <c r="Q53" s="102">
        <f t="shared" si="14"/>
        <v>32542</v>
      </c>
      <c r="R53" s="102">
        <f t="shared" si="14"/>
        <v>0</v>
      </c>
    </row>
    <row r="54" spans="1:18" s="53" customFormat="1" ht="16.5">
      <c r="A54" s="225">
        <v>47</v>
      </c>
      <c r="H54" s="100"/>
      <c r="I54" s="101"/>
      <c r="J54" s="103" t="s">
        <v>237</v>
      </c>
      <c r="K54" s="104">
        <v>0</v>
      </c>
      <c r="L54" s="104">
        <v>4631</v>
      </c>
      <c r="M54" s="104">
        <v>4631</v>
      </c>
      <c r="N54" s="104">
        <v>4631</v>
      </c>
      <c r="O54" s="104">
        <v>4631</v>
      </c>
      <c r="P54" s="104">
        <v>0</v>
      </c>
      <c r="Q54" s="104">
        <v>4631</v>
      </c>
      <c r="R54" s="104">
        <v>0</v>
      </c>
    </row>
    <row r="55" spans="1:18" s="53" customFormat="1" ht="16.5">
      <c r="A55" s="226">
        <v>48</v>
      </c>
      <c r="H55" s="100"/>
      <c r="I55" s="101"/>
      <c r="J55" s="103" t="s">
        <v>238</v>
      </c>
      <c r="K55" s="104">
        <v>3024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</row>
    <row r="56" spans="1:18" s="53" customFormat="1" ht="16.5">
      <c r="A56" s="226">
        <v>49</v>
      </c>
      <c r="H56" s="100"/>
      <c r="I56" s="101"/>
      <c r="J56" s="103" t="s">
        <v>383</v>
      </c>
      <c r="K56" s="104">
        <v>0</v>
      </c>
      <c r="L56" s="104">
        <v>7832</v>
      </c>
      <c r="M56" s="104">
        <v>7832</v>
      </c>
      <c r="N56" s="104">
        <v>7828</v>
      </c>
      <c r="O56" s="104">
        <v>7828</v>
      </c>
      <c r="P56" s="104">
        <v>7828</v>
      </c>
      <c r="Q56" s="104">
        <v>0</v>
      </c>
      <c r="R56" s="104">
        <v>0</v>
      </c>
    </row>
    <row r="57" spans="1:18" s="53" customFormat="1" ht="16.5">
      <c r="A57" s="224">
        <v>50</v>
      </c>
      <c r="H57" s="100"/>
      <c r="I57" s="101"/>
      <c r="J57" s="103" t="s">
        <v>239</v>
      </c>
      <c r="K57" s="104">
        <v>0</v>
      </c>
      <c r="L57" s="104">
        <v>15515</v>
      </c>
      <c r="M57" s="104">
        <v>15515</v>
      </c>
      <c r="N57" s="104">
        <v>15515</v>
      </c>
      <c r="O57" s="104">
        <v>15515</v>
      </c>
      <c r="P57" s="104">
        <v>15515</v>
      </c>
      <c r="Q57" s="104">
        <v>0</v>
      </c>
      <c r="R57" s="104">
        <v>0</v>
      </c>
    </row>
    <row r="58" spans="1:18" s="53" customFormat="1" ht="16.5">
      <c r="A58" s="224">
        <v>51</v>
      </c>
      <c r="H58" s="100"/>
      <c r="I58" s="101"/>
      <c r="J58" s="103" t="s">
        <v>240</v>
      </c>
      <c r="K58" s="104">
        <v>7574</v>
      </c>
      <c r="L58" s="104">
        <v>7574</v>
      </c>
      <c r="M58" s="104">
        <v>7574</v>
      </c>
      <c r="N58" s="104">
        <v>7574</v>
      </c>
      <c r="O58" s="104">
        <v>7574</v>
      </c>
      <c r="P58" s="104">
        <v>7574</v>
      </c>
      <c r="Q58" s="104">
        <v>0</v>
      </c>
      <c r="R58" s="104">
        <v>0</v>
      </c>
    </row>
    <row r="59" spans="1:18" s="53" customFormat="1" ht="16.5">
      <c r="A59" s="225">
        <v>52</v>
      </c>
      <c r="H59" s="100"/>
      <c r="I59" s="101"/>
      <c r="J59" s="103" t="s">
        <v>166</v>
      </c>
      <c r="K59" s="104">
        <v>0</v>
      </c>
      <c r="L59" s="104">
        <v>9926</v>
      </c>
      <c r="M59" s="104">
        <v>9926</v>
      </c>
      <c r="N59" s="104">
        <v>9926</v>
      </c>
      <c r="O59" s="104">
        <v>9926</v>
      </c>
      <c r="P59" s="104">
        <v>9926</v>
      </c>
      <c r="Q59" s="104">
        <v>0</v>
      </c>
      <c r="R59" s="104">
        <v>0</v>
      </c>
    </row>
    <row r="60" spans="1:18" s="53" customFormat="1" ht="16.5">
      <c r="A60" s="226">
        <v>53</v>
      </c>
      <c r="H60" s="100"/>
      <c r="I60" s="101"/>
      <c r="J60" s="103" t="s">
        <v>358</v>
      </c>
      <c r="K60" s="104">
        <v>0</v>
      </c>
      <c r="L60" s="104">
        <v>2995</v>
      </c>
      <c r="M60" s="104">
        <v>2995</v>
      </c>
      <c r="N60" s="104">
        <v>2995</v>
      </c>
      <c r="O60" s="104">
        <v>2995</v>
      </c>
      <c r="P60" s="104">
        <v>2995</v>
      </c>
      <c r="Q60" s="104">
        <v>0</v>
      </c>
      <c r="R60" s="104">
        <v>0</v>
      </c>
    </row>
    <row r="61" spans="1:18" s="53" customFormat="1" ht="16.5">
      <c r="A61" s="226">
        <v>54</v>
      </c>
      <c r="H61" s="100"/>
      <c r="I61" s="101"/>
      <c r="J61" s="103" t="s">
        <v>394</v>
      </c>
      <c r="K61" s="104">
        <v>0</v>
      </c>
      <c r="L61" s="104">
        <v>0</v>
      </c>
      <c r="M61" s="104">
        <v>83200</v>
      </c>
      <c r="N61" s="104">
        <v>83200</v>
      </c>
      <c r="O61" s="104">
        <v>83200</v>
      </c>
      <c r="P61" s="104">
        <v>83200</v>
      </c>
      <c r="Q61" s="104">
        <v>0</v>
      </c>
      <c r="R61" s="104">
        <v>0</v>
      </c>
    </row>
    <row r="62" spans="1:18" s="53" customFormat="1" ht="16.5">
      <c r="A62" s="224">
        <v>55</v>
      </c>
      <c r="H62" s="100"/>
      <c r="I62" s="101"/>
      <c r="J62" s="103" t="s">
        <v>409</v>
      </c>
      <c r="K62" s="104">
        <v>0</v>
      </c>
      <c r="L62" s="104">
        <v>0</v>
      </c>
      <c r="M62" s="104">
        <v>0</v>
      </c>
      <c r="N62" s="104">
        <v>23000</v>
      </c>
      <c r="O62" s="104">
        <v>23000</v>
      </c>
      <c r="P62" s="104">
        <v>0</v>
      </c>
      <c r="Q62" s="104">
        <v>23000</v>
      </c>
      <c r="R62" s="104">
        <v>0</v>
      </c>
    </row>
    <row r="63" spans="1:18" s="53" customFormat="1" ht="16.5">
      <c r="A63" s="224">
        <v>56</v>
      </c>
      <c r="H63" s="100"/>
      <c r="I63" s="101"/>
      <c r="J63" s="103" t="s">
        <v>412</v>
      </c>
      <c r="K63" s="104">
        <v>0</v>
      </c>
      <c r="L63" s="104">
        <v>0</v>
      </c>
      <c r="M63" s="104">
        <v>0</v>
      </c>
      <c r="N63" s="104">
        <v>4911</v>
      </c>
      <c r="O63" s="104">
        <v>4911</v>
      </c>
      <c r="P63" s="104">
        <v>0</v>
      </c>
      <c r="Q63" s="104">
        <v>4911</v>
      </c>
      <c r="R63" s="104">
        <v>0</v>
      </c>
    </row>
    <row r="64" spans="1:18" s="53" customFormat="1" ht="16.5">
      <c r="A64" s="225">
        <v>57</v>
      </c>
      <c r="H64" s="100"/>
      <c r="I64" s="101"/>
      <c r="J64" s="103" t="s">
        <v>413</v>
      </c>
      <c r="K64" s="104">
        <v>0</v>
      </c>
      <c r="L64" s="104">
        <v>0</v>
      </c>
      <c r="M64" s="104">
        <v>0</v>
      </c>
      <c r="N64" s="104">
        <v>5000</v>
      </c>
      <c r="O64" s="104">
        <v>5000</v>
      </c>
      <c r="P64" s="104">
        <v>5000</v>
      </c>
      <c r="Q64" s="104">
        <v>0</v>
      </c>
      <c r="R64" s="104">
        <v>0</v>
      </c>
    </row>
    <row r="65" spans="1:18" s="53" customFormat="1" ht="16.5">
      <c r="A65" s="226">
        <v>58</v>
      </c>
      <c r="H65" s="100"/>
      <c r="I65" s="101"/>
      <c r="J65" s="103" t="s">
        <v>414</v>
      </c>
      <c r="K65" s="104">
        <v>0</v>
      </c>
      <c r="L65" s="104">
        <v>0</v>
      </c>
      <c r="M65" s="104">
        <v>0</v>
      </c>
      <c r="N65" s="104">
        <v>10000</v>
      </c>
      <c r="O65" s="104">
        <v>10000</v>
      </c>
      <c r="P65" s="104">
        <v>10000</v>
      </c>
      <c r="Q65" s="104">
        <v>0</v>
      </c>
      <c r="R65" s="104">
        <v>0</v>
      </c>
    </row>
    <row r="66" spans="1:18" s="52" customFormat="1" ht="16.5">
      <c r="A66" s="226">
        <v>59</v>
      </c>
      <c r="H66" s="97" t="s">
        <v>91</v>
      </c>
      <c r="I66" s="98"/>
      <c r="J66" s="98" t="s">
        <v>191</v>
      </c>
      <c r="K66" s="99">
        <f aca="true" t="shared" si="15" ref="K66:R66">SUM(K67)</f>
        <v>0</v>
      </c>
      <c r="L66" s="99">
        <f t="shared" si="15"/>
        <v>717</v>
      </c>
      <c r="M66" s="99">
        <f t="shared" si="15"/>
        <v>1806</v>
      </c>
      <c r="N66" s="99">
        <f t="shared" si="15"/>
        <v>1806</v>
      </c>
      <c r="O66" s="99">
        <f t="shared" si="15"/>
        <v>1806</v>
      </c>
      <c r="P66" s="99">
        <f t="shared" si="15"/>
        <v>1806</v>
      </c>
      <c r="Q66" s="99">
        <f t="shared" si="15"/>
        <v>0</v>
      </c>
      <c r="R66" s="99">
        <f t="shared" si="15"/>
        <v>0</v>
      </c>
    </row>
    <row r="67" spans="1:18" s="48" customFormat="1" ht="16.5">
      <c r="A67" s="224">
        <v>60</v>
      </c>
      <c r="H67" s="103"/>
      <c r="I67" s="101" t="s">
        <v>174</v>
      </c>
      <c r="J67" s="100" t="s">
        <v>192</v>
      </c>
      <c r="K67" s="104">
        <v>0</v>
      </c>
      <c r="L67" s="104">
        <v>717</v>
      </c>
      <c r="M67" s="104">
        <v>1806</v>
      </c>
      <c r="N67" s="104">
        <v>1806</v>
      </c>
      <c r="O67" s="104">
        <v>1806</v>
      </c>
      <c r="P67" s="104">
        <v>1806</v>
      </c>
      <c r="Q67" s="104">
        <v>0</v>
      </c>
      <c r="R67" s="104">
        <v>0</v>
      </c>
    </row>
    <row r="68" spans="1:18" s="48" customFormat="1" ht="16.5">
      <c r="A68" s="224">
        <v>61</v>
      </c>
      <c r="H68" s="97" t="s">
        <v>93</v>
      </c>
      <c r="I68" s="98"/>
      <c r="J68" s="98" t="s">
        <v>193</v>
      </c>
      <c r="K68" s="99">
        <f aca="true" t="shared" si="16" ref="K68:R68">SUM(K69)</f>
        <v>79384</v>
      </c>
      <c r="L68" s="99">
        <f t="shared" si="16"/>
        <v>79384</v>
      </c>
      <c r="M68" s="99">
        <f t="shared" si="16"/>
        <v>79384</v>
      </c>
      <c r="N68" s="99">
        <f t="shared" si="16"/>
        <v>76064</v>
      </c>
      <c r="O68" s="99">
        <f t="shared" si="16"/>
        <v>76064</v>
      </c>
      <c r="P68" s="99">
        <f t="shared" si="16"/>
        <v>19797</v>
      </c>
      <c r="Q68" s="99">
        <f t="shared" si="16"/>
        <v>56267</v>
      </c>
      <c r="R68" s="99">
        <f t="shared" si="16"/>
        <v>0</v>
      </c>
    </row>
    <row r="69" spans="1:18" s="48" customFormat="1" ht="16.5">
      <c r="A69" s="225">
        <v>62</v>
      </c>
      <c r="H69" s="97"/>
      <c r="I69" s="101" t="s">
        <v>108</v>
      </c>
      <c r="J69" s="100" t="s">
        <v>194</v>
      </c>
      <c r="K69" s="102">
        <f>SUM(K70:K73)</f>
        <v>79384</v>
      </c>
      <c r="L69" s="102">
        <f>SUM(L70:L73)</f>
        <v>79384</v>
      </c>
      <c r="M69" s="102">
        <f>SUM(M70:M73)</f>
        <v>79384</v>
      </c>
      <c r="N69" s="102">
        <f>SUM(N70:N73)</f>
        <v>76064</v>
      </c>
      <c r="O69" s="102">
        <f>SUM(O70:O73)</f>
        <v>76064</v>
      </c>
      <c r="P69" s="102">
        <f>SUM(P70:P72)</f>
        <v>19797</v>
      </c>
      <c r="Q69" s="102">
        <f>SUM(Q70:Q73)</f>
        <v>56267</v>
      </c>
      <c r="R69" s="102">
        <f>SUM(R70:R72)</f>
        <v>0</v>
      </c>
    </row>
    <row r="70" spans="1:18" s="48" customFormat="1" ht="16.5">
      <c r="A70" s="226">
        <v>63</v>
      </c>
      <c r="H70" s="97"/>
      <c r="I70" s="98"/>
      <c r="J70" s="103" t="s">
        <v>248</v>
      </c>
      <c r="K70" s="104">
        <v>50000</v>
      </c>
      <c r="L70" s="104">
        <v>50000</v>
      </c>
      <c r="M70" s="104">
        <v>50000</v>
      </c>
      <c r="N70" s="104">
        <v>49962</v>
      </c>
      <c r="O70" s="104">
        <v>49962</v>
      </c>
      <c r="P70" s="104">
        <v>0</v>
      </c>
      <c r="Q70" s="104">
        <v>49962</v>
      </c>
      <c r="R70" s="104">
        <v>0</v>
      </c>
    </row>
    <row r="71" spans="1:18" s="48" customFormat="1" ht="16.5">
      <c r="A71" s="226">
        <v>64</v>
      </c>
      <c r="H71" s="97"/>
      <c r="I71" s="98"/>
      <c r="J71" s="103" t="s">
        <v>263</v>
      </c>
      <c r="K71" s="104">
        <v>4992</v>
      </c>
      <c r="L71" s="104">
        <v>4992</v>
      </c>
      <c r="M71" s="104">
        <v>4992</v>
      </c>
      <c r="N71" s="104">
        <v>4991</v>
      </c>
      <c r="O71" s="104">
        <v>4991</v>
      </c>
      <c r="P71" s="104">
        <v>0</v>
      </c>
      <c r="Q71" s="104">
        <v>4991</v>
      </c>
      <c r="R71" s="104">
        <v>0</v>
      </c>
    </row>
    <row r="72" spans="1:18" s="48" customFormat="1" ht="16.5">
      <c r="A72" s="224">
        <v>65</v>
      </c>
      <c r="H72" s="142"/>
      <c r="I72" s="143"/>
      <c r="J72" s="142" t="s">
        <v>249</v>
      </c>
      <c r="K72" s="104">
        <v>19897</v>
      </c>
      <c r="L72" s="104">
        <v>19897</v>
      </c>
      <c r="M72" s="104">
        <v>19897</v>
      </c>
      <c r="N72" s="104">
        <v>19797</v>
      </c>
      <c r="O72" s="104">
        <v>19797</v>
      </c>
      <c r="P72" s="104">
        <v>19797</v>
      </c>
      <c r="Q72" s="104">
        <v>0</v>
      </c>
      <c r="R72" s="104">
        <v>0</v>
      </c>
    </row>
    <row r="73" spans="1:18" s="48" customFormat="1" ht="16.5">
      <c r="A73" s="224">
        <v>66</v>
      </c>
      <c r="B73" s="144"/>
      <c r="C73" s="144"/>
      <c r="D73" s="144"/>
      <c r="E73" s="144"/>
      <c r="F73" s="144"/>
      <c r="G73" s="144"/>
      <c r="H73" s="103"/>
      <c r="I73" s="101"/>
      <c r="J73" s="103" t="s">
        <v>264</v>
      </c>
      <c r="K73" s="104">
        <v>4495</v>
      </c>
      <c r="L73" s="104">
        <v>4495</v>
      </c>
      <c r="M73" s="104">
        <v>4495</v>
      </c>
      <c r="N73" s="104">
        <v>1314</v>
      </c>
      <c r="O73" s="104">
        <v>1314</v>
      </c>
      <c r="P73" s="104">
        <v>0</v>
      </c>
      <c r="Q73" s="104">
        <v>1314</v>
      </c>
      <c r="R73" s="104">
        <v>0</v>
      </c>
    </row>
    <row r="74" spans="1:18" s="51" customFormat="1" ht="21" customHeight="1">
      <c r="A74" s="225">
        <v>67</v>
      </c>
      <c r="H74" s="304" t="s">
        <v>195</v>
      </c>
      <c r="I74" s="305"/>
      <c r="J74" s="306"/>
      <c r="K74" s="106">
        <f aca="true" t="shared" si="17" ref="K74:R74">SUM(K8,K50)</f>
        <v>455820</v>
      </c>
      <c r="L74" s="106">
        <f t="shared" si="17"/>
        <v>551014</v>
      </c>
      <c r="M74" s="106">
        <f t="shared" si="17"/>
        <v>646549</v>
      </c>
      <c r="N74" s="106">
        <f t="shared" si="17"/>
        <v>666616</v>
      </c>
      <c r="O74" s="106">
        <f t="shared" si="17"/>
        <v>674987</v>
      </c>
      <c r="P74" s="106">
        <f t="shared" si="17"/>
        <v>550176</v>
      </c>
      <c r="Q74" s="106">
        <f t="shared" si="17"/>
        <v>124811</v>
      </c>
      <c r="R74" s="106">
        <f t="shared" si="17"/>
        <v>0</v>
      </c>
    </row>
    <row r="75" spans="1:18" s="49" customFormat="1" ht="16.5">
      <c r="A75" s="226">
        <v>68</v>
      </c>
      <c r="H75" s="93" t="s">
        <v>197</v>
      </c>
      <c r="I75" s="94"/>
      <c r="J75" s="95"/>
      <c r="K75" s="106"/>
      <c r="L75" s="106"/>
      <c r="M75" s="106"/>
      <c r="N75" s="106"/>
      <c r="O75" s="106"/>
      <c r="P75" s="106"/>
      <c r="Q75" s="106"/>
      <c r="R75" s="106"/>
    </row>
    <row r="76" spans="1:18" s="49" customFormat="1" ht="16.5">
      <c r="A76" s="226">
        <v>69</v>
      </c>
      <c r="H76" s="108" t="s">
        <v>89</v>
      </c>
      <c r="I76" s="109"/>
      <c r="J76" s="110" t="s">
        <v>196</v>
      </c>
      <c r="K76" s="111">
        <v>119564</v>
      </c>
      <c r="L76" s="111">
        <v>119564</v>
      </c>
      <c r="M76" s="111">
        <v>119564</v>
      </c>
      <c r="N76" s="111">
        <v>119564</v>
      </c>
      <c r="O76" s="111">
        <v>119564</v>
      </c>
      <c r="P76" s="111">
        <v>119564</v>
      </c>
      <c r="Q76" s="111">
        <v>0</v>
      </c>
      <c r="R76" s="111">
        <v>0</v>
      </c>
    </row>
    <row r="77" spans="1:18" s="48" customFormat="1" ht="14.25" customHeight="1">
      <c r="A77" s="224">
        <v>70</v>
      </c>
      <c r="B77" s="49"/>
      <c r="C77" s="49"/>
      <c r="D77" s="49"/>
      <c r="E77" s="49"/>
      <c r="F77" s="49"/>
      <c r="G77" s="49"/>
      <c r="H77" s="298" t="s">
        <v>198</v>
      </c>
      <c r="I77" s="299"/>
      <c r="J77" s="300"/>
      <c r="K77" s="106">
        <f aca="true" t="shared" si="18" ref="K77:R77">SUM(K76)</f>
        <v>119564</v>
      </c>
      <c r="L77" s="106">
        <f t="shared" si="18"/>
        <v>119564</v>
      </c>
      <c r="M77" s="106">
        <f t="shared" si="18"/>
        <v>119564</v>
      </c>
      <c r="N77" s="106">
        <f t="shared" si="18"/>
        <v>119564</v>
      </c>
      <c r="O77" s="106">
        <f t="shared" si="18"/>
        <v>119564</v>
      </c>
      <c r="P77" s="106">
        <f t="shared" si="18"/>
        <v>119564</v>
      </c>
      <c r="Q77" s="106">
        <f t="shared" si="18"/>
        <v>0</v>
      </c>
      <c r="R77" s="106">
        <f t="shared" si="18"/>
        <v>0</v>
      </c>
    </row>
    <row r="78" spans="1:18" s="48" customFormat="1" ht="16.5">
      <c r="A78" s="224">
        <v>71</v>
      </c>
      <c r="B78" s="49"/>
      <c r="C78" s="49"/>
      <c r="D78" s="49"/>
      <c r="E78" s="49"/>
      <c r="F78" s="49"/>
      <c r="G78" s="49"/>
      <c r="H78" s="298" t="s">
        <v>199</v>
      </c>
      <c r="I78" s="299"/>
      <c r="J78" s="300"/>
      <c r="K78" s="106">
        <f aca="true" t="shared" si="19" ref="K78:R78">SUM(K74+K77)</f>
        <v>575384</v>
      </c>
      <c r="L78" s="106">
        <f t="shared" si="19"/>
        <v>670578</v>
      </c>
      <c r="M78" s="106">
        <f t="shared" si="19"/>
        <v>766113</v>
      </c>
      <c r="N78" s="106">
        <f t="shared" si="19"/>
        <v>786180</v>
      </c>
      <c r="O78" s="106">
        <f t="shared" si="19"/>
        <v>794551</v>
      </c>
      <c r="P78" s="106">
        <f t="shared" si="19"/>
        <v>669740</v>
      </c>
      <c r="Q78" s="106">
        <f t="shared" si="19"/>
        <v>124811</v>
      </c>
      <c r="R78" s="106">
        <f t="shared" si="19"/>
        <v>0</v>
      </c>
    </row>
    <row r="79" spans="8:22" ht="17.25"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V79" s="46"/>
    </row>
  </sheetData>
  <sheetProtection/>
  <mergeCells count="17">
    <mergeCell ref="H77:J77"/>
    <mergeCell ref="H78:J78"/>
    <mergeCell ref="H8:J8"/>
    <mergeCell ref="H50:J50"/>
    <mergeCell ref="H74:J74"/>
    <mergeCell ref="H5:J6"/>
    <mergeCell ref="H7:J7"/>
    <mergeCell ref="H1:R1"/>
    <mergeCell ref="H2:R2"/>
    <mergeCell ref="H3:R3"/>
    <mergeCell ref="P5:R5"/>
    <mergeCell ref="A5:A6"/>
    <mergeCell ref="K5:K6"/>
    <mergeCell ref="L5:L6"/>
    <mergeCell ref="M5:M6"/>
    <mergeCell ref="O5:O6"/>
    <mergeCell ref="N5:N6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5"/>
  <sheetViews>
    <sheetView view="pageBreakPreview" zoomScale="60" zoomScaleNormal="75" zoomScalePageLayoutView="0" workbookViewId="0" topLeftCell="A1">
      <selection activeCell="R7" sqref="R7"/>
    </sheetView>
  </sheetViews>
  <sheetFormatPr defaultColWidth="9.28125" defaultRowHeight="15"/>
  <cols>
    <col min="1" max="1" width="4.7109375" style="112" customWidth="1"/>
    <col min="2" max="6" width="9.28125" style="112" hidden="1" customWidth="1"/>
    <col min="7" max="7" width="0.71875" style="112" hidden="1" customWidth="1"/>
    <col min="8" max="8" width="3.57421875" style="112" bestFit="1" customWidth="1"/>
    <col min="9" max="9" width="4.421875" style="112" customWidth="1"/>
    <col min="10" max="10" width="48.57421875" style="112" customWidth="1"/>
    <col min="11" max="11" width="13.28125" style="112" customWidth="1"/>
    <col min="12" max="12" width="14.7109375" style="112" customWidth="1"/>
    <col min="13" max="15" width="13.7109375" style="112" customWidth="1"/>
    <col min="16" max="16" width="11.7109375" style="112" customWidth="1"/>
    <col min="17" max="17" width="13.28125" style="112" customWidth="1"/>
    <col min="18" max="18" width="13.00390625" style="112" customWidth="1"/>
    <col min="19" max="16384" width="9.28125" style="112" customWidth="1"/>
  </cols>
  <sheetData>
    <row r="1" spans="8:19" ht="17.25"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113"/>
    </row>
    <row r="2" spans="8:18" s="113" customFormat="1" ht="19.5" customHeight="1">
      <c r="H2" s="289" t="s">
        <v>231</v>
      </c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8:18" ht="17.25">
      <c r="H3" s="290" t="s">
        <v>255</v>
      </c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4" spans="8:18" ht="20.25" customHeight="1">
      <c r="H4" s="91"/>
      <c r="I4" s="91"/>
      <c r="J4" s="91"/>
      <c r="K4" s="91"/>
      <c r="L4" s="91"/>
      <c r="M4" s="91"/>
      <c r="N4" s="91"/>
      <c r="O4" s="91"/>
      <c r="P4" s="91" t="s">
        <v>32</v>
      </c>
      <c r="Q4" s="91"/>
      <c r="R4" s="235" t="s">
        <v>389</v>
      </c>
    </row>
    <row r="5" spans="1:18" s="46" customFormat="1" ht="18" customHeight="1">
      <c r="A5" s="313" t="s">
        <v>162</v>
      </c>
      <c r="H5" s="307" t="s">
        <v>210</v>
      </c>
      <c r="I5" s="307"/>
      <c r="J5" s="308"/>
      <c r="K5" s="317" t="s">
        <v>228</v>
      </c>
      <c r="L5" s="296" t="s">
        <v>385</v>
      </c>
      <c r="M5" s="296" t="s">
        <v>393</v>
      </c>
      <c r="N5" s="296" t="s">
        <v>408</v>
      </c>
      <c r="O5" s="296" t="s">
        <v>426</v>
      </c>
      <c r="P5" s="291" t="s">
        <v>428</v>
      </c>
      <c r="Q5" s="292"/>
      <c r="R5" s="293"/>
    </row>
    <row r="6" spans="1:18" s="46" customFormat="1" ht="45.75" customHeight="1">
      <c r="A6" s="314"/>
      <c r="H6" s="309"/>
      <c r="I6" s="309"/>
      <c r="J6" s="310"/>
      <c r="K6" s="318"/>
      <c r="L6" s="297"/>
      <c r="M6" s="297"/>
      <c r="N6" s="297"/>
      <c r="O6" s="297"/>
      <c r="P6" s="245" t="s">
        <v>86</v>
      </c>
      <c r="Q6" s="245" t="s">
        <v>87</v>
      </c>
      <c r="R6" s="261" t="s">
        <v>223</v>
      </c>
    </row>
    <row r="7" spans="1:18" s="46" customFormat="1" ht="17.25">
      <c r="A7" s="246"/>
      <c r="H7" s="291" t="s">
        <v>6</v>
      </c>
      <c r="I7" s="311"/>
      <c r="J7" s="312"/>
      <c r="K7" s="92" t="s">
        <v>7</v>
      </c>
      <c r="L7" s="92" t="s">
        <v>8</v>
      </c>
      <c r="M7" s="92" t="s">
        <v>357</v>
      </c>
      <c r="N7" s="92" t="s">
        <v>104</v>
      </c>
      <c r="O7" s="92" t="s">
        <v>229</v>
      </c>
      <c r="P7" s="92" t="s">
        <v>247</v>
      </c>
      <c r="Q7" s="92" t="s">
        <v>405</v>
      </c>
      <c r="R7" s="92" t="s">
        <v>424</v>
      </c>
    </row>
    <row r="8" spans="1:18" s="115" customFormat="1" ht="16.5">
      <c r="A8" s="247">
        <v>1</v>
      </c>
      <c r="H8" s="301" t="s">
        <v>88</v>
      </c>
      <c r="I8" s="302"/>
      <c r="J8" s="303"/>
      <c r="K8" s="106">
        <f aca="true" t="shared" si="0" ref="K8:Q8">SUM(K9+K10+K11+K34+K40)</f>
        <v>310492</v>
      </c>
      <c r="L8" s="106">
        <f t="shared" si="0"/>
        <v>381970</v>
      </c>
      <c r="M8" s="106">
        <f t="shared" si="0"/>
        <v>390101</v>
      </c>
      <c r="N8" s="106">
        <f>SUM(N9+N10+N11+N34+N40)</f>
        <v>381796</v>
      </c>
      <c r="O8" s="106">
        <f t="shared" si="0"/>
        <v>390167</v>
      </c>
      <c r="P8" s="106">
        <f t="shared" si="0"/>
        <v>326045</v>
      </c>
      <c r="Q8" s="106">
        <f t="shared" si="0"/>
        <v>64122</v>
      </c>
      <c r="R8" s="106">
        <f>SUM(R9:R40)</f>
        <v>0</v>
      </c>
    </row>
    <row r="9" spans="1:18" s="75" customFormat="1" ht="16.5">
      <c r="A9" s="247">
        <v>2</v>
      </c>
      <c r="H9" s="97" t="s">
        <v>89</v>
      </c>
      <c r="I9" s="103"/>
      <c r="J9" s="98" t="s">
        <v>90</v>
      </c>
      <c r="K9" s="116">
        <v>88074</v>
      </c>
      <c r="L9" s="116">
        <v>127578</v>
      </c>
      <c r="M9" s="116">
        <f>123938+845+57-3828</f>
        <v>121012</v>
      </c>
      <c r="N9" s="116">
        <v>117216</v>
      </c>
      <c r="O9" s="116">
        <v>117216</v>
      </c>
      <c r="P9" s="116">
        <v>98960</v>
      </c>
      <c r="Q9" s="99">
        <v>18256</v>
      </c>
      <c r="R9" s="99">
        <v>0</v>
      </c>
    </row>
    <row r="10" spans="1:18" s="75" customFormat="1" ht="16.5">
      <c r="A10" s="247">
        <v>3</v>
      </c>
      <c r="H10" s="97" t="s">
        <v>91</v>
      </c>
      <c r="I10" s="103"/>
      <c r="J10" s="98" t="s">
        <v>92</v>
      </c>
      <c r="K10" s="99">
        <v>14842</v>
      </c>
      <c r="L10" s="99">
        <v>17629</v>
      </c>
      <c r="M10" s="99">
        <f>17065+131-534</f>
        <v>16662</v>
      </c>
      <c r="N10" s="99">
        <v>15990</v>
      </c>
      <c r="O10" s="99">
        <v>15990</v>
      </c>
      <c r="P10" s="99">
        <v>12890</v>
      </c>
      <c r="Q10" s="99">
        <v>3100</v>
      </c>
      <c r="R10" s="99">
        <v>0</v>
      </c>
    </row>
    <row r="11" spans="1:18" s="75" customFormat="1" ht="16.5">
      <c r="A11" s="247">
        <v>4</v>
      </c>
      <c r="H11" s="97" t="s">
        <v>93</v>
      </c>
      <c r="I11" s="103"/>
      <c r="J11" s="98" t="s">
        <v>94</v>
      </c>
      <c r="K11" s="99">
        <f aca="true" t="shared" si="1" ref="K11:Q11">SUM(K12+K16+K19+K27+K30)</f>
        <v>98007</v>
      </c>
      <c r="L11" s="99">
        <f t="shared" si="1"/>
        <v>119554</v>
      </c>
      <c r="M11" s="99">
        <f t="shared" si="1"/>
        <v>123460</v>
      </c>
      <c r="N11" s="99">
        <f>SUM(N12+N16+N19+N27+N30)</f>
        <v>115598</v>
      </c>
      <c r="O11" s="99">
        <f t="shared" si="1"/>
        <v>116382</v>
      </c>
      <c r="P11" s="99">
        <f t="shared" si="1"/>
        <v>84736</v>
      </c>
      <c r="Q11" s="99">
        <f t="shared" si="1"/>
        <v>31646</v>
      </c>
      <c r="R11" s="99">
        <v>0</v>
      </c>
    </row>
    <row r="12" spans="1:18" s="75" customFormat="1" ht="16.5">
      <c r="A12" s="247">
        <v>5</v>
      </c>
      <c r="H12" s="103"/>
      <c r="I12" s="101" t="s">
        <v>108</v>
      </c>
      <c r="J12" s="100" t="s">
        <v>109</v>
      </c>
      <c r="K12" s="102">
        <f aca="true" t="shared" si="2" ref="K12:R12">SUM(K13+K14+K15)</f>
        <v>22545</v>
      </c>
      <c r="L12" s="102">
        <f t="shared" si="2"/>
        <v>27287</v>
      </c>
      <c r="M12" s="102">
        <f t="shared" si="2"/>
        <v>30753</v>
      </c>
      <c r="N12" s="102">
        <f>SUM(N13+N14+N15)</f>
        <v>30072</v>
      </c>
      <c r="O12" s="102">
        <f t="shared" si="2"/>
        <v>30072</v>
      </c>
      <c r="P12" s="102">
        <f t="shared" si="2"/>
        <v>20232</v>
      </c>
      <c r="Q12" s="102">
        <f t="shared" si="2"/>
        <v>9840</v>
      </c>
      <c r="R12" s="102">
        <f t="shared" si="2"/>
        <v>0</v>
      </c>
    </row>
    <row r="13" spans="1:18" s="75" customFormat="1" ht="16.5">
      <c r="A13" s="247">
        <v>6</v>
      </c>
      <c r="H13" s="103"/>
      <c r="I13" s="117"/>
      <c r="J13" s="103" t="s">
        <v>110</v>
      </c>
      <c r="K13" s="104">
        <v>440</v>
      </c>
      <c r="L13" s="104">
        <v>1181</v>
      </c>
      <c r="M13" s="104">
        <f>1181</f>
        <v>1181</v>
      </c>
      <c r="N13" s="104">
        <v>500</v>
      </c>
      <c r="O13" s="104">
        <v>500</v>
      </c>
      <c r="P13" s="104">
        <v>500</v>
      </c>
      <c r="Q13" s="104">
        <v>0</v>
      </c>
      <c r="R13" s="104">
        <v>0</v>
      </c>
    </row>
    <row r="14" spans="1:18" s="75" customFormat="1" ht="16.5">
      <c r="A14" s="247">
        <v>7</v>
      </c>
      <c r="H14" s="103"/>
      <c r="I14" s="117"/>
      <c r="J14" s="103" t="s">
        <v>111</v>
      </c>
      <c r="K14" s="104">
        <v>22105</v>
      </c>
      <c r="L14" s="104">
        <v>26106</v>
      </c>
      <c r="M14" s="104">
        <f>26106+3235-57</f>
        <v>29284</v>
      </c>
      <c r="N14" s="104">
        <v>29284</v>
      </c>
      <c r="O14" s="104">
        <v>29284</v>
      </c>
      <c r="P14" s="104">
        <v>19732</v>
      </c>
      <c r="Q14" s="104">
        <f>6537+3235-220</f>
        <v>9552</v>
      </c>
      <c r="R14" s="104">
        <v>0</v>
      </c>
    </row>
    <row r="15" spans="1:18" s="75" customFormat="1" ht="16.5">
      <c r="A15" s="247">
        <v>8</v>
      </c>
      <c r="H15" s="103"/>
      <c r="I15" s="117"/>
      <c r="J15" s="103" t="s">
        <v>398</v>
      </c>
      <c r="K15" s="104">
        <v>0</v>
      </c>
      <c r="L15" s="104">
        <v>0</v>
      </c>
      <c r="M15" s="104">
        <v>288</v>
      </c>
      <c r="N15" s="104">
        <v>288</v>
      </c>
      <c r="O15" s="104">
        <v>288</v>
      </c>
      <c r="P15" s="104">
        <v>0</v>
      </c>
      <c r="Q15" s="104">
        <v>288</v>
      </c>
      <c r="R15" s="104">
        <v>0</v>
      </c>
    </row>
    <row r="16" spans="1:18" s="75" customFormat="1" ht="16.5">
      <c r="A16" s="247">
        <v>9</v>
      </c>
      <c r="H16" s="103"/>
      <c r="I16" s="101" t="s">
        <v>112</v>
      </c>
      <c r="J16" s="100" t="s">
        <v>113</v>
      </c>
      <c r="K16" s="102">
        <f aca="true" t="shared" si="3" ref="K16:R16">SUM(K17+K18)</f>
        <v>1865</v>
      </c>
      <c r="L16" s="102">
        <f t="shared" si="3"/>
        <v>2656</v>
      </c>
      <c r="M16" s="102">
        <f t="shared" si="3"/>
        <v>2656</v>
      </c>
      <c r="N16" s="102">
        <f>SUM(N17+N18)</f>
        <v>2656</v>
      </c>
      <c r="O16" s="102">
        <f t="shared" si="3"/>
        <v>2762</v>
      </c>
      <c r="P16" s="102">
        <f t="shared" si="3"/>
        <v>2762</v>
      </c>
      <c r="Q16" s="102">
        <f t="shared" si="3"/>
        <v>0</v>
      </c>
      <c r="R16" s="102">
        <f t="shared" si="3"/>
        <v>0</v>
      </c>
    </row>
    <row r="17" spans="1:18" s="75" customFormat="1" ht="16.5">
      <c r="A17" s="247">
        <v>10</v>
      </c>
      <c r="H17" s="103"/>
      <c r="I17" s="118"/>
      <c r="J17" s="103" t="s">
        <v>114</v>
      </c>
      <c r="K17" s="104">
        <v>1482</v>
      </c>
      <c r="L17" s="104">
        <v>2022</v>
      </c>
      <c r="M17" s="104">
        <v>2022</v>
      </c>
      <c r="N17" s="104">
        <f>2022-150</f>
        <v>1872</v>
      </c>
      <c r="O17" s="104">
        <v>1978</v>
      </c>
      <c r="P17" s="104">
        <v>1978</v>
      </c>
      <c r="Q17" s="104">
        <v>0</v>
      </c>
      <c r="R17" s="104">
        <v>0</v>
      </c>
    </row>
    <row r="18" spans="1:18" s="75" customFormat="1" ht="16.5">
      <c r="A18" s="247">
        <v>11</v>
      </c>
      <c r="H18" s="103"/>
      <c r="I18" s="118"/>
      <c r="J18" s="103" t="s">
        <v>115</v>
      </c>
      <c r="K18" s="104">
        <v>383</v>
      </c>
      <c r="L18" s="104">
        <v>634</v>
      </c>
      <c r="M18" s="104">
        <v>634</v>
      </c>
      <c r="N18" s="104">
        <f>634+150</f>
        <v>784</v>
      </c>
      <c r="O18" s="104">
        <f>634+150</f>
        <v>784</v>
      </c>
      <c r="P18" s="104">
        <v>784</v>
      </c>
      <c r="Q18" s="104">
        <v>0</v>
      </c>
      <c r="R18" s="104">
        <v>0</v>
      </c>
    </row>
    <row r="19" spans="1:18" s="75" customFormat="1" ht="16.5">
      <c r="A19" s="247">
        <v>12</v>
      </c>
      <c r="H19" s="103"/>
      <c r="I19" s="101" t="s">
        <v>116</v>
      </c>
      <c r="J19" s="100" t="s">
        <v>117</v>
      </c>
      <c r="K19" s="102">
        <f aca="true" t="shared" si="4" ref="K19:R19">SUM(K20:K26)</f>
        <v>54020</v>
      </c>
      <c r="L19" s="102">
        <f t="shared" si="4"/>
        <v>62820</v>
      </c>
      <c r="M19" s="102">
        <f t="shared" si="4"/>
        <v>63105</v>
      </c>
      <c r="N19" s="102">
        <f>SUM(N20:N26)</f>
        <v>61601</v>
      </c>
      <c r="O19" s="102">
        <f t="shared" si="4"/>
        <v>62129</v>
      </c>
      <c r="P19" s="102">
        <f t="shared" si="4"/>
        <v>48589</v>
      </c>
      <c r="Q19" s="102">
        <f t="shared" si="4"/>
        <v>13540</v>
      </c>
      <c r="R19" s="102">
        <f t="shared" si="4"/>
        <v>0</v>
      </c>
    </row>
    <row r="20" spans="1:18" s="75" customFormat="1" ht="16.5">
      <c r="A20" s="247">
        <v>13</v>
      </c>
      <c r="H20" s="103"/>
      <c r="I20" s="118"/>
      <c r="J20" s="103" t="s">
        <v>118</v>
      </c>
      <c r="K20" s="104">
        <v>9900</v>
      </c>
      <c r="L20" s="104">
        <v>11800</v>
      </c>
      <c r="M20" s="104">
        <v>11800</v>
      </c>
      <c r="N20" s="104">
        <f>11800-234</f>
        <v>11566</v>
      </c>
      <c r="O20" s="104">
        <f>11800-234</f>
        <v>11566</v>
      </c>
      <c r="P20" s="104">
        <f>9760-234</f>
        <v>9526</v>
      </c>
      <c r="Q20" s="104">
        <v>2040</v>
      </c>
      <c r="R20" s="104">
        <v>0</v>
      </c>
    </row>
    <row r="21" spans="1:18" s="75" customFormat="1" ht="16.5">
      <c r="A21" s="247">
        <v>14</v>
      </c>
      <c r="H21" s="103"/>
      <c r="I21" s="118"/>
      <c r="J21" s="103" t="s">
        <v>119</v>
      </c>
      <c r="K21" s="104">
        <v>488</v>
      </c>
      <c r="L21" s="104">
        <v>488</v>
      </c>
      <c r="M21" s="104">
        <v>488</v>
      </c>
      <c r="N21" s="104">
        <v>488</v>
      </c>
      <c r="O21" s="104">
        <v>488</v>
      </c>
      <c r="P21" s="104">
        <v>488</v>
      </c>
      <c r="Q21" s="104">
        <v>0</v>
      </c>
      <c r="R21" s="104">
        <v>0</v>
      </c>
    </row>
    <row r="22" spans="1:18" s="75" customFormat="1" ht="16.5">
      <c r="A22" s="247">
        <v>15</v>
      </c>
      <c r="H22" s="103"/>
      <c r="I22" s="118"/>
      <c r="J22" s="103" t="s">
        <v>120</v>
      </c>
      <c r="K22" s="104">
        <v>485</v>
      </c>
      <c r="L22" s="104">
        <v>986</v>
      </c>
      <c r="M22" s="104">
        <v>986</v>
      </c>
      <c r="N22" s="104">
        <v>986</v>
      </c>
      <c r="O22" s="104">
        <v>741</v>
      </c>
      <c r="P22" s="104">
        <v>741</v>
      </c>
      <c r="Q22" s="104">
        <v>0</v>
      </c>
      <c r="R22" s="104">
        <v>0</v>
      </c>
    </row>
    <row r="23" spans="1:18" s="75" customFormat="1" ht="16.5">
      <c r="A23" s="247">
        <v>16</v>
      </c>
      <c r="H23" s="103"/>
      <c r="I23" s="118"/>
      <c r="J23" s="103" t="s">
        <v>121</v>
      </c>
      <c r="K23" s="104">
        <v>3152</v>
      </c>
      <c r="L23" s="104">
        <v>3152</v>
      </c>
      <c r="M23" s="104">
        <v>3152</v>
      </c>
      <c r="N23" s="104">
        <v>3152</v>
      </c>
      <c r="O23" s="104">
        <v>3152</v>
      </c>
      <c r="P23" s="104">
        <v>3152</v>
      </c>
      <c r="Q23" s="104">
        <v>0</v>
      </c>
      <c r="R23" s="104">
        <v>0</v>
      </c>
    </row>
    <row r="24" spans="1:18" s="75" customFormat="1" ht="16.5">
      <c r="A24" s="247">
        <v>17</v>
      </c>
      <c r="H24" s="103"/>
      <c r="I24" s="118"/>
      <c r="J24" s="103" t="s">
        <v>122</v>
      </c>
      <c r="K24" s="104">
        <v>0</v>
      </c>
      <c r="L24" s="104">
        <v>166</v>
      </c>
      <c r="M24" s="104">
        <v>451</v>
      </c>
      <c r="N24" s="104">
        <f>451+234</f>
        <v>685</v>
      </c>
      <c r="O24" s="104">
        <f>451+234</f>
        <v>685</v>
      </c>
      <c r="P24" s="104">
        <v>685</v>
      </c>
      <c r="Q24" s="104">
        <v>0</v>
      </c>
      <c r="R24" s="104">
        <v>0</v>
      </c>
    </row>
    <row r="25" spans="1:18" s="75" customFormat="1" ht="16.5">
      <c r="A25" s="247">
        <v>18</v>
      </c>
      <c r="H25" s="103"/>
      <c r="I25" s="118"/>
      <c r="J25" s="103" t="s">
        <v>123</v>
      </c>
      <c r="K25" s="104">
        <v>28092</v>
      </c>
      <c r="L25" s="104">
        <v>34004</v>
      </c>
      <c r="M25" s="104">
        <v>34004</v>
      </c>
      <c r="N25" s="104">
        <v>32500</v>
      </c>
      <c r="O25" s="104">
        <v>32500</v>
      </c>
      <c r="P25" s="104">
        <v>21000</v>
      </c>
      <c r="Q25" s="104">
        <v>11500</v>
      </c>
      <c r="R25" s="104">
        <v>0</v>
      </c>
    </row>
    <row r="26" spans="1:18" s="75" customFormat="1" ht="16.5">
      <c r="A26" s="247">
        <v>19</v>
      </c>
      <c r="H26" s="103"/>
      <c r="I26" s="118"/>
      <c r="J26" s="103" t="s">
        <v>124</v>
      </c>
      <c r="K26" s="104">
        <v>11903</v>
      </c>
      <c r="L26" s="104">
        <v>12224</v>
      </c>
      <c r="M26" s="104">
        <v>12224</v>
      </c>
      <c r="N26" s="104">
        <v>12224</v>
      </c>
      <c r="O26" s="104">
        <v>12997</v>
      </c>
      <c r="P26" s="104">
        <v>12997</v>
      </c>
      <c r="Q26" s="104">
        <v>0</v>
      </c>
      <c r="R26" s="104">
        <v>0</v>
      </c>
    </row>
    <row r="27" spans="1:18" s="75" customFormat="1" ht="16.5">
      <c r="A27" s="247">
        <v>20</v>
      </c>
      <c r="H27" s="103"/>
      <c r="I27" s="101" t="s">
        <v>125</v>
      </c>
      <c r="J27" s="100" t="s">
        <v>126</v>
      </c>
      <c r="K27" s="102">
        <f aca="true" t="shared" si="5" ref="K27:R27">SUM(K28:K29)</f>
        <v>745</v>
      </c>
      <c r="L27" s="102">
        <f t="shared" si="5"/>
        <v>745</v>
      </c>
      <c r="M27" s="102">
        <f t="shared" si="5"/>
        <v>745</v>
      </c>
      <c r="N27" s="102">
        <f>SUM(N28:N29)</f>
        <v>755</v>
      </c>
      <c r="O27" s="102">
        <f t="shared" si="5"/>
        <v>905</v>
      </c>
      <c r="P27" s="102">
        <f t="shared" si="5"/>
        <v>150</v>
      </c>
      <c r="Q27" s="102">
        <f t="shared" si="5"/>
        <v>755</v>
      </c>
      <c r="R27" s="102">
        <f t="shared" si="5"/>
        <v>0</v>
      </c>
    </row>
    <row r="28" spans="1:18" s="75" customFormat="1" ht="16.5">
      <c r="A28" s="247">
        <v>21</v>
      </c>
      <c r="H28" s="103"/>
      <c r="I28" s="118"/>
      <c r="J28" s="103" t="s">
        <v>127</v>
      </c>
      <c r="K28" s="104">
        <v>150</v>
      </c>
      <c r="L28" s="104">
        <v>150</v>
      </c>
      <c r="M28" s="104">
        <v>150</v>
      </c>
      <c r="N28" s="104">
        <v>150</v>
      </c>
      <c r="O28" s="104">
        <v>150</v>
      </c>
      <c r="P28" s="104">
        <v>150</v>
      </c>
      <c r="Q28" s="104">
        <v>0</v>
      </c>
      <c r="R28" s="104">
        <v>0</v>
      </c>
    </row>
    <row r="29" spans="1:18" s="75" customFormat="1" ht="16.5">
      <c r="A29" s="247">
        <v>22</v>
      </c>
      <c r="H29" s="103"/>
      <c r="I29" s="118"/>
      <c r="J29" s="103" t="s">
        <v>220</v>
      </c>
      <c r="K29" s="104">
        <v>595</v>
      </c>
      <c r="L29" s="104">
        <v>595</v>
      </c>
      <c r="M29" s="104">
        <v>595</v>
      </c>
      <c r="N29" s="104">
        <f>595+10</f>
        <v>605</v>
      </c>
      <c r="O29" s="104">
        <v>755</v>
      </c>
      <c r="P29" s="104">
        <v>0</v>
      </c>
      <c r="Q29" s="104">
        <v>755</v>
      </c>
      <c r="R29" s="104">
        <v>0</v>
      </c>
    </row>
    <row r="30" spans="1:18" s="75" customFormat="1" ht="16.5">
      <c r="A30" s="247">
        <v>23</v>
      </c>
      <c r="H30" s="103"/>
      <c r="I30" s="101" t="s">
        <v>128</v>
      </c>
      <c r="J30" s="100" t="s">
        <v>129</v>
      </c>
      <c r="K30" s="102">
        <f aca="true" t="shared" si="6" ref="K30:R30">SUM(K31:K33)</f>
        <v>18832</v>
      </c>
      <c r="L30" s="102">
        <f t="shared" si="6"/>
        <v>26046</v>
      </c>
      <c r="M30" s="102">
        <f t="shared" si="6"/>
        <v>26201</v>
      </c>
      <c r="N30" s="102">
        <f>SUM(N31:N33)</f>
        <v>20514</v>
      </c>
      <c r="O30" s="102">
        <f t="shared" si="6"/>
        <v>20514</v>
      </c>
      <c r="P30" s="102">
        <f t="shared" si="6"/>
        <v>13003</v>
      </c>
      <c r="Q30" s="102">
        <f t="shared" si="6"/>
        <v>7511</v>
      </c>
      <c r="R30" s="102">
        <f t="shared" si="6"/>
        <v>0</v>
      </c>
    </row>
    <row r="31" spans="1:19" s="75" customFormat="1" ht="16.5">
      <c r="A31" s="247">
        <v>24</v>
      </c>
      <c r="H31" s="103"/>
      <c r="I31" s="118"/>
      <c r="J31" s="103" t="s">
        <v>130</v>
      </c>
      <c r="K31" s="104">
        <v>18108</v>
      </c>
      <c r="L31" s="104">
        <v>25322</v>
      </c>
      <c r="M31" s="104">
        <f>25400+77-1078</f>
        <v>24399</v>
      </c>
      <c r="N31" s="104">
        <v>18712</v>
      </c>
      <c r="O31" s="104">
        <v>18712</v>
      </c>
      <c r="P31" s="104">
        <v>11201</v>
      </c>
      <c r="Q31" s="104">
        <v>7511</v>
      </c>
      <c r="R31" s="104">
        <v>0</v>
      </c>
      <c r="S31" s="259"/>
    </row>
    <row r="32" spans="1:18" s="75" customFormat="1" ht="16.5">
      <c r="A32" s="247">
        <v>25</v>
      </c>
      <c r="H32" s="103"/>
      <c r="I32" s="118"/>
      <c r="J32" s="103" t="s">
        <v>131</v>
      </c>
      <c r="K32" s="104">
        <v>498</v>
      </c>
      <c r="L32" s="104">
        <v>498</v>
      </c>
      <c r="M32" s="104">
        <f>498+1078</f>
        <v>1576</v>
      </c>
      <c r="N32" s="104">
        <v>1576</v>
      </c>
      <c r="O32" s="104">
        <v>1576</v>
      </c>
      <c r="P32" s="104">
        <f>498+1078</f>
        <v>1576</v>
      </c>
      <c r="Q32" s="104">
        <v>0</v>
      </c>
      <c r="R32" s="104">
        <v>0</v>
      </c>
    </row>
    <row r="33" spans="1:18" s="75" customFormat="1" ht="16.5">
      <c r="A33" s="247">
        <v>26</v>
      </c>
      <c r="H33" s="103"/>
      <c r="I33" s="118"/>
      <c r="J33" s="103" t="s">
        <v>132</v>
      </c>
      <c r="K33" s="104">
        <v>226</v>
      </c>
      <c r="L33" s="104">
        <v>226</v>
      </c>
      <c r="M33" s="104">
        <v>226</v>
      </c>
      <c r="N33" s="104">
        <v>226</v>
      </c>
      <c r="O33" s="104">
        <v>226</v>
      </c>
      <c r="P33" s="104">
        <v>226</v>
      </c>
      <c r="Q33" s="104">
        <v>0</v>
      </c>
      <c r="R33" s="104">
        <v>0</v>
      </c>
    </row>
    <row r="34" spans="1:18" s="75" customFormat="1" ht="16.5">
      <c r="A34" s="247">
        <v>27</v>
      </c>
      <c r="H34" s="97" t="s">
        <v>95</v>
      </c>
      <c r="I34" s="98"/>
      <c r="J34" s="98" t="s">
        <v>97</v>
      </c>
      <c r="K34" s="99">
        <f aca="true" t="shared" si="7" ref="K34:Q34">SUM(K35:K39)</f>
        <v>9145</v>
      </c>
      <c r="L34" s="99">
        <f t="shared" si="7"/>
        <v>9145</v>
      </c>
      <c r="M34" s="99">
        <f t="shared" si="7"/>
        <v>9145</v>
      </c>
      <c r="N34" s="99">
        <f>SUM(N35:N39)</f>
        <v>15827</v>
      </c>
      <c r="O34" s="99">
        <f t="shared" si="7"/>
        <v>15827</v>
      </c>
      <c r="P34" s="99">
        <f t="shared" si="7"/>
        <v>15827</v>
      </c>
      <c r="Q34" s="99">
        <f t="shared" si="7"/>
        <v>0</v>
      </c>
      <c r="R34" s="99">
        <v>0</v>
      </c>
    </row>
    <row r="35" spans="1:18" s="75" customFormat="1" ht="16.5">
      <c r="A35" s="247">
        <v>28</v>
      </c>
      <c r="H35" s="105"/>
      <c r="I35" s="101" t="s">
        <v>133</v>
      </c>
      <c r="J35" s="100" t="s">
        <v>250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</row>
    <row r="36" spans="1:18" s="75" customFormat="1" ht="16.5">
      <c r="A36" s="247">
        <v>29</v>
      </c>
      <c r="H36" s="105"/>
      <c r="I36" s="101" t="s">
        <v>134</v>
      </c>
      <c r="J36" s="100" t="s">
        <v>234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</row>
    <row r="37" spans="1:18" s="75" customFormat="1" ht="16.5">
      <c r="A37" s="247">
        <v>30</v>
      </c>
      <c r="H37" s="105"/>
      <c r="I37" s="101" t="s">
        <v>135</v>
      </c>
      <c r="J37" s="100" t="s">
        <v>138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</row>
    <row r="38" spans="1:18" s="75" customFormat="1" ht="16.5">
      <c r="A38" s="247">
        <v>31</v>
      </c>
      <c r="H38" s="105"/>
      <c r="I38" s="101" t="s">
        <v>136</v>
      </c>
      <c r="J38" s="100" t="s">
        <v>139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</row>
    <row r="39" spans="1:18" s="75" customFormat="1" ht="16.5">
      <c r="A39" s="247">
        <v>32</v>
      </c>
      <c r="H39" s="105"/>
      <c r="I39" s="101" t="s">
        <v>137</v>
      </c>
      <c r="J39" s="100" t="s">
        <v>140</v>
      </c>
      <c r="K39" s="102">
        <v>9145</v>
      </c>
      <c r="L39" s="102">
        <v>9145</v>
      </c>
      <c r="M39" s="102">
        <v>9145</v>
      </c>
      <c r="N39" s="102">
        <f>18704-717-682-1078-400</f>
        <v>15827</v>
      </c>
      <c r="O39" s="102">
        <f>18704-717-682-1078-400</f>
        <v>15827</v>
      </c>
      <c r="P39" s="102">
        <v>15827</v>
      </c>
      <c r="Q39" s="102">
        <v>0</v>
      </c>
      <c r="R39" s="102">
        <v>0</v>
      </c>
    </row>
    <row r="40" spans="1:18" s="75" customFormat="1" ht="16.5">
      <c r="A40" s="247">
        <v>33</v>
      </c>
      <c r="H40" s="97" t="s">
        <v>96</v>
      </c>
      <c r="I40" s="97"/>
      <c r="J40" s="98" t="s">
        <v>141</v>
      </c>
      <c r="K40" s="99">
        <f aca="true" t="shared" si="8" ref="K40:R40">SUM(K41+K42+K47+K51)</f>
        <v>100424</v>
      </c>
      <c r="L40" s="99">
        <f t="shared" si="8"/>
        <v>108064</v>
      </c>
      <c r="M40" s="99">
        <f t="shared" si="8"/>
        <v>119822</v>
      </c>
      <c r="N40" s="99">
        <f>SUM(N41+N42+N47+N51)</f>
        <v>117165</v>
      </c>
      <c r="O40" s="99">
        <f t="shared" si="8"/>
        <v>124752</v>
      </c>
      <c r="P40" s="99">
        <f t="shared" si="8"/>
        <v>113632</v>
      </c>
      <c r="Q40" s="99">
        <f t="shared" si="8"/>
        <v>11120</v>
      </c>
      <c r="R40" s="99">
        <f t="shared" si="8"/>
        <v>0</v>
      </c>
    </row>
    <row r="41" spans="1:18" s="75" customFormat="1" ht="16.5">
      <c r="A41" s="247">
        <v>34</v>
      </c>
      <c r="H41" s="97"/>
      <c r="I41" s="101" t="s">
        <v>144</v>
      </c>
      <c r="J41" s="100" t="s">
        <v>214</v>
      </c>
      <c r="K41" s="102">
        <v>0</v>
      </c>
      <c r="L41" s="102">
        <f>1617+90</f>
        <v>1707</v>
      </c>
      <c r="M41" s="102">
        <v>1707</v>
      </c>
      <c r="N41" s="102">
        <v>1707</v>
      </c>
      <c r="O41" s="102">
        <v>1707</v>
      </c>
      <c r="P41" s="102">
        <v>1707</v>
      </c>
      <c r="Q41" s="102">
        <v>0</v>
      </c>
      <c r="R41" s="102">
        <v>0</v>
      </c>
    </row>
    <row r="42" spans="1:18" s="75" customFormat="1" ht="16.5">
      <c r="A42" s="247">
        <v>35</v>
      </c>
      <c r="H42" s="105"/>
      <c r="I42" s="101" t="s">
        <v>145</v>
      </c>
      <c r="J42" s="100" t="s">
        <v>142</v>
      </c>
      <c r="K42" s="102">
        <f aca="true" t="shared" si="9" ref="K42:R42">SUM(K43:K46)</f>
        <v>81664</v>
      </c>
      <c r="L42" s="102">
        <f t="shared" si="9"/>
        <v>84568</v>
      </c>
      <c r="M42" s="102">
        <f t="shared" si="9"/>
        <v>85873</v>
      </c>
      <c r="N42" s="102">
        <f>SUM(N43:N46)</f>
        <v>87123</v>
      </c>
      <c r="O42" s="102">
        <f t="shared" si="9"/>
        <v>91816</v>
      </c>
      <c r="P42" s="102">
        <f t="shared" si="9"/>
        <v>91816</v>
      </c>
      <c r="Q42" s="102">
        <f t="shared" si="9"/>
        <v>0</v>
      </c>
      <c r="R42" s="102">
        <f t="shared" si="9"/>
        <v>0</v>
      </c>
    </row>
    <row r="43" spans="1:18" s="75" customFormat="1" ht="16.5">
      <c r="A43" s="247">
        <v>36</v>
      </c>
      <c r="H43" s="105"/>
      <c r="I43" s="101"/>
      <c r="J43" s="103" t="s">
        <v>265</v>
      </c>
      <c r="K43" s="104">
        <v>450</v>
      </c>
      <c r="L43" s="104">
        <v>450</v>
      </c>
      <c r="M43" s="104">
        <v>450</v>
      </c>
      <c r="N43" s="104">
        <v>475</v>
      </c>
      <c r="O43" s="104">
        <v>475</v>
      </c>
      <c r="P43" s="104">
        <v>475</v>
      </c>
      <c r="Q43" s="104">
        <v>0</v>
      </c>
      <c r="R43" s="104">
        <v>0</v>
      </c>
    </row>
    <row r="44" spans="1:18" s="75" customFormat="1" ht="16.5">
      <c r="A44" s="247">
        <v>37</v>
      </c>
      <c r="H44" s="105"/>
      <c r="I44" s="101"/>
      <c r="J44" s="103" t="s">
        <v>143</v>
      </c>
      <c r="K44" s="104">
        <v>78402</v>
      </c>
      <c r="L44" s="104">
        <f>78402+2904</f>
        <v>81306</v>
      </c>
      <c r="M44" s="104">
        <f>82182+429</f>
        <v>82611</v>
      </c>
      <c r="N44" s="104">
        <v>85965</v>
      </c>
      <c r="O44" s="104">
        <v>90658</v>
      </c>
      <c r="P44" s="104">
        <v>90658</v>
      </c>
      <c r="Q44" s="104">
        <v>0</v>
      </c>
      <c r="R44" s="104">
        <v>0</v>
      </c>
    </row>
    <row r="45" spans="1:18" s="75" customFormat="1" ht="16.5">
      <c r="A45" s="247">
        <v>38</v>
      </c>
      <c r="H45" s="105"/>
      <c r="I45" s="101"/>
      <c r="J45" s="103" t="s">
        <v>241</v>
      </c>
      <c r="K45" s="104">
        <v>2129</v>
      </c>
      <c r="L45" s="104">
        <v>2129</v>
      </c>
      <c r="M45" s="104">
        <v>2129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</row>
    <row r="46" spans="1:18" s="75" customFormat="1" ht="16.5">
      <c r="A46" s="247">
        <v>39</v>
      </c>
      <c r="H46" s="105"/>
      <c r="I46" s="105"/>
      <c r="J46" s="103" t="s">
        <v>266</v>
      </c>
      <c r="K46" s="104">
        <v>683</v>
      </c>
      <c r="L46" s="104">
        <v>683</v>
      </c>
      <c r="M46" s="104">
        <v>683</v>
      </c>
      <c r="N46" s="104">
        <v>683</v>
      </c>
      <c r="O46" s="104">
        <v>683</v>
      </c>
      <c r="P46" s="104">
        <v>683</v>
      </c>
      <c r="Q46" s="104">
        <v>0</v>
      </c>
      <c r="R46" s="104">
        <v>0</v>
      </c>
    </row>
    <row r="47" spans="1:18" s="75" customFormat="1" ht="16.5">
      <c r="A47" s="247">
        <v>40</v>
      </c>
      <c r="H47" s="105"/>
      <c r="I47" s="101" t="s">
        <v>148</v>
      </c>
      <c r="J47" s="100" t="s">
        <v>146</v>
      </c>
      <c r="K47" s="102">
        <f aca="true" t="shared" si="10" ref="K47:R47">SUM(K48:K50)</f>
        <v>14000</v>
      </c>
      <c r="L47" s="102">
        <f t="shared" si="10"/>
        <v>11950</v>
      </c>
      <c r="M47" s="102">
        <f t="shared" si="10"/>
        <v>12100</v>
      </c>
      <c r="N47" s="102">
        <f>SUM(N48:N50)</f>
        <v>11120</v>
      </c>
      <c r="O47" s="102">
        <f t="shared" si="10"/>
        <v>11120</v>
      </c>
      <c r="P47" s="102">
        <f t="shared" si="10"/>
        <v>0</v>
      </c>
      <c r="Q47" s="102">
        <f t="shared" si="10"/>
        <v>11120</v>
      </c>
      <c r="R47" s="102">
        <f t="shared" si="10"/>
        <v>0</v>
      </c>
    </row>
    <row r="48" spans="1:18" s="75" customFormat="1" ht="16.5">
      <c r="A48" s="247">
        <v>41</v>
      </c>
      <c r="H48" s="105"/>
      <c r="I48" s="101"/>
      <c r="J48" s="103" t="s">
        <v>147</v>
      </c>
      <c r="K48" s="104">
        <v>14000</v>
      </c>
      <c r="L48" s="104">
        <f>11950-700</f>
        <v>11250</v>
      </c>
      <c r="M48" s="104">
        <v>11250</v>
      </c>
      <c r="N48" s="104">
        <v>10270</v>
      </c>
      <c r="O48" s="104">
        <v>10270</v>
      </c>
      <c r="P48" s="104">
        <v>0</v>
      </c>
      <c r="Q48" s="104">
        <v>10270</v>
      </c>
      <c r="R48" s="104">
        <v>0</v>
      </c>
    </row>
    <row r="49" spans="1:18" s="75" customFormat="1" ht="16.5">
      <c r="A49" s="247">
        <v>42</v>
      </c>
      <c r="H49" s="105"/>
      <c r="I49" s="101"/>
      <c r="J49" s="103" t="s">
        <v>221</v>
      </c>
      <c r="K49" s="104">
        <v>0</v>
      </c>
      <c r="L49" s="104">
        <v>700</v>
      </c>
      <c r="M49" s="104">
        <v>700</v>
      </c>
      <c r="N49" s="104">
        <v>700</v>
      </c>
      <c r="O49" s="104">
        <v>700</v>
      </c>
      <c r="P49" s="104">
        <v>0</v>
      </c>
      <c r="Q49" s="104">
        <v>700</v>
      </c>
      <c r="R49" s="104">
        <v>0</v>
      </c>
    </row>
    <row r="50" spans="1:18" s="75" customFormat="1" ht="16.5">
      <c r="A50" s="247">
        <v>43</v>
      </c>
      <c r="H50" s="105"/>
      <c r="I50" s="101"/>
      <c r="J50" s="103" t="s">
        <v>406</v>
      </c>
      <c r="K50" s="104">
        <v>0</v>
      </c>
      <c r="L50" s="104">
        <v>0</v>
      </c>
      <c r="M50" s="104">
        <v>150</v>
      </c>
      <c r="N50" s="104">
        <v>150</v>
      </c>
      <c r="O50" s="104">
        <v>150</v>
      </c>
      <c r="P50" s="104">
        <v>0</v>
      </c>
      <c r="Q50" s="104">
        <v>150</v>
      </c>
      <c r="R50" s="104">
        <v>0</v>
      </c>
    </row>
    <row r="51" spans="1:18" s="75" customFormat="1" ht="16.5">
      <c r="A51" s="247">
        <v>44</v>
      </c>
      <c r="H51" s="105"/>
      <c r="I51" s="101" t="s">
        <v>216</v>
      </c>
      <c r="J51" s="100" t="s">
        <v>149</v>
      </c>
      <c r="K51" s="102">
        <v>4760</v>
      </c>
      <c r="L51" s="102">
        <v>9839</v>
      </c>
      <c r="M51" s="102">
        <v>20142</v>
      </c>
      <c r="N51" s="102">
        <f>18897-1682</f>
        <v>17215</v>
      </c>
      <c r="O51" s="102">
        <v>20109</v>
      </c>
      <c r="P51" s="102">
        <v>20109</v>
      </c>
      <c r="Q51" s="102">
        <v>0</v>
      </c>
      <c r="R51" s="102">
        <v>0</v>
      </c>
    </row>
    <row r="52" spans="1:18" s="115" customFormat="1" ht="16.5">
      <c r="A52" s="247">
        <v>45</v>
      </c>
      <c r="H52" s="93" t="s">
        <v>98</v>
      </c>
      <c r="I52" s="94"/>
      <c r="J52" s="95"/>
      <c r="K52" s="106">
        <f aca="true" t="shared" si="11" ref="K52:R52">SUM(K53:K55)</f>
        <v>200187</v>
      </c>
      <c r="L52" s="106">
        <f t="shared" si="11"/>
        <v>220524</v>
      </c>
      <c r="M52" s="106">
        <f t="shared" si="11"/>
        <v>303724</v>
      </c>
      <c r="N52" s="106">
        <f>SUM(N53:N55)</f>
        <v>335261</v>
      </c>
      <c r="O52" s="106">
        <f t="shared" si="11"/>
        <v>335261</v>
      </c>
      <c r="P52" s="106">
        <f t="shared" si="11"/>
        <v>237870</v>
      </c>
      <c r="Q52" s="106">
        <f t="shared" si="11"/>
        <v>97391</v>
      </c>
      <c r="R52" s="106">
        <f t="shared" si="11"/>
        <v>0</v>
      </c>
    </row>
    <row r="53" spans="1:18" s="119" customFormat="1" ht="16.5">
      <c r="A53" s="247">
        <v>46</v>
      </c>
      <c r="H53" s="97" t="s">
        <v>89</v>
      </c>
      <c r="I53" s="98"/>
      <c r="J53" s="98" t="s">
        <v>150</v>
      </c>
      <c r="K53" s="99">
        <v>137553</v>
      </c>
      <c r="L53" s="99">
        <v>159249</v>
      </c>
      <c r="M53" s="99">
        <v>242449</v>
      </c>
      <c r="N53" s="99">
        <v>250457</v>
      </c>
      <c r="O53" s="99">
        <v>250457</v>
      </c>
      <c r="P53" s="99">
        <v>178937</v>
      </c>
      <c r="Q53" s="99">
        <f>66054+5466</f>
        <v>71520</v>
      </c>
      <c r="R53" s="99">
        <v>0</v>
      </c>
    </row>
    <row r="54" spans="1:18" s="119" customFormat="1" ht="16.5">
      <c r="A54" s="247">
        <v>47</v>
      </c>
      <c r="H54" s="97" t="s">
        <v>91</v>
      </c>
      <c r="I54" s="98"/>
      <c r="J54" s="98" t="s">
        <v>151</v>
      </c>
      <c r="K54" s="99">
        <v>62634</v>
      </c>
      <c r="L54" s="99">
        <v>60612</v>
      </c>
      <c r="M54" s="99">
        <v>60612</v>
      </c>
      <c r="N54" s="99">
        <v>84141</v>
      </c>
      <c r="O54" s="99">
        <v>84141</v>
      </c>
      <c r="P54" s="99">
        <v>58933</v>
      </c>
      <c r="Q54" s="99">
        <v>25208</v>
      </c>
      <c r="R54" s="99">
        <v>0</v>
      </c>
    </row>
    <row r="55" spans="1:18" s="119" customFormat="1" ht="16.5">
      <c r="A55" s="247">
        <v>48</v>
      </c>
      <c r="H55" s="97" t="s">
        <v>93</v>
      </c>
      <c r="I55" s="98"/>
      <c r="J55" s="98" t="s">
        <v>152</v>
      </c>
      <c r="K55" s="99">
        <f aca="true" t="shared" si="12" ref="K55:R55">SUM(K56:K58)</f>
        <v>0</v>
      </c>
      <c r="L55" s="99">
        <f t="shared" si="12"/>
        <v>663</v>
      </c>
      <c r="M55" s="99">
        <f t="shared" si="12"/>
        <v>663</v>
      </c>
      <c r="N55" s="99">
        <f>SUM(N56:N58)</f>
        <v>663</v>
      </c>
      <c r="O55" s="99">
        <f t="shared" si="12"/>
        <v>663</v>
      </c>
      <c r="P55" s="99">
        <f t="shared" si="12"/>
        <v>0</v>
      </c>
      <c r="Q55" s="99">
        <f t="shared" si="12"/>
        <v>663</v>
      </c>
      <c r="R55" s="99">
        <f t="shared" si="12"/>
        <v>0</v>
      </c>
    </row>
    <row r="56" spans="1:18" s="75" customFormat="1" ht="16.5">
      <c r="A56" s="247">
        <v>49</v>
      </c>
      <c r="H56" s="103"/>
      <c r="I56" s="101" t="s">
        <v>108</v>
      </c>
      <c r="J56" s="100" t="s">
        <v>105</v>
      </c>
      <c r="K56" s="102">
        <v>0</v>
      </c>
      <c r="L56" s="102">
        <v>63</v>
      </c>
      <c r="M56" s="102">
        <v>63</v>
      </c>
      <c r="N56" s="102">
        <v>63</v>
      </c>
      <c r="O56" s="102">
        <v>63</v>
      </c>
      <c r="P56" s="102">
        <v>0</v>
      </c>
      <c r="Q56" s="102">
        <v>63</v>
      </c>
      <c r="R56" s="102">
        <v>0</v>
      </c>
    </row>
    <row r="57" spans="1:18" s="75" customFormat="1" ht="16.5">
      <c r="A57" s="247">
        <v>50</v>
      </c>
      <c r="H57" s="103"/>
      <c r="I57" s="101" t="s">
        <v>112</v>
      </c>
      <c r="J57" s="100" t="s">
        <v>99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</row>
    <row r="58" spans="1:18" s="75" customFormat="1" ht="16.5">
      <c r="A58" s="247">
        <v>51</v>
      </c>
      <c r="H58" s="103"/>
      <c r="I58" s="101" t="s">
        <v>116</v>
      </c>
      <c r="J58" s="100" t="s">
        <v>153</v>
      </c>
      <c r="K58" s="102">
        <v>0</v>
      </c>
      <c r="L58" s="102">
        <v>600</v>
      </c>
      <c r="M58" s="102">
        <v>600</v>
      </c>
      <c r="N58" s="102">
        <v>600</v>
      </c>
      <c r="O58" s="102">
        <v>600</v>
      </c>
      <c r="P58" s="102">
        <v>0</v>
      </c>
      <c r="Q58" s="102">
        <v>600</v>
      </c>
      <c r="R58" s="102">
        <v>0</v>
      </c>
    </row>
    <row r="59" spans="1:18" s="120" customFormat="1" ht="16.5">
      <c r="A59" s="247">
        <v>52</v>
      </c>
      <c r="H59" s="298" t="s">
        <v>163</v>
      </c>
      <c r="I59" s="299"/>
      <c r="J59" s="315"/>
      <c r="K59" s="106">
        <f aca="true" t="shared" si="13" ref="K59:R59">SUM(K8,K52,)</f>
        <v>510679</v>
      </c>
      <c r="L59" s="106">
        <f t="shared" si="13"/>
        <v>602494</v>
      </c>
      <c r="M59" s="106">
        <f t="shared" si="13"/>
        <v>693825</v>
      </c>
      <c r="N59" s="106">
        <f>SUM(N8,N52,)</f>
        <v>717057</v>
      </c>
      <c r="O59" s="106">
        <f t="shared" si="13"/>
        <v>725428</v>
      </c>
      <c r="P59" s="106">
        <f t="shared" si="13"/>
        <v>563915</v>
      </c>
      <c r="Q59" s="106">
        <f t="shared" si="13"/>
        <v>161513</v>
      </c>
      <c r="R59" s="106">
        <f t="shared" si="13"/>
        <v>0</v>
      </c>
    </row>
    <row r="60" spans="1:18" s="120" customFormat="1" ht="16.5">
      <c r="A60" s="247">
        <v>53</v>
      </c>
      <c r="H60" s="93" t="s">
        <v>160</v>
      </c>
      <c r="I60" s="94"/>
      <c r="J60" s="95"/>
      <c r="K60" s="106"/>
      <c r="L60" s="106"/>
      <c r="M60" s="106"/>
      <c r="N60" s="106"/>
      <c r="O60" s="106"/>
      <c r="P60" s="106"/>
      <c r="Q60" s="106"/>
      <c r="R60" s="106"/>
    </row>
    <row r="61" spans="1:18" s="120" customFormat="1" ht="16.5">
      <c r="A61" s="247">
        <v>54</v>
      </c>
      <c r="H61" s="108" t="s">
        <v>89</v>
      </c>
      <c r="I61" s="121"/>
      <c r="J61" s="122" t="s">
        <v>215</v>
      </c>
      <c r="K61" s="102">
        <v>7077</v>
      </c>
      <c r="L61" s="102">
        <v>7077</v>
      </c>
      <c r="M61" s="102">
        <v>7077</v>
      </c>
      <c r="N61" s="102">
        <v>7077</v>
      </c>
      <c r="O61" s="102">
        <v>7077</v>
      </c>
      <c r="P61" s="102">
        <v>7077</v>
      </c>
      <c r="Q61" s="102">
        <v>0</v>
      </c>
      <c r="R61" s="102">
        <v>0</v>
      </c>
    </row>
    <row r="62" spans="1:18" s="119" customFormat="1" ht="16.5">
      <c r="A62" s="247">
        <v>55</v>
      </c>
      <c r="H62" s="108" t="s">
        <v>91</v>
      </c>
      <c r="I62" s="109"/>
      <c r="J62" s="122" t="s">
        <v>161</v>
      </c>
      <c r="K62" s="102">
        <v>57628</v>
      </c>
      <c r="L62" s="102">
        <v>61007</v>
      </c>
      <c r="M62" s="102">
        <v>65211</v>
      </c>
      <c r="N62" s="102">
        <v>62046</v>
      </c>
      <c r="O62" s="102">
        <v>62046</v>
      </c>
      <c r="P62" s="102">
        <v>62046</v>
      </c>
      <c r="Q62" s="102">
        <v>0</v>
      </c>
      <c r="R62" s="102">
        <v>0</v>
      </c>
    </row>
    <row r="63" spans="1:18" s="120" customFormat="1" ht="16.5">
      <c r="A63" s="247">
        <v>56</v>
      </c>
      <c r="H63" s="298" t="s">
        <v>164</v>
      </c>
      <c r="I63" s="299"/>
      <c r="J63" s="300"/>
      <c r="K63" s="106">
        <f aca="true" t="shared" si="14" ref="K63:R63">SUM(K61:K62)</f>
        <v>64705</v>
      </c>
      <c r="L63" s="106">
        <f t="shared" si="14"/>
        <v>68084</v>
      </c>
      <c r="M63" s="106">
        <f t="shared" si="14"/>
        <v>72288</v>
      </c>
      <c r="N63" s="106">
        <f>SUM(N61:N62)</f>
        <v>69123</v>
      </c>
      <c r="O63" s="106">
        <f t="shared" si="14"/>
        <v>69123</v>
      </c>
      <c r="P63" s="106">
        <f t="shared" si="14"/>
        <v>69123</v>
      </c>
      <c r="Q63" s="106">
        <f t="shared" si="14"/>
        <v>0</v>
      </c>
      <c r="R63" s="106">
        <f t="shared" si="14"/>
        <v>0</v>
      </c>
    </row>
    <row r="64" spans="1:18" s="120" customFormat="1" ht="16.5">
      <c r="A64" s="247">
        <v>57</v>
      </c>
      <c r="H64" s="298" t="s">
        <v>165</v>
      </c>
      <c r="I64" s="299"/>
      <c r="J64" s="300"/>
      <c r="K64" s="106">
        <f aca="true" t="shared" si="15" ref="K64:R64">SUM(K59+K63)</f>
        <v>575384</v>
      </c>
      <c r="L64" s="106">
        <f t="shared" si="15"/>
        <v>670578</v>
      </c>
      <c r="M64" s="106">
        <f t="shared" si="15"/>
        <v>766113</v>
      </c>
      <c r="N64" s="106">
        <f>SUM(N59+N63)</f>
        <v>786180</v>
      </c>
      <c r="O64" s="106">
        <f t="shared" si="15"/>
        <v>794551</v>
      </c>
      <c r="P64" s="106">
        <f t="shared" si="15"/>
        <v>633038</v>
      </c>
      <c r="Q64" s="106">
        <f t="shared" si="15"/>
        <v>161513</v>
      </c>
      <c r="R64" s="106">
        <f t="shared" si="15"/>
        <v>0</v>
      </c>
    </row>
    <row r="65" ht="17.25">
      <c r="V65" s="46"/>
    </row>
  </sheetData>
  <sheetProtection/>
  <mergeCells count="16">
    <mergeCell ref="H63:J63"/>
    <mergeCell ref="H64:J64"/>
    <mergeCell ref="H1:R1"/>
    <mergeCell ref="H2:R2"/>
    <mergeCell ref="H3:R3"/>
    <mergeCell ref="K5:K6"/>
    <mergeCell ref="O5:O6"/>
    <mergeCell ref="N5:N6"/>
    <mergeCell ref="A5:A6"/>
    <mergeCell ref="H5:J6"/>
    <mergeCell ref="P5:R5"/>
    <mergeCell ref="H7:J7"/>
    <mergeCell ref="H8:J8"/>
    <mergeCell ref="H59:J59"/>
    <mergeCell ref="L5:L6"/>
    <mergeCell ref="M5:M6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9"/>
  <sheetViews>
    <sheetView zoomScale="75" zoomScaleNormal="75" zoomScalePageLayoutView="0" workbookViewId="0" topLeftCell="A1">
      <selection activeCell="P6" sqref="P6"/>
    </sheetView>
  </sheetViews>
  <sheetFormatPr defaultColWidth="9.28125" defaultRowHeight="15"/>
  <cols>
    <col min="1" max="1" width="3.7109375" style="112" customWidth="1"/>
    <col min="2" max="7" width="9.28125" style="112" hidden="1" customWidth="1"/>
    <col min="8" max="8" width="3.57421875" style="112" bestFit="1" customWidth="1"/>
    <col min="9" max="9" width="4.421875" style="112" customWidth="1"/>
    <col min="10" max="10" width="50.140625" style="112" customWidth="1"/>
    <col min="11" max="11" width="13.7109375" style="112" customWidth="1"/>
    <col min="12" max="12" width="13.421875" style="112" customWidth="1"/>
    <col min="13" max="13" width="14.28125" style="112" customWidth="1"/>
    <col min="14" max="14" width="13.7109375" style="112" customWidth="1"/>
    <col min="15" max="15" width="14.28125" style="112" customWidth="1"/>
    <col min="16" max="16" width="10.28125" style="112" customWidth="1"/>
    <col min="17" max="17" width="12.8515625" style="112" customWidth="1"/>
    <col min="18" max="18" width="12.7109375" style="112" customWidth="1"/>
    <col min="19" max="16384" width="9.28125" style="112" customWidth="1"/>
  </cols>
  <sheetData>
    <row r="1" spans="8:19" ht="17.25"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113"/>
    </row>
    <row r="2" spans="8:18" s="113" customFormat="1" ht="19.5" customHeight="1">
      <c r="H2" s="289" t="s">
        <v>200</v>
      </c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8:18" ht="17.25">
      <c r="H3" s="290" t="s">
        <v>254</v>
      </c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4" spans="8:18" ht="20.25" customHeight="1">
      <c r="H4" s="91"/>
      <c r="I4" s="91"/>
      <c r="J4" s="91"/>
      <c r="K4" s="91"/>
      <c r="L4" s="91"/>
      <c r="M4" s="91"/>
      <c r="N4" s="91"/>
      <c r="O4" s="91"/>
      <c r="P4" s="91" t="s">
        <v>32</v>
      </c>
      <c r="Q4" s="91"/>
      <c r="R4" s="235" t="s">
        <v>390</v>
      </c>
    </row>
    <row r="5" spans="1:18" s="120" customFormat="1" ht="16.5">
      <c r="A5" s="319" t="s">
        <v>162</v>
      </c>
      <c r="B5" s="46"/>
      <c r="C5" s="46"/>
      <c r="D5" s="46"/>
      <c r="E5" s="46"/>
      <c r="F5" s="46"/>
      <c r="G5" s="46"/>
      <c r="H5" s="307" t="s">
        <v>211</v>
      </c>
      <c r="I5" s="307"/>
      <c r="J5" s="308"/>
      <c r="K5" s="296" t="s">
        <v>228</v>
      </c>
      <c r="L5" s="308" t="s">
        <v>385</v>
      </c>
      <c r="M5" s="308" t="s">
        <v>393</v>
      </c>
      <c r="N5" s="308" t="s">
        <v>408</v>
      </c>
      <c r="O5" s="308" t="s">
        <v>426</v>
      </c>
      <c r="P5" s="291" t="s">
        <v>427</v>
      </c>
      <c r="Q5" s="292"/>
      <c r="R5" s="293"/>
    </row>
    <row r="6" spans="1:18" s="46" customFormat="1" ht="49.5" customHeight="1">
      <c r="A6" s="320"/>
      <c r="H6" s="309"/>
      <c r="I6" s="309"/>
      <c r="J6" s="310"/>
      <c r="K6" s="297"/>
      <c r="L6" s="321"/>
      <c r="M6" s="321"/>
      <c r="N6" s="321"/>
      <c r="O6" s="321"/>
      <c r="P6" s="245" t="s">
        <v>86</v>
      </c>
      <c r="Q6" s="245" t="s">
        <v>87</v>
      </c>
      <c r="R6" s="261" t="s">
        <v>223</v>
      </c>
    </row>
    <row r="7" spans="1:18" s="46" customFormat="1" ht="17.25">
      <c r="A7" s="246"/>
      <c r="H7" s="291" t="s">
        <v>6</v>
      </c>
      <c r="I7" s="311"/>
      <c r="J7" s="312"/>
      <c r="K7" s="92" t="s">
        <v>7</v>
      </c>
      <c r="L7" s="92" t="s">
        <v>8</v>
      </c>
      <c r="M7" s="92" t="s">
        <v>357</v>
      </c>
      <c r="N7" s="92" t="s">
        <v>399</v>
      </c>
      <c r="O7" s="92" t="s">
        <v>229</v>
      </c>
      <c r="P7" s="92" t="s">
        <v>247</v>
      </c>
      <c r="Q7" s="92" t="s">
        <v>405</v>
      </c>
      <c r="R7" s="92" t="s">
        <v>424</v>
      </c>
    </row>
    <row r="8" spans="1:18" s="123" customFormat="1" ht="16.5">
      <c r="A8" s="214">
        <v>1</v>
      </c>
      <c r="H8" s="301" t="s">
        <v>100</v>
      </c>
      <c r="I8" s="302"/>
      <c r="J8" s="303"/>
      <c r="K8" s="96">
        <f aca="true" t="shared" si="0" ref="K8:R8">SUM(K9+K14+K20)</f>
        <v>9188</v>
      </c>
      <c r="L8" s="96">
        <f t="shared" si="0"/>
        <v>8965</v>
      </c>
      <c r="M8" s="96">
        <f t="shared" si="0"/>
        <v>8965</v>
      </c>
      <c r="N8" s="96">
        <f t="shared" si="0"/>
        <v>8965</v>
      </c>
      <c r="O8" s="96">
        <f t="shared" si="0"/>
        <v>8965</v>
      </c>
      <c r="P8" s="96">
        <f t="shared" si="0"/>
        <v>0</v>
      </c>
      <c r="Q8" s="96">
        <f t="shared" si="0"/>
        <v>0</v>
      </c>
      <c r="R8" s="96">
        <f t="shared" si="0"/>
        <v>8965</v>
      </c>
    </row>
    <row r="9" spans="1:18" s="119" customFormat="1" ht="17.25">
      <c r="A9" s="215">
        <v>2</v>
      </c>
      <c r="H9" s="97" t="s">
        <v>89</v>
      </c>
      <c r="I9" s="98"/>
      <c r="J9" s="98" t="s">
        <v>106</v>
      </c>
      <c r="K9" s="99">
        <f aca="true" t="shared" si="1" ref="K9:R9">SUM(K10+K11)</f>
        <v>0</v>
      </c>
      <c r="L9" s="99">
        <f t="shared" si="1"/>
        <v>0</v>
      </c>
      <c r="M9" s="99">
        <f t="shared" si="1"/>
        <v>0</v>
      </c>
      <c r="N9" s="99">
        <f t="shared" si="1"/>
        <v>0</v>
      </c>
      <c r="O9" s="99">
        <f t="shared" si="1"/>
        <v>0</v>
      </c>
      <c r="P9" s="99">
        <f t="shared" si="1"/>
        <v>0</v>
      </c>
      <c r="Q9" s="99">
        <f t="shared" si="1"/>
        <v>0</v>
      </c>
      <c r="R9" s="99">
        <f t="shared" si="1"/>
        <v>0</v>
      </c>
    </row>
    <row r="10" spans="1:18" s="124" customFormat="1" ht="17.25">
      <c r="A10" s="216">
        <v>3</v>
      </c>
      <c r="H10" s="100"/>
      <c r="I10" s="101" t="s">
        <v>167</v>
      </c>
      <c r="J10" s="100" t="s">
        <v>154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</row>
    <row r="11" spans="1:18" s="124" customFormat="1" ht="17.25">
      <c r="A11" s="216">
        <v>4</v>
      </c>
      <c r="H11" s="100"/>
      <c r="I11" s="101" t="s">
        <v>168</v>
      </c>
      <c r="J11" s="100" t="s">
        <v>158</v>
      </c>
      <c r="K11" s="102">
        <f aca="true" t="shared" si="2" ref="K11:R11">SUM(K12:K13)</f>
        <v>0</v>
      </c>
      <c r="L11" s="102">
        <f t="shared" si="2"/>
        <v>0</v>
      </c>
      <c r="M11" s="102">
        <f t="shared" si="2"/>
        <v>0</v>
      </c>
      <c r="N11" s="102">
        <f t="shared" si="2"/>
        <v>0</v>
      </c>
      <c r="O11" s="102">
        <f t="shared" si="2"/>
        <v>0</v>
      </c>
      <c r="P11" s="102">
        <f t="shared" si="2"/>
        <v>0</v>
      </c>
      <c r="Q11" s="102">
        <f t="shared" si="2"/>
        <v>0</v>
      </c>
      <c r="R11" s="102">
        <f t="shared" si="2"/>
        <v>0</v>
      </c>
    </row>
    <row r="12" spans="1:18" s="124" customFormat="1" ht="17.25">
      <c r="A12" s="216">
        <v>5</v>
      </c>
      <c r="H12" s="100"/>
      <c r="I12" s="101"/>
      <c r="J12" s="103" t="s">
        <v>242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s="124" customFormat="1" ht="17.25">
      <c r="A13" s="214">
        <v>6</v>
      </c>
      <c r="H13" s="100"/>
      <c r="I13" s="101"/>
      <c r="J13" s="103" t="s">
        <v>252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</row>
    <row r="14" spans="1:18" s="119" customFormat="1" ht="17.25">
      <c r="A14" s="215">
        <v>7</v>
      </c>
      <c r="H14" s="97" t="s">
        <v>91</v>
      </c>
      <c r="I14" s="97"/>
      <c r="J14" s="98" t="s">
        <v>101</v>
      </c>
      <c r="K14" s="99">
        <f aca="true" t="shared" si="3" ref="K14:R14">SUM(K15+K16+K17+K18+K19)</f>
        <v>60</v>
      </c>
      <c r="L14" s="99">
        <f t="shared" si="3"/>
        <v>60</v>
      </c>
      <c r="M14" s="99">
        <f t="shared" si="3"/>
        <v>60</v>
      </c>
      <c r="N14" s="99">
        <f t="shared" si="3"/>
        <v>60</v>
      </c>
      <c r="O14" s="99">
        <f t="shared" si="3"/>
        <v>60</v>
      </c>
      <c r="P14" s="99">
        <f t="shared" si="3"/>
        <v>0</v>
      </c>
      <c r="Q14" s="99">
        <f t="shared" si="3"/>
        <v>0</v>
      </c>
      <c r="R14" s="99">
        <f t="shared" si="3"/>
        <v>60</v>
      </c>
    </row>
    <row r="15" spans="1:18" s="124" customFormat="1" ht="17.25">
      <c r="A15" s="216">
        <v>8</v>
      </c>
      <c r="H15" s="100"/>
      <c r="I15" s="101" t="s">
        <v>174</v>
      </c>
      <c r="J15" s="100" t="s">
        <v>169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</row>
    <row r="16" spans="1:18" s="75" customFormat="1" ht="16.5">
      <c r="A16" s="216">
        <v>9</v>
      </c>
      <c r="H16" s="103"/>
      <c r="I16" s="101" t="s">
        <v>175</v>
      </c>
      <c r="J16" s="100" t="s">
        <v>171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f>SUM(Q17:Q17)</f>
        <v>0</v>
      </c>
      <c r="R16" s="102">
        <v>0</v>
      </c>
    </row>
    <row r="17" spans="1:18" s="75" customFormat="1" ht="16.5">
      <c r="A17" s="216">
        <v>10</v>
      </c>
      <c r="H17" s="103"/>
      <c r="I17" s="101" t="s">
        <v>176</v>
      </c>
      <c r="J17" s="100" t="s">
        <v>177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</row>
    <row r="18" spans="1:18" s="75" customFormat="1" ht="16.5">
      <c r="A18" s="214">
        <v>11</v>
      </c>
      <c r="H18" s="103"/>
      <c r="I18" s="101" t="s">
        <v>179</v>
      </c>
      <c r="J18" s="100" t="s">
        <v>180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</row>
    <row r="19" spans="1:18" s="75" customFormat="1" ht="17.25">
      <c r="A19" s="215">
        <v>12</v>
      </c>
      <c r="H19" s="103"/>
      <c r="I19" s="101" t="s">
        <v>182</v>
      </c>
      <c r="J19" s="100" t="s">
        <v>183</v>
      </c>
      <c r="K19" s="102">
        <v>60</v>
      </c>
      <c r="L19" s="102">
        <v>60</v>
      </c>
      <c r="M19" s="102">
        <v>60</v>
      </c>
      <c r="N19" s="102">
        <v>60</v>
      </c>
      <c r="O19" s="102">
        <v>60</v>
      </c>
      <c r="P19" s="102">
        <v>0</v>
      </c>
      <c r="Q19" s="102">
        <v>0</v>
      </c>
      <c r="R19" s="102">
        <v>60</v>
      </c>
    </row>
    <row r="20" spans="1:18" s="119" customFormat="1" ht="16.5">
      <c r="A20" s="216">
        <v>13</v>
      </c>
      <c r="H20" s="97" t="s">
        <v>93</v>
      </c>
      <c r="I20" s="97"/>
      <c r="J20" s="98" t="s">
        <v>185</v>
      </c>
      <c r="K20" s="99">
        <f aca="true" t="shared" si="4" ref="K20:R20">SUM(K21:K25)</f>
        <v>9128</v>
      </c>
      <c r="L20" s="99">
        <f t="shared" si="4"/>
        <v>8905</v>
      </c>
      <c r="M20" s="99">
        <f t="shared" si="4"/>
        <v>8905</v>
      </c>
      <c r="N20" s="99">
        <f t="shared" si="4"/>
        <v>8905</v>
      </c>
      <c r="O20" s="99">
        <f t="shared" si="4"/>
        <v>8905</v>
      </c>
      <c r="P20" s="99">
        <f t="shared" si="4"/>
        <v>0</v>
      </c>
      <c r="Q20" s="99">
        <f t="shared" si="4"/>
        <v>0</v>
      </c>
      <c r="R20" s="99">
        <f t="shared" si="4"/>
        <v>8905</v>
      </c>
    </row>
    <row r="21" spans="1:18" s="75" customFormat="1" ht="16.5">
      <c r="A21" s="216">
        <v>14</v>
      </c>
      <c r="H21" s="103"/>
      <c r="I21" s="101" t="s">
        <v>108</v>
      </c>
      <c r="J21" s="100" t="s">
        <v>186</v>
      </c>
      <c r="K21" s="102">
        <v>9120</v>
      </c>
      <c r="L21" s="102">
        <v>8850</v>
      </c>
      <c r="M21" s="102">
        <v>8850</v>
      </c>
      <c r="N21" s="102">
        <v>8850</v>
      </c>
      <c r="O21" s="102">
        <v>8850</v>
      </c>
      <c r="P21" s="102">
        <v>0</v>
      </c>
      <c r="Q21" s="102">
        <v>0</v>
      </c>
      <c r="R21" s="102">
        <v>8850</v>
      </c>
    </row>
    <row r="22" spans="1:18" s="75" customFormat="1" ht="16.5">
      <c r="A22" s="216">
        <v>15</v>
      </c>
      <c r="H22" s="103"/>
      <c r="I22" s="101" t="s">
        <v>112</v>
      </c>
      <c r="J22" s="100" t="s">
        <v>187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</row>
    <row r="23" spans="1:18" s="75" customFormat="1" ht="16.5">
      <c r="A23" s="214">
        <v>16</v>
      </c>
      <c r="H23" s="103"/>
      <c r="I23" s="101" t="s">
        <v>116</v>
      </c>
      <c r="J23" s="100" t="s">
        <v>188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</row>
    <row r="24" spans="1:18" s="75" customFormat="1" ht="17.25">
      <c r="A24" s="215">
        <v>17</v>
      </c>
      <c r="H24" s="103"/>
      <c r="I24" s="101" t="s">
        <v>125</v>
      </c>
      <c r="J24" s="100" t="s">
        <v>189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</row>
    <row r="25" spans="1:18" s="75" customFormat="1" ht="16.5">
      <c r="A25" s="216">
        <v>18</v>
      </c>
      <c r="H25" s="103"/>
      <c r="I25" s="101" t="s">
        <v>128</v>
      </c>
      <c r="J25" s="100" t="s">
        <v>102</v>
      </c>
      <c r="K25" s="102">
        <v>8</v>
      </c>
      <c r="L25" s="102">
        <v>55</v>
      </c>
      <c r="M25" s="102">
        <v>55</v>
      </c>
      <c r="N25" s="102">
        <v>55</v>
      </c>
      <c r="O25" s="102">
        <v>55</v>
      </c>
      <c r="P25" s="102">
        <v>0</v>
      </c>
      <c r="Q25" s="102">
        <v>0</v>
      </c>
      <c r="R25" s="102">
        <v>55</v>
      </c>
    </row>
    <row r="26" spans="1:18" s="115" customFormat="1" ht="18.75" customHeight="1">
      <c r="A26" s="216">
        <v>19</v>
      </c>
      <c r="H26" s="301" t="s">
        <v>103</v>
      </c>
      <c r="I26" s="302"/>
      <c r="J26" s="303"/>
      <c r="K26" s="106">
        <f aca="true" t="shared" si="5" ref="K26:R26">SUM(K27+K29+K31)</f>
        <v>0</v>
      </c>
      <c r="L26" s="106">
        <f t="shared" si="5"/>
        <v>0</v>
      </c>
      <c r="M26" s="106">
        <f t="shared" si="5"/>
        <v>0</v>
      </c>
      <c r="N26" s="106">
        <f t="shared" si="5"/>
        <v>0</v>
      </c>
      <c r="O26" s="106">
        <f t="shared" si="5"/>
        <v>0</v>
      </c>
      <c r="P26" s="106">
        <f t="shared" si="5"/>
        <v>0</v>
      </c>
      <c r="Q26" s="106">
        <f t="shared" si="5"/>
        <v>0</v>
      </c>
      <c r="R26" s="106">
        <f t="shared" si="5"/>
        <v>0</v>
      </c>
    </row>
    <row r="27" spans="1:18" s="75" customFormat="1" ht="16.5">
      <c r="A27" s="216">
        <v>20</v>
      </c>
      <c r="H27" s="97" t="s">
        <v>89</v>
      </c>
      <c r="I27" s="103"/>
      <c r="J27" s="107" t="s">
        <v>190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</row>
    <row r="28" spans="1:18" s="124" customFormat="1" ht="17.25">
      <c r="A28" s="214">
        <v>21</v>
      </c>
      <c r="H28" s="100"/>
      <c r="I28" s="101" t="s">
        <v>167</v>
      </c>
      <c r="J28" s="100" t="s">
        <v>235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</row>
    <row r="29" spans="1:18" s="119" customFormat="1" ht="17.25">
      <c r="A29" s="215">
        <v>22</v>
      </c>
      <c r="H29" s="97" t="s">
        <v>91</v>
      </c>
      <c r="I29" s="98"/>
      <c r="J29" s="98" t="s">
        <v>191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</row>
    <row r="30" spans="1:18" s="75" customFormat="1" ht="16.5">
      <c r="A30" s="216">
        <v>23</v>
      </c>
      <c r="H30" s="103"/>
      <c r="I30" s="101" t="s">
        <v>174</v>
      </c>
      <c r="J30" s="100" t="s">
        <v>192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</row>
    <row r="31" spans="1:18" s="75" customFormat="1" ht="16.5">
      <c r="A31" s="216">
        <v>24</v>
      </c>
      <c r="H31" s="97" t="s">
        <v>93</v>
      </c>
      <c r="I31" s="98"/>
      <c r="J31" s="98" t="s">
        <v>193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</row>
    <row r="32" spans="1:18" s="75" customFormat="1" ht="16.5">
      <c r="A32" s="216">
        <v>25</v>
      </c>
      <c r="H32" s="103"/>
      <c r="I32" s="101" t="s">
        <v>108</v>
      </c>
      <c r="J32" s="100" t="s">
        <v>194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</row>
    <row r="33" spans="1:18" s="120" customFormat="1" ht="18.75" customHeight="1">
      <c r="A33" s="214">
        <v>26</v>
      </c>
      <c r="H33" s="298" t="s">
        <v>195</v>
      </c>
      <c r="I33" s="299"/>
      <c r="J33" s="315"/>
      <c r="K33" s="106">
        <f aca="true" t="shared" si="6" ref="K33:R33">SUM(K8,K26)</f>
        <v>9188</v>
      </c>
      <c r="L33" s="106">
        <f t="shared" si="6"/>
        <v>8965</v>
      </c>
      <c r="M33" s="106">
        <f t="shared" si="6"/>
        <v>8965</v>
      </c>
      <c r="N33" s="106">
        <f t="shared" si="6"/>
        <v>8965</v>
      </c>
      <c r="O33" s="106">
        <f t="shared" si="6"/>
        <v>8965</v>
      </c>
      <c r="P33" s="106">
        <f t="shared" si="6"/>
        <v>0</v>
      </c>
      <c r="Q33" s="106">
        <f t="shared" si="6"/>
        <v>0</v>
      </c>
      <c r="R33" s="106">
        <f t="shared" si="6"/>
        <v>8965</v>
      </c>
    </row>
    <row r="34" spans="1:18" s="120" customFormat="1" ht="21.75" customHeight="1">
      <c r="A34" s="215">
        <v>27</v>
      </c>
      <c r="H34" s="93" t="s">
        <v>197</v>
      </c>
      <c r="I34" s="94"/>
      <c r="J34" s="95"/>
      <c r="K34" s="106"/>
      <c r="L34" s="106"/>
      <c r="M34" s="106"/>
      <c r="N34" s="106"/>
      <c r="O34" s="106"/>
      <c r="P34" s="106"/>
      <c r="Q34" s="106"/>
      <c r="R34" s="106"/>
    </row>
    <row r="35" spans="1:18" ht="18" customHeight="1">
      <c r="A35" s="216">
        <v>28</v>
      </c>
      <c r="B35" s="119"/>
      <c r="C35" s="119"/>
      <c r="D35" s="119"/>
      <c r="E35" s="119"/>
      <c r="F35" s="119"/>
      <c r="G35" s="119"/>
      <c r="H35" s="108" t="s">
        <v>89</v>
      </c>
      <c r="I35" s="109"/>
      <c r="J35" s="110" t="s">
        <v>196</v>
      </c>
      <c r="K35" s="111">
        <v>384</v>
      </c>
      <c r="L35" s="111">
        <v>384</v>
      </c>
      <c r="M35" s="111">
        <v>384</v>
      </c>
      <c r="N35" s="111">
        <v>384</v>
      </c>
      <c r="O35" s="111">
        <v>384</v>
      </c>
      <c r="P35" s="111">
        <v>0</v>
      </c>
      <c r="Q35" s="111">
        <v>0</v>
      </c>
      <c r="R35" s="111">
        <v>384</v>
      </c>
    </row>
    <row r="36" spans="1:18" ht="18" customHeight="1">
      <c r="A36" s="216">
        <v>29</v>
      </c>
      <c r="B36" s="119"/>
      <c r="C36" s="119"/>
      <c r="D36" s="119"/>
      <c r="E36" s="119"/>
      <c r="F36" s="119"/>
      <c r="G36" s="119"/>
      <c r="H36" s="108" t="s">
        <v>91</v>
      </c>
      <c r="I36" s="109"/>
      <c r="J36" s="110" t="s">
        <v>161</v>
      </c>
      <c r="K36" s="111">
        <v>57628</v>
      </c>
      <c r="L36" s="111">
        <f>60006+1001</f>
        <v>61007</v>
      </c>
      <c r="M36" s="111">
        <v>65211</v>
      </c>
      <c r="N36" s="111">
        <v>62046</v>
      </c>
      <c r="O36" s="111">
        <f>65211-3165</f>
        <v>62046</v>
      </c>
      <c r="P36" s="111">
        <v>0</v>
      </c>
      <c r="Q36" s="111">
        <v>0</v>
      </c>
      <c r="R36" s="111">
        <v>62046</v>
      </c>
    </row>
    <row r="37" spans="1:18" s="75" customFormat="1" ht="18.75" customHeight="1">
      <c r="A37" s="216">
        <v>30</v>
      </c>
      <c r="B37" s="120"/>
      <c r="C37" s="120"/>
      <c r="D37" s="120"/>
      <c r="E37" s="120"/>
      <c r="F37" s="120"/>
      <c r="G37" s="120"/>
      <c r="H37" s="298" t="s">
        <v>198</v>
      </c>
      <c r="I37" s="299"/>
      <c r="J37" s="300"/>
      <c r="K37" s="106">
        <f aca="true" t="shared" si="7" ref="K37:R37">SUM(K35:K36)</f>
        <v>58012</v>
      </c>
      <c r="L37" s="106">
        <f t="shared" si="7"/>
        <v>61391</v>
      </c>
      <c r="M37" s="106">
        <f t="shared" si="7"/>
        <v>65595</v>
      </c>
      <c r="N37" s="106">
        <f t="shared" si="7"/>
        <v>62430</v>
      </c>
      <c r="O37" s="106">
        <f t="shared" si="7"/>
        <v>62430</v>
      </c>
      <c r="P37" s="106">
        <f t="shared" si="7"/>
        <v>0</v>
      </c>
      <c r="Q37" s="106">
        <f t="shared" si="7"/>
        <v>0</v>
      </c>
      <c r="R37" s="106">
        <f t="shared" si="7"/>
        <v>62430</v>
      </c>
    </row>
    <row r="38" spans="1:18" s="75" customFormat="1" ht="21.75" customHeight="1">
      <c r="A38" s="214">
        <v>31</v>
      </c>
      <c r="B38" s="120"/>
      <c r="C38" s="120"/>
      <c r="D38" s="120"/>
      <c r="E38" s="120"/>
      <c r="F38" s="120"/>
      <c r="G38" s="120"/>
      <c r="H38" s="298" t="s">
        <v>199</v>
      </c>
      <c r="I38" s="299"/>
      <c r="J38" s="300"/>
      <c r="K38" s="106">
        <f aca="true" t="shared" si="8" ref="K38:R38">SUM(K33+K37)</f>
        <v>67200</v>
      </c>
      <c r="L38" s="106">
        <f t="shared" si="8"/>
        <v>70356</v>
      </c>
      <c r="M38" s="106">
        <f t="shared" si="8"/>
        <v>74560</v>
      </c>
      <c r="N38" s="106">
        <f t="shared" si="8"/>
        <v>71395</v>
      </c>
      <c r="O38" s="106">
        <f t="shared" si="8"/>
        <v>71395</v>
      </c>
      <c r="P38" s="106">
        <f t="shared" si="8"/>
        <v>0</v>
      </c>
      <c r="Q38" s="106">
        <f t="shared" si="8"/>
        <v>0</v>
      </c>
      <c r="R38" s="106">
        <f t="shared" si="8"/>
        <v>71395</v>
      </c>
    </row>
    <row r="39" ht="17.25">
      <c r="V39" s="46"/>
    </row>
  </sheetData>
  <sheetProtection/>
  <mergeCells count="17">
    <mergeCell ref="H38:J38"/>
    <mergeCell ref="P5:R5"/>
    <mergeCell ref="H7:J7"/>
    <mergeCell ref="H8:J8"/>
    <mergeCell ref="H26:J26"/>
    <mergeCell ref="H33:J33"/>
    <mergeCell ref="H37:J37"/>
    <mergeCell ref="L5:L6"/>
    <mergeCell ref="K5:K6"/>
    <mergeCell ref="N5:N6"/>
    <mergeCell ref="A5:A6"/>
    <mergeCell ref="H5:J6"/>
    <mergeCell ref="M5:M6"/>
    <mergeCell ref="H1:R1"/>
    <mergeCell ref="H2:R2"/>
    <mergeCell ref="H3:R3"/>
    <mergeCell ref="O5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="60" zoomScaleNormal="75" zoomScalePageLayoutView="0" workbookViewId="0" topLeftCell="A1">
      <selection activeCell="P6" sqref="P6"/>
    </sheetView>
  </sheetViews>
  <sheetFormatPr defaultColWidth="9.28125" defaultRowHeight="15"/>
  <cols>
    <col min="1" max="1" width="4.421875" style="112" customWidth="1"/>
    <col min="2" max="7" width="9.28125" style="112" hidden="1" customWidth="1"/>
    <col min="8" max="8" width="3.57421875" style="112" bestFit="1" customWidth="1"/>
    <col min="9" max="9" width="4.421875" style="112" customWidth="1"/>
    <col min="10" max="10" width="48.140625" style="112" customWidth="1"/>
    <col min="11" max="11" width="13.28125" style="112" customWidth="1"/>
    <col min="12" max="12" width="11.8515625" style="112" customWidth="1"/>
    <col min="13" max="14" width="12.7109375" style="112" customWidth="1"/>
    <col min="15" max="15" width="11.8515625" style="112" customWidth="1"/>
    <col min="16" max="16" width="10.140625" style="112" customWidth="1"/>
    <col min="17" max="17" width="9.8515625" style="112" customWidth="1"/>
    <col min="18" max="18" width="12.7109375" style="112" customWidth="1"/>
    <col min="19" max="16384" width="9.28125" style="112" customWidth="1"/>
  </cols>
  <sheetData>
    <row r="1" spans="8:19" ht="17.25"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113"/>
    </row>
    <row r="2" spans="8:18" s="113" customFormat="1" ht="19.5" customHeight="1">
      <c r="H2" s="289" t="s">
        <v>200</v>
      </c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8:18" ht="17.25">
      <c r="H3" s="290" t="s">
        <v>256</v>
      </c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4" spans="8:18" ht="17.25" customHeight="1">
      <c r="H4" s="91"/>
      <c r="I4" s="91"/>
      <c r="J4" s="91"/>
      <c r="K4" s="91"/>
      <c r="L4" s="91"/>
      <c r="M4" s="91"/>
      <c r="N4" s="91"/>
      <c r="O4" s="91"/>
      <c r="P4" s="91" t="s">
        <v>32</v>
      </c>
      <c r="Q4" s="91"/>
      <c r="R4" s="235" t="s">
        <v>391</v>
      </c>
    </row>
    <row r="5" spans="1:18" s="46" customFormat="1" ht="14.25" customHeight="1">
      <c r="A5" s="319" t="s">
        <v>162</v>
      </c>
      <c r="H5" s="307" t="s">
        <v>210</v>
      </c>
      <c r="I5" s="307"/>
      <c r="J5" s="308"/>
      <c r="K5" s="296" t="s">
        <v>228</v>
      </c>
      <c r="L5" s="308" t="s">
        <v>385</v>
      </c>
      <c r="M5" s="308" t="s">
        <v>393</v>
      </c>
      <c r="N5" s="322" t="s">
        <v>408</v>
      </c>
      <c r="O5" s="322" t="s">
        <v>426</v>
      </c>
      <c r="P5" s="291" t="s">
        <v>427</v>
      </c>
      <c r="Q5" s="292"/>
      <c r="R5" s="293"/>
    </row>
    <row r="6" spans="1:18" s="46" customFormat="1" ht="48.75" customHeight="1">
      <c r="A6" s="320"/>
      <c r="H6" s="309"/>
      <c r="I6" s="309"/>
      <c r="J6" s="310"/>
      <c r="K6" s="297"/>
      <c r="L6" s="321"/>
      <c r="M6" s="321"/>
      <c r="N6" s="323"/>
      <c r="O6" s="323"/>
      <c r="P6" s="261" t="s">
        <v>86</v>
      </c>
      <c r="Q6" s="261" t="s">
        <v>87</v>
      </c>
      <c r="R6" s="261" t="s">
        <v>223</v>
      </c>
    </row>
    <row r="7" spans="1:18" s="46" customFormat="1" ht="17.25">
      <c r="A7" s="217"/>
      <c r="H7" s="291" t="s">
        <v>6</v>
      </c>
      <c r="I7" s="311"/>
      <c r="J7" s="312"/>
      <c r="K7" s="92" t="s">
        <v>7</v>
      </c>
      <c r="L7" s="92" t="s">
        <v>8</v>
      </c>
      <c r="M7" s="92" t="s">
        <v>357</v>
      </c>
      <c r="N7" s="92" t="s">
        <v>104</v>
      </c>
      <c r="O7" s="114" t="s">
        <v>229</v>
      </c>
      <c r="P7" s="92" t="s">
        <v>247</v>
      </c>
      <c r="Q7" s="92" t="s">
        <v>405</v>
      </c>
      <c r="R7" s="92" t="s">
        <v>424</v>
      </c>
    </row>
    <row r="8" spans="1:18" s="115" customFormat="1" ht="16.5">
      <c r="A8" s="216">
        <v>1</v>
      </c>
      <c r="H8" s="301" t="s">
        <v>88</v>
      </c>
      <c r="I8" s="302"/>
      <c r="J8" s="303"/>
      <c r="K8" s="106">
        <f>SUM(K9:K11)</f>
        <v>66921</v>
      </c>
      <c r="L8" s="106">
        <f>SUM(L9:L11)</f>
        <v>69538</v>
      </c>
      <c r="M8" s="106">
        <f>SUM(M9:M11)</f>
        <v>73742</v>
      </c>
      <c r="N8" s="106">
        <f>SUM(N9:N11)</f>
        <v>70816</v>
      </c>
      <c r="O8" s="106">
        <f>SUM(O9:O11)</f>
        <v>70816</v>
      </c>
      <c r="P8" s="106">
        <f>SUM(P9+P10+P11+P31+P32)</f>
        <v>0</v>
      </c>
      <c r="Q8" s="106">
        <f>SUM(Q9+Q10+Q11+Q31+Q32)</f>
        <v>0</v>
      </c>
      <c r="R8" s="106">
        <f>SUM(R9:R11)</f>
        <v>70816</v>
      </c>
    </row>
    <row r="9" spans="1:18" s="75" customFormat="1" ht="16.5">
      <c r="A9" s="216">
        <v>2</v>
      </c>
      <c r="H9" s="97" t="s">
        <v>89</v>
      </c>
      <c r="I9" s="103"/>
      <c r="J9" s="98" t="s">
        <v>90</v>
      </c>
      <c r="K9" s="99">
        <v>50315</v>
      </c>
      <c r="L9" s="99">
        <v>51414</v>
      </c>
      <c r="M9" s="99">
        <v>55054</v>
      </c>
      <c r="N9" s="99">
        <v>52550</v>
      </c>
      <c r="O9" s="99">
        <v>52550</v>
      </c>
      <c r="P9" s="116">
        <v>0</v>
      </c>
      <c r="Q9" s="99">
        <v>0</v>
      </c>
      <c r="R9" s="99">
        <v>52550</v>
      </c>
    </row>
    <row r="10" spans="1:18" s="75" customFormat="1" ht="16.5">
      <c r="A10" s="216">
        <v>3</v>
      </c>
      <c r="H10" s="97" t="s">
        <v>91</v>
      </c>
      <c r="I10" s="103"/>
      <c r="J10" s="98" t="s">
        <v>92</v>
      </c>
      <c r="K10" s="99">
        <v>9015</v>
      </c>
      <c r="L10" s="99">
        <v>8558</v>
      </c>
      <c r="M10" s="99">
        <v>9122</v>
      </c>
      <c r="N10" s="99">
        <v>8700</v>
      </c>
      <c r="O10" s="99">
        <v>8700</v>
      </c>
      <c r="P10" s="99">
        <v>0</v>
      </c>
      <c r="Q10" s="99">
        <v>0</v>
      </c>
      <c r="R10" s="99">
        <v>8700</v>
      </c>
    </row>
    <row r="11" spans="1:18" s="75" customFormat="1" ht="16.5">
      <c r="A11" s="216">
        <v>4</v>
      </c>
      <c r="H11" s="97" t="s">
        <v>93</v>
      </c>
      <c r="I11" s="103"/>
      <c r="J11" s="98" t="s">
        <v>94</v>
      </c>
      <c r="K11" s="99">
        <f aca="true" t="shared" si="0" ref="K11:R11">SUM(K12+K15+K18+K25+K27+K31+K32)</f>
        <v>7591</v>
      </c>
      <c r="L11" s="99">
        <f t="shared" si="0"/>
        <v>9566</v>
      </c>
      <c r="M11" s="99">
        <f t="shared" si="0"/>
        <v>9566</v>
      </c>
      <c r="N11" s="99">
        <f t="shared" si="0"/>
        <v>9566</v>
      </c>
      <c r="O11" s="99">
        <f t="shared" si="0"/>
        <v>9566</v>
      </c>
      <c r="P11" s="99">
        <f t="shared" si="0"/>
        <v>0</v>
      </c>
      <c r="Q11" s="99">
        <f t="shared" si="0"/>
        <v>0</v>
      </c>
      <c r="R11" s="99">
        <f t="shared" si="0"/>
        <v>9566</v>
      </c>
    </row>
    <row r="12" spans="1:18" s="75" customFormat="1" ht="16.5">
      <c r="A12" s="216">
        <v>5</v>
      </c>
      <c r="H12" s="103"/>
      <c r="I12" s="125" t="s">
        <v>108</v>
      </c>
      <c r="J12" s="100" t="s">
        <v>109</v>
      </c>
      <c r="K12" s="102">
        <f aca="true" t="shared" si="1" ref="K12:R12">SUM(K13+K14)</f>
        <v>1015</v>
      </c>
      <c r="L12" s="102">
        <f t="shared" si="1"/>
        <v>1015</v>
      </c>
      <c r="M12" s="102">
        <f t="shared" si="1"/>
        <v>1015</v>
      </c>
      <c r="N12" s="102">
        <f t="shared" si="1"/>
        <v>685</v>
      </c>
      <c r="O12" s="102">
        <f t="shared" si="1"/>
        <v>715</v>
      </c>
      <c r="P12" s="102">
        <f t="shared" si="1"/>
        <v>0</v>
      </c>
      <c r="Q12" s="102">
        <f t="shared" si="1"/>
        <v>0</v>
      </c>
      <c r="R12" s="102">
        <f t="shared" si="1"/>
        <v>715</v>
      </c>
    </row>
    <row r="13" spans="1:18" s="75" customFormat="1" ht="16.5">
      <c r="A13" s="216">
        <v>6</v>
      </c>
      <c r="H13" s="103"/>
      <c r="I13" s="117"/>
      <c r="J13" s="103" t="s">
        <v>110</v>
      </c>
      <c r="K13" s="104">
        <v>175</v>
      </c>
      <c r="L13" s="104">
        <v>175</v>
      </c>
      <c r="M13" s="104">
        <v>175</v>
      </c>
      <c r="N13" s="104">
        <v>175</v>
      </c>
      <c r="O13" s="104">
        <v>155</v>
      </c>
      <c r="P13" s="104">
        <v>0</v>
      </c>
      <c r="Q13" s="104">
        <v>0</v>
      </c>
      <c r="R13" s="104">
        <v>155</v>
      </c>
    </row>
    <row r="14" spans="1:18" s="75" customFormat="1" ht="16.5">
      <c r="A14" s="216">
        <v>7</v>
      </c>
      <c r="H14" s="103"/>
      <c r="I14" s="117"/>
      <c r="J14" s="103" t="s">
        <v>111</v>
      </c>
      <c r="K14" s="104">
        <v>840</v>
      </c>
      <c r="L14" s="104">
        <v>840</v>
      </c>
      <c r="M14" s="104">
        <v>840</v>
      </c>
      <c r="N14" s="104">
        <v>510</v>
      </c>
      <c r="O14" s="104">
        <v>560</v>
      </c>
      <c r="P14" s="104">
        <v>0</v>
      </c>
      <c r="Q14" s="104">
        <v>0</v>
      </c>
      <c r="R14" s="104">
        <v>560</v>
      </c>
    </row>
    <row r="15" spans="1:18" s="75" customFormat="1" ht="16.5">
      <c r="A15" s="216">
        <v>8</v>
      </c>
      <c r="H15" s="103"/>
      <c r="I15" s="101" t="s">
        <v>112</v>
      </c>
      <c r="J15" s="100" t="s">
        <v>113</v>
      </c>
      <c r="K15" s="102">
        <f aca="true" t="shared" si="2" ref="K15:R15">SUM(K16+K17)</f>
        <v>930</v>
      </c>
      <c r="L15" s="102">
        <f t="shared" si="2"/>
        <v>930</v>
      </c>
      <c r="M15" s="102">
        <f t="shared" si="2"/>
        <v>930</v>
      </c>
      <c r="N15" s="102">
        <f t="shared" si="2"/>
        <v>1500</v>
      </c>
      <c r="O15" s="102">
        <f t="shared" si="2"/>
        <v>1611</v>
      </c>
      <c r="P15" s="102">
        <f t="shared" si="2"/>
        <v>0</v>
      </c>
      <c r="Q15" s="102">
        <f t="shared" si="2"/>
        <v>0</v>
      </c>
      <c r="R15" s="102">
        <f t="shared" si="2"/>
        <v>1611</v>
      </c>
    </row>
    <row r="16" spans="1:18" s="75" customFormat="1" ht="16.5">
      <c r="A16" s="216">
        <v>9</v>
      </c>
      <c r="H16" s="103"/>
      <c r="I16" s="118"/>
      <c r="J16" s="103" t="s">
        <v>114</v>
      </c>
      <c r="K16" s="104">
        <v>580</v>
      </c>
      <c r="L16" s="104">
        <v>580</v>
      </c>
      <c r="M16" s="104">
        <v>580</v>
      </c>
      <c r="N16" s="104">
        <v>1200</v>
      </c>
      <c r="O16" s="104">
        <v>1341</v>
      </c>
      <c r="P16" s="104">
        <v>0</v>
      </c>
      <c r="Q16" s="104">
        <v>0</v>
      </c>
      <c r="R16" s="104">
        <v>1341</v>
      </c>
    </row>
    <row r="17" spans="1:18" s="75" customFormat="1" ht="16.5">
      <c r="A17" s="216">
        <v>10</v>
      </c>
      <c r="H17" s="103"/>
      <c r="I17" s="118"/>
      <c r="J17" s="103" t="s">
        <v>115</v>
      </c>
      <c r="K17" s="104">
        <v>350</v>
      </c>
      <c r="L17" s="104">
        <v>350</v>
      </c>
      <c r="M17" s="104">
        <v>350</v>
      </c>
      <c r="N17" s="104">
        <v>300</v>
      </c>
      <c r="O17" s="104">
        <v>270</v>
      </c>
      <c r="P17" s="104">
        <v>0</v>
      </c>
      <c r="Q17" s="104">
        <v>0</v>
      </c>
      <c r="R17" s="104">
        <v>270</v>
      </c>
    </row>
    <row r="18" spans="1:18" s="75" customFormat="1" ht="16.5">
      <c r="A18" s="216">
        <v>11</v>
      </c>
      <c r="H18" s="103"/>
      <c r="I18" s="101" t="s">
        <v>116</v>
      </c>
      <c r="J18" s="100" t="s">
        <v>117</v>
      </c>
      <c r="K18" s="102">
        <f aca="true" t="shared" si="3" ref="K18:R18">SUM(K19:K24)</f>
        <v>4141</v>
      </c>
      <c r="L18" s="102">
        <f t="shared" si="3"/>
        <v>5710</v>
      </c>
      <c r="M18" s="102">
        <f t="shared" si="3"/>
        <v>5710</v>
      </c>
      <c r="N18" s="102">
        <f t="shared" si="3"/>
        <v>5670</v>
      </c>
      <c r="O18" s="102">
        <f t="shared" si="3"/>
        <v>5529</v>
      </c>
      <c r="P18" s="102">
        <f t="shared" si="3"/>
        <v>0</v>
      </c>
      <c r="Q18" s="102">
        <f t="shared" si="3"/>
        <v>0</v>
      </c>
      <c r="R18" s="102">
        <f t="shared" si="3"/>
        <v>5529</v>
      </c>
    </row>
    <row r="19" spans="1:18" s="75" customFormat="1" ht="16.5">
      <c r="A19" s="216">
        <v>12</v>
      </c>
      <c r="H19" s="103"/>
      <c r="I19" s="118"/>
      <c r="J19" s="103" t="s">
        <v>118</v>
      </c>
      <c r="K19" s="104">
        <v>880</v>
      </c>
      <c r="L19" s="104">
        <v>1900</v>
      </c>
      <c r="M19" s="104">
        <v>1900</v>
      </c>
      <c r="N19" s="104">
        <v>1900</v>
      </c>
      <c r="O19" s="104">
        <v>1900</v>
      </c>
      <c r="P19" s="104">
        <v>0</v>
      </c>
      <c r="Q19" s="104">
        <v>0</v>
      </c>
      <c r="R19" s="104">
        <v>1900</v>
      </c>
    </row>
    <row r="20" spans="1:18" s="75" customFormat="1" ht="16.5">
      <c r="A20" s="216">
        <v>13</v>
      </c>
      <c r="H20" s="103"/>
      <c r="I20" s="118"/>
      <c r="J20" s="103" t="s">
        <v>119</v>
      </c>
      <c r="K20" s="104">
        <v>250</v>
      </c>
      <c r="L20" s="104">
        <v>350</v>
      </c>
      <c r="M20" s="104">
        <v>350</v>
      </c>
      <c r="N20" s="104">
        <v>350</v>
      </c>
      <c r="O20" s="104">
        <v>270</v>
      </c>
      <c r="P20" s="104">
        <v>0</v>
      </c>
      <c r="Q20" s="104">
        <v>0</v>
      </c>
      <c r="R20" s="104">
        <v>270</v>
      </c>
    </row>
    <row r="21" spans="1:18" s="75" customFormat="1" ht="16.5">
      <c r="A21" s="216">
        <v>14</v>
      </c>
      <c r="H21" s="103"/>
      <c r="I21" s="118"/>
      <c r="J21" s="103" t="s">
        <v>120</v>
      </c>
      <c r="K21" s="104">
        <v>1000</v>
      </c>
      <c r="L21" s="104">
        <v>1000</v>
      </c>
      <c r="M21" s="104">
        <v>1000</v>
      </c>
      <c r="N21" s="104">
        <v>1000</v>
      </c>
      <c r="O21" s="104">
        <v>939</v>
      </c>
      <c r="P21" s="104">
        <v>0</v>
      </c>
      <c r="Q21" s="104">
        <v>0</v>
      </c>
      <c r="R21" s="104">
        <v>939</v>
      </c>
    </row>
    <row r="22" spans="1:18" s="75" customFormat="1" ht="16.5">
      <c r="A22" s="216">
        <v>15</v>
      </c>
      <c r="H22" s="103"/>
      <c r="I22" s="118"/>
      <c r="J22" s="103" t="s">
        <v>121</v>
      </c>
      <c r="K22" s="104">
        <v>80</v>
      </c>
      <c r="L22" s="104">
        <v>80</v>
      </c>
      <c r="M22" s="104">
        <v>80</v>
      </c>
      <c r="N22" s="104">
        <v>40</v>
      </c>
      <c r="O22" s="104">
        <v>40</v>
      </c>
      <c r="P22" s="104">
        <v>0</v>
      </c>
      <c r="Q22" s="104">
        <v>0</v>
      </c>
      <c r="R22" s="104">
        <v>40</v>
      </c>
    </row>
    <row r="23" spans="1:18" s="75" customFormat="1" ht="16.5">
      <c r="A23" s="216">
        <v>16</v>
      </c>
      <c r="H23" s="103"/>
      <c r="I23" s="118"/>
      <c r="J23" s="103" t="s">
        <v>123</v>
      </c>
      <c r="K23" s="104">
        <v>1034</v>
      </c>
      <c r="L23" s="104">
        <v>1483</v>
      </c>
      <c r="M23" s="104">
        <v>1483</v>
      </c>
      <c r="N23" s="104">
        <v>1483</v>
      </c>
      <c r="O23" s="104">
        <v>1483</v>
      </c>
      <c r="P23" s="104">
        <v>0</v>
      </c>
      <c r="Q23" s="104">
        <v>0</v>
      </c>
      <c r="R23" s="104">
        <v>1483</v>
      </c>
    </row>
    <row r="24" spans="1:18" s="75" customFormat="1" ht="16.5">
      <c r="A24" s="216">
        <v>17</v>
      </c>
      <c r="H24" s="103"/>
      <c r="I24" s="118"/>
      <c r="J24" s="103" t="s">
        <v>124</v>
      </c>
      <c r="K24" s="104">
        <v>897</v>
      </c>
      <c r="L24" s="104">
        <v>897</v>
      </c>
      <c r="M24" s="104">
        <v>897</v>
      </c>
      <c r="N24" s="104">
        <v>897</v>
      </c>
      <c r="O24" s="104">
        <v>897</v>
      </c>
      <c r="P24" s="104">
        <v>0</v>
      </c>
      <c r="Q24" s="104">
        <v>0</v>
      </c>
      <c r="R24" s="104">
        <v>897</v>
      </c>
    </row>
    <row r="25" spans="1:18" s="75" customFormat="1" ht="16.5">
      <c r="A25" s="216">
        <v>18</v>
      </c>
      <c r="H25" s="103"/>
      <c r="I25" s="101" t="s">
        <v>125</v>
      </c>
      <c r="J25" s="100" t="s">
        <v>126</v>
      </c>
      <c r="K25" s="102">
        <f>SUM(K26)</f>
        <v>300</v>
      </c>
      <c r="L25" s="102">
        <f>SUM(L26)</f>
        <v>300</v>
      </c>
      <c r="M25" s="102">
        <f>SUM(M26)</f>
        <v>300</v>
      </c>
      <c r="N25" s="102">
        <f>SUM(N26)</f>
        <v>100</v>
      </c>
      <c r="O25" s="102">
        <f>SUM(O26)</f>
        <v>100</v>
      </c>
      <c r="P25" s="102">
        <v>0</v>
      </c>
      <c r="Q25" s="102">
        <v>0</v>
      </c>
      <c r="R25" s="102">
        <f>SUM(R26)</f>
        <v>100</v>
      </c>
    </row>
    <row r="26" spans="1:18" s="75" customFormat="1" ht="16.5">
      <c r="A26" s="216">
        <v>19</v>
      </c>
      <c r="H26" s="103"/>
      <c r="I26" s="118"/>
      <c r="J26" s="103" t="s">
        <v>127</v>
      </c>
      <c r="K26" s="104">
        <v>300</v>
      </c>
      <c r="L26" s="104">
        <v>300</v>
      </c>
      <c r="M26" s="104">
        <v>300</v>
      </c>
      <c r="N26" s="104">
        <v>100</v>
      </c>
      <c r="O26" s="104">
        <v>100</v>
      </c>
      <c r="P26" s="104">
        <v>0</v>
      </c>
      <c r="Q26" s="104">
        <v>0</v>
      </c>
      <c r="R26" s="104">
        <v>100</v>
      </c>
    </row>
    <row r="27" spans="1:18" s="75" customFormat="1" ht="16.5">
      <c r="A27" s="216">
        <v>20</v>
      </c>
      <c r="H27" s="103"/>
      <c r="I27" s="101" t="s">
        <v>128</v>
      </c>
      <c r="J27" s="100" t="s">
        <v>129</v>
      </c>
      <c r="K27" s="102">
        <f aca="true" t="shared" si="4" ref="K27:R27">SUM(K28:K30)</f>
        <v>1205</v>
      </c>
      <c r="L27" s="102">
        <f t="shared" si="4"/>
        <v>1611</v>
      </c>
      <c r="M27" s="102">
        <f t="shared" si="4"/>
        <v>1611</v>
      </c>
      <c r="N27" s="102">
        <f t="shared" si="4"/>
        <v>1611</v>
      </c>
      <c r="O27" s="102">
        <f t="shared" si="4"/>
        <v>1611</v>
      </c>
      <c r="P27" s="102">
        <f t="shared" si="4"/>
        <v>0</v>
      </c>
      <c r="Q27" s="102">
        <f t="shared" si="4"/>
        <v>0</v>
      </c>
      <c r="R27" s="102">
        <f t="shared" si="4"/>
        <v>1611</v>
      </c>
    </row>
    <row r="28" spans="1:18" s="75" customFormat="1" ht="16.5">
      <c r="A28" s="216">
        <v>21</v>
      </c>
      <c r="H28" s="103"/>
      <c r="I28" s="118"/>
      <c r="J28" s="103" t="s">
        <v>130</v>
      </c>
      <c r="K28" s="104">
        <v>1195</v>
      </c>
      <c r="L28" s="104">
        <v>1601</v>
      </c>
      <c r="M28" s="104">
        <v>1601</v>
      </c>
      <c r="N28" s="104">
        <v>1601</v>
      </c>
      <c r="O28" s="104">
        <v>1601</v>
      </c>
      <c r="P28" s="104">
        <v>0</v>
      </c>
      <c r="Q28" s="104">
        <v>0</v>
      </c>
      <c r="R28" s="104">
        <v>1601</v>
      </c>
    </row>
    <row r="29" spans="1:18" s="75" customFormat="1" ht="16.5">
      <c r="A29" s="216">
        <v>22</v>
      </c>
      <c r="H29" s="103"/>
      <c r="I29" s="118"/>
      <c r="J29" s="103" t="s">
        <v>131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</row>
    <row r="30" spans="1:18" s="75" customFormat="1" ht="16.5">
      <c r="A30" s="216">
        <v>23</v>
      </c>
      <c r="H30" s="103"/>
      <c r="I30" s="118"/>
      <c r="J30" s="103" t="s">
        <v>132</v>
      </c>
      <c r="K30" s="104">
        <v>10</v>
      </c>
      <c r="L30" s="104">
        <v>10</v>
      </c>
      <c r="M30" s="104">
        <v>10</v>
      </c>
      <c r="N30" s="104">
        <v>10</v>
      </c>
      <c r="O30" s="104">
        <v>10</v>
      </c>
      <c r="P30" s="104">
        <v>0</v>
      </c>
      <c r="Q30" s="104">
        <v>0</v>
      </c>
      <c r="R30" s="104">
        <v>10</v>
      </c>
    </row>
    <row r="31" spans="1:18" s="75" customFormat="1" ht="16.5">
      <c r="A31" s="216">
        <v>24</v>
      </c>
      <c r="H31" s="97" t="s">
        <v>95</v>
      </c>
      <c r="I31" s="98"/>
      <c r="J31" s="98" t="s">
        <v>97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</row>
    <row r="32" spans="1:18" s="75" customFormat="1" ht="16.5">
      <c r="A32" s="216">
        <v>25</v>
      </c>
      <c r="H32" s="97" t="s">
        <v>96</v>
      </c>
      <c r="I32" s="97"/>
      <c r="J32" s="98" t="s">
        <v>141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</row>
    <row r="33" spans="1:18" s="115" customFormat="1" ht="19.5" customHeight="1">
      <c r="A33" s="216">
        <v>26</v>
      </c>
      <c r="H33" s="93" t="s">
        <v>98</v>
      </c>
      <c r="I33" s="94"/>
      <c r="J33" s="95"/>
      <c r="K33" s="106">
        <f aca="true" t="shared" si="5" ref="K33:R33">SUM(K34:K36)</f>
        <v>279</v>
      </c>
      <c r="L33" s="106">
        <f t="shared" si="5"/>
        <v>818</v>
      </c>
      <c r="M33" s="106">
        <f t="shared" si="5"/>
        <v>818</v>
      </c>
      <c r="N33" s="106">
        <f t="shared" si="5"/>
        <v>579</v>
      </c>
      <c r="O33" s="106">
        <f t="shared" si="5"/>
        <v>579</v>
      </c>
      <c r="P33" s="106">
        <f t="shared" si="5"/>
        <v>0</v>
      </c>
      <c r="Q33" s="106">
        <f t="shared" si="5"/>
        <v>0</v>
      </c>
      <c r="R33" s="106">
        <f t="shared" si="5"/>
        <v>579</v>
      </c>
    </row>
    <row r="34" spans="1:18" s="119" customFormat="1" ht="16.5">
      <c r="A34" s="216">
        <v>27</v>
      </c>
      <c r="H34" s="97" t="s">
        <v>89</v>
      </c>
      <c r="I34" s="98"/>
      <c r="J34" s="98" t="s">
        <v>150</v>
      </c>
      <c r="K34" s="99">
        <v>279</v>
      </c>
      <c r="L34" s="99">
        <f>627+191</f>
        <v>818</v>
      </c>
      <c r="M34" s="99">
        <v>818</v>
      </c>
      <c r="N34" s="99">
        <v>579</v>
      </c>
      <c r="O34" s="99">
        <v>579</v>
      </c>
      <c r="P34" s="99">
        <v>0</v>
      </c>
      <c r="Q34" s="99">
        <v>0</v>
      </c>
      <c r="R34" s="99">
        <v>579</v>
      </c>
    </row>
    <row r="35" spans="1:18" s="119" customFormat="1" ht="16.5">
      <c r="A35" s="216">
        <v>28</v>
      </c>
      <c r="H35" s="97" t="s">
        <v>91</v>
      </c>
      <c r="I35" s="98"/>
      <c r="J35" s="98" t="s">
        <v>151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</row>
    <row r="36" spans="1:18" s="119" customFormat="1" ht="16.5">
      <c r="A36" s="216">
        <v>29</v>
      </c>
      <c r="H36" s="97" t="s">
        <v>93</v>
      </c>
      <c r="I36" s="98"/>
      <c r="J36" s="98" t="s">
        <v>152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</row>
    <row r="37" spans="1:18" s="120" customFormat="1" ht="19.5" customHeight="1">
      <c r="A37" s="216">
        <v>30</v>
      </c>
      <c r="H37" s="298" t="s">
        <v>163</v>
      </c>
      <c r="I37" s="299"/>
      <c r="J37" s="315"/>
      <c r="K37" s="106">
        <f aca="true" t="shared" si="6" ref="K37:R37">SUM(K8,K33,)</f>
        <v>67200</v>
      </c>
      <c r="L37" s="106">
        <f t="shared" si="6"/>
        <v>70356</v>
      </c>
      <c r="M37" s="106">
        <f t="shared" si="6"/>
        <v>74560</v>
      </c>
      <c r="N37" s="106">
        <f t="shared" si="6"/>
        <v>71395</v>
      </c>
      <c r="O37" s="106">
        <f t="shared" si="6"/>
        <v>71395</v>
      </c>
      <c r="P37" s="106">
        <f t="shared" si="6"/>
        <v>0</v>
      </c>
      <c r="Q37" s="106">
        <f t="shared" si="6"/>
        <v>0</v>
      </c>
      <c r="R37" s="106">
        <f t="shared" si="6"/>
        <v>71395</v>
      </c>
    </row>
    <row r="38" spans="1:18" s="120" customFormat="1" ht="16.5">
      <c r="A38" s="216">
        <v>31</v>
      </c>
      <c r="H38" s="93" t="s">
        <v>160</v>
      </c>
      <c r="I38" s="94"/>
      <c r="J38" s="95"/>
      <c r="K38" s="106"/>
      <c r="L38" s="106"/>
      <c r="M38" s="106"/>
      <c r="N38" s="106"/>
      <c r="O38" s="106"/>
      <c r="P38" s="106"/>
      <c r="Q38" s="106"/>
      <c r="R38" s="106"/>
    </row>
    <row r="39" spans="1:18" s="119" customFormat="1" ht="16.5">
      <c r="A39" s="216">
        <v>32</v>
      </c>
      <c r="H39" s="108" t="s">
        <v>89</v>
      </c>
      <c r="I39" s="109"/>
      <c r="J39" s="110" t="s">
        <v>161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</row>
    <row r="40" spans="1:18" s="120" customFormat="1" ht="16.5">
      <c r="A40" s="216">
        <v>33</v>
      </c>
      <c r="H40" s="298" t="s">
        <v>164</v>
      </c>
      <c r="I40" s="299"/>
      <c r="J40" s="300"/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</row>
    <row r="41" spans="1:18" s="120" customFormat="1" ht="18.75" customHeight="1">
      <c r="A41" s="216">
        <v>34</v>
      </c>
      <c r="H41" s="298" t="s">
        <v>165</v>
      </c>
      <c r="I41" s="299"/>
      <c r="J41" s="300"/>
      <c r="K41" s="106">
        <f aca="true" t="shared" si="7" ref="K41:R41">SUM(K37+K40)</f>
        <v>67200</v>
      </c>
      <c r="L41" s="106">
        <f t="shared" si="7"/>
        <v>70356</v>
      </c>
      <c r="M41" s="106">
        <f t="shared" si="7"/>
        <v>74560</v>
      </c>
      <c r="N41" s="106">
        <f t="shared" si="7"/>
        <v>71395</v>
      </c>
      <c r="O41" s="106">
        <f t="shared" si="7"/>
        <v>71395</v>
      </c>
      <c r="P41" s="106">
        <f t="shared" si="7"/>
        <v>0</v>
      </c>
      <c r="Q41" s="106">
        <f t="shared" si="7"/>
        <v>0</v>
      </c>
      <c r="R41" s="106">
        <f t="shared" si="7"/>
        <v>71395</v>
      </c>
    </row>
    <row r="42" ht="17.25">
      <c r="V42" s="46"/>
    </row>
  </sheetData>
  <sheetProtection/>
  <mergeCells count="16">
    <mergeCell ref="H40:J40"/>
    <mergeCell ref="H41:J41"/>
    <mergeCell ref="H1:R1"/>
    <mergeCell ref="H2:R2"/>
    <mergeCell ref="H3:R3"/>
    <mergeCell ref="K5:K6"/>
    <mergeCell ref="A5:A6"/>
    <mergeCell ref="H5:J6"/>
    <mergeCell ref="P5:R5"/>
    <mergeCell ref="H7:J7"/>
    <mergeCell ref="H8:J8"/>
    <mergeCell ref="H37:J37"/>
    <mergeCell ref="L5:L6"/>
    <mergeCell ref="M5:M6"/>
    <mergeCell ref="O5:O6"/>
    <mergeCell ref="N5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4">
      <selection activeCell="G7" sqref="G7"/>
    </sheetView>
  </sheetViews>
  <sheetFormatPr defaultColWidth="9.140625" defaultRowHeight="15"/>
  <cols>
    <col min="1" max="1" width="6.7109375" style="0" customWidth="1"/>
    <col min="2" max="2" width="50.7109375" style="0" customWidth="1"/>
    <col min="3" max="5" width="15.28125" style="0" customWidth="1"/>
    <col min="6" max="6" width="15.140625" style="0" customWidth="1"/>
    <col min="7" max="7" width="16.140625" style="0" customWidth="1"/>
  </cols>
  <sheetData>
    <row r="1" ht="19.5" customHeight="1">
      <c r="A1" s="45"/>
    </row>
    <row r="2" ht="38.25" customHeight="1"/>
    <row r="3" spans="1:7" s="54" customFormat="1" ht="74.25" customHeight="1">
      <c r="A3" s="324" t="s">
        <v>259</v>
      </c>
      <c r="B3" s="324"/>
      <c r="C3" s="324"/>
      <c r="D3" s="325"/>
      <c r="E3" s="325"/>
      <c r="F3" s="325"/>
      <c r="G3" s="287"/>
    </row>
    <row r="4" spans="1:7" ht="24.75" customHeight="1" thickBot="1">
      <c r="A4" s="140"/>
      <c r="B4" s="141"/>
      <c r="C4" s="139"/>
      <c r="D4" s="139" t="s">
        <v>32</v>
      </c>
      <c r="E4" s="139"/>
      <c r="F4" s="239"/>
      <c r="G4" s="239" t="s">
        <v>258</v>
      </c>
    </row>
    <row r="5" spans="1:7" s="54" customFormat="1" ht="61.5" customHeight="1">
      <c r="A5" s="129" t="s">
        <v>162</v>
      </c>
      <c r="B5" s="130" t="s">
        <v>201</v>
      </c>
      <c r="C5" s="242" t="s">
        <v>257</v>
      </c>
      <c r="D5" s="242" t="s">
        <v>385</v>
      </c>
      <c r="E5" s="130" t="s">
        <v>393</v>
      </c>
      <c r="F5" s="130" t="s">
        <v>408</v>
      </c>
      <c r="G5" s="274" t="s">
        <v>426</v>
      </c>
    </row>
    <row r="6" spans="1:7" ht="15" customHeight="1">
      <c r="A6" s="131"/>
      <c r="B6" s="126" t="s">
        <v>6</v>
      </c>
      <c r="C6" s="114" t="s">
        <v>7</v>
      </c>
      <c r="D6" s="114" t="s">
        <v>8</v>
      </c>
      <c r="E6" s="114" t="s">
        <v>357</v>
      </c>
      <c r="F6" s="92" t="s">
        <v>104</v>
      </c>
      <c r="G6" s="275" t="s">
        <v>229</v>
      </c>
    </row>
    <row r="7" spans="1:7" s="45" customFormat="1" ht="15" customHeight="1">
      <c r="A7" s="132">
        <v>1</v>
      </c>
      <c r="B7" s="104" t="s">
        <v>201</v>
      </c>
      <c r="C7" s="243">
        <v>3000</v>
      </c>
      <c r="D7" s="243">
        <f>3000+1914+301+1200+2143</f>
        <v>8558</v>
      </c>
      <c r="E7" s="243">
        <v>18861</v>
      </c>
      <c r="F7" s="281">
        <f>17616-1682</f>
        <v>15934</v>
      </c>
      <c r="G7" s="276">
        <f>17616-1682+2894</f>
        <v>18828</v>
      </c>
    </row>
    <row r="8" spans="1:7" s="45" customFormat="1" ht="15" customHeight="1">
      <c r="A8" s="132">
        <v>2</v>
      </c>
      <c r="B8" s="106" t="s">
        <v>202</v>
      </c>
      <c r="C8" s="240">
        <f>SUM(C7)</f>
        <v>3000</v>
      </c>
      <c r="D8" s="240">
        <f>SUM(D7)</f>
        <v>8558</v>
      </c>
      <c r="E8" s="240">
        <f>SUM(E7)</f>
        <v>18861</v>
      </c>
      <c r="F8" s="282">
        <f>SUM(F7)</f>
        <v>15934</v>
      </c>
      <c r="G8" s="277">
        <f>SUM(G7)</f>
        <v>18828</v>
      </c>
    </row>
    <row r="9" spans="1:7" s="45" customFormat="1" ht="15" customHeight="1">
      <c r="A9" s="132">
        <v>3</v>
      </c>
      <c r="B9" s="127" t="s">
        <v>267</v>
      </c>
      <c r="C9" s="244">
        <v>531</v>
      </c>
      <c r="D9" s="244">
        <v>531</v>
      </c>
      <c r="E9" s="244">
        <v>531</v>
      </c>
      <c r="F9" s="283">
        <v>531</v>
      </c>
      <c r="G9" s="278">
        <v>531</v>
      </c>
    </row>
    <row r="10" spans="1:7" s="45" customFormat="1" ht="15" customHeight="1">
      <c r="A10" s="132">
        <v>4</v>
      </c>
      <c r="B10" s="127" t="s">
        <v>268</v>
      </c>
      <c r="C10" s="238">
        <v>750</v>
      </c>
      <c r="D10" s="238">
        <v>750</v>
      </c>
      <c r="E10" s="238">
        <v>750</v>
      </c>
      <c r="F10" s="284">
        <v>750</v>
      </c>
      <c r="G10" s="279">
        <v>750</v>
      </c>
    </row>
    <row r="11" spans="1:7" s="45" customFormat="1" ht="15" customHeight="1">
      <c r="A11" s="132">
        <v>5</v>
      </c>
      <c r="B11" s="127" t="s">
        <v>269</v>
      </c>
      <c r="C11" s="238">
        <v>479</v>
      </c>
      <c r="D11" s="238">
        <v>0</v>
      </c>
      <c r="E11" s="238">
        <v>0</v>
      </c>
      <c r="F11" s="284">
        <v>0</v>
      </c>
      <c r="G11" s="279">
        <v>0</v>
      </c>
    </row>
    <row r="12" spans="1:7" ht="15" customHeight="1">
      <c r="A12" s="132">
        <v>6</v>
      </c>
      <c r="B12" s="128" t="s">
        <v>203</v>
      </c>
      <c r="C12" s="240">
        <f>SUM(C9:C11)</f>
        <v>1760</v>
      </c>
      <c r="D12" s="240">
        <f>SUM(D9:D11)</f>
        <v>1281</v>
      </c>
      <c r="E12" s="240">
        <f>SUM(E9:E11)</f>
        <v>1281</v>
      </c>
      <c r="F12" s="282">
        <f>SUM(F9:F11)</f>
        <v>1281</v>
      </c>
      <c r="G12" s="277">
        <f>SUM(G9:G11)</f>
        <v>1281</v>
      </c>
    </row>
    <row r="13" spans="1:7" s="56" customFormat="1" ht="15" customHeight="1" thickBot="1">
      <c r="A13" s="133">
        <v>7</v>
      </c>
      <c r="B13" s="134" t="s">
        <v>204</v>
      </c>
      <c r="C13" s="241">
        <f>SUM(C8+C12)</f>
        <v>4760</v>
      </c>
      <c r="D13" s="241">
        <f>SUM(D8+D12)</f>
        <v>9839</v>
      </c>
      <c r="E13" s="241">
        <f>SUM(E8+E12)</f>
        <v>20142</v>
      </c>
      <c r="F13" s="285">
        <f>SUM(F8+F12)</f>
        <v>17215</v>
      </c>
      <c r="G13" s="280">
        <f>SUM(G8+G12)</f>
        <v>20109</v>
      </c>
    </row>
    <row r="15" spans="4:7" ht="14.25">
      <c r="D15" s="55"/>
      <c r="E15" s="55"/>
      <c r="F15" s="55"/>
      <c r="G15" s="55"/>
    </row>
  </sheetData>
  <sheetProtection/>
  <mergeCells count="1"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F67"/>
  <sheetViews>
    <sheetView zoomScalePageLayoutView="0" workbookViewId="0" topLeftCell="A1">
      <selection activeCell="F8" sqref="F8"/>
    </sheetView>
  </sheetViews>
  <sheetFormatPr defaultColWidth="9.28125" defaultRowHeight="15"/>
  <cols>
    <col min="1" max="1" width="7.28125" style="57" customWidth="1"/>
    <col min="2" max="2" width="51.28125" style="58" customWidth="1"/>
    <col min="3" max="3" width="18.00390625" style="58" customWidth="1"/>
    <col min="4" max="4" width="18.140625" style="58" customWidth="1"/>
    <col min="5" max="5" width="16.00390625" style="58" customWidth="1"/>
    <col min="6" max="6" width="16.28125" style="58" customWidth="1"/>
    <col min="7" max="7" width="11.7109375" style="57" customWidth="1"/>
    <col min="8" max="16384" width="9.28125" style="57" customWidth="1"/>
  </cols>
  <sheetData>
    <row r="3" spans="1:6" ht="20.25" customHeight="1">
      <c r="A3" s="330" t="s">
        <v>260</v>
      </c>
      <c r="B3" s="331"/>
      <c r="C3" s="331"/>
      <c r="D3" s="331"/>
      <c r="E3" s="331"/>
      <c r="F3" s="331"/>
    </row>
    <row r="5" spans="1:6" ht="26.25" customHeight="1" thickBot="1">
      <c r="A5" s="58"/>
      <c r="B5" s="59"/>
      <c r="C5" s="237"/>
      <c r="D5" s="237" t="s">
        <v>392</v>
      </c>
      <c r="E5" s="237"/>
      <c r="F5" s="236" t="s">
        <v>261</v>
      </c>
    </row>
    <row r="6" spans="1:6" s="63" customFormat="1" ht="49.5" customHeight="1" thickBot="1">
      <c r="A6" s="60" t="s">
        <v>162</v>
      </c>
      <c r="B6" s="61" t="s">
        <v>208</v>
      </c>
      <c r="C6" s="62" t="s">
        <v>262</v>
      </c>
      <c r="D6" s="62" t="s">
        <v>230</v>
      </c>
      <c r="E6" s="62" t="s">
        <v>400</v>
      </c>
      <c r="F6" s="62" t="s">
        <v>410</v>
      </c>
    </row>
    <row r="7" spans="1:6" s="65" customFormat="1" ht="18" customHeight="1" thickBot="1">
      <c r="A7" s="74"/>
      <c r="B7" s="61" t="s">
        <v>6</v>
      </c>
      <c r="C7" s="64" t="s">
        <v>7</v>
      </c>
      <c r="D7" s="64" t="s">
        <v>8</v>
      </c>
      <c r="E7" s="64" t="s">
        <v>357</v>
      </c>
      <c r="F7" s="64" t="s">
        <v>104</v>
      </c>
    </row>
    <row r="8" spans="1:6" s="65" customFormat="1" ht="18" customHeight="1">
      <c r="A8" s="326" t="s">
        <v>217</v>
      </c>
      <c r="B8" s="327"/>
      <c r="C8" s="80">
        <f>C9+C29+C36+C51</f>
        <v>137553</v>
      </c>
      <c r="D8" s="80">
        <f>SUM(D9+D29+D36+D51)</f>
        <v>159249</v>
      </c>
      <c r="E8" s="80">
        <f>SUM(E9+E29+E36+E51)</f>
        <v>242449</v>
      </c>
      <c r="F8" s="80">
        <f>SUM(F9+F29+F36+F51)</f>
        <v>250457</v>
      </c>
    </row>
    <row r="9" spans="1:6" s="65" customFormat="1" ht="18" customHeight="1">
      <c r="A9" s="83">
        <v>1</v>
      </c>
      <c r="B9" s="66" t="s">
        <v>205</v>
      </c>
      <c r="C9" s="81">
        <f>SUM(C10:C28)</f>
        <v>88650</v>
      </c>
      <c r="D9" s="81">
        <f>SUM(D10:D28)</f>
        <v>97813</v>
      </c>
      <c r="E9" s="81">
        <f>SUM(E10:E28)</f>
        <v>164388</v>
      </c>
      <c r="F9" s="81">
        <f>SUM(F10:F28)</f>
        <v>165414</v>
      </c>
    </row>
    <row r="10" spans="1:6" s="266" customFormat="1" ht="18" customHeight="1">
      <c r="A10" s="262">
        <v>2</v>
      </c>
      <c r="B10" s="263" t="s">
        <v>270</v>
      </c>
      <c r="C10" s="264">
        <v>41208</v>
      </c>
      <c r="D10" s="265">
        <f>43711+437</f>
        <v>44148</v>
      </c>
      <c r="E10" s="265">
        <f>43711+437</f>
        <v>44148</v>
      </c>
      <c r="F10" s="265">
        <v>44148</v>
      </c>
    </row>
    <row r="11" spans="1:6" s="271" customFormat="1" ht="15.75" customHeight="1">
      <c r="A11" s="267">
        <v>3</v>
      </c>
      <c r="B11" s="268" t="s">
        <v>271</v>
      </c>
      <c r="C11" s="269">
        <v>3931</v>
      </c>
      <c r="D11" s="270">
        <v>3930</v>
      </c>
      <c r="E11" s="270">
        <v>3930</v>
      </c>
      <c r="F11" s="270">
        <v>3930</v>
      </c>
    </row>
    <row r="12" spans="1:6" s="271" customFormat="1" ht="15.75" customHeight="1">
      <c r="A12" s="262">
        <v>4</v>
      </c>
      <c r="B12" s="263" t="s">
        <v>272</v>
      </c>
      <c r="C12" s="272">
        <v>16849</v>
      </c>
      <c r="D12" s="273">
        <v>17001</v>
      </c>
      <c r="E12" s="273">
        <v>17001</v>
      </c>
      <c r="F12" s="273">
        <v>17008</v>
      </c>
    </row>
    <row r="13" spans="1:6" s="271" customFormat="1" ht="15.75" customHeight="1">
      <c r="A13" s="262">
        <v>5</v>
      </c>
      <c r="B13" s="263" t="s">
        <v>273</v>
      </c>
      <c r="C13" s="272">
        <v>16717</v>
      </c>
      <c r="D13" s="273">
        <v>21692</v>
      </c>
      <c r="E13" s="273">
        <v>21692</v>
      </c>
      <c r="F13" s="273">
        <v>21692</v>
      </c>
    </row>
    <row r="14" spans="1:6" s="271" customFormat="1" ht="15.75" customHeight="1">
      <c r="A14" s="262">
        <v>6</v>
      </c>
      <c r="B14" s="263" t="s">
        <v>274</v>
      </c>
      <c r="C14" s="272">
        <v>945</v>
      </c>
      <c r="D14" s="273">
        <v>500</v>
      </c>
      <c r="E14" s="273">
        <v>500</v>
      </c>
      <c r="F14" s="273">
        <v>0</v>
      </c>
    </row>
    <row r="15" spans="1:6" s="271" customFormat="1" ht="15.75" customHeight="1">
      <c r="A15" s="262">
        <v>7</v>
      </c>
      <c r="B15" s="263" t="s">
        <v>275</v>
      </c>
      <c r="C15" s="272">
        <v>1500</v>
      </c>
      <c r="D15" s="273">
        <v>530</v>
      </c>
      <c r="E15" s="273">
        <v>530</v>
      </c>
      <c r="F15" s="273">
        <v>530</v>
      </c>
    </row>
    <row r="16" spans="1:6" s="271" customFormat="1" ht="15.75" customHeight="1">
      <c r="A16" s="262">
        <v>8</v>
      </c>
      <c r="B16" s="263" t="s">
        <v>276</v>
      </c>
      <c r="C16" s="272">
        <v>1500</v>
      </c>
      <c r="D16" s="273">
        <v>0</v>
      </c>
      <c r="E16" s="273">
        <v>0</v>
      </c>
      <c r="F16" s="273">
        <v>0</v>
      </c>
    </row>
    <row r="17" spans="1:6" s="271" customFormat="1" ht="15.75" customHeight="1">
      <c r="A17" s="267">
        <v>9</v>
      </c>
      <c r="B17" s="263" t="s">
        <v>277</v>
      </c>
      <c r="C17" s="272">
        <v>1400</v>
      </c>
      <c r="D17" s="273">
        <v>1400</v>
      </c>
      <c r="E17" s="273">
        <v>1400</v>
      </c>
      <c r="F17" s="273">
        <v>329</v>
      </c>
    </row>
    <row r="18" spans="1:6" s="271" customFormat="1" ht="15.75" customHeight="1">
      <c r="A18" s="262">
        <v>10</v>
      </c>
      <c r="B18" s="263" t="s">
        <v>278</v>
      </c>
      <c r="C18" s="272">
        <v>1000</v>
      </c>
      <c r="D18" s="273">
        <v>0</v>
      </c>
      <c r="E18" s="273">
        <v>0</v>
      </c>
      <c r="F18" s="273">
        <v>0</v>
      </c>
    </row>
    <row r="19" spans="1:6" s="271" customFormat="1" ht="15.75" customHeight="1">
      <c r="A19" s="262">
        <v>11</v>
      </c>
      <c r="B19" s="263" t="s">
        <v>279</v>
      </c>
      <c r="C19" s="272">
        <v>500</v>
      </c>
      <c r="D19" s="273">
        <v>500</v>
      </c>
      <c r="E19" s="273">
        <v>500</v>
      </c>
      <c r="F19" s="273">
        <v>0</v>
      </c>
    </row>
    <row r="20" spans="1:6" s="271" customFormat="1" ht="15.75" customHeight="1">
      <c r="A20" s="262">
        <v>12</v>
      </c>
      <c r="B20" s="263" t="s">
        <v>280</v>
      </c>
      <c r="C20" s="272">
        <v>1500</v>
      </c>
      <c r="D20" s="273">
        <v>1439</v>
      </c>
      <c r="E20" s="273">
        <v>1439</v>
      </c>
      <c r="F20" s="273">
        <v>0</v>
      </c>
    </row>
    <row r="21" spans="1:6" s="271" customFormat="1" ht="15.75" customHeight="1">
      <c r="A21" s="262">
        <v>13</v>
      </c>
      <c r="B21" s="263" t="s">
        <v>281</v>
      </c>
      <c r="C21" s="273">
        <v>1600</v>
      </c>
      <c r="D21" s="273">
        <v>1600</v>
      </c>
      <c r="E21" s="273">
        <v>1600</v>
      </c>
      <c r="F21" s="273">
        <v>1600</v>
      </c>
    </row>
    <row r="22" spans="1:6" s="271" customFormat="1" ht="15.75" customHeight="1">
      <c r="A22" s="262">
        <v>14</v>
      </c>
      <c r="B22" s="263" t="s">
        <v>359</v>
      </c>
      <c r="C22" s="273">
        <v>0</v>
      </c>
      <c r="D22" s="273">
        <v>255</v>
      </c>
      <c r="E22" s="273">
        <v>255</v>
      </c>
      <c r="F22" s="273">
        <v>255</v>
      </c>
    </row>
    <row r="23" spans="1:6" ht="33" customHeight="1">
      <c r="A23" s="69">
        <v>15</v>
      </c>
      <c r="B23" s="67" t="s">
        <v>367</v>
      </c>
      <c r="C23" s="87">
        <v>0</v>
      </c>
      <c r="D23" s="87">
        <v>2399</v>
      </c>
      <c r="E23" s="87">
        <v>2399</v>
      </c>
      <c r="F23" s="87">
        <v>2399</v>
      </c>
    </row>
    <row r="24" spans="1:6" ht="29.25" customHeight="1">
      <c r="A24" s="83">
        <v>16</v>
      </c>
      <c r="B24" s="67" t="s">
        <v>366</v>
      </c>
      <c r="C24" s="87">
        <v>0</v>
      </c>
      <c r="D24" s="87">
        <v>600</v>
      </c>
      <c r="E24" s="87">
        <v>600</v>
      </c>
      <c r="F24" s="87">
        <v>600</v>
      </c>
    </row>
    <row r="25" spans="1:6" ht="30" customHeight="1">
      <c r="A25" s="83">
        <v>17</v>
      </c>
      <c r="B25" s="67" t="s">
        <v>372</v>
      </c>
      <c r="C25" s="87">
        <v>0</v>
      </c>
      <c r="D25" s="87">
        <v>1819</v>
      </c>
      <c r="E25" s="87">
        <v>1819</v>
      </c>
      <c r="F25" s="87">
        <v>1819</v>
      </c>
    </row>
    <row r="26" spans="1:6" s="271" customFormat="1" ht="23.25" customHeight="1">
      <c r="A26" s="267">
        <v>18</v>
      </c>
      <c r="B26" s="263" t="s">
        <v>397</v>
      </c>
      <c r="C26" s="273">
        <v>0</v>
      </c>
      <c r="D26" s="273">
        <v>0</v>
      </c>
      <c r="E26" s="273">
        <v>66575</v>
      </c>
      <c r="F26" s="273">
        <v>66575</v>
      </c>
    </row>
    <row r="27" spans="1:6" s="271" customFormat="1" ht="23.25" customHeight="1">
      <c r="A27" s="262">
        <v>19</v>
      </c>
      <c r="B27" s="263" t="s">
        <v>419</v>
      </c>
      <c r="C27" s="273">
        <v>0</v>
      </c>
      <c r="D27" s="273">
        <v>0</v>
      </c>
      <c r="E27" s="273">
        <v>0</v>
      </c>
      <c r="F27" s="273">
        <v>3678</v>
      </c>
    </row>
    <row r="28" spans="1:6" s="271" customFormat="1" ht="23.25" customHeight="1">
      <c r="A28" s="262">
        <v>20</v>
      </c>
      <c r="B28" s="263" t="s">
        <v>422</v>
      </c>
      <c r="C28" s="273">
        <v>0</v>
      </c>
      <c r="D28" s="273">
        <v>0</v>
      </c>
      <c r="E28" s="273">
        <v>0</v>
      </c>
      <c r="F28" s="273">
        <v>851</v>
      </c>
    </row>
    <row r="29" spans="1:6" ht="15.75" customHeight="1">
      <c r="A29" s="69">
        <v>21</v>
      </c>
      <c r="B29" s="66" t="s">
        <v>233</v>
      </c>
      <c r="C29" s="90">
        <f>SUM(C30:C35)</f>
        <v>801</v>
      </c>
      <c r="D29" s="90">
        <f>SUM(D30:D35)</f>
        <v>3149</v>
      </c>
      <c r="E29" s="90">
        <f>SUM(E30:E35)</f>
        <v>3149</v>
      </c>
      <c r="F29" s="90">
        <f>SUM(F30:F35)</f>
        <v>3291</v>
      </c>
    </row>
    <row r="30" spans="1:6" s="78" customFormat="1" ht="15.75" customHeight="1">
      <c r="A30" s="83">
        <v>22</v>
      </c>
      <c r="B30" s="67" t="s">
        <v>243</v>
      </c>
      <c r="C30" s="87">
        <v>461</v>
      </c>
      <c r="D30" s="87">
        <f>461+198</f>
        <v>659</v>
      </c>
      <c r="E30" s="87">
        <f>461+198</f>
        <v>659</v>
      </c>
      <c r="F30" s="87">
        <v>752</v>
      </c>
    </row>
    <row r="31" spans="1:6" ht="15.75" customHeight="1">
      <c r="A31" s="83">
        <v>23</v>
      </c>
      <c r="B31" s="67" t="s">
        <v>362</v>
      </c>
      <c r="C31" s="87">
        <v>340</v>
      </c>
      <c r="D31" s="87">
        <v>310</v>
      </c>
      <c r="E31" s="87">
        <v>310</v>
      </c>
      <c r="F31" s="87">
        <v>310</v>
      </c>
    </row>
    <row r="32" spans="1:6" ht="15.75" customHeight="1">
      <c r="A32" s="69">
        <v>24</v>
      </c>
      <c r="B32" s="67" t="s">
        <v>360</v>
      </c>
      <c r="C32" s="87">
        <v>0</v>
      </c>
      <c r="D32" s="87">
        <v>1544</v>
      </c>
      <c r="E32" s="87">
        <v>1544</v>
      </c>
      <c r="F32" s="87">
        <v>1544</v>
      </c>
    </row>
    <row r="33" spans="1:6" ht="15.75" customHeight="1">
      <c r="A33" s="83">
        <v>25</v>
      </c>
      <c r="B33" s="67" t="s">
        <v>363</v>
      </c>
      <c r="C33" s="87">
        <v>0</v>
      </c>
      <c r="D33" s="87">
        <v>304</v>
      </c>
      <c r="E33" s="87">
        <v>304</v>
      </c>
      <c r="F33" s="87">
        <v>312</v>
      </c>
    </row>
    <row r="34" spans="1:6" ht="15.75" customHeight="1">
      <c r="A34" s="83">
        <v>26</v>
      </c>
      <c r="B34" s="67" t="s">
        <v>364</v>
      </c>
      <c r="C34" s="87">
        <v>0</v>
      </c>
      <c r="D34" s="87">
        <v>194</v>
      </c>
      <c r="E34" s="87">
        <v>194</v>
      </c>
      <c r="F34" s="87">
        <v>235</v>
      </c>
    </row>
    <row r="35" spans="1:6" ht="15.75" customHeight="1">
      <c r="A35" s="69">
        <v>27</v>
      </c>
      <c r="B35" s="67" t="s">
        <v>361</v>
      </c>
      <c r="C35" s="87">
        <v>0</v>
      </c>
      <c r="D35" s="87">
        <v>138</v>
      </c>
      <c r="E35" s="87">
        <v>138</v>
      </c>
      <c r="F35" s="87">
        <v>138</v>
      </c>
    </row>
    <row r="36" spans="1:6" ht="15.75" customHeight="1">
      <c r="A36" s="83">
        <v>28</v>
      </c>
      <c r="B36" s="66" t="s">
        <v>206</v>
      </c>
      <c r="C36" s="90">
        <f>SUM(C37:C50)</f>
        <v>21966</v>
      </c>
      <c r="D36" s="90">
        <f>SUM(D37:D50)</f>
        <v>24431</v>
      </c>
      <c r="E36" s="90">
        <f>SUM(E37:E50)</f>
        <v>24431</v>
      </c>
      <c r="F36" s="90">
        <f>SUM(F37:F50)</f>
        <v>30846</v>
      </c>
    </row>
    <row r="37" spans="1:6" ht="15.75" customHeight="1">
      <c r="A37" s="83">
        <v>29</v>
      </c>
      <c r="B37" s="67" t="s">
        <v>244</v>
      </c>
      <c r="C37" s="68">
        <v>276</v>
      </c>
      <c r="D37" s="87">
        <v>276</v>
      </c>
      <c r="E37" s="87">
        <v>276</v>
      </c>
      <c r="F37" s="87">
        <v>0</v>
      </c>
    </row>
    <row r="38" spans="1:6" ht="15.75" customHeight="1">
      <c r="A38" s="69">
        <v>30</v>
      </c>
      <c r="B38" s="67" t="s">
        <v>282</v>
      </c>
      <c r="C38" s="68">
        <v>15515</v>
      </c>
      <c r="D38" s="87">
        <v>15515</v>
      </c>
      <c r="E38" s="87">
        <v>15515</v>
      </c>
      <c r="F38" s="87">
        <v>15515</v>
      </c>
    </row>
    <row r="39" spans="1:6" ht="28.5" customHeight="1">
      <c r="A39" s="83">
        <v>31</v>
      </c>
      <c r="B39" s="67" t="s">
        <v>283</v>
      </c>
      <c r="C39" s="68">
        <v>998</v>
      </c>
      <c r="D39" s="87">
        <v>998</v>
      </c>
      <c r="E39" s="87">
        <v>998</v>
      </c>
      <c r="F39" s="87">
        <v>998</v>
      </c>
    </row>
    <row r="40" spans="1:6" ht="30" customHeight="1">
      <c r="A40" s="83">
        <v>32</v>
      </c>
      <c r="B40" s="67" t="s">
        <v>284</v>
      </c>
      <c r="C40" s="68">
        <v>932</v>
      </c>
      <c r="D40" s="87">
        <v>932</v>
      </c>
      <c r="E40" s="87">
        <v>932</v>
      </c>
      <c r="F40" s="87">
        <v>932</v>
      </c>
    </row>
    <row r="41" spans="1:6" ht="15.75" customHeight="1">
      <c r="A41" s="69">
        <v>33</v>
      </c>
      <c r="B41" s="67" t="s">
        <v>285</v>
      </c>
      <c r="C41" s="68">
        <v>295</v>
      </c>
      <c r="D41" s="87">
        <v>295</v>
      </c>
      <c r="E41" s="87">
        <v>295</v>
      </c>
      <c r="F41" s="87">
        <v>295</v>
      </c>
    </row>
    <row r="42" spans="1:6" ht="15.75" customHeight="1">
      <c r="A42" s="83">
        <v>34</v>
      </c>
      <c r="B42" s="67" t="s">
        <v>286</v>
      </c>
      <c r="C42" s="68">
        <v>3150</v>
      </c>
      <c r="D42" s="87">
        <v>0</v>
      </c>
      <c r="E42" s="87">
        <v>0</v>
      </c>
      <c r="F42" s="87">
        <v>0</v>
      </c>
    </row>
    <row r="43" spans="1:6" ht="15.75" customHeight="1">
      <c r="A43" s="83">
        <v>35</v>
      </c>
      <c r="B43" s="67" t="s">
        <v>287</v>
      </c>
      <c r="C43" s="68">
        <v>800</v>
      </c>
      <c r="D43" s="87">
        <v>0</v>
      </c>
      <c r="E43" s="87">
        <v>0</v>
      </c>
      <c r="F43" s="87">
        <v>0</v>
      </c>
    </row>
    <row r="44" spans="1:6" ht="15.75" customHeight="1">
      <c r="A44" s="69">
        <v>36</v>
      </c>
      <c r="B44" s="67" t="s">
        <v>368</v>
      </c>
      <c r="C44" s="87">
        <v>0</v>
      </c>
      <c r="D44" s="87">
        <v>69</v>
      </c>
      <c r="E44" s="87">
        <v>69</v>
      </c>
      <c r="F44" s="87">
        <v>69</v>
      </c>
    </row>
    <row r="45" spans="1:6" ht="15.75" customHeight="1">
      <c r="A45" s="83">
        <v>37</v>
      </c>
      <c r="B45" s="67" t="s">
        <v>369</v>
      </c>
      <c r="C45" s="87">
        <v>0</v>
      </c>
      <c r="D45" s="87">
        <v>280</v>
      </c>
      <c r="E45" s="87">
        <v>280</v>
      </c>
      <c r="F45" s="87">
        <v>280</v>
      </c>
    </row>
    <row r="46" spans="1:6" ht="15.75" customHeight="1">
      <c r="A46" s="83">
        <v>38</v>
      </c>
      <c r="B46" s="67" t="s">
        <v>370</v>
      </c>
      <c r="C46" s="87">
        <v>0</v>
      </c>
      <c r="D46" s="87">
        <v>153</v>
      </c>
      <c r="E46" s="87">
        <v>153</v>
      </c>
      <c r="F46" s="87">
        <v>153</v>
      </c>
    </row>
    <row r="47" spans="1:6" ht="15.75" customHeight="1">
      <c r="A47" s="69">
        <v>39</v>
      </c>
      <c r="B47" s="67" t="s">
        <v>371</v>
      </c>
      <c r="C47" s="87">
        <v>0</v>
      </c>
      <c r="D47" s="87">
        <v>2630</v>
      </c>
      <c r="E47" s="87">
        <v>2630</v>
      </c>
      <c r="F47" s="87">
        <v>2630</v>
      </c>
    </row>
    <row r="48" spans="1:6" ht="15.75" customHeight="1">
      <c r="A48" s="83">
        <v>40</v>
      </c>
      <c r="B48" s="67" t="s">
        <v>373</v>
      </c>
      <c r="C48" s="87">
        <v>0</v>
      </c>
      <c r="D48" s="68">
        <v>3283</v>
      </c>
      <c r="E48" s="68">
        <v>3283</v>
      </c>
      <c r="F48" s="68">
        <v>3349</v>
      </c>
    </row>
    <row r="49" spans="1:6" ht="15.75" customHeight="1">
      <c r="A49" s="83">
        <v>41</v>
      </c>
      <c r="B49" s="67" t="s">
        <v>418</v>
      </c>
      <c r="C49" s="87">
        <v>0</v>
      </c>
      <c r="D49" s="87">
        <v>0</v>
      </c>
      <c r="E49" s="87">
        <v>0</v>
      </c>
      <c r="F49" s="87">
        <v>1575</v>
      </c>
    </row>
    <row r="50" spans="1:6" ht="15.75" customHeight="1">
      <c r="A50" s="69">
        <v>42</v>
      </c>
      <c r="B50" s="67" t="s">
        <v>416</v>
      </c>
      <c r="C50" s="87">
        <v>0</v>
      </c>
      <c r="D50" s="87">
        <v>0</v>
      </c>
      <c r="E50" s="87">
        <v>0</v>
      </c>
      <c r="F50" s="87">
        <v>5050</v>
      </c>
    </row>
    <row r="51" spans="1:6" ht="15.75" customHeight="1">
      <c r="A51" s="83">
        <v>43</v>
      </c>
      <c r="B51" s="66" t="s">
        <v>207</v>
      </c>
      <c r="C51" s="86">
        <f>SUM(C52:C52)</f>
        <v>26136</v>
      </c>
      <c r="D51" s="86">
        <f>SUM(D52:D52)</f>
        <v>33856</v>
      </c>
      <c r="E51" s="86">
        <f>SUM(E52:E52)</f>
        <v>50481</v>
      </c>
      <c r="F51" s="86">
        <f>SUM(F52:F52)</f>
        <v>50906</v>
      </c>
    </row>
    <row r="52" spans="1:6" ht="15.75" customHeight="1" thickBot="1">
      <c r="A52" s="69">
        <v>44</v>
      </c>
      <c r="B52" s="67" t="s">
        <v>222</v>
      </c>
      <c r="C52" s="85">
        <v>26136</v>
      </c>
      <c r="D52" s="85">
        <f>33856</f>
        <v>33856</v>
      </c>
      <c r="E52" s="85">
        <f>33856+16625</f>
        <v>50481</v>
      </c>
      <c r="F52" s="85">
        <f>50481+425</f>
        <v>50906</v>
      </c>
    </row>
    <row r="53" spans="1:6" ht="15.75" customHeight="1">
      <c r="A53" s="328" t="s">
        <v>218</v>
      </c>
      <c r="B53" s="329"/>
      <c r="C53" s="84">
        <f>SUM(C54+C58+C65)</f>
        <v>279</v>
      </c>
      <c r="D53" s="84">
        <f>SUM(D54+D58+D65)</f>
        <v>818</v>
      </c>
      <c r="E53" s="84">
        <f>SUM(E54+E58+E65)</f>
        <v>818</v>
      </c>
      <c r="F53" s="84">
        <f>SUM(F54+F58+F65)</f>
        <v>579</v>
      </c>
    </row>
    <row r="54" spans="1:6" ht="15.75" customHeight="1">
      <c r="A54" s="79">
        <v>45</v>
      </c>
      <c r="B54" s="66" t="s">
        <v>233</v>
      </c>
      <c r="C54" s="135">
        <f>SUM(C55:C57)</f>
        <v>40</v>
      </c>
      <c r="D54" s="135">
        <f>SUM(D55:D57)</f>
        <v>93</v>
      </c>
      <c r="E54" s="135">
        <f>SUM(E55:E57)</f>
        <v>93</v>
      </c>
      <c r="F54" s="135">
        <f>SUM(F55:F57)</f>
        <v>33</v>
      </c>
    </row>
    <row r="55" spans="1:6" ht="15.75" customHeight="1">
      <c r="A55" s="79">
        <v>46</v>
      </c>
      <c r="B55" s="67" t="s">
        <v>374</v>
      </c>
      <c r="C55" s="87">
        <v>40</v>
      </c>
      <c r="D55" s="87">
        <v>40</v>
      </c>
      <c r="E55" s="87">
        <v>40</v>
      </c>
      <c r="F55" s="87">
        <v>0</v>
      </c>
    </row>
    <row r="56" spans="1:6" ht="15.75" customHeight="1">
      <c r="A56" s="79">
        <v>47</v>
      </c>
      <c r="B56" s="67" t="s">
        <v>375</v>
      </c>
      <c r="C56" s="87">
        <v>0</v>
      </c>
      <c r="D56" s="87">
        <v>33</v>
      </c>
      <c r="E56" s="87">
        <v>33</v>
      </c>
      <c r="F56" s="87">
        <v>33</v>
      </c>
    </row>
    <row r="57" spans="1:6" ht="15.75" customHeight="1">
      <c r="A57" s="79">
        <v>48</v>
      </c>
      <c r="B57" s="67" t="s">
        <v>376</v>
      </c>
      <c r="C57" s="87">
        <v>0</v>
      </c>
      <c r="D57" s="87">
        <v>20</v>
      </c>
      <c r="E57" s="87">
        <v>20</v>
      </c>
      <c r="F57" s="87">
        <v>0</v>
      </c>
    </row>
    <row r="58" spans="1:6" ht="15.75" customHeight="1">
      <c r="A58" s="79">
        <v>49</v>
      </c>
      <c r="B58" s="66" t="s">
        <v>206</v>
      </c>
      <c r="C58" s="73">
        <f>SUM(C59:C64)</f>
        <v>180</v>
      </c>
      <c r="D58" s="73">
        <f>SUM(D59:D64)</f>
        <v>551</v>
      </c>
      <c r="E58" s="73">
        <f>SUM(E59:E64)</f>
        <v>551</v>
      </c>
      <c r="F58" s="73">
        <f>SUM(F59:F64)</f>
        <v>425</v>
      </c>
    </row>
    <row r="59" spans="1:6" ht="15.75" customHeight="1">
      <c r="A59" s="79">
        <v>50</v>
      </c>
      <c r="B59" s="67" t="s">
        <v>377</v>
      </c>
      <c r="C59" s="87">
        <v>60</v>
      </c>
      <c r="D59" s="87">
        <v>60</v>
      </c>
      <c r="E59" s="87">
        <v>60</v>
      </c>
      <c r="F59" s="87">
        <v>26</v>
      </c>
    </row>
    <row r="60" spans="1:6" ht="15.75" customHeight="1">
      <c r="A60" s="79">
        <v>51</v>
      </c>
      <c r="B60" s="67" t="s">
        <v>287</v>
      </c>
      <c r="C60" s="87">
        <v>0</v>
      </c>
      <c r="D60" s="87">
        <f>250+150</f>
        <v>400</v>
      </c>
      <c r="E60" s="87">
        <f>250+150</f>
        <v>400</v>
      </c>
      <c r="F60" s="87">
        <v>298</v>
      </c>
    </row>
    <row r="61" spans="1:6" ht="15.75" customHeight="1">
      <c r="A61" s="79">
        <v>52</v>
      </c>
      <c r="B61" s="67" t="s">
        <v>378</v>
      </c>
      <c r="C61" s="87">
        <v>20</v>
      </c>
      <c r="D61" s="87">
        <v>13</v>
      </c>
      <c r="E61" s="87">
        <v>13</v>
      </c>
      <c r="F61" s="87">
        <v>13</v>
      </c>
    </row>
    <row r="62" spans="1:6" ht="15.75" customHeight="1">
      <c r="A62" s="79">
        <v>53</v>
      </c>
      <c r="B62" s="67" t="s">
        <v>379</v>
      </c>
      <c r="C62" s="87">
        <v>0</v>
      </c>
      <c r="D62" s="87">
        <v>9</v>
      </c>
      <c r="E62" s="87">
        <v>9</v>
      </c>
      <c r="F62" s="87">
        <v>9</v>
      </c>
    </row>
    <row r="63" spans="1:6" ht="15.75" customHeight="1">
      <c r="A63" s="79">
        <v>54</v>
      </c>
      <c r="B63" s="67" t="s">
        <v>288</v>
      </c>
      <c r="C63" s="87">
        <v>100</v>
      </c>
      <c r="D63" s="87">
        <v>69</v>
      </c>
      <c r="E63" s="87">
        <v>69</v>
      </c>
      <c r="F63" s="87">
        <v>69</v>
      </c>
    </row>
    <row r="64" spans="1:6" ht="15.75" customHeight="1">
      <c r="A64" s="79">
        <v>55</v>
      </c>
      <c r="B64" s="67" t="s">
        <v>411</v>
      </c>
      <c r="C64" s="87">
        <v>0</v>
      </c>
      <c r="D64" s="87">
        <v>0</v>
      </c>
      <c r="E64" s="87">
        <v>0</v>
      </c>
      <c r="F64" s="87">
        <v>10</v>
      </c>
    </row>
    <row r="65" spans="1:6" ht="15.75" customHeight="1">
      <c r="A65" s="79">
        <v>56</v>
      </c>
      <c r="B65" s="66" t="s">
        <v>207</v>
      </c>
      <c r="C65" s="86">
        <f>SUM(C66)</f>
        <v>59</v>
      </c>
      <c r="D65" s="86">
        <f>SUM(D66)</f>
        <v>174</v>
      </c>
      <c r="E65" s="86">
        <f>SUM(E66)</f>
        <v>174</v>
      </c>
      <c r="F65" s="86">
        <f>SUM(F66)</f>
        <v>121</v>
      </c>
    </row>
    <row r="66" spans="1:6" ht="15.75" customHeight="1" thickBot="1">
      <c r="A66" s="79">
        <v>57</v>
      </c>
      <c r="B66" s="67" t="s">
        <v>222</v>
      </c>
      <c r="C66" s="87">
        <v>59</v>
      </c>
      <c r="D66" s="218">
        <f>133+41</f>
        <v>174</v>
      </c>
      <c r="E66" s="218">
        <f>133+41</f>
        <v>174</v>
      </c>
      <c r="F66" s="218">
        <v>121</v>
      </c>
    </row>
    <row r="67" spans="1:6" s="72" customFormat="1" ht="18" customHeight="1" thickBot="1">
      <c r="A67" s="149"/>
      <c r="B67" s="70" t="s">
        <v>209</v>
      </c>
      <c r="C67" s="71">
        <f>SUM(C8+C53)</f>
        <v>137832</v>
      </c>
      <c r="D67" s="71">
        <f>SUM(D8+D53)</f>
        <v>160067</v>
      </c>
      <c r="E67" s="71">
        <f>SUM(E8+E53)</f>
        <v>243267</v>
      </c>
      <c r="F67" s="71">
        <f>SUM(F8+F53)</f>
        <v>251036</v>
      </c>
    </row>
  </sheetData>
  <sheetProtection/>
  <mergeCells count="3">
    <mergeCell ref="A8:B8"/>
    <mergeCell ref="A53:B53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2021-02-12T12:08:39Z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