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5\"/>
    </mc:Choice>
  </mc:AlternateContent>
  <bookViews>
    <workbookView xWindow="0" yWindow="0" windowWidth="19200" windowHeight="11595" tabRatio="727" firstSheet="2" activeTab="2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r:id="rId32"/>
    <sheet name="4.sz tájékoztató t." sheetId="109" state="hidden" r:id="rId33"/>
    <sheet name="5.sz tájékoztató t." sheetId="2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2">'1. melléklet'!$A$1:$I$41</definedName>
    <definedName name="_xlnm.Print_Area" localSheetId="3">'1.1.sz.mell.'!$A$1:$I$142</definedName>
    <definedName name="_xlnm.Print_Area" localSheetId="4">'1.2.sz.mell. _köt'!$A$1:$I$127</definedName>
    <definedName name="_xlnm.Print_Area" localSheetId="5">'1.3.sz.mell._önk'!$A$1:$I$127</definedName>
    <definedName name="_xlnm.Print_Area" localSheetId="6">'1.4.sz.mell._állig'!$A$1:$I$127</definedName>
    <definedName name="_xlnm.Print_Area" localSheetId="28">'1.sz tájékoztató t.'!$A$1:$O$28</definedName>
    <definedName name="_xlnm.Print_Area" localSheetId="22">'10. sz. mell.'!$A$1:$J$49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'!$A$1:$R$36</definedName>
    <definedName name="_xlnm.Print_Area" localSheetId="29">'2.sz tájékoztató t.'!$A$1:$J$33</definedName>
    <definedName name="_xlnm.Print_Area" localSheetId="30">'3. sz tájékoztató t.'!$A$1:$D$37</definedName>
    <definedName name="_xlnm.Print_Area" localSheetId="33">'5.sz tájékoztató t.'!$A$1:$L$105</definedName>
    <definedName name="_xlnm.Print_Area" localSheetId="15">'8. sz. mell.'!$A$1:$H$28</definedName>
    <definedName name="_xlnm.Print_Area" localSheetId="16">'9. sz. mell'!$A$1:$J$104</definedName>
  </definedNames>
  <calcPr calcId="152511"/>
</workbook>
</file>

<file path=xl/calcChain.xml><?xml version="1.0" encoding="utf-8"?>
<calcChain xmlns="http://schemas.openxmlformats.org/spreadsheetml/2006/main">
  <c r="H17" i="61" l="1"/>
  <c r="H15" i="73"/>
  <c r="H87" i="91"/>
  <c r="H76" i="91"/>
  <c r="I19" i="73" l="1"/>
  <c r="I20" i="73"/>
  <c r="I90" i="3"/>
  <c r="I56" i="3" l="1"/>
  <c r="H77" i="91" l="1"/>
  <c r="H98" i="91"/>
  <c r="H75" i="91"/>
  <c r="H74" i="91"/>
  <c r="H13" i="91"/>
  <c r="H23" i="91"/>
  <c r="H24" i="91"/>
  <c r="H25" i="91"/>
  <c r="H26" i="91"/>
  <c r="H27" i="91"/>
  <c r="H22" i="91"/>
  <c r="P8" i="78"/>
  <c r="P9" i="78"/>
  <c r="P10" i="78"/>
  <c r="P11" i="78"/>
  <c r="P12" i="78"/>
  <c r="I19" i="78"/>
  <c r="I20" i="78"/>
  <c r="I21" i="78"/>
  <c r="I22" i="78"/>
  <c r="I23" i="78"/>
  <c r="I24" i="78"/>
  <c r="I25" i="78"/>
  <c r="I26" i="78"/>
  <c r="I27" i="78"/>
  <c r="I28" i="78"/>
  <c r="I18" i="78"/>
  <c r="I8" i="78"/>
  <c r="I9" i="78"/>
  <c r="I10" i="78"/>
  <c r="I11" i="78"/>
  <c r="I12" i="78"/>
  <c r="I5" i="78"/>
  <c r="I68" i="3"/>
  <c r="L100" i="2"/>
  <c r="K98" i="2"/>
  <c r="K48" i="2"/>
  <c r="O6" i="61" l="1"/>
  <c r="G87" i="91"/>
  <c r="H79" i="3"/>
  <c r="F5" i="63"/>
  <c r="F6" i="63"/>
  <c r="B7" i="63"/>
  <c r="E9" i="63"/>
  <c r="E10" i="63"/>
  <c r="F10" i="63" s="1"/>
  <c r="E11" i="63"/>
  <c r="F11" i="63" s="1"/>
  <c r="F22" i="63" s="1"/>
  <c r="E12" i="63"/>
  <c r="F12" i="63" s="1"/>
  <c r="E13" i="63"/>
  <c r="E14" i="63"/>
  <c r="E15" i="63"/>
  <c r="F17" i="63"/>
  <c r="F18" i="63"/>
  <c r="F19" i="63"/>
  <c r="F20" i="63"/>
  <c r="F21" i="63"/>
  <c r="B22" i="63"/>
  <c r="D22" i="63"/>
  <c r="E22" i="63" l="1"/>
  <c r="G82" i="91"/>
  <c r="G85" i="91"/>
  <c r="G37" i="91"/>
  <c r="G31" i="91"/>
  <c r="H90" i="3"/>
  <c r="H67" i="3"/>
  <c r="G76" i="91" s="1"/>
  <c r="H66" i="3"/>
  <c r="G75" i="91" s="1"/>
  <c r="H65" i="3"/>
  <c r="I40" i="3"/>
  <c r="H44" i="3"/>
  <c r="H40" i="3" s="1"/>
  <c r="H25" i="3"/>
  <c r="H37" i="103"/>
  <c r="H38" i="103"/>
  <c r="H40" i="103"/>
  <c r="G77" i="91" s="1"/>
  <c r="H93" i="3"/>
  <c r="G74" i="91" l="1"/>
  <c r="G78" i="91"/>
  <c r="G7" i="78"/>
  <c r="I7" i="78" s="1"/>
  <c r="G6" i="78"/>
  <c r="I6" i="78" s="1"/>
  <c r="F29" i="78" l="1"/>
  <c r="G29" i="78"/>
  <c r="H29" i="78"/>
  <c r="E29" i="78"/>
  <c r="I29" i="78" l="1"/>
  <c r="N6" i="78"/>
  <c r="N5" i="78"/>
  <c r="G22" i="91"/>
  <c r="G23" i="91"/>
  <c r="G32" i="1"/>
  <c r="G33" i="1"/>
  <c r="G34" i="1"/>
  <c r="G35" i="1"/>
  <c r="G22" i="1"/>
  <c r="G23" i="1"/>
  <c r="G24" i="1"/>
  <c r="J103" i="2" l="1"/>
  <c r="K103" i="2"/>
  <c r="I103" i="2"/>
  <c r="H103" i="2"/>
  <c r="L101" i="2"/>
  <c r="I93" i="2"/>
  <c r="J93" i="2"/>
  <c r="K93" i="2"/>
  <c r="H93" i="2"/>
  <c r="L91" i="2"/>
  <c r="G23" i="70" l="1"/>
  <c r="H23" i="70"/>
  <c r="L99" i="2"/>
  <c r="L98" i="2"/>
  <c r="L88" i="2"/>
  <c r="L89" i="2"/>
  <c r="L90" i="2"/>
  <c r="L87" i="2"/>
  <c r="L6" i="2"/>
  <c r="L7" i="2"/>
  <c r="L8" i="2"/>
  <c r="L9" i="2"/>
  <c r="L10" i="2"/>
  <c r="L11" i="2"/>
  <c r="L12" i="2"/>
  <c r="L13" i="2"/>
  <c r="L14" i="2"/>
  <c r="L18" i="2"/>
  <c r="L21" i="2"/>
  <c r="L22" i="2"/>
  <c r="L24" i="2"/>
  <c r="L25" i="2"/>
  <c r="L26" i="2"/>
  <c r="L27" i="2"/>
  <c r="L28" i="2"/>
  <c r="L30" i="2"/>
  <c r="L31" i="2"/>
  <c r="L33" i="2"/>
  <c r="L35" i="2"/>
  <c r="L36" i="2"/>
  <c r="L37" i="2"/>
  <c r="L38" i="2"/>
  <c r="L39" i="2"/>
  <c r="L40" i="2"/>
  <c r="L41" i="2"/>
  <c r="L42" i="2"/>
  <c r="L43" i="2"/>
  <c r="L44" i="2"/>
  <c r="L45" i="2"/>
  <c r="L46" i="2"/>
  <c r="L48" i="2"/>
  <c r="L49" i="2"/>
  <c r="L52" i="2"/>
  <c r="L53" i="2"/>
  <c r="L54" i="2"/>
  <c r="L55" i="2"/>
  <c r="L56" i="2"/>
  <c r="L57" i="2"/>
  <c r="L58" i="2"/>
  <c r="L59" i="2"/>
  <c r="L63" i="2"/>
  <c r="L64" i="2"/>
  <c r="L66" i="2"/>
  <c r="L67" i="2"/>
  <c r="L69" i="2"/>
  <c r="L70" i="2"/>
  <c r="L71" i="2"/>
  <c r="L72" i="2"/>
  <c r="L75" i="2"/>
  <c r="L76" i="2"/>
  <c r="L78" i="2"/>
  <c r="L79" i="2"/>
  <c r="L81" i="2"/>
  <c r="I7" i="70"/>
  <c r="I8" i="70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6" i="70"/>
  <c r="J36" i="84"/>
  <c r="J37" i="84"/>
  <c r="J38" i="84"/>
  <c r="J39" i="84"/>
  <c r="J40" i="84"/>
  <c r="J42" i="84"/>
  <c r="J43" i="84"/>
  <c r="J44" i="84"/>
  <c r="J45" i="84"/>
  <c r="J46" i="84"/>
  <c r="J47" i="84"/>
  <c r="J9" i="84"/>
  <c r="J10" i="84"/>
  <c r="J11" i="84"/>
  <c r="J12" i="84"/>
  <c r="J13" i="84"/>
  <c r="J14" i="84"/>
  <c r="J15" i="84"/>
  <c r="J16" i="84"/>
  <c r="J18" i="84"/>
  <c r="J19" i="84"/>
  <c r="J20" i="84"/>
  <c r="J21" i="84"/>
  <c r="J23" i="84"/>
  <c r="J24" i="84"/>
  <c r="J25" i="84"/>
  <c r="J28" i="84"/>
  <c r="J29" i="84"/>
  <c r="J30" i="84"/>
  <c r="J37" i="103"/>
  <c r="J38" i="103"/>
  <c r="J39" i="103"/>
  <c r="J40" i="103"/>
  <c r="J41" i="103"/>
  <c r="J43" i="103"/>
  <c r="J44" i="103"/>
  <c r="J45" i="103"/>
  <c r="J46" i="103"/>
  <c r="J47" i="103"/>
  <c r="J48" i="103"/>
  <c r="J9" i="103"/>
  <c r="J10" i="103"/>
  <c r="J11" i="103"/>
  <c r="J12" i="103"/>
  <c r="J13" i="103"/>
  <c r="J14" i="103"/>
  <c r="J15" i="103"/>
  <c r="J16" i="103"/>
  <c r="J18" i="103"/>
  <c r="J19" i="103"/>
  <c r="J20" i="103"/>
  <c r="J21" i="103"/>
  <c r="J23" i="103"/>
  <c r="J24" i="103"/>
  <c r="J25" i="103"/>
  <c r="J28" i="103"/>
  <c r="J29" i="103"/>
  <c r="J30" i="103"/>
  <c r="J31" i="103"/>
  <c r="H8" i="108"/>
  <c r="H9" i="108"/>
  <c r="H10" i="108"/>
  <c r="H11" i="108"/>
  <c r="H12" i="108"/>
  <c r="H13" i="108"/>
  <c r="H14" i="108"/>
  <c r="H15" i="108"/>
  <c r="H16" i="108"/>
  <c r="H17" i="108"/>
  <c r="H18" i="108"/>
  <c r="H19" i="108"/>
  <c r="H20" i="108"/>
  <c r="H21" i="108"/>
  <c r="H22" i="108"/>
  <c r="H23" i="108"/>
  <c r="H24" i="108"/>
  <c r="H25" i="108"/>
  <c r="H26" i="108"/>
  <c r="H27" i="108"/>
  <c r="H7" i="108"/>
  <c r="J68" i="3"/>
  <c r="J70" i="3"/>
  <c r="J71" i="3"/>
  <c r="J72" i="3"/>
  <c r="J73" i="3"/>
  <c r="J74" i="3"/>
  <c r="J75" i="3"/>
  <c r="J76" i="3"/>
  <c r="J77" i="3"/>
  <c r="J79" i="3"/>
  <c r="J81" i="3"/>
  <c r="J82" i="3"/>
  <c r="J83" i="3"/>
  <c r="J84" i="3"/>
  <c r="J85" i="3"/>
  <c r="J86" i="3"/>
  <c r="J87" i="3"/>
  <c r="J88" i="3"/>
  <c r="J90" i="3"/>
  <c r="J91" i="3"/>
  <c r="J92" i="3"/>
  <c r="J96" i="3"/>
  <c r="J97" i="3"/>
  <c r="J98" i="3"/>
  <c r="J100" i="3"/>
  <c r="J101" i="3"/>
  <c r="J102" i="3"/>
  <c r="J10" i="3"/>
  <c r="J11" i="3"/>
  <c r="J12" i="3"/>
  <c r="J13" i="3"/>
  <c r="J15" i="3"/>
  <c r="J16" i="3"/>
  <c r="J17" i="3"/>
  <c r="J18" i="3"/>
  <c r="J19" i="3"/>
  <c r="J20" i="3"/>
  <c r="J21" i="3"/>
  <c r="J22" i="3"/>
  <c r="J23" i="3"/>
  <c r="J26" i="3"/>
  <c r="J27" i="3"/>
  <c r="J28" i="3"/>
  <c r="J29" i="3"/>
  <c r="J30" i="3"/>
  <c r="J31" i="3"/>
  <c r="J32" i="3"/>
  <c r="J35" i="3"/>
  <c r="J36" i="3"/>
  <c r="J37" i="3"/>
  <c r="J38" i="3"/>
  <c r="J39" i="3"/>
  <c r="J41" i="3"/>
  <c r="J42" i="3"/>
  <c r="J43" i="3"/>
  <c r="J44" i="3"/>
  <c r="J45" i="3"/>
  <c r="J47" i="3"/>
  <c r="J48" i="3"/>
  <c r="J50" i="3"/>
  <c r="J51" i="3"/>
  <c r="J52" i="3"/>
  <c r="J53" i="3"/>
  <c r="J56" i="3"/>
  <c r="J57" i="3"/>
  <c r="J58" i="3"/>
  <c r="D11" i="77"/>
  <c r="E11" i="77"/>
  <c r="F11" i="77"/>
  <c r="C11" i="77"/>
  <c r="F73" i="92"/>
  <c r="G73" i="92"/>
  <c r="H73" i="92"/>
  <c r="I73" i="92"/>
  <c r="F86" i="92"/>
  <c r="G86" i="92"/>
  <c r="H86" i="92"/>
  <c r="I86" i="92"/>
  <c r="F97" i="92"/>
  <c r="G97" i="92"/>
  <c r="H97" i="92"/>
  <c r="I97" i="92"/>
  <c r="F101" i="92"/>
  <c r="G101" i="92"/>
  <c r="H101" i="92"/>
  <c r="I101" i="92"/>
  <c r="F103" i="92"/>
  <c r="G103" i="92"/>
  <c r="H103" i="92"/>
  <c r="I103" i="92"/>
  <c r="F111" i="92"/>
  <c r="G111" i="92"/>
  <c r="H111" i="92"/>
  <c r="I111" i="92"/>
  <c r="F6" i="92"/>
  <c r="G6" i="92"/>
  <c r="H6" i="92"/>
  <c r="I6" i="92"/>
  <c r="F11" i="92"/>
  <c r="G11" i="92"/>
  <c r="H11" i="92"/>
  <c r="I11" i="92"/>
  <c r="F21" i="92"/>
  <c r="G21" i="92"/>
  <c r="H21" i="92"/>
  <c r="I21" i="92"/>
  <c r="F31" i="92"/>
  <c r="G31" i="92"/>
  <c r="H31" i="92"/>
  <c r="I31" i="92"/>
  <c r="F37" i="92"/>
  <c r="G37" i="92"/>
  <c r="H37" i="92"/>
  <c r="I37" i="92"/>
  <c r="F43" i="92"/>
  <c r="G43" i="92"/>
  <c r="H43" i="92"/>
  <c r="I43" i="92"/>
  <c r="F46" i="92"/>
  <c r="G46" i="92"/>
  <c r="H46" i="92"/>
  <c r="I46" i="92"/>
  <c r="F53" i="92"/>
  <c r="G53" i="92"/>
  <c r="H53" i="92"/>
  <c r="I53" i="92"/>
  <c r="F59" i="92"/>
  <c r="G59" i="92"/>
  <c r="H59" i="92"/>
  <c r="I59" i="92"/>
  <c r="I79" i="91"/>
  <c r="I80" i="91"/>
  <c r="I80" i="1" s="1"/>
  <c r="I81" i="91"/>
  <c r="I83" i="91"/>
  <c r="I83" i="1" s="1"/>
  <c r="I84" i="91"/>
  <c r="I89" i="91"/>
  <c r="I90" i="91"/>
  <c r="I91" i="91"/>
  <c r="I92" i="91"/>
  <c r="I93" i="91"/>
  <c r="I94" i="91"/>
  <c r="I95" i="91"/>
  <c r="I96" i="91"/>
  <c r="I100" i="91"/>
  <c r="I104" i="91"/>
  <c r="I105" i="91"/>
  <c r="I105" i="1" s="1"/>
  <c r="I106" i="91"/>
  <c r="I107" i="91"/>
  <c r="I107" i="1" s="1"/>
  <c r="I108" i="91"/>
  <c r="I109" i="91"/>
  <c r="I109" i="1" s="1"/>
  <c r="I110" i="91"/>
  <c r="I110" i="1" s="1"/>
  <c r="I112" i="91"/>
  <c r="I112" i="1" s="1"/>
  <c r="I113" i="91"/>
  <c r="I113" i="1" s="1"/>
  <c r="I114" i="91"/>
  <c r="I114" i="1" s="1"/>
  <c r="I115" i="91"/>
  <c r="I116" i="91"/>
  <c r="I116" i="1" s="1"/>
  <c r="I117" i="91"/>
  <c r="I117" i="1" s="1"/>
  <c r="I118" i="91"/>
  <c r="I118" i="1" s="1"/>
  <c r="I119" i="91"/>
  <c r="I121" i="91"/>
  <c r="I8" i="91"/>
  <c r="I8" i="1" s="1"/>
  <c r="I9" i="91"/>
  <c r="I10" i="91"/>
  <c r="I10" i="1" s="1"/>
  <c r="I20" i="91"/>
  <c r="I25" i="91"/>
  <c r="I25" i="1" s="1"/>
  <c r="I26" i="91"/>
  <c r="I26" i="1" s="1"/>
  <c r="I27" i="91"/>
  <c r="I27" i="1" s="1"/>
  <c r="I28" i="91"/>
  <c r="I28" i="1" s="1"/>
  <c r="I29" i="91"/>
  <c r="I29" i="1" s="1"/>
  <c r="I32" i="91"/>
  <c r="I32" i="1" s="1"/>
  <c r="I33" i="91"/>
  <c r="I34" i="91"/>
  <c r="I34" i="1" s="1"/>
  <c r="I35" i="91"/>
  <c r="I35" i="1" s="1"/>
  <c r="I36" i="91"/>
  <c r="I36" i="1" s="1"/>
  <c r="I38" i="91"/>
  <c r="I38" i="1" s="1"/>
  <c r="I39" i="91"/>
  <c r="I40" i="91"/>
  <c r="I40" i="1" s="1"/>
  <c r="I41" i="91"/>
  <c r="I41" i="1" s="1"/>
  <c r="I42" i="91"/>
  <c r="I42" i="1" s="1"/>
  <c r="I44" i="91"/>
  <c r="I45" i="91"/>
  <c r="I45" i="1" s="1"/>
  <c r="I47" i="91"/>
  <c r="I48" i="91"/>
  <c r="I48" i="1" s="1"/>
  <c r="I49" i="91"/>
  <c r="I49" i="1" s="1"/>
  <c r="I50" i="91"/>
  <c r="I50" i="1" s="1"/>
  <c r="I55" i="91"/>
  <c r="I55" i="1" s="1"/>
  <c r="I56" i="91"/>
  <c r="I56" i="1" s="1"/>
  <c r="I57" i="91"/>
  <c r="I58" i="91"/>
  <c r="I58" i="1" s="1"/>
  <c r="I60" i="91"/>
  <c r="I60" i="1" s="1"/>
  <c r="I61" i="91"/>
  <c r="I61" i="1" s="1"/>
  <c r="I62" i="91"/>
  <c r="I63" i="91"/>
  <c r="I63" i="1" s="1"/>
  <c r="I64" i="91"/>
  <c r="I64" i="1" s="1"/>
  <c r="I66" i="91"/>
  <c r="I66" i="1" s="1"/>
  <c r="J60" i="2"/>
  <c r="J80" i="2" s="1"/>
  <c r="K60" i="2"/>
  <c r="K80" i="2" s="1"/>
  <c r="J47" i="2"/>
  <c r="K47" i="2"/>
  <c r="J5" i="2"/>
  <c r="K5" i="2"/>
  <c r="J15" i="2"/>
  <c r="K15" i="2"/>
  <c r="J17" i="2"/>
  <c r="K17" i="2"/>
  <c r="J20" i="2"/>
  <c r="K20" i="2"/>
  <c r="J23" i="2"/>
  <c r="K23" i="2"/>
  <c r="J29" i="2"/>
  <c r="K29" i="2"/>
  <c r="J34" i="2"/>
  <c r="K34" i="2"/>
  <c r="K50" i="2" s="1"/>
  <c r="H41" i="84"/>
  <c r="I41" i="84"/>
  <c r="H35" i="84"/>
  <c r="H48" i="84" s="1"/>
  <c r="I35" i="84"/>
  <c r="H26" i="84"/>
  <c r="H31" i="84" s="1"/>
  <c r="H27" i="84"/>
  <c r="I27" i="84"/>
  <c r="H8" i="84"/>
  <c r="I8" i="84"/>
  <c r="H17" i="84"/>
  <c r="I17" i="84"/>
  <c r="H22" i="84"/>
  <c r="I22" i="84"/>
  <c r="H42" i="103"/>
  <c r="I42" i="103"/>
  <c r="H87" i="1" s="1"/>
  <c r="H36" i="103"/>
  <c r="H49" i="103" s="1"/>
  <c r="I36" i="103"/>
  <c r="I49" i="103" s="1"/>
  <c r="H27" i="103"/>
  <c r="I27" i="103"/>
  <c r="H22" i="103"/>
  <c r="H17" i="103"/>
  <c r="I17" i="103"/>
  <c r="G8" i="103"/>
  <c r="H8" i="103"/>
  <c r="I8" i="103"/>
  <c r="H89" i="3"/>
  <c r="I89" i="3"/>
  <c r="H78" i="3"/>
  <c r="I78" i="3"/>
  <c r="H69" i="3"/>
  <c r="I69" i="3"/>
  <c r="H64" i="3"/>
  <c r="H94" i="3" s="1"/>
  <c r="H99" i="3" s="1"/>
  <c r="I64" i="3"/>
  <c r="I94" i="3" s="1"/>
  <c r="I99" i="3" s="1"/>
  <c r="H55" i="3"/>
  <c r="I55" i="3"/>
  <c r="G49" i="3"/>
  <c r="H49" i="3"/>
  <c r="I49" i="3"/>
  <c r="G46" i="3"/>
  <c r="H46" i="3"/>
  <c r="I46" i="3"/>
  <c r="H34" i="3"/>
  <c r="H33" i="3" s="1"/>
  <c r="I34" i="3"/>
  <c r="I33" i="3" s="1"/>
  <c r="G24" i="3"/>
  <c r="H24" i="3"/>
  <c r="I24" i="3"/>
  <c r="G14" i="3"/>
  <c r="H14" i="3"/>
  <c r="I14" i="3"/>
  <c r="H9" i="3"/>
  <c r="I9" i="3"/>
  <c r="H8" i="3"/>
  <c r="I8" i="3"/>
  <c r="F28" i="108"/>
  <c r="G28" i="108"/>
  <c r="N18" i="78"/>
  <c r="O18" i="78"/>
  <c r="N19" i="78"/>
  <c r="O19" i="78"/>
  <c r="N29" i="78"/>
  <c r="O29" i="78"/>
  <c r="O13" i="78"/>
  <c r="N13" i="78"/>
  <c r="G13" i="78"/>
  <c r="G31" i="78" s="1"/>
  <c r="H13" i="78"/>
  <c r="H31" i="78" s="1"/>
  <c r="O31" i="61"/>
  <c r="P31" i="61"/>
  <c r="F17" i="61"/>
  <c r="I17" i="61" s="1"/>
  <c r="G31" i="61"/>
  <c r="G139" i="1" s="1"/>
  <c r="H31" i="61"/>
  <c r="O27" i="73"/>
  <c r="P27" i="73"/>
  <c r="G12" i="73"/>
  <c r="H12" i="73"/>
  <c r="G24" i="73"/>
  <c r="H24" i="73"/>
  <c r="G97" i="91"/>
  <c r="H97" i="91"/>
  <c r="H86" i="91"/>
  <c r="G73" i="91"/>
  <c r="H73" i="91"/>
  <c r="G52" i="91"/>
  <c r="H52" i="91"/>
  <c r="F46" i="91"/>
  <c r="G46" i="91"/>
  <c r="H46" i="91"/>
  <c r="F43" i="91"/>
  <c r="G43" i="91"/>
  <c r="H43" i="91"/>
  <c r="G30" i="91"/>
  <c r="H30" i="91"/>
  <c r="G21" i="91"/>
  <c r="H21" i="91"/>
  <c r="G11" i="91"/>
  <c r="H11" i="91"/>
  <c r="G6" i="91"/>
  <c r="H6" i="91"/>
  <c r="H139" i="1"/>
  <c r="G141" i="1"/>
  <c r="H141" i="1"/>
  <c r="G142" i="1"/>
  <c r="H142" i="1"/>
  <c r="G98" i="1"/>
  <c r="O11" i="73" s="1"/>
  <c r="H98" i="1"/>
  <c r="P11" i="73" s="1"/>
  <c r="G99" i="1"/>
  <c r="H99" i="1"/>
  <c r="P16" i="61" s="1"/>
  <c r="F104" i="1"/>
  <c r="G104" i="1"/>
  <c r="H104" i="1"/>
  <c r="I104" i="1"/>
  <c r="F105" i="1"/>
  <c r="G105" i="1"/>
  <c r="H105" i="1"/>
  <c r="F106" i="1"/>
  <c r="G106" i="1"/>
  <c r="H106" i="1"/>
  <c r="I106" i="1"/>
  <c r="F107" i="1"/>
  <c r="G107" i="1"/>
  <c r="H107" i="1"/>
  <c r="F108" i="1"/>
  <c r="G108" i="1"/>
  <c r="H108" i="1"/>
  <c r="I108" i="1"/>
  <c r="F109" i="1"/>
  <c r="G109" i="1"/>
  <c r="H109" i="1"/>
  <c r="F110" i="1"/>
  <c r="G110" i="1"/>
  <c r="H110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I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I119" i="1"/>
  <c r="G74" i="1"/>
  <c r="H74" i="1"/>
  <c r="G75" i="1"/>
  <c r="O7" i="73" s="1"/>
  <c r="H75" i="1"/>
  <c r="P7" i="73" s="1"/>
  <c r="G76" i="1"/>
  <c r="O8" i="73" s="1"/>
  <c r="H76" i="1"/>
  <c r="P8" i="73" s="1"/>
  <c r="G77" i="1"/>
  <c r="O9" i="73" s="1"/>
  <c r="H77" i="1"/>
  <c r="P9" i="73" s="1"/>
  <c r="G78" i="1"/>
  <c r="O10" i="73" s="1"/>
  <c r="H78" i="1"/>
  <c r="P10" i="73" s="1"/>
  <c r="F79" i="1"/>
  <c r="G79" i="1"/>
  <c r="H79" i="1"/>
  <c r="I79" i="1"/>
  <c r="F80" i="1"/>
  <c r="G80" i="1"/>
  <c r="H80" i="1"/>
  <c r="F81" i="1"/>
  <c r="G81" i="1"/>
  <c r="H81" i="1"/>
  <c r="I81" i="1"/>
  <c r="G82" i="1"/>
  <c r="H82" i="1"/>
  <c r="F83" i="1"/>
  <c r="G83" i="1"/>
  <c r="H83" i="1"/>
  <c r="F84" i="1"/>
  <c r="G84" i="1"/>
  <c r="H84" i="1"/>
  <c r="I84" i="1"/>
  <c r="G85" i="1"/>
  <c r="H85" i="1"/>
  <c r="G87" i="1"/>
  <c r="H88" i="1"/>
  <c r="P7" i="61" s="1"/>
  <c r="F89" i="1"/>
  <c r="G89" i="1"/>
  <c r="H89" i="1"/>
  <c r="I89" i="1"/>
  <c r="F90" i="1"/>
  <c r="G90" i="1"/>
  <c r="H90" i="1"/>
  <c r="I90" i="1"/>
  <c r="F91" i="1"/>
  <c r="G91" i="1"/>
  <c r="H91" i="1"/>
  <c r="I91" i="1"/>
  <c r="F92" i="1"/>
  <c r="G92" i="1"/>
  <c r="H92" i="1"/>
  <c r="I92" i="1"/>
  <c r="F93" i="1"/>
  <c r="G93" i="1"/>
  <c r="H93" i="1"/>
  <c r="I93" i="1"/>
  <c r="F94" i="1"/>
  <c r="G94" i="1"/>
  <c r="H94" i="1"/>
  <c r="I94" i="1"/>
  <c r="F95" i="1"/>
  <c r="G95" i="1"/>
  <c r="H95" i="1"/>
  <c r="I95" i="1"/>
  <c r="F96" i="1"/>
  <c r="G96" i="1"/>
  <c r="H96" i="1"/>
  <c r="I96" i="1"/>
  <c r="G54" i="1"/>
  <c r="H54" i="1"/>
  <c r="F55" i="1"/>
  <c r="G55" i="1"/>
  <c r="H55" i="1"/>
  <c r="F56" i="1"/>
  <c r="G56" i="1"/>
  <c r="H56" i="1"/>
  <c r="F57" i="1"/>
  <c r="G57" i="1"/>
  <c r="H57" i="1"/>
  <c r="I57" i="1"/>
  <c r="F58" i="1"/>
  <c r="G58" i="1"/>
  <c r="H58" i="1"/>
  <c r="F60" i="1"/>
  <c r="G60" i="1"/>
  <c r="H60" i="1"/>
  <c r="F61" i="1"/>
  <c r="G61" i="1"/>
  <c r="H61" i="1"/>
  <c r="F62" i="1"/>
  <c r="G62" i="1"/>
  <c r="H62" i="1"/>
  <c r="I62" i="1"/>
  <c r="F63" i="1"/>
  <c r="G63" i="1"/>
  <c r="H63" i="1"/>
  <c r="F64" i="1"/>
  <c r="G64" i="1"/>
  <c r="H64" i="1"/>
  <c r="F66" i="1"/>
  <c r="G66" i="1"/>
  <c r="H66" i="1"/>
  <c r="F50" i="1"/>
  <c r="G50" i="1"/>
  <c r="H50" i="1"/>
  <c r="F47" i="1"/>
  <c r="G47" i="1"/>
  <c r="G46" i="1" s="1"/>
  <c r="H47" i="1"/>
  <c r="I47" i="1"/>
  <c r="F48" i="1"/>
  <c r="G48" i="1"/>
  <c r="G7" i="61" s="1"/>
  <c r="H48" i="1"/>
  <c r="H7" i="61" s="1"/>
  <c r="F49" i="1"/>
  <c r="G49" i="1"/>
  <c r="H49" i="1"/>
  <c r="F46" i="1"/>
  <c r="H46" i="1"/>
  <c r="F44" i="1"/>
  <c r="G44" i="1"/>
  <c r="H44" i="1"/>
  <c r="I44" i="1"/>
  <c r="F45" i="1"/>
  <c r="F43" i="1" s="1"/>
  <c r="G45" i="1"/>
  <c r="H45" i="1"/>
  <c r="H43" i="1"/>
  <c r="F32" i="1"/>
  <c r="H32" i="1"/>
  <c r="F33" i="1"/>
  <c r="H33" i="1"/>
  <c r="I33" i="1"/>
  <c r="F34" i="1"/>
  <c r="H34" i="1"/>
  <c r="F35" i="1"/>
  <c r="H35" i="1"/>
  <c r="F36" i="1"/>
  <c r="G36" i="1"/>
  <c r="H36" i="1"/>
  <c r="F38" i="1"/>
  <c r="G38" i="1"/>
  <c r="H38" i="1"/>
  <c r="F39" i="1"/>
  <c r="G39" i="1"/>
  <c r="H39" i="1"/>
  <c r="I39" i="1"/>
  <c r="F40" i="1"/>
  <c r="G40" i="1"/>
  <c r="H40" i="1"/>
  <c r="F41" i="1"/>
  <c r="G41" i="1"/>
  <c r="H41" i="1"/>
  <c r="F42" i="1"/>
  <c r="G42" i="1"/>
  <c r="H42" i="1"/>
  <c r="H22" i="1"/>
  <c r="H23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20" i="1"/>
  <c r="G20" i="1"/>
  <c r="G8" i="73" s="1"/>
  <c r="H20" i="1"/>
  <c r="H8" i="73" s="1"/>
  <c r="I20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F7" i="1"/>
  <c r="G7" i="1"/>
  <c r="H7" i="1"/>
  <c r="F8" i="1"/>
  <c r="G8" i="1"/>
  <c r="H8" i="1"/>
  <c r="F9" i="1"/>
  <c r="G9" i="1"/>
  <c r="H9" i="1"/>
  <c r="I9" i="1"/>
  <c r="F10" i="1"/>
  <c r="G10" i="1"/>
  <c r="H10" i="1"/>
  <c r="Q31" i="61"/>
  <c r="H6" i="1" l="1"/>
  <c r="H6" i="73" s="1"/>
  <c r="G43" i="1"/>
  <c r="F6" i="1"/>
  <c r="I43" i="1"/>
  <c r="H11" i="1"/>
  <c r="H7" i="73" s="1"/>
  <c r="I46" i="1"/>
  <c r="G6" i="1"/>
  <c r="G6" i="73" s="1"/>
  <c r="G5" i="91"/>
  <c r="I26" i="84"/>
  <c r="I31" i="84" s="1"/>
  <c r="J40" i="3"/>
  <c r="H28" i="108"/>
  <c r="H97" i="1"/>
  <c r="H101" i="91"/>
  <c r="H120" i="91" s="1"/>
  <c r="H122" i="91" s="1"/>
  <c r="H54" i="3"/>
  <c r="H59" i="3" s="1"/>
  <c r="H26" i="103"/>
  <c r="H32" i="103" s="1"/>
  <c r="I48" i="84"/>
  <c r="L93" i="2"/>
  <c r="L103" i="2"/>
  <c r="G11" i="1"/>
  <c r="H21" i="1"/>
  <c r="H9" i="73" s="1"/>
  <c r="G21" i="1"/>
  <c r="G9" i="73" s="1"/>
  <c r="O31" i="78"/>
  <c r="G7" i="73"/>
  <c r="G97" i="1"/>
  <c r="H5" i="91"/>
  <c r="H51" i="91"/>
  <c r="I54" i="3"/>
  <c r="I59" i="3" s="1"/>
  <c r="I26" i="103"/>
  <c r="I32" i="103" s="1"/>
  <c r="I52" i="92"/>
  <c r="G52" i="92"/>
  <c r="I30" i="92"/>
  <c r="I51" i="92" s="1"/>
  <c r="I126" i="92" s="1"/>
  <c r="G30" i="92"/>
  <c r="G51" i="92" s="1"/>
  <c r="G126" i="92" s="1"/>
  <c r="G31" i="1"/>
  <c r="G10" i="73" s="1"/>
  <c r="I5" i="92"/>
  <c r="G5" i="92"/>
  <c r="I102" i="92"/>
  <c r="I120" i="92" s="1"/>
  <c r="I122" i="92" s="1"/>
  <c r="G102" i="92"/>
  <c r="G120" i="92" s="1"/>
  <c r="G122" i="92" s="1"/>
  <c r="H52" i="92"/>
  <c r="F52" i="92"/>
  <c r="H30" i="92"/>
  <c r="H51" i="92" s="1"/>
  <c r="H126" i="92" s="1"/>
  <c r="F30" i="92"/>
  <c r="F51" i="92" s="1"/>
  <c r="F126" i="92" s="1"/>
  <c r="H5" i="92"/>
  <c r="F5" i="92"/>
  <c r="H102" i="92"/>
  <c r="H120" i="92" s="1"/>
  <c r="H122" i="92" s="1"/>
  <c r="F102" i="92"/>
  <c r="F120" i="92" s="1"/>
  <c r="F122" i="92" s="1"/>
  <c r="N31" i="78"/>
  <c r="G51" i="91"/>
  <c r="K16" i="2"/>
  <c r="K32" i="2" s="1"/>
  <c r="K82" i="2" s="1"/>
  <c r="J16" i="2"/>
  <c r="J32" i="2" s="1"/>
  <c r="J50" i="2"/>
  <c r="H86" i="1"/>
  <c r="H73" i="1"/>
  <c r="G73" i="1"/>
  <c r="H111" i="1"/>
  <c r="G111" i="1"/>
  <c r="F111" i="1"/>
  <c r="H103" i="1"/>
  <c r="H102" i="1" s="1"/>
  <c r="G103" i="1"/>
  <c r="F103" i="1"/>
  <c r="F102" i="1" s="1"/>
  <c r="P6" i="73"/>
  <c r="P18" i="73" s="1"/>
  <c r="P28" i="73" s="1"/>
  <c r="P30" i="73" s="1"/>
  <c r="O6" i="73"/>
  <c r="O18" i="73" s="1"/>
  <c r="O28" i="73" s="1"/>
  <c r="O30" i="73" s="1"/>
  <c r="P6" i="61"/>
  <c r="P18" i="61" s="1"/>
  <c r="P32" i="61" s="1"/>
  <c r="P34" i="61" s="1"/>
  <c r="H65" i="92"/>
  <c r="H67" i="92" s="1"/>
  <c r="G65" i="92"/>
  <c r="G67" i="92" s="1"/>
  <c r="F65" i="92"/>
  <c r="F67" i="92" s="1"/>
  <c r="H37" i="1"/>
  <c r="H13" i="61" s="1"/>
  <c r="H18" i="61" s="1"/>
  <c r="G37" i="1"/>
  <c r="G13" i="61" s="1"/>
  <c r="G18" i="61" s="1"/>
  <c r="F37" i="1"/>
  <c r="H31" i="1"/>
  <c r="H10" i="73" s="1"/>
  <c r="F31" i="1"/>
  <c r="F30" i="1" s="1"/>
  <c r="H59" i="1"/>
  <c r="G59" i="1"/>
  <c r="F59" i="1"/>
  <c r="H53" i="1"/>
  <c r="G53" i="1"/>
  <c r="H19" i="73"/>
  <c r="H27" i="73" s="1"/>
  <c r="G20" i="73"/>
  <c r="G19" i="73" s="1"/>
  <c r="G27" i="73" s="1"/>
  <c r="I111" i="1"/>
  <c r="I103" i="1"/>
  <c r="I37" i="1"/>
  <c r="I31" i="1"/>
  <c r="I59" i="1"/>
  <c r="H52" i="1"/>
  <c r="F15" i="73"/>
  <c r="I15" i="73" s="1"/>
  <c r="F20" i="61"/>
  <c r="I20" i="61" s="1"/>
  <c r="F54" i="91"/>
  <c r="F23" i="91"/>
  <c r="F24" i="91"/>
  <c r="F22" i="91"/>
  <c r="G66" i="3"/>
  <c r="G65" i="3"/>
  <c r="J65" i="3" s="1"/>
  <c r="G93" i="3"/>
  <c r="J93" i="3" s="1"/>
  <c r="F99" i="91"/>
  <c r="F98" i="91"/>
  <c r="G80" i="3"/>
  <c r="J80" i="3" s="1"/>
  <c r="G67" i="3"/>
  <c r="F76" i="91" s="1"/>
  <c r="F76" i="1" s="1"/>
  <c r="F85" i="91"/>
  <c r="F82" i="91"/>
  <c r="F82" i="1" s="1"/>
  <c r="H5" i="1" l="1"/>
  <c r="G102" i="1"/>
  <c r="H101" i="1"/>
  <c r="H120" i="1" s="1"/>
  <c r="H122" i="1" s="1"/>
  <c r="P39" i="61"/>
  <c r="H18" i="73"/>
  <c r="H31" i="73" s="1"/>
  <c r="H30" i="1"/>
  <c r="H51" i="1" s="1"/>
  <c r="H65" i="1" s="1"/>
  <c r="H67" i="1" s="1"/>
  <c r="G5" i="1"/>
  <c r="G52" i="1"/>
  <c r="I102" i="1"/>
  <c r="I65" i="92"/>
  <c r="I67" i="92" s="1"/>
  <c r="G30" i="1"/>
  <c r="G51" i="1" s="1"/>
  <c r="G65" i="1" s="1"/>
  <c r="G67" i="1" s="1"/>
  <c r="I30" i="1"/>
  <c r="G18" i="73"/>
  <c r="G31" i="73" s="1"/>
  <c r="H65" i="91"/>
  <c r="H67" i="91" s="1"/>
  <c r="H126" i="91"/>
  <c r="F85" i="1"/>
  <c r="I85" i="91"/>
  <c r="I85" i="1" s="1"/>
  <c r="F99" i="1"/>
  <c r="I99" i="91"/>
  <c r="I99" i="1" s="1"/>
  <c r="F21" i="91"/>
  <c r="F22" i="1"/>
  <c r="I23" i="91"/>
  <c r="I23" i="1" s="1"/>
  <c r="F23" i="1"/>
  <c r="I98" i="91"/>
  <c r="I98" i="1" s="1"/>
  <c r="F98" i="1"/>
  <c r="F97" i="1" s="1"/>
  <c r="F75" i="91"/>
  <c r="F75" i="1" s="1"/>
  <c r="J66" i="3"/>
  <c r="I24" i="91"/>
  <c r="I24" i="1" s="1"/>
  <c r="F24" i="1"/>
  <c r="I54" i="91"/>
  <c r="I54" i="1" s="1"/>
  <c r="I53" i="1" s="1"/>
  <c r="I52" i="1" s="1"/>
  <c r="F54" i="1"/>
  <c r="F53" i="1" s="1"/>
  <c r="F52" i="1" s="1"/>
  <c r="F31" i="61"/>
  <c r="G65" i="91"/>
  <c r="J82" i="2"/>
  <c r="G140" i="1"/>
  <c r="H140" i="1"/>
  <c r="G32" i="61"/>
  <c r="G34" i="61" s="1"/>
  <c r="G35" i="61"/>
  <c r="P35" i="61"/>
  <c r="P36" i="61"/>
  <c r="H32" i="61"/>
  <c r="H34" i="61" s="1"/>
  <c r="H35" i="61"/>
  <c r="G137" i="1"/>
  <c r="H137" i="1"/>
  <c r="G138" i="1"/>
  <c r="H138" i="1"/>
  <c r="D8" i="64"/>
  <c r="H32" i="73" l="1"/>
  <c r="H130" i="1" s="1"/>
  <c r="P32" i="73"/>
  <c r="P31" i="73"/>
  <c r="H28" i="73"/>
  <c r="H30" i="73" s="1"/>
  <c r="H39" i="61" s="1"/>
  <c r="O31" i="73"/>
  <c r="O32" i="73"/>
  <c r="H126" i="1"/>
  <c r="G28" i="73"/>
  <c r="G30" i="73" s="1"/>
  <c r="G39" i="61" s="1"/>
  <c r="G32" i="73"/>
  <c r="G130" i="1" s="1"/>
  <c r="H136" i="1"/>
  <c r="G136" i="1"/>
  <c r="I97" i="1"/>
  <c r="F21" i="1"/>
  <c r="G67" i="91"/>
  <c r="H36" i="61"/>
  <c r="H131" i="1" s="1"/>
  <c r="F33" i="104"/>
  <c r="G33" i="104"/>
  <c r="H33" i="104"/>
  <c r="I33" i="104"/>
  <c r="E33" i="104"/>
  <c r="J8" i="104"/>
  <c r="J9" i="104"/>
  <c r="J10" i="104"/>
  <c r="J11" i="104"/>
  <c r="J12" i="104"/>
  <c r="J13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7" i="104"/>
  <c r="J28" i="104"/>
  <c r="J29" i="104"/>
  <c r="J30" i="104"/>
  <c r="J7" i="104"/>
  <c r="J33" i="104" l="1"/>
  <c r="H132" i="1"/>
  <c r="L6" i="78"/>
  <c r="L7" i="78"/>
  <c r="M19" i="78"/>
  <c r="M18" i="78"/>
  <c r="L19" i="78"/>
  <c r="L18" i="78"/>
  <c r="E28" i="108" l="1"/>
  <c r="G93" i="2" l="1"/>
  <c r="I6" i="61" l="1"/>
  <c r="J60" i="3"/>
  <c r="I17" i="2"/>
  <c r="I5" i="2"/>
  <c r="F141" i="1" l="1"/>
  <c r="I141" i="1"/>
  <c r="F142" i="1"/>
  <c r="I142" i="1"/>
  <c r="I77" i="2"/>
  <c r="I74" i="2"/>
  <c r="I68" i="2"/>
  <c r="I65" i="2"/>
  <c r="I62" i="2"/>
  <c r="I61" i="2" s="1"/>
  <c r="I51" i="2"/>
  <c r="I47" i="2"/>
  <c r="I34" i="2"/>
  <c r="I29" i="2"/>
  <c r="I23" i="2"/>
  <c r="I20" i="2"/>
  <c r="I15" i="2"/>
  <c r="F23" i="70"/>
  <c r="G41" i="84"/>
  <c r="G35" i="84"/>
  <c r="G27" i="84"/>
  <c r="G22" i="84"/>
  <c r="G17" i="84"/>
  <c r="G8" i="84"/>
  <c r="G42" i="103"/>
  <c r="G36" i="103"/>
  <c r="G27" i="103"/>
  <c r="G22" i="103"/>
  <c r="G17" i="103"/>
  <c r="G95" i="3"/>
  <c r="G89" i="3"/>
  <c r="G78" i="3"/>
  <c r="G69" i="3"/>
  <c r="G55" i="3"/>
  <c r="G40" i="3"/>
  <c r="G34" i="3"/>
  <c r="G33" i="3" s="1"/>
  <c r="G9" i="3"/>
  <c r="D28" i="108"/>
  <c r="M7" i="78"/>
  <c r="P7" i="78" s="1"/>
  <c r="M6" i="78"/>
  <c r="P6" i="78" s="1"/>
  <c r="M5" i="78"/>
  <c r="F13" i="78"/>
  <c r="N31" i="61"/>
  <c r="F139" i="1"/>
  <c r="Q27" i="73"/>
  <c r="N27" i="73"/>
  <c r="I24" i="73"/>
  <c r="I12" i="73"/>
  <c r="F24" i="73"/>
  <c r="F12" i="73"/>
  <c r="I111" i="93"/>
  <c r="I103" i="93"/>
  <c r="I97" i="93"/>
  <c r="I86" i="93"/>
  <c r="I73" i="93"/>
  <c r="I59" i="93"/>
  <c r="I53" i="93"/>
  <c r="I46" i="93"/>
  <c r="I43" i="93"/>
  <c r="I37" i="93"/>
  <c r="I31" i="93"/>
  <c r="I21" i="93"/>
  <c r="I11" i="93"/>
  <c r="I6" i="93"/>
  <c r="I5" i="93" s="1"/>
  <c r="F111" i="93"/>
  <c r="F103" i="93"/>
  <c r="F97" i="93"/>
  <c r="F86" i="93"/>
  <c r="F73" i="93"/>
  <c r="F59" i="93"/>
  <c r="F53" i="93"/>
  <c r="F46" i="93"/>
  <c r="F43" i="93"/>
  <c r="F37" i="93"/>
  <c r="F31" i="93"/>
  <c r="F21" i="93"/>
  <c r="F11" i="93"/>
  <c r="F6" i="93"/>
  <c r="F5" i="93" s="1"/>
  <c r="F111" i="91"/>
  <c r="F103" i="91"/>
  <c r="F97" i="91"/>
  <c r="F78" i="91"/>
  <c r="F78" i="1" s="1"/>
  <c r="N10" i="73" s="1"/>
  <c r="F77" i="91"/>
  <c r="F77" i="1" s="1"/>
  <c r="N7" i="73"/>
  <c r="F74" i="91"/>
  <c r="F74" i="1" s="1"/>
  <c r="F59" i="91"/>
  <c r="F53" i="91"/>
  <c r="F37" i="91"/>
  <c r="F31" i="91"/>
  <c r="F19" i="91"/>
  <c r="F19" i="1" s="1"/>
  <c r="F18" i="91"/>
  <c r="F18" i="1" s="1"/>
  <c r="F17" i="91"/>
  <c r="F17" i="1" s="1"/>
  <c r="F16" i="91"/>
  <c r="F16" i="1" s="1"/>
  <c r="F15" i="91"/>
  <c r="F15" i="1" s="1"/>
  <c r="F14" i="91"/>
  <c r="F14" i="1" s="1"/>
  <c r="F13" i="91"/>
  <c r="F13" i="1" s="1"/>
  <c r="F12" i="91"/>
  <c r="F6" i="91"/>
  <c r="Q16" i="61"/>
  <c r="I7" i="61"/>
  <c r="I8" i="73"/>
  <c r="N16" i="61"/>
  <c r="N9" i="73"/>
  <c r="N8" i="73"/>
  <c r="F7" i="61"/>
  <c r="F9" i="73"/>
  <c r="F8" i="73"/>
  <c r="I34" i="107"/>
  <c r="I33" i="107"/>
  <c r="I32" i="107"/>
  <c r="I31" i="107"/>
  <c r="I30" i="107"/>
  <c r="H29" i="107"/>
  <c r="H35" i="107" s="1"/>
  <c r="G29" i="107"/>
  <c r="G35" i="107" s="1"/>
  <c r="F29" i="107"/>
  <c r="F35" i="107" s="1"/>
  <c r="E29" i="107"/>
  <c r="E35" i="107" s="1"/>
  <c r="D29" i="107"/>
  <c r="D35" i="107" s="1"/>
  <c r="C29" i="107"/>
  <c r="C35" i="107" s="1"/>
  <c r="B29" i="107"/>
  <c r="B35" i="107" s="1"/>
  <c r="I27" i="107"/>
  <c r="I26" i="107"/>
  <c r="F52" i="91" l="1"/>
  <c r="F73" i="1"/>
  <c r="F30" i="93"/>
  <c r="I30" i="93"/>
  <c r="F12" i="1"/>
  <c r="F11" i="1" s="1"/>
  <c r="F7" i="73" s="1"/>
  <c r="F11" i="91"/>
  <c r="F5" i="91" s="1"/>
  <c r="F30" i="91"/>
  <c r="F102" i="91"/>
  <c r="F102" i="93"/>
  <c r="I102" i="93"/>
  <c r="M13" i="78"/>
  <c r="G8" i="3"/>
  <c r="G54" i="3"/>
  <c r="G59" i="3" s="1"/>
  <c r="F51" i="91"/>
  <c r="F65" i="91" s="1"/>
  <c r="F67" i="91" s="1"/>
  <c r="N11" i="73"/>
  <c r="F6" i="73"/>
  <c r="F13" i="61"/>
  <c r="F18" i="61" s="1"/>
  <c r="F32" i="61" s="1"/>
  <c r="F34" i="61" s="1"/>
  <c r="I13" i="61"/>
  <c r="I18" i="61" s="1"/>
  <c r="I140" i="1"/>
  <c r="F137" i="1"/>
  <c r="F20" i="73"/>
  <c r="I137" i="1"/>
  <c r="F73" i="91"/>
  <c r="F52" i="93"/>
  <c r="F101" i="93"/>
  <c r="F120" i="93" s="1"/>
  <c r="F122" i="93" s="1"/>
  <c r="I52" i="93"/>
  <c r="I101" i="93"/>
  <c r="I73" i="2"/>
  <c r="I60" i="2" s="1"/>
  <c r="I80" i="2" s="1"/>
  <c r="N6" i="73"/>
  <c r="N18" i="73" s="1"/>
  <c r="N28" i="73" s="1"/>
  <c r="N30" i="73" s="1"/>
  <c r="I10" i="73"/>
  <c r="F51" i="93"/>
  <c r="I51" i="93"/>
  <c r="G64" i="3"/>
  <c r="I16" i="2"/>
  <c r="I32" i="2" s="1"/>
  <c r="F31" i="78"/>
  <c r="G49" i="103"/>
  <c r="G26" i="103"/>
  <c r="G48" i="84"/>
  <c r="G26" i="84"/>
  <c r="I50" i="2"/>
  <c r="I29" i="107"/>
  <c r="I35" i="107" s="1"/>
  <c r="I136" i="1" l="1"/>
  <c r="F65" i="93"/>
  <c r="F67" i="93" s="1"/>
  <c r="I120" i="93"/>
  <c r="I122" i="93" s="1"/>
  <c r="G94" i="3"/>
  <c r="G99" i="3" s="1"/>
  <c r="F126" i="93"/>
  <c r="F5" i="1"/>
  <c r="F51" i="1"/>
  <c r="F65" i="1" s="1"/>
  <c r="F67" i="1" s="1"/>
  <c r="I35" i="61"/>
  <c r="I126" i="93"/>
  <c r="I65" i="93"/>
  <c r="I67" i="93" s="1"/>
  <c r="F140" i="1"/>
  <c r="F136" i="1" s="1"/>
  <c r="F19" i="73"/>
  <c r="F35" i="61"/>
  <c r="F10" i="73"/>
  <c r="F18" i="73" s="1"/>
  <c r="I82" i="2"/>
  <c r="G32" i="103"/>
  <c r="G31" i="84"/>
  <c r="C28" i="109"/>
  <c r="L18" i="24"/>
  <c r="E18" i="24"/>
  <c r="F18" i="24"/>
  <c r="D18" i="24"/>
  <c r="C18" i="24"/>
  <c r="C20" i="24"/>
  <c r="D19" i="24"/>
  <c r="E19" i="24"/>
  <c r="F19" i="24"/>
  <c r="G19" i="24"/>
  <c r="H19" i="24"/>
  <c r="I19" i="24"/>
  <c r="J19" i="24"/>
  <c r="K19" i="24"/>
  <c r="L19" i="24"/>
  <c r="M19" i="24"/>
  <c r="C19" i="24"/>
  <c r="G18" i="24"/>
  <c r="H18" i="24"/>
  <c r="I18" i="24"/>
  <c r="J18" i="24"/>
  <c r="K18" i="24"/>
  <c r="M18" i="24"/>
  <c r="N18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G9" i="24"/>
  <c r="H9" i="24"/>
  <c r="I9" i="24"/>
  <c r="J9" i="24"/>
  <c r="K9" i="24"/>
  <c r="L9" i="24"/>
  <c r="M9" i="24"/>
  <c r="N9" i="24"/>
  <c r="D8" i="24"/>
  <c r="E8" i="24"/>
  <c r="F8" i="24"/>
  <c r="G8" i="24"/>
  <c r="H8" i="24"/>
  <c r="I8" i="24"/>
  <c r="J8" i="24"/>
  <c r="K8" i="24"/>
  <c r="L8" i="24"/>
  <c r="M8" i="24"/>
  <c r="N8" i="24"/>
  <c r="C8" i="24"/>
  <c r="N5" i="24"/>
  <c r="M5" i="24"/>
  <c r="L5" i="24"/>
  <c r="K5" i="24"/>
  <c r="J5" i="24"/>
  <c r="I5" i="24"/>
  <c r="H5" i="24"/>
  <c r="G5" i="24"/>
  <c r="F5" i="24"/>
  <c r="E5" i="24"/>
  <c r="D5" i="24"/>
  <c r="C5" i="24"/>
  <c r="P2" i="24"/>
  <c r="E82" i="91"/>
  <c r="I82" i="91" s="1"/>
  <c r="I82" i="1" s="1"/>
  <c r="F67" i="3"/>
  <c r="J67" i="3" s="1"/>
  <c r="E15" i="109"/>
  <c r="D48" i="91"/>
  <c r="D19" i="91"/>
  <c r="D14" i="91"/>
  <c r="D16" i="91"/>
  <c r="D17" i="91"/>
  <c r="D18" i="91"/>
  <c r="D54" i="91"/>
  <c r="D76" i="91"/>
  <c r="C121" i="1"/>
  <c r="K29" i="73" s="1"/>
  <c r="D66" i="91"/>
  <c r="D66" i="1" s="1"/>
  <c r="D29" i="73" s="1"/>
  <c r="D121" i="91"/>
  <c r="D121" i="1" s="1"/>
  <c r="L29" i="73" s="1"/>
  <c r="D87" i="91"/>
  <c r="E78" i="3"/>
  <c r="E25" i="3"/>
  <c r="E12" i="73"/>
  <c r="R39" i="61"/>
  <c r="E22" i="91"/>
  <c r="F25" i="3"/>
  <c r="J25" i="3" s="1"/>
  <c r="F32" i="73" l="1"/>
  <c r="F130" i="1" s="1"/>
  <c r="I22" i="91"/>
  <c r="I22" i="1" s="1"/>
  <c r="I21" i="1" s="1"/>
  <c r="I9" i="73" s="1"/>
  <c r="F27" i="73"/>
  <c r="N31" i="73"/>
  <c r="N32" i="73"/>
  <c r="F31" i="73"/>
  <c r="E76" i="91"/>
  <c r="E82" i="1"/>
  <c r="D28" i="109"/>
  <c r="D12" i="109" s="1"/>
  <c r="D15" i="109" s="1"/>
  <c r="E28" i="109"/>
  <c r="I76" i="91" l="1"/>
  <c r="I76" i="1" s="1"/>
  <c r="Q8" i="73" s="1"/>
  <c r="F138" i="1"/>
  <c r="F28" i="73"/>
  <c r="F30" i="73" s="1"/>
  <c r="F39" i="61" s="1"/>
  <c r="H23" i="2"/>
  <c r="L23" i="2" s="1"/>
  <c r="C20" i="78" l="1"/>
  <c r="L5" i="78"/>
  <c r="P5" i="78" s="1"/>
  <c r="D20" i="78"/>
  <c r="D24" i="78"/>
  <c r="H5" i="2" l="1"/>
  <c r="L5" i="2" s="1"/>
  <c r="H19" i="2"/>
  <c r="L19" i="2" s="1"/>
  <c r="E31" i="61"/>
  <c r="I31" i="61" s="1"/>
  <c r="E19" i="73"/>
  <c r="I27" i="73" s="1"/>
  <c r="I138" i="1" s="1"/>
  <c r="E24" i="73"/>
  <c r="D78" i="91"/>
  <c r="E75" i="91"/>
  <c r="E77" i="91"/>
  <c r="E74" i="91"/>
  <c r="I74" i="91" s="1"/>
  <c r="I74" i="1" s="1"/>
  <c r="E15" i="91"/>
  <c r="I15" i="91" s="1"/>
  <c r="I15" i="1" s="1"/>
  <c r="E16" i="91"/>
  <c r="I16" i="91" s="1"/>
  <c r="I16" i="1" s="1"/>
  <c r="E17" i="91"/>
  <c r="I17" i="91" s="1"/>
  <c r="I17" i="1" s="1"/>
  <c r="E18" i="91"/>
  <c r="I18" i="91" s="1"/>
  <c r="I18" i="1" s="1"/>
  <c r="E19" i="91"/>
  <c r="I19" i="91" s="1"/>
  <c r="I19" i="1" s="1"/>
  <c r="E12" i="91"/>
  <c r="I12" i="91" s="1"/>
  <c r="I12" i="1" s="1"/>
  <c r="E13" i="91"/>
  <c r="I13" i="91" s="1"/>
  <c r="I13" i="1" s="1"/>
  <c r="E14" i="91"/>
  <c r="I14" i="91" s="1"/>
  <c r="I14" i="1" s="1"/>
  <c r="C87" i="91"/>
  <c r="C84" i="91"/>
  <c r="C78" i="91" s="1"/>
  <c r="C77" i="91"/>
  <c r="D12" i="84"/>
  <c r="E12" i="84"/>
  <c r="D15" i="91" s="1"/>
  <c r="D39" i="103"/>
  <c r="D98" i="3"/>
  <c r="D67" i="3"/>
  <c r="C76" i="91" s="1"/>
  <c r="D66" i="3"/>
  <c r="C75" i="91" s="1"/>
  <c r="D65" i="3"/>
  <c r="C74" i="91" s="1"/>
  <c r="D93" i="3"/>
  <c r="D17" i="3"/>
  <c r="D21" i="3"/>
  <c r="D20" i="3"/>
  <c r="D19" i="3"/>
  <c r="D18" i="3"/>
  <c r="D40" i="3"/>
  <c r="E40" i="3"/>
  <c r="F40" i="3"/>
  <c r="D89" i="91"/>
  <c r="E78" i="91"/>
  <c r="I78" i="91" l="1"/>
  <c r="I78" i="1" s="1"/>
  <c r="Q10" i="73" s="1"/>
  <c r="I77" i="91"/>
  <c r="I77" i="1" s="1"/>
  <c r="Q9" i="73" s="1"/>
  <c r="I11" i="1"/>
  <c r="I75" i="91"/>
  <c r="I75" i="1" s="1"/>
  <c r="Q7" i="73" s="1"/>
  <c r="I139" i="1"/>
  <c r="I32" i="61"/>
  <c r="I34" i="61" s="1"/>
  <c r="I7" i="73"/>
  <c r="Q6" i="73"/>
  <c r="E27" i="73"/>
  <c r="I73" i="1" l="1"/>
  <c r="C10" i="91"/>
  <c r="C22" i="91"/>
  <c r="C24" i="91"/>
  <c r="C23" i="91"/>
  <c r="C29" i="91"/>
  <c r="C15" i="91"/>
  <c r="C16" i="91"/>
  <c r="C20" i="91"/>
  <c r="C60" i="91"/>
  <c r="C61" i="91"/>
  <c r="D9" i="91"/>
  <c r="E7" i="91"/>
  <c r="I7" i="91" s="1"/>
  <c r="I7" i="1" s="1"/>
  <c r="I6" i="1" s="1"/>
  <c r="I5" i="1" l="1"/>
  <c r="I51" i="1"/>
  <c r="I6" i="73"/>
  <c r="I18" i="73" s="1"/>
  <c r="D7" i="91"/>
  <c r="I65" i="1" l="1"/>
  <c r="I67" i="1" s="1"/>
  <c r="I31" i="73"/>
  <c r="I32" i="73"/>
  <c r="I130" i="1" s="1"/>
  <c r="I28" i="73"/>
  <c r="I30" i="73" s="1"/>
  <c r="I39" i="61" s="1"/>
  <c r="I16" i="107"/>
  <c r="I17" i="107"/>
  <c r="C12" i="107" l="1"/>
  <c r="D12" i="107"/>
  <c r="E12" i="107"/>
  <c r="F12" i="107"/>
  <c r="G12" i="107"/>
  <c r="H12" i="107"/>
  <c r="B12" i="107"/>
  <c r="E139" i="1"/>
  <c r="E138" i="1"/>
  <c r="D77" i="91"/>
  <c r="D75" i="91"/>
  <c r="D74" i="91"/>
  <c r="D7" i="70" l="1"/>
  <c r="E23" i="70"/>
  <c r="I23" i="70" s="1"/>
  <c r="E27" i="103" l="1"/>
  <c r="F27" i="103"/>
  <c r="J27" i="103" s="1"/>
  <c r="F78" i="3"/>
  <c r="J78" i="3" s="1"/>
  <c r="D78" i="3"/>
  <c r="H77" i="2"/>
  <c r="L77" i="2" s="1"/>
  <c r="H74" i="2"/>
  <c r="L74" i="2" s="1"/>
  <c r="H68" i="2"/>
  <c r="L68" i="2" s="1"/>
  <c r="H65" i="2"/>
  <c r="L65" i="2" s="1"/>
  <c r="H62" i="2"/>
  <c r="L62" i="2" s="1"/>
  <c r="H51" i="2"/>
  <c r="L51" i="2" s="1"/>
  <c r="H47" i="2"/>
  <c r="L47" i="2" s="1"/>
  <c r="H34" i="2"/>
  <c r="L34" i="2" s="1"/>
  <c r="H29" i="2"/>
  <c r="L29" i="2" s="1"/>
  <c r="H20" i="2"/>
  <c r="L20" i="2" s="1"/>
  <c r="H17" i="2"/>
  <c r="L17" i="2" s="1"/>
  <c r="H15" i="2"/>
  <c r="L15" i="2" s="1"/>
  <c r="G77" i="2"/>
  <c r="G74" i="2"/>
  <c r="G68" i="2"/>
  <c r="G65" i="2"/>
  <c r="G62" i="2"/>
  <c r="G51" i="2"/>
  <c r="G47" i="2"/>
  <c r="G50" i="2" s="1"/>
  <c r="G29" i="2"/>
  <c r="G26" i="2"/>
  <c r="G23" i="2"/>
  <c r="G20" i="2"/>
  <c r="G17" i="2"/>
  <c r="G6" i="2"/>
  <c r="G5" i="2" s="1"/>
  <c r="G15" i="2" s="1"/>
  <c r="F14" i="3"/>
  <c r="J14" i="3" s="1"/>
  <c r="D13" i="78"/>
  <c r="E13" i="78"/>
  <c r="I13" i="78" s="1"/>
  <c r="D29" i="78"/>
  <c r="D31" i="78" s="1"/>
  <c r="F9" i="3"/>
  <c r="J9" i="3" s="1"/>
  <c r="F41" i="84"/>
  <c r="J41" i="84" s="1"/>
  <c r="F35" i="84"/>
  <c r="J35" i="84" s="1"/>
  <c r="F27" i="84"/>
  <c r="J27" i="84" s="1"/>
  <c r="F22" i="84"/>
  <c r="J22" i="84" s="1"/>
  <c r="F17" i="84"/>
  <c r="J17" i="84" s="1"/>
  <c r="F8" i="84"/>
  <c r="J8" i="84" s="1"/>
  <c r="F42" i="103"/>
  <c r="J42" i="103" s="1"/>
  <c r="F36" i="103"/>
  <c r="J36" i="103" s="1"/>
  <c r="F22" i="103"/>
  <c r="J22" i="103" s="1"/>
  <c r="F17" i="103"/>
  <c r="J17" i="103" s="1"/>
  <c r="F8" i="103"/>
  <c r="J8" i="103" s="1"/>
  <c r="F95" i="3"/>
  <c r="J95" i="3" s="1"/>
  <c r="F89" i="3"/>
  <c r="J89" i="3" s="1"/>
  <c r="F69" i="3"/>
  <c r="J69" i="3" s="1"/>
  <c r="F55" i="3"/>
  <c r="J55" i="3" s="1"/>
  <c r="F49" i="3"/>
  <c r="J49" i="3" s="1"/>
  <c r="F46" i="3"/>
  <c r="J46" i="3" s="1"/>
  <c r="F34" i="3"/>
  <c r="J34" i="3" s="1"/>
  <c r="F24" i="3"/>
  <c r="J24" i="3" s="1"/>
  <c r="K19" i="78"/>
  <c r="K18" i="78"/>
  <c r="M29" i="78" s="1"/>
  <c r="M31" i="78" s="1"/>
  <c r="K7" i="78"/>
  <c r="K6" i="78"/>
  <c r="K5" i="78"/>
  <c r="M31" i="61"/>
  <c r="M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1" i="91"/>
  <c r="I111" i="91" s="1"/>
  <c r="E103" i="91"/>
  <c r="I103" i="91" s="1"/>
  <c r="E97" i="91"/>
  <c r="I97" i="91" s="1"/>
  <c r="E86" i="91"/>
  <c r="E77" i="1"/>
  <c r="E75" i="1"/>
  <c r="E59" i="91"/>
  <c r="I59" i="91" s="1"/>
  <c r="E53" i="91"/>
  <c r="I53" i="91" s="1"/>
  <c r="E46" i="91"/>
  <c r="I46" i="91" s="1"/>
  <c r="E43" i="91"/>
  <c r="I43" i="91" s="1"/>
  <c r="E37" i="91"/>
  <c r="I37" i="91" s="1"/>
  <c r="E31" i="91"/>
  <c r="I31" i="91" s="1"/>
  <c r="E21" i="91"/>
  <c r="I21" i="91" s="1"/>
  <c r="E11" i="91"/>
  <c r="I11" i="91" s="1"/>
  <c r="E6" i="91"/>
  <c r="I6" i="91" s="1"/>
  <c r="E142" i="1"/>
  <c r="E141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M16" i="61" s="1"/>
  <c r="E98" i="1"/>
  <c r="M11" i="73" s="1"/>
  <c r="E96" i="1"/>
  <c r="E95" i="1"/>
  <c r="E94" i="1"/>
  <c r="E93" i="1"/>
  <c r="E92" i="1"/>
  <c r="E91" i="1"/>
  <c r="E90" i="1"/>
  <c r="E89" i="1"/>
  <c r="E88" i="1"/>
  <c r="M7" i="61" s="1"/>
  <c r="E87" i="1"/>
  <c r="E85" i="1"/>
  <c r="E84" i="1"/>
  <c r="E83" i="1"/>
  <c r="E81" i="1"/>
  <c r="E80" i="1"/>
  <c r="E79" i="1"/>
  <c r="E78" i="1"/>
  <c r="E76" i="1"/>
  <c r="E74" i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20" i="73"/>
  <c r="D19" i="73" s="1"/>
  <c r="D99" i="1"/>
  <c r="D19" i="1"/>
  <c r="D77" i="1"/>
  <c r="D74" i="1"/>
  <c r="L6" i="73" s="1"/>
  <c r="D7" i="1"/>
  <c r="D69" i="3"/>
  <c r="D64" i="3" s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8" i="1"/>
  <c r="D96" i="1"/>
  <c r="D95" i="1"/>
  <c r="D94" i="1"/>
  <c r="D93" i="1"/>
  <c r="D92" i="1"/>
  <c r="D91" i="1"/>
  <c r="D90" i="1"/>
  <c r="D89" i="1"/>
  <c r="D85" i="1"/>
  <c r="D84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20" i="61" s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111" i="91"/>
  <c r="D103" i="91"/>
  <c r="D97" i="91"/>
  <c r="D88" i="1"/>
  <c r="L7" i="61" s="1"/>
  <c r="D86" i="91"/>
  <c r="D76" i="1"/>
  <c r="L8" i="73" s="1"/>
  <c r="D75" i="1"/>
  <c r="L7" i="73" s="1"/>
  <c r="D59" i="91"/>
  <c r="D53" i="91"/>
  <c r="D46" i="91"/>
  <c r="D43" i="91"/>
  <c r="D37" i="91"/>
  <c r="D36" i="1"/>
  <c r="D21" i="9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L27" i="73"/>
  <c r="D141" i="1" s="1"/>
  <c r="D24" i="73"/>
  <c r="L31" i="61"/>
  <c r="D142" i="1" s="1"/>
  <c r="D25" i="61"/>
  <c r="E95" i="3"/>
  <c r="E89" i="3"/>
  <c r="E55" i="3"/>
  <c r="E49" i="3"/>
  <c r="E46" i="3"/>
  <c r="E34" i="3"/>
  <c r="E24" i="3"/>
  <c r="E14" i="3"/>
  <c r="E9" i="3"/>
  <c r="E42" i="103"/>
  <c r="E36" i="103"/>
  <c r="E22" i="103"/>
  <c r="E17" i="103"/>
  <c r="E8" i="103"/>
  <c r="E41" i="84"/>
  <c r="E35" i="84"/>
  <c r="E27" i="84"/>
  <c r="E22" i="84"/>
  <c r="E17" i="84"/>
  <c r="E8" i="84"/>
  <c r="F8" i="64"/>
  <c r="F6" i="64"/>
  <c r="C88" i="1"/>
  <c r="C10" i="88"/>
  <c r="H6" i="24"/>
  <c r="H14" i="24" s="1"/>
  <c r="G6" i="24"/>
  <c r="F6" i="24"/>
  <c r="N6" i="24"/>
  <c r="M6" i="24"/>
  <c r="L6" i="24"/>
  <c r="L14" i="24" s="1"/>
  <c r="K6" i="24"/>
  <c r="I6" i="24"/>
  <c r="E6" i="24"/>
  <c r="D6" i="24"/>
  <c r="C14" i="24"/>
  <c r="N14" i="24"/>
  <c r="O8" i="24"/>
  <c r="J14" i="24"/>
  <c r="F14" i="24"/>
  <c r="D14" i="24"/>
  <c r="I15" i="107"/>
  <c r="I14" i="107"/>
  <c r="I13" i="107"/>
  <c r="H18" i="107"/>
  <c r="G18" i="107"/>
  <c r="E18" i="107"/>
  <c r="D18" i="107"/>
  <c r="C18" i="107"/>
  <c r="B18" i="107"/>
  <c r="I10" i="107"/>
  <c r="I9" i="107"/>
  <c r="O129" i="105"/>
  <c r="O136" i="105" s="1"/>
  <c r="Q125" i="105"/>
  <c r="O125" i="105"/>
  <c r="Q123" i="105"/>
  <c r="O123" i="105"/>
  <c r="O48" i="106"/>
  <c r="J19" i="78"/>
  <c r="P19" i="78" s="1"/>
  <c r="J18" i="78"/>
  <c r="J7" i="78"/>
  <c r="J6" i="78"/>
  <c r="J5" i="78"/>
  <c r="C29" i="78"/>
  <c r="D35" i="84"/>
  <c r="D36" i="103"/>
  <c r="D42" i="103"/>
  <c r="D27" i="103"/>
  <c r="D22" i="103"/>
  <c r="D17" i="103"/>
  <c r="D8" i="103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1" i="24"/>
  <c r="E14" i="24" s="1"/>
  <c r="G11" i="24"/>
  <c r="I11" i="24"/>
  <c r="K11" i="24"/>
  <c r="M11" i="24"/>
  <c r="D10" i="70"/>
  <c r="D23" i="70" s="1"/>
  <c r="C7" i="1"/>
  <c r="C76" i="1"/>
  <c r="C96" i="1"/>
  <c r="C89" i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K22" i="61" s="1"/>
  <c r="K31" i="61" s="1"/>
  <c r="C112" i="1"/>
  <c r="C104" i="1"/>
  <c r="C105" i="1"/>
  <c r="C106" i="1"/>
  <c r="K21" i="73" s="1"/>
  <c r="K27" i="73" s="1"/>
  <c r="C141" i="1" s="1"/>
  <c r="C107" i="1"/>
  <c r="C108" i="1"/>
  <c r="C109" i="1"/>
  <c r="C110" i="1"/>
  <c r="C98" i="1"/>
  <c r="C87" i="1"/>
  <c r="K6" i="61" s="1"/>
  <c r="C85" i="1"/>
  <c r="C80" i="1"/>
  <c r="C81" i="1"/>
  <c r="C82" i="1"/>
  <c r="C83" i="1"/>
  <c r="C84" i="1"/>
  <c r="C79" i="1"/>
  <c r="C77" i="1"/>
  <c r="C78" i="1"/>
  <c r="C75" i="1"/>
  <c r="C99" i="1"/>
  <c r="K7" i="73"/>
  <c r="C36" i="1"/>
  <c r="C32" i="1"/>
  <c r="C33" i="1"/>
  <c r="C34" i="1"/>
  <c r="C35" i="1"/>
  <c r="C66" i="1"/>
  <c r="C29" i="73" s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3" i="1"/>
  <c r="C12" i="1"/>
  <c r="C14" i="1"/>
  <c r="C15" i="1"/>
  <c r="C16" i="1"/>
  <c r="C17" i="1"/>
  <c r="C18" i="1"/>
  <c r="C19" i="1"/>
  <c r="C8" i="1"/>
  <c r="C9" i="1"/>
  <c r="C10" i="1"/>
  <c r="C19" i="73"/>
  <c r="C24" i="73"/>
  <c r="D41" i="84"/>
  <c r="D8" i="84"/>
  <c r="D17" i="84"/>
  <c r="D22" i="84"/>
  <c r="D27" i="8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D89" i="3"/>
  <c r="D95" i="3"/>
  <c r="D9" i="3"/>
  <c r="D14" i="3"/>
  <c r="D24" i="3"/>
  <c r="D34" i="3"/>
  <c r="D33" i="3" s="1"/>
  <c r="D46" i="3"/>
  <c r="D49" i="3"/>
  <c r="D55" i="3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C11" i="91"/>
  <c r="C31" i="91"/>
  <c r="C37" i="91"/>
  <c r="C43" i="91"/>
  <c r="C46" i="91"/>
  <c r="C53" i="91"/>
  <c r="C59" i="91"/>
  <c r="C86" i="91"/>
  <c r="C97" i="91"/>
  <c r="C103" i="91"/>
  <c r="C111" i="91"/>
  <c r="E16" i="89"/>
  <c r="F16" i="89"/>
  <c r="D16" i="89"/>
  <c r="C16" i="89"/>
  <c r="G15" i="89"/>
  <c r="G14" i="89"/>
  <c r="G13" i="89"/>
  <c r="G12" i="89"/>
  <c r="G11" i="89"/>
  <c r="G10" i="89"/>
  <c r="C13" i="78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7" i="64"/>
  <c r="F9" i="64"/>
  <c r="F10" i="64"/>
  <c r="F11" i="64"/>
  <c r="F12" i="64"/>
  <c r="F13" i="64"/>
  <c r="F14" i="64"/>
  <c r="F15" i="64"/>
  <c r="F16" i="64"/>
  <c r="F17" i="64"/>
  <c r="F18" i="64"/>
  <c r="F19" i="64"/>
  <c r="B20" i="64"/>
  <c r="D20" i="64"/>
  <c r="E20" i="64"/>
  <c r="F88" i="91" s="1"/>
  <c r="O5" i="24"/>
  <c r="O26" i="24"/>
  <c r="O25" i="24"/>
  <c r="O24" i="24"/>
  <c r="O23" i="24"/>
  <c r="O22" i="24"/>
  <c r="O20" i="24"/>
  <c r="O19" i="24"/>
  <c r="O13" i="24"/>
  <c r="O12" i="24"/>
  <c r="O10" i="24"/>
  <c r="O7" i="24"/>
  <c r="C27" i="24"/>
  <c r="F18" i="107"/>
  <c r="C6" i="91"/>
  <c r="K7" i="61"/>
  <c r="D6" i="91"/>
  <c r="D31" i="91"/>
  <c r="D87" i="1"/>
  <c r="L6" i="61" s="1"/>
  <c r="I12" i="107"/>
  <c r="Q11" i="73" l="1"/>
  <c r="Q18" i="73" s="1"/>
  <c r="C5" i="91"/>
  <c r="D5" i="92"/>
  <c r="F88" i="1"/>
  <c r="N7" i="61" s="1"/>
  <c r="F87" i="1"/>
  <c r="I87" i="91"/>
  <c r="I87" i="1" s="1"/>
  <c r="D26" i="84"/>
  <c r="D31" i="84" s="1"/>
  <c r="C27" i="73"/>
  <c r="C138" i="1" s="1"/>
  <c r="E48" i="84"/>
  <c r="D101" i="92"/>
  <c r="F86" i="91"/>
  <c r="F101" i="91" s="1"/>
  <c r="D86" i="1"/>
  <c r="I14" i="24"/>
  <c r="K14" i="24"/>
  <c r="E102" i="91"/>
  <c r="I102" i="91" s="1"/>
  <c r="E31" i="78"/>
  <c r="I31" i="78" s="1"/>
  <c r="H73" i="2"/>
  <c r="L73" i="2" s="1"/>
  <c r="C86" i="1"/>
  <c r="C102" i="91"/>
  <c r="C52" i="91"/>
  <c r="C30" i="91"/>
  <c r="C52" i="92"/>
  <c r="D8" i="3"/>
  <c r="D27" i="79"/>
  <c r="D32" i="79" s="1"/>
  <c r="G14" i="24"/>
  <c r="E26" i="84"/>
  <c r="E31" i="84" s="1"/>
  <c r="E49" i="103"/>
  <c r="E8" i="3"/>
  <c r="D52" i="91"/>
  <c r="D102" i="91"/>
  <c r="D31" i="61"/>
  <c r="D139" i="1" s="1"/>
  <c r="D103" i="1"/>
  <c r="C142" i="1"/>
  <c r="D30" i="91"/>
  <c r="F11" i="62"/>
  <c r="C102" i="93"/>
  <c r="C102" i="92"/>
  <c r="D30" i="93"/>
  <c r="D52" i="93"/>
  <c r="D101" i="93"/>
  <c r="D126" i="93" s="1"/>
  <c r="D30" i="92"/>
  <c r="D51" i="92" s="1"/>
  <c r="D126" i="92" s="1"/>
  <c r="D52" i="92"/>
  <c r="D59" i="1"/>
  <c r="E30" i="91"/>
  <c r="I30" i="91" s="1"/>
  <c r="E52" i="91"/>
  <c r="I52" i="91" s="1"/>
  <c r="E30" i="92"/>
  <c r="E51" i="92" s="1"/>
  <c r="E52" i="92"/>
  <c r="E101" i="92"/>
  <c r="F49" i="103"/>
  <c r="J49" i="103" s="1"/>
  <c r="F26" i="84"/>
  <c r="J26" i="84" s="1"/>
  <c r="F48" i="84"/>
  <c r="J48" i="84" s="1"/>
  <c r="G16" i="2"/>
  <c r="G32" i="2" s="1"/>
  <c r="G103" i="2" s="1"/>
  <c r="G73" i="2"/>
  <c r="H50" i="2"/>
  <c r="L50" i="2" s="1"/>
  <c r="C43" i="1"/>
  <c r="C12" i="73"/>
  <c r="C53" i="1"/>
  <c r="C20" i="61"/>
  <c r="C19" i="61" s="1"/>
  <c r="E8" i="73"/>
  <c r="P7" i="24"/>
  <c r="M6" i="73"/>
  <c r="P16" i="24"/>
  <c r="M8" i="73"/>
  <c r="P18" i="24"/>
  <c r="M10" i="73"/>
  <c r="P20" i="24"/>
  <c r="M6" i="61"/>
  <c r="M18" i="61" s="1"/>
  <c r="M32" i="61" s="1"/>
  <c r="P21" i="24"/>
  <c r="M7" i="73"/>
  <c r="P17" i="24"/>
  <c r="M9" i="73"/>
  <c r="P19" i="24"/>
  <c r="D31" i="1"/>
  <c r="D10" i="73" s="1"/>
  <c r="C31" i="78"/>
  <c r="J13" i="78"/>
  <c r="I18" i="107"/>
  <c r="O6" i="24"/>
  <c r="O11" i="24"/>
  <c r="C52" i="93"/>
  <c r="C30" i="93"/>
  <c r="C5" i="92"/>
  <c r="D48" i="90"/>
  <c r="D48" i="81"/>
  <c r="D49" i="103"/>
  <c r="D5" i="93"/>
  <c r="D43" i="1"/>
  <c r="D46" i="1"/>
  <c r="D53" i="1"/>
  <c r="D97" i="1"/>
  <c r="L11" i="73" s="1"/>
  <c r="D111" i="1"/>
  <c r="E102" i="92"/>
  <c r="E120" i="92" s="1"/>
  <c r="E122" i="92" s="1"/>
  <c r="E30" i="93"/>
  <c r="E52" i="93"/>
  <c r="E101" i="93"/>
  <c r="H16" i="2"/>
  <c r="L16" i="2" s="1"/>
  <c r="G6" i="77"/>
  <c r="E7" i="61"/>
  <c r="D94" i="3"/>
  <c r="D99" i="3" s="1"/>
  <c r="D54" i="3"/>
  <c r="D59" i="3" s="1"/>
  <c r="C103" i="1"/>
  <c r="C11" i="1"/>
  <c r="C59" i="1"/>
  <c r="C28" i="24"/>
  <c r="C30" i="24" s="1"/>
  <c r="G8" i="77"/>
  <c r="C46" i="1"/>
  <c r="C74" i="1"/>
  <c r="K6" i="73" s="1"/>
  <c r="C73" i="91"/>
  <c r="C101" i="91" s="1"/>
  <c r="C21" i="91"/>
  <c r="C22" i="1"/>
  <c r="C21" i="1" s="1"/>
  <c r="C9" i="73" s="1"/>
  <c r="E27" i="24"/>
  <c r="E28" i="24" s="1"/>
  <c r="O16" i="24"/>
  <c r="E5" i="92"/>
  <c r="E21" i="93"/>
  <c r="E51" i="93" s="1"/>
  <c r="E22" i="1"/>
  <c r="E21" i="1" s="1"/>
  <c r="E69" i="3"/>
  <c r="E64" i="3" s="1"/>
  <c r="E94" i="3" s="1"/>
  <c r="E99" i="3" s="1"/>
  <c r="D22" i="1"/>
  <c r="D21" i="1" s="1"/>
  <c r="D9" i="73" s="1"/>
  <c r="K9" i="73"/>
  <c r="D48" i="84"/>
  <c r="M14" i="24"/>
  <c r="M28" i="24" s="1"/>
  <c r="N28" i="24"/>
  <c r="F20" i="64"/>
  <c r="G88" i="91" s="1"/>
  <c r="D11" i="91"/>
  <c r="D5" i="91" s="1"/>
  <c r="D14" i="1"/>
  <c r="D11" i="1" s="1"/>
  <c r="D7" i="73" s="1"/>
  <c r="D27" i="73"/>
  <c r="D138" i="1" s="1"/>
  <c r="E14" i="1"/>
  <c r="E11" i="1" s="1"/>
  <c r="I18" i="66"/>
  <c r="D49" i="79"/>
  <c r="D48" i="82"/>
  <c r="C31" i="61"/>
  <c r="C139" i="1" s="1"/>
  <c r="C37" i="1"/>
  <c r="C13" i="61" s="1"/>
  <c r="C18" i="61" s="1"/>
  <c r="C97" i="1"/>
  <c r="K11" i="73" s="1"/>
  <c r="J27" i="24"/>
  <c r="J28" i="24" s="1"/>
  <c r="D26" i="103"/>
  <c r="D32" i="103" s="1"/>
  <c r="E26" i="103"/>
  <c r="E32" i="103" s="1"/>
  <c r="E33" i="3"/>
  <c r="E54" i="3" s="1"/>
  <c r="E59" i="3" s="1"/>
  <c r="D102" i="93"/>
  <c r="D102" i="92"/>
  <c r="D120" i="92" s="1"/>
  <c r="D122" i="92" s="1"/>
  <c r="E31" i="1"/>
  <c r="E10" i="73" s="1"/>
  <c r="E43" i="1"/>
  <c r="P10" i="24" s="1"/>
  <c r="E46" i="1"/>
  <c r="P11" i="24" s="1"/>
  <c r="E53" i="1"/>
  <c r="E111" i="1"/>
  <c r="E102" i="93"/>
  <c r="E120" i="93" s="1"/>
  <c r="E122" i="93" s="1"/>
  <c r="K13" i="78"/>
  <c r="H61" i="2"/>
  <c r="L61" i="2" s="1"/>
  <c r="C31" i="1"/>
  <c r="C10" i="73" s="1"/>
  <c r="C111" i="1"/>
  <c r="C102" i="1" s="1"/>
  <c r="C140" i="1" s="1"/>
  <c r="I27" i="24"/>
  <c r="G27" i="24"/>
  <c r="G28" i="24" s="1"/>
  <c r="L27" i="24"/>
  <c r="L28" i="24" s="1"/>
  <c r="L13" i="78"/>
  <c r="P13" i="78" s="1"/>
  <c r="G61" i="2"/>
  <c r="K18" i="61"/>
  <c r="K32" i="61" s="1"/>
  <c r="K34" i="61" s="1"/>
  <c r="G16" i="89"/>
  <c r="C101" i="93"/>
  <c r="C5" i="93"/>
  <c r="C30" i="92"/>
  <c r="C51" i="92" s="1"/>
  <c r="D48" i="80"/>
  <c r="K27" i="24"/>
  <c r="K28" i="24" s="1"/>
  <c r="H27" i="24"/>
  <c r="H28" i="24" s="1"/>
  <c r="F27" i="24"/>
  <c r="F28" i="24" s="1"/>
  <c r="J29" i="78"/>
  <c r="J31" i="78" s="1"/>
  <c r="E5" i="93"/>
  <c r="F26" i="103"/>
  <c r="J26" i="103" s="1"/>
  <c r="C51" i="93"/>
  <c r="C101" i="92"/>
  <c r="C120" i="92" s="1"/>
  <c r="C122" i="92" s="1"/>
  <c r="D37" i="1"/>
  <c r="F33" i="3"/>
  <c r="J33" i="3" s="1"/>
  <c r="F64" i="3"/>
  <c r="J64" i="3" s="1"/>
  <c r="F8" i="3"/>
  <c r="J8" i="3" s="1"/>
  <c r="K29" i="78"/>
  <c r="D6" i="1"/>
  <c r="K10" i="73"/>
  <c r="L18" i="61"/>
  <c r="L32" i="61" s="1"/>
  <c r="L34" i="61" s="1"/>
  <c r="E103" i="1"/>
  <c r="E73" i="91"/>
  <c r="I73" i="91" s="1"/>
  <c r="E37" i="1"/>
  <c r="E86" i="1"/>
  <c r="E97" i="1"/>
  <c r="P24" i="24" s="1"/>
  <c r="E6" i="1"/>
  <c r="E5" i="91"/>
  <c r="I5" i="91" s="1"/>
  <c r="E59" i="1"/>
  <c r="E73" i="1"/>
  <c r="O18" i="24"/>
  <c r="K8" i="73"/>
  <c r="C18" i="88"/>
  <c r="C36" i="88" s="1"/>
  <c r="D19" i="88"/>
  <c r="D18" i="88" s="1"/>
  <c r="D36" i="88" s="1"/>
  <c r="D73" i="91"/>
  <c r="D101" i="91" s="1"/>
  <c r="D120" i="91" s="1"/>
  <c r="D122" i="91" s="1"/>
  <c r="D78" i="1"/>
  <c r="L10" i="73" s="1"/>
  <c r="C6" i="1"/>
  <c r="D65" i="93"/>
  <c r="D67" i="93" s="1"/>
  <c r="L9" i="73"/>
  <c r="Q28" i="73" l="1"/>
  <c r="Q32" i="73" s="1"/>
  <c r="Q31" i="73"/>
  <c r="D30" i="1"/>
  <c r="C51" i="91"/>
  <c r="C52" i="1"/>
  <c r="C30" i="1"/>
  <c r="D52" i="1"/>
  <c r="D137" i="1" s="1"/>
  <c r="F86" i="1"/>
  <c r="F101" i="1" s="1"/>
  <c r="F120" i="1" s="1"/>
  <c r="F122" i="1" s="1"/>
  <c r="Q30" i="73"/>
  <c r="G86" i="91"/>
  <c r="G101" i="91" s="1"/>
  <c r="G88" i="1"/>
  <c r="I88" i="91"/>
  <c r="I88" i="1" s="1"/>
  <c r="Q7" i="61" s="1"/>
  <c r="Q6" i="61"/>
  <c r="Q18" i="61" s="1"/>
  <c r="Q32" i="61" s="1"/>
  <c r="G11" i="77"/>
  <c r="E126" i="92"/>
  <c r="I28" i="24"/>
  <c r="I86" i="91"/>
  <c r="E52" i="1"/>
  <c r="E137" i="1" s="1"/>
  <c r="E51" i="91"/>
  <c r="I51" i="91" s="1"/>
  <c r="D13" i="61"/>
  <c r="D18" i="61" s="1"/>
  <c r="D35" i="61" s="1"/>
  <c r="C65" i="92"/>
  <c r="C67" i="92" s="1"/>
  <c r="C120" i="93"/>
  <c r="C122" i="93" s="1"/>
  <c r="D120" i="93"/>
  <c r="D122" i="93" s="1"/>
  <c r="C65" i="91"/>
  <c r="C67" i="91" s="1"/>
  <c r="D102" i="1"/>
  <c r="D140" i="1" s="1"/>
  <c r="F120" i="91"/>
  <c r="F122" i="91" s="1"/>
  <c r="F126" i="91"/>
  <c r="N18" i="61"/>
  <c r="C126" i="93"/>
  <c r="E102" i="1"/>
  <c r="E140" i="1" s="1"/>
  <c r="O14" i="24"/>
  <c r="E101" i="91"/>
  <c r="F94" i="3"/>
  <c r="J94" i="3" s="1"/>
  <c r="L29" i="78"/>
  <c r="P18" i="78"/>
  <c r="P29" i="78" s="1"/>
  <c r="P31" i="78" s="1"/>
  <c r="H60" i="2"/>
  <c r="L60" i="2" s="1"/>
  <c r="C73" i="1"/>
  <c r="C101" i="1" s="1"/>
  <c r="B13" i="76" s="1"/>
  <c r="F54" i="3"/>
  <c r="J54" i="3" s="1"/>
  <c r="F32" i="103"/>
  <c r="J32" i="103" s="1"/>
  <c r="G60" i="2"/>
  <c r="G80" i="2" s="1"/>
  <c r="G82" i="2" s="1"/>
  <c r="C120" i="91"/>
  <c r="C122" i="91" s="1"/>
  <c r="H32" i="2"/>
  <c r="L32" i="2" s="1"/>
  <c r="F31" i="84"/>
  <c r="J31" i="84" s="1"/>
  <c r="C36" i="61"/>
  <c r="C131" i="1" s="1"/>
  <c r="D136" i="1"/>
  <c r="D65" i="92"/>
  <c r="D67" i="92" s="1"/>
  <c r="L31" i="78"/>
  <c r="E7" i="73"/>
  <c r="P6" i="24"/>
  <c r="E6" i="73"/>
  <c r="P5" i="24"/>
  <c r="E9" i="73"/>
  <c r="P8" i="24"/>
  <c r="P27" i="24"/>
  <c r="M18" i="73"/>
  <c r="M28" i="73" s="1"/>
  <c r="M30" i="73" s="1"/>
  <c r="D32" i="61"/>
  <c r="D34" i="61" s="1"/>
  <c r="D73" i="1"/>
  <c r="D101" i="1" s="1"/>
  <c r="O17" i="24"/>
  <c r="E65" i="92"/>
  <c r="E67" i="92" s="1"/>
  <c r="K31" i="78"/>
  <c r="C65" i="93"/>
  <c r="C67" i="93" s="1"/>
  <c r="E30" i="1"/>
  <c r="P9" i="24" s="1"/>
  <c r="E13" i="61"/>
  <c r="E18" i="61" s="1"/>
  <c r="M36" i="61" s="1"/>
  <c r="C7" i="73"/>
  <c r="L36" i="61"/>
  <c r="D51" i="91"/>
  <c r="D65" i="91" s="1"/>
  <c r="D51" i="1"/>
  <c r="E65" i="93"/>
  <c r="E67" i="93" s="1"/>
  <c r="E126" i="93"/>
  <c r="C126" i="92"/>
  <c r="D6" i="73"/>
  <c r="D18" i="73" s="1"/>
  <c r="L35" i="61"/>
  <c r="D120" i="1"/>
  <c r="D122" i="1" s="1"/>
  <c r="D5" i="1"/>
  <c r="K36" i="61"/>
  <c r="E101" i="1"/>
  <c r="C32" i="61"/>
  <c r="C34" i="61" s="1"/>
  <c r="C137" i="1"/>
  <c r="C136" i="1" s="1"/>
  <c r="E5" i="1"/>
  <c r="C126" i="91"/>
  <c r="K35" i="61"/>
  <c r="C35" i="61"/>
  <c r="M34" i="61"/>
  <c r="L18" i="73"/>
  <c r="L28" i="73" s="1"/>
  <c r="L30" i="73" s="1"/>
  <c r="K18" i="73"/>
  <c r="K28" i="73" s="1"/>
  <c r="E65" i="91"/>
  <c r="I65" i="91" s="1"/>
  <c r="C51" i="1"/>
  <c r="C6" i="73"/>
  <c r="C5" i="1"/>
  <c r="D27" i="24"/>
  <c r="E136" i="1" l="1"/>
  <c r="E51" i="1"/>
  <c r="E126" i="1" s="1"/>
  <c r="D65" i="1"/>
  <c r="D67" i="1" s="1"/>
  <c r="I101" i="91"/>
  <c r="I86" i="1"/>
  <c r="I101" i="1" s="1"/>
  <c r="I120" i="1" s="1"/>
  <c r="I122" i="1" s="1"/>
  <c r="O7" i="61"/>
  <c r="O18" i="61" s="1"/>
  <c r="G86" i="1"/>
  <c r="G101" i="1" s="1"/>
  <c r="G126" i="91"/>
  <c r="G120" i="91"/>
  <c r="G122" i="91" s="1"/>
  <c r="Q35" i="61"/>
  <c r="Q34" i="61"/>
  <c r="Q39" i="61" s="1"/>
  <c r="Q36" i="61"/>
  <c r="C120" i="1"/>
  <c r="C18" i="73"/>
  <c r="C31" i="73" s="1"/>
  <c r="M39" i="61"/>
  <c r="E120" i="1"/>
  <c r="E122" i="1" s="1"/>
  <c r="D36" i="61"/>
  <c r="D131" i="1" s="1"/>
  <c r="E18" i="73"/>
  <c r="M32" i="73" s="1"/>
  <c r="L39" i="61"/>
  <c r="L40" i="61" s="1"/>
  <c r="N32" i="61"/>
  <c r="N35" i="61"/>
  <c r="F126" i="1"/>
  <c r="T32" i="61"/>
  <c r="E67" i="91"/>
  <c r="I67" i="91" s="1"/>
  <c r="H80" i="2"/>
  <c r="L80" i="2" s="1"/>
  <c r="F99" i="3"/>
  <c r="J99" i="3" s="1"/>
  <c r="E120" i="91"/>
  <c r="I126" i="91"/>
  <c r="E126" i="91"/>
  <c r="F59" i="3"/>
  <c r="J59" i="3" s="1"/>
  <c r="L32" i="73"/>
  <c r="D126" i="1"/>
  <c r="P14" i="24"/>
  <c r="D31" i="73"/>
  <c r="L31" i="73"/>
  <c r="E32" i="61"/>
  <c r="E34" i="61" s="1"/>
  <c r="E35" i="61"/>
  <c r="M35" i="61"/>
  <c r="E32" i="73"/>
  <c r="E130" i="1" s="1"/>
  <c r="D126" i="91"/>
  <c r="D13" i="76"/>
  <c r="E13" i="76" s="1"/>
  <c r="D67" i="91"/>
  <c r="D32" i="73"/>
  <c r="D130" i="1" s="1"/>
  <c r="D132" i="1" s="1"/>
  <c r="D28" i="73"/>
  <c r="D30" i="73" s="1"/>
  <c r="D39" i="61" s="1"/>
  <c r="D40" i="61" s="1"/>
  <c r="E65" i="1"/>
  <c r="E67" i="1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C122" i="1"/>
  <c r="B15" i="76" s="1"/>
  <c r="B14" i="76"/>
  <c r="K32" i="73"/>
  <c r="K30" i="73"/>
  <c r="K39" i="61" s="1"/>
  <c r="D14" i="76"/>
  <c r="B6" i="76"/>
  <c r="C65" i="1"/>
  <c r="C126" i="1"/>
  <c r="E28" i="73" l="1"/>
  <c r="E30" i="73" s="1"/>
  <c r="E39" i="61" s="1"/>
  <c r="E41" i="61" s="1"/>
  <c r="C32" i="73"/>
  <c r="C130" i="1" s="1"/>
  <c r="C132" i="1" s="1"/>
  <c r="D6" i="76"/>
  <c r="M31" i="73"/>
  <c r="C28" i="73"/>
  <c r="D7" i="76" s="1"/>
  <c r="K31" i="73"/>
  <c r="E31" i="73"/>
  <c r="I120" i="91"/>
  <c r="I126" i="1"/>
  <c r="O32" i="61"/>
  <c r="O35" i="61"/>
  <c r="G120" i="1"/>
  <c r="G122" i="1" s="1"/>
  <c r="G126" i="1"/>
  <c r="E36" i="61"/>
  <c r="E131" i="1" s="1"/>
  <c r="E132" i="1" s="1"/>
  <c r="N34" i="61"/>
  <c r="N36" i="61"/>
  <c r="H82" i="2"/>
  <c r="L82" i="2" s="1"/>
  <c r="E122" i="91"/>
  <c r="I122" i="91" s="1"/>
  <c r="D15" i="76"/>
  <c r="E15" i="76" s="1"/>
  <c r="K40" i="61"/>
  <c r="E6" i="76"/>
  <c r="C67" i="1"/>
  <c r="B8" i="76" s="1"/>
  <c r="B7" i="76"/>
  <c r="O28" i="24"/>
  <c r="E14" i="76"/>
  <c r="C30" i="73" l="1"/>
  <c r="C39" i="61" s="1"/>
  <c r="C40" i="61" s="1"/>
  <c r="O34" i="61"/>
  <c r="O36" i="61"/>
  <c r="F36" i="61"/>
  <c r="F131" i="1" s="1"/>
  <c r="F132" i="1" s="1"/>
  <c r="N39" i="61"/>
  <c r="I36" i="61"/>
  <c r="I131" i="1" s="1"/>
  <c r="I132" i="1" s="1"/>
  <c r="E7" i="76"/>
  <c r="D8" i="76" l="1"/>
  <c r="E8" i="76" s="1"/>
  <c r="O39" i="61"/>
  <c r="G36" i="61"/>
  <c r="G131" i="1" s="1"/>
  <c r="G132" i="1" s="1"/>
</calcChain>
</file>

<file path=xl/sharedStrings.xml><?xml version="1.0" encoding="utf-8"?>
<sst xmlns="http://schemas.openxmlformats.org/spreadsheetml/2006/main" count="3319" uniqueCount="1216">
  <si>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</si>
  <si>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</si>
  <si>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</si>
  <si>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</si>
  <si>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</si>
  <si>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</si>
  <si>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</si>
  <si>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</si>
  <si>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</si>
  <si>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</si>
  <si>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</si>
  <si>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</si>
  <si>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</si>
  <si>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</si>
  <si>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</si>
  <si>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</si>
  <si>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</si>
  <si>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</si>
  <si>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</si>
  <si>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</si>
  <si>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</si>
  <si>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</si>
  <si>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</si>
  <si>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</si>
  <si>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</si>
  <si>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</si>
  <si>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</si>
  <si>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</si>
  <si>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</si>
  <si>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</si>
  <si>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</si>
  <si>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</si>
  <si>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</si>
  <si>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</si>
  <si>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</si>
  <si>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</si>
  <si>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</si>
  <si>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</si>
  <si>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</si>
  <si>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</si>
  <si>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</si>
  <si>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</si>
  <si>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</si>
  <si>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</si>
  <si>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</si>
  <si>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</si>
  <si>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</si>
  <si>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</si>
  <si>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</si>
  <si>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</si>
  <si>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</si>
  <si>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</si>
  <si>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</si>
  <si>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</si>
  <si>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</si>
  <si>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</si>
  <si>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</si>
  <si>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</si>
  <si>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</si>
  <si>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</si>
  <si>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</si>
  <si>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</si>
  <si>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</si>
  <si>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</si>
  <si>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</si>
  <si>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</si>
  <si>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</si>
  <si>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</si>
  <si>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</si>
  <si>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</si>
  <si>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</si>
  <si>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</si>
  <si>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</si>
  <si>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</si>
  <si>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</si>
  <si>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</si>
  <si>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</si>
  <si>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</si>
  <si>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</si>
  <si>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</si>
  <si>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</si>
  <si>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</si>
  <si>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</si>
  <si>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</si>
  <si>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</si>
  <si>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</si>
  <si>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</si>
  <si>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</si>
  <si>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</si>
  <si>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</si>
  <si>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</si>
  <si>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</si>
  <si>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</si>
  <si>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</si>
  <si>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</si>
  <si>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</si>
  <si>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</si>
  <si>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</si>
  <si>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</si>
  <si>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</si>
  <si>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</si>
  <si>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</si>
  <si>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</si>
  <si>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</si>
  <si>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</si>
  <si>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</si>
  <si>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</si>
  <si>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</si>
  <si>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</si>
  <si>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</si>
  <si>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</si>
  <si>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</si>
  <si>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</si>
  <si>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</si>
  <si>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</si>
  <si>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</si>
  <si>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</si>
  <si>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</si>
  <si>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</si>
  <si>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</si>
  <si>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</si>
  <si>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</si>
  <si>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</si>
  <si>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</si>
  <si>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</si>
  <si>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</si>
  <si>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</si>
  <si>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</si>
  <si>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</si>
  <si>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</si>
  <si>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</si>
  <si>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</si>
  <si>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</si>
  <si>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</si>
  <si>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</si>
  <si>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</si>
  <si>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</si>
  <si>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</si>
  <si>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</si>
  <si>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</si>
  <si>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</si>
  <si>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</si>
  <si>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</si>
  <si>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</si>
  <si>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</si>
  <si>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</si>
  <si>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</si>
  <si>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</si>
  <si>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</si>
  <si>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</si>
  <si>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</si>
  <si>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</si>
  <si>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</si>
  <si>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</si>
  <si>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</si>
  <si>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</si>
  <si>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</si>
  <si>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</si>
  <si>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</si>
  <si>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</si>
  <si>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</si>
  <si>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</si>
  <si>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</si>
  <si>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</si>
  <si>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</si>
  <si>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</si>
  <si>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</si>
  <si>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</si>
  <si>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</si>
  <si>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</si>
  <si>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</si>
  <si>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</si>
  <si>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</si>
  <si>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</si>
  <si>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</si>
  <si>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</si>
  <si>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</si>
  <si>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</si>
  <si>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</si>
  <si>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</si>
  <si>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</si>
  <si>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</si>
  <si>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</si>
  <si>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</si>
  <si>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</si>
  <si>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</si>
  <si>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</si>
  <si>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</si>
  <si>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</si>
  <si>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</si>
  <si>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</si>
  <si>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</si>
  <si>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</si>
  <si>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</si>
  <si>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</si>
  <si>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</si>
  <si>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</si>
  <si>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</si>
  <si>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</si>
  <si>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</si>
  <si>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</si>
  <si>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</si>
  <si>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</si>
  <si>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</si>
  <si>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</si>
  <si>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</si>
  <si>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</si>
  <si>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</si>
  <si>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</si>
  <si>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</si>
  <si>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</si>
  <si>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</si>
  <si>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</si>
  <si>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</si>
  <si>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</si>
  <si>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</si>
  <si>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</si>
  <si>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</si>
  <si>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</si>
  <si>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</si>
  <si>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</si>
  <si>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</si>
  <si>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</si>
  <si>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</si>
  <si>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</si>
  <si>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</si>
  <si>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</si>
  <si>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</si>
  <si>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</si>
  <si>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</si>
  <si>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</si>
  <si>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</si>
  <si>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</si>
  <si>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</si>
  <si>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</si>
  <si>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</si>
  <si>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</si>
  <si>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</si>
  <si>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</si>
  <si>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</si>
  <si>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</si>
  <si>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</si>
  <si>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</si>
  <si>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</si>
  <si>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</si>
  <si>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</si>
  <si>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</si>
  <si>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</si>
  <si>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</si>
  <si>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</si>
  <si>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</si>
  <si>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</si>
  <si>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</si>
  <si>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</si>
  <si>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</si>
  <si>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</si>
  <si>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</si>
  <si>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</si>
  <si>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</si>
  <si>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</si>
  <si>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</si>
  <si>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</si>
  <si>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</si>
  <si>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</si>
  <si>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</si>
  <si>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</si>
  <si>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</si>
  <si>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</si>
  <si>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</si>
  <si>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</si>
  <si>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</si>
  <si>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</si>
  <si>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</si>
  <si>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</si>
  <si>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</si>
  <si>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</si>
  <si>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</si>
  <si>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</si>
  <si>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</si>
  <si>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</si>
  <si>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</si>
  <si>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</si>
  <si>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</si>
  <si>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</si>
  <si>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</si>
  <si>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</si>
  <si>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</si>
  <si>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</si>
  <si>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</si>
  <si>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</si>
  <si>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</si>
  <si>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</si>
  <si>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</si>
  <si>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</si>
  <si>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</si>
  <si>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</si>
  <si>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</si>
  <si>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</si>
  <si>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</si>
  <si>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</si>
  <si>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</si>
  <si>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</si>
  <si>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</si>
  <si>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</si>
  <si>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</si>
  <si>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</si>
  <si>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</si>
  <si>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</si>
  <si>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</si>
  <si>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</si>
  <si>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</si>
  <si>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</si>
  <si>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</si>
  <si>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</si>
  <si>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</si>
  <si>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</si>
  <si>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</si>
  <si>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</si>
  <si>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</si>
  <si>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</si>
  <si>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</si>
  <si>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</si>
  <si>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</si>
  <si>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</si>
  <si>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</si>
  <si>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</si>
  <si>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</si>
  <si>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</si>
  <si>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</si>
  <si>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</si>
  <si>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</si>
  <si>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</si>
  <si>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</si>
  <si>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</si>
  <si>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</si>
  <si>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</si>
  <si>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</si>
  <si>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</si>
  <si>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</si>
  <si>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</si>
  <si>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</si>
  <si>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</si>
  <si>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</si>
  <si>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</si>
  <si>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</si>
  <si>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</si>
  <si>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</si>
  <si>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</si>
  <si>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</si>
  <si>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</si>
  <si>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</si>
  <si>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</si>
  <si>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</si>
  <si>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</si>
  <si>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</si>
  <si>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</si>
  <si>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</si>
  <si>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</si>
  <si>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</si>
  <si>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</si>
  <si>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</si>
  <si>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</si>
  <si>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</si>
  <si>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</si>
  <si>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</si>
  <si>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</si>
  <si>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</si>
  <si>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</si>
  <si>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</si>
  <si>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</si>
  <si>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</si>
  <si>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</si>
  <si>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</si>
  <si>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</si>
  <si>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</si>
  <si>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</si>
  <si>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</si>
  <si>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</si>
  <si>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</si>
  <si>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</si>
  <si>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</si>
  <si>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</si>
  <si>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</si>
  <si>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</si>
  <si>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</si>
  <si>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</si>
  <si>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</si>
  <si>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</si>
  <si>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</si>
  <si>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</si>
  <si>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</si>
  <si>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</si>
  <si>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</si>
  <si>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</si>
  <si>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</si>
  <si>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</si>
  <si>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</si>
  <si>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a) a környezetvédelmi szempontból károsodott környezet javítása, helyreállítása</t>
  </si>
  <si>
    <t>a/1. Patakmeder tisztítása (szakaszolásra, ütemezésre javaslat szükséges)</t>
  </si>
  <si>
    <t>a/2. Illegálisan lerakott hulladék elszállítása</t>
  </si>
  <si>
    <t>b) az emberi egészség védelmére, az életminőség javítására</t>
  </si>
  <si>
    <t>b/1. Rágcsálóirtás</t>
  </si>
  <si>
    <t>b/2. Gyepmester</t>
  </si>
  <si>
    <t>b/3. Állati hullák ártalmatlanítása</t>
  </si>
  <si>
    <t>c) a helyi védettségű természeti értékek fenntartása, fejlesztése, állaguk megóvása</t>
  </si>
  <si>
    <t>d) a helyi jelentőségű építészeti örökség állagának megóvása</t>
  </si>
  <si>
    <t>e) a felszíni és felszín alatti vizek minőségi és mennyiségi megőrzése (ld. alább)</t>
  </si>
  <si>
    <t>e/1. Dera patak vízvizsgálata tavasszal a falu két határában és az Óvodánál</t>
  </si>
  <si>
    <t>f) környezetvédelemmel kapcsolatos ötletek, találmányok megvétele</t>
  </si>
  <si>
    <t>g) környezetvédelmi felmérések, tanulmányok elkészíttetésére, elkészítésére</t>
  </si>
  <si>
    <t>h) pályázati pénzalapok képzése</t>
  </si>
  <si>
    <t>i) a környezetvédelemről szóló tájékoztatások, előadások költségeinek fedezésére, környezetvédelmi ismeretek terjesztésére, környezeti nevelés támogatására;</t>
  </si>
  <si>
    <t>j) a lakosság környezetvédelmi szerveződéseinek támogatása</t>
  </si>
  <si>
    <t>k) a települési környezetvédelem népszerűsítése</t>
  </si>
  <si>
    <t xml:space="preserve">k/1. Zöldhulladék házi komposztálás promóciója </t>
  </si>
  <si>
    <t>l) parkok, fák, fasorok és egyéb községi zöldterület létesítése, állapotának javítása;</t>
  </si>
  <si>
    <t>l/1. Virágosítás</t>
  </si>
  <si>
    <t>l/2. Közterületi fák karbantartása, fenntartása</t>
  </si>
  <si>
    <t>m) veszélyes hulladékok évenkénti egy-két alkalommal történő gyűjtésére és elszállítására;</t>
  </si>
  <si>
    <t xml:space="preserve">m/1. Veszélyes hulladékok összegyűjtése és elszállítása </t>
  </si>
  <si>
    <t>n) a Tiszta Udvar Rendes Ház mozgalom támogatására</t>
  </si>
  <si>
    <t>a)-n) Összesen</t>
  </si>
  <si>
    <r>
      <t>h/1 Szabad-felhasználású pályázati alap környezetvédelemi akciók támogatására</t>
    </r>
    <r>
      <rPr>
        <b/>
        <sz val="9"/>
        <rFont val="Times New Roman"/>
        <family val="1"/>
        <charset val="238"/>
      </rPr>
      <t>*</t>
    </r>
  </si>
  <si>
    <r>
      <t xml:space="preserve">Teljes költség </t>
    </r>
    <r>
      <rPr>
        <b/>
        <u/>
        <sz val="9"/>
        <rFont val="Times New Roman CE"/>
        <charset val="238"/>
      </rPr>
      <t>ÁFÁ-val</t>
    </r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</si>
  <si>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</si>
  <si>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</si>
  <si>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</si>
  <si>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</si>
  <si>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</si>
  <si>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</si>
  <si>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</si>
  <si>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</si>
  <si>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</si>
  <si>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</si>
  <si>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</si>
  <si>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</si>
  <si>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</si>
  <si>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</si>
  <si>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</si>
  <si>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</si>
  <si>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</si>
  <si>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</si>
  <si>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</si>
  <si>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</si>
  <si>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</si>
  <si>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</si>
  <si>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</si>
  <si>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</si>
  <si>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</si>
  <si>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</si>
  <si>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</si>
  <si>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</si>
  <si>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</si>
  <si>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</si>
  <si>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</si>
  <si>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</si>
  <si>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</si>
  <si>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</si>
  <si>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</si>
  <si>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</si>
  <si>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</si>
  <si>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</si>
  <si>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</si>
  <si>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</si>
  <si>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</si>
  <si>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</si>
  <si>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</si>
  <si>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</si>
  <si>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</si>
  <si>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</si>
  <si>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</si>
  <si>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</si>
  <si>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</si>
  <si>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</si>
  <si>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</si>
  <si>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</si>
  <si>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</si>
  <si>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</si>
  <si>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</si>
  <si>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</si>
  <si>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</si>
  <si>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</si>
  <si>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</si>
  <si>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</si>
  <si>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</si>
  <si>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</si>
  <si>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</si>
  <si>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</si>
  <si>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</si>
  <si>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</si>
  <si>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</si>
  <si>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</si>
  <si>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</si>
  <si>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</si>
  <si>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</si>
  <si>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</si>
  <si>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</si>
  <si>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</si>
  <si>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</si>
  <si>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</si>
  <si>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</si>
  <si>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</si>
  <si>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</si>
  <si>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</si>
  <si>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</si>
  <si>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</si>
  <si>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</si>
  <si>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</si>
  <si>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</si>
  <si>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</si>
  <si>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</si>
  <si>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</si>
  <si>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</si>
  <si>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</si>
  <si>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</si>
  <si>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</si>
  <si>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</si>
  <si>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</si>
  <si>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</si>
  <si>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</si>
  <si>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</si>
  <si>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</si>
  <si>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</si>
  <si>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</si>
  <si>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</si>
  <si>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</si>
  <si>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</si>
  <si>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</si>
  <si>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</si>
  <si>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</si>
  <si>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</si>
  <si>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</si>
  <si>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</si>
  <si>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</si>
  <si>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</si>
  <si>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</si>
  <si>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</si>
  <si>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</si>
  <si>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</si>
  <si>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</si>
  <si>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</si>
  <si>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</si>
  <si>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</si>
  <si>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</si>
  <si>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</si>
  <si>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</si>
  <si>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</si>
  <si>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</si>
  <si>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</si>
  <si>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</si>
  <si>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</si>
  <si>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</si>
  <si>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</si>
  <si>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</si>
  <si>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</si>
  <si>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</si>
  <si>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</si>
  <si>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</si>
  <si>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</si>
  <si>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</si>
  <si>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</si>
  <si>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</si>
  <si>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</si>
  <si>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</si>
  <si>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</si>
  <si>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</si>
  <si>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</si>
  <si>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</si>
  <si>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</si>
  <si>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</si>
  <si>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</si>
  <si>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</si>
  <si>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</si>
  <si>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</si>
  <si>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</si>
  <si>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</si>
  <si>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</si>
  <si>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</si>
  <si>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</si>
  <si>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</si>
  <si>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</si>
  <si>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</si>
  <si>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</si>
  <si>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</si>
  <si>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</si>
  <si>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</si>
  <si>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</si>
  <si>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</si>
  <si>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</si>
  <si>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</si>
  <si>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</si>
  <si>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</si>
  <si>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</si>
  <si>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</si>
  <si>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</si>
  <si>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</si>
  <si>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</si>
  <si>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</si>
  <si>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</si>
  <si>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</si>
  <si>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</si>
  <si>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</si>
  <si>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</si>
  <si>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</si>
  <si>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</si>
  <si>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</si>
  <si>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</si>
  <si>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</si>
  <si>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</si>
  <si>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</si>
  <si>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</si>
  <si>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</si>
  <si>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</si>
  <si>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</si>
  <si>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</si>
  <si>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</si>
  <si>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</si>
  <si>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</si>
  <si>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</si>
  <si>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aa)</t>
  </si>
  <si>
    <t>2013. év első négy hónapjára átmeneti támogatás-elismert hivatali létszám alapján</t>
  </si>
  <si>
    <t>ab)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</si>
  <si>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</si>
  <si>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</si>
  <si>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</si>
  <si>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</si>
  <si>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>Beszámítás összege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</si>
  <si>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</si>
  <si>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</si>
  <si>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</si>
  <si>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</si>
  <si>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</si>
  <si>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</si>
  <si>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</si>
  <si>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</si>
  <si>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</si>
  <si>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</si>
  <si>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</si>
  <si>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</si>
  <si>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</si>
  <si>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</si>
  <si>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</si>
  <si>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</si>
  <si>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</si>
  <si>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</si>
  <si>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</si>
  <si>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</si>
  <si>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</si>
  <si>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</si>
  <si>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</si>
  <si>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</si>
  <si>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</si>
  <si>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</si>
  <si>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</si>
  <si>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</si>
  <si>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</si>
  <si>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</si>
  <si>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</si>
  <si>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</si>
  <si>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</si>
  <si>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</si>
  <si>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</si>
  <si>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</si>
  <si>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</si>
  <si>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</si>
  <si>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</si>
  <si>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</si>
  <si>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</si>
  <si>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</si>
  <si>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</si>
  <si>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</si>
  <si>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</si>
  <si>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</si>
  <si>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</si>
  <si>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</si>
  <si>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</si>
  <si>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>aaa)</t>
  </si>
  <si>
    <t xml:space="preserve">A nemzeti minősítésű színházművészeti szervezetek művészeti támogatása </t>
  </si>
  <si>
    <t>aab)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</si>
  <si>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</si>
  <si>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</si>
  <si>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</si>
  <si>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</si>
  <si>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</si>
  <si>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</si>
  <si>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</si>
  <si>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</si>
  <si>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</si>
  <si>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</si>
  <si>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>A nemzeti minősítésű táncművészeti szervezetek létesítmény-gazdálkodási célú működési támogatása</t>
  </si>
  <si>
    <t>bc)</t>
  </si>
  <si>
    <t xml:space="preserve">A kiemelt minősítésű táncművészeti szervezetek művészeti támogatása </t>
  </si>
  <si>
    <t>bd)</t>
  </si>
  <si>
    <t>A kiemelt minősítésű táncművészeti szervezetek létesítmény-gazdálkodási célú működési támogatása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</si>
  <si>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</si>
  <si>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</si>
  <si>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</si>
  <si>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</si>
  <si>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</si>
  <si>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</si>
  <si>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</si>
  <si>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</si>
  <si>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</si>
  <si>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</si>
  <si>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</si>
  <si>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</si>
  <si>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</si>
  <si>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</si>
  <si>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</si>
  <si>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</si>
  <si>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</si>
  <si>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</si>
  <si>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</si>
  <si>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</si>
  <si>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</si>
  <si>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</si>
  <si>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</si>
  <si>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</si>
  <si>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</si>
  <si>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</si>
  <si>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</si>
  <si>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</si>
  <si>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</si>
  <si>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</si>
  <si>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</si>
  <si>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</si>
  <si>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</si>
  <si>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</si>
  <si>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</si>
  <si>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</si>
  <si>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</si>
  <si>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</si>
  <si>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Mindösszesen: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</si>
  <si>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</si>
  <si>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</si>
  <si>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</si>
  <si>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</si>
  <si>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</si>
  <si>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</si>
  <si>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</si>
  <si>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</si>
  <si>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</si>
  <si>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</si>
  <si>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Önkormányzati / járási  hatáskörbe tartozó szociális ellátások</t>
  </si>
  <si>
    <t>Természetben nyújtott átmeneti segély (Utalvány)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</si>
  <si>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</si>
  <si>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</si>
  <si>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</si>
  <si>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</si>
  <si>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</si>
  <si>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</si>
  <si>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</si>
  <si>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</si>
  <si>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</si>
  <si>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</si>
  <si>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</si>
  <si>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</si>
  <si>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</si>
  <si>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</si>
  <si>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</si>
  <si>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</si>
  <si>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</si>
  <si>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</si>
  <si>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</si>
  <si>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</si>
  <si>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</si>
  <si>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</si>
  <si>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</si>
  <si>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</si>
  <si>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</si>
  <si>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</si>
  <si>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</si>
  <si>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</si>
  <si>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</si>
  <si>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</si>
  <si>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</si>
  <si>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</si>
  <si>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</si>
  <si>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</si>
  <si>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</si>
  <si>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</si>
  <si>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</si>
  <si>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</si>
  <si>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</si>
  <si>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</si>
  <si>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</si>
  <si>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</si>
  <si>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</si>
  <si>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</si>
  <si>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</si>
  <si>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</si>
  <si>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</si>
  <si>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</si>
  <si>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</si>
  <si>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</si>
  <si>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</si>
  <si>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</si>
  <si>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</si>
  <si>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</si>
  <si>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</si>
  <si>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</si>
  <si>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</si>
  <si>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</si>
  <si>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</si>
  <si>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</si>
  <si>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</si>
  <si>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</si>
  <si>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</si>
  <si>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</si>
  <si>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</si>
  <si>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</si>
  <si>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</si>
  <si>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</si>
  <si>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</si>
  <si>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</si>
  <si>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</si>
  <si>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</si>
  <si>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</si>
  <si>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</si>
  <si>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</si>
  <si>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</si>
  <si>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</si>
  <si>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</si>
  <si>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</si>
  <si>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</si>
  <si>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</si>
  <si>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</si>
  <si>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</si>
  <si>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</si>
  <si>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</si>
  <si>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</si>
  <si>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</si>
  <si>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</si>
  <si>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</si>
  <si>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</si>
  <si>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</si>
  <si>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</si>
  <si>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</si>
  <si>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</si>
  <si>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</si>
  <si>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</si>
  <si>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</si>
  <si>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</si>
  <si>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</si>
  <si>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</si>
  <si>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</si>
  <si>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</si>
  <si>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</si>
  <si>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</si>
  <si>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</si>
  <si>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</si>
  <si>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</si>
  <si>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</si>
  <si>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</si>
  <si>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</si>
  <si>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</si>
  <si>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</si>
  <si>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</si>
  <si>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</si>
  <si>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</si>
  <si>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</si>
  <si>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</si>
  <si>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</si>
  <si>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</si>
  <si>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</si>
  <si>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</si>
  <si>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</si>
  <si>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</si>
  <si>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</si>
  <si>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</si>
  <si>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</si>
  <si>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</si>
  <si>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</si>
  <si>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</si>
  <si>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</si>
  <si>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</si>
  <si>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</si>
  <si>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</si>
  <si>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</si>
  <si>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</si>
  <si>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Költségvetési szervek megnevezése</t>
  </si>
  <si>
    <t>Engedélyezett létszám (fő)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</si>
  <si>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</si>
  <si>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</si>
  <si>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</si>
  <si>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</si>
  <si>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MunkaTv</t>
  </si>
  <si>
    <t>Szakmai állomány  MunkaTv</t>
  </si>
  <si>
    <t>Közfoglalk.</t>
  </si>
  <si>
    <t>Közösségi Ház és Könyvtár</t>
  </si>
  <si>
    <t>Polgármesteri Hivatal</t>
  </si>
  <si>
    <t>Önkormányzat összesen:</t>
  </si>
  <si>
    <t>Választott tisztségviselők</t>
  </si>
  <si>
    <t>Város és községgazdálkodás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</si>
  <si>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</si>
  <si>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</si>
  <si>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</si>
  <si>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</si>
  <si>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</si>
  <si>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</si>
  <si>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</si>
  <si>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</si>
  <si>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</si>
  <si>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</si>
  <si>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</si>
  <si>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</si>
  <si>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</si>
  <si>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</si>
  <si>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</si>
  <si>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</si>
  <si>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</si>
  <si>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</si>
  <si>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</si>
  <si>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</si>
  <si>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</si>
  <si>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</si>
  <si>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</si>
  <si>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</si>
  <si>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</si>
  <si>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</si>
  <si>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</si>
  <si>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</si>
  <si>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</si>
  <si>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</si>
  <si>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</si>
  <si>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</si>
  <si>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</si>
  <si>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</si>
  <si>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</si>
  <si>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</si>
  <si>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</si>
  <si>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</si>
  <si>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</si>
  <si>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</si>
  <si>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</si>
  <si>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</si>
  <si>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</si>
  <si>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</si>
  <si>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</si>
  <si>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</si>
  <si>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</si>
  <si>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</si>
  <si>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</si>
  <si>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</si>
  <si>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</si>
  <si>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</si>
  <si>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</si>
  <si>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</si>
  <si>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</si>
  <si>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</si>
  <si>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</si>
  <si>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</si>
  <si>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</si>
  <si>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</si>
  <si>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</si>
  <si>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</si>
  <si>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</si>
  <si>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</si>
  <si>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</si>
  <si>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</si>
  <si>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</si>
  <si>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</si>
  <si>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</si>
  <si>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</si>
  <si>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</si>
  <si>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</si>
  <si>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</si>
  <si>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</si>
  <si>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</si>
  <si>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</si>
  <si>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</si>
  <si>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</si>
  <si>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</si>
  <si>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</si>
  <si>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</si>
  <si>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</si>
  <si>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</si>
  <si>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</si>
  <si>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</si>
  <si>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</si>
  <si>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</si>
  <si>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</si>
  <si>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</si>
  <si>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</si>
  <si>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</si>
  <si>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</si>
  <si>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</si>
  <si>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</si>
  <si>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</si>
  <si>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</si>
  <si>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</si>
  <si>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</si>
  <si>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</si>
  <si>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</si>
  <si>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</si>
  <si>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</si>
  <si>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</si>
  <si>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</si>
  <si>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</si>
  <si>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</si>
  <si>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</si>
  <si>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</si>
  <si>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</si>
  <si>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</si>
  <si>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</si>
  <si>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</si>
  <si>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</si>
  <si>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</si>
  <si>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</si>
  <si>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</si>
  <si>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</si>
  <si>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</si>
  <si>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</si>
  <si>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</si>
  <si>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</si>
  <si>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</si>
  <si>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</si>
  <si>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</si>
  <si>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</si>
  <si>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Hitel felvétel (minuszos számla egyenleg)</t>
  </si>
  <si>
    <t>BEVÉTELEK ÖSSZESEN: (10+11+12)</t>
  </si>
  <si>
    <t>KIADÁSOK ÖSSZESEN: (6+7+8)</t>
  </si>
  <si>
    <t xml:space="preserve">Peter Cerny Alapítvány Beteg Koraszülöttek Gyógyításért közhasznú szervezet </t>
  </si>
  <si>
    <t>Vadvirág nyugdíjas Klub</t>
  </si>
  <si>
    <t>Működési támogatás</t>
  </si>
  <si>
    <t>Csepp Alapítvány</t>
  </si>
  <si>
    <t>táboroztatás ktg-e</t>
  </si>
  <si>
    <t>Szent Anna Plébánia</t>
  </si>
  <si>
    <t>Anna-napi búcsú</t>
  </si>
  <si>
    <t>Pomáz Város Önkormányzata</t>
  </si>
  <si>
    <t>gyermekjóléti feladatellátás tám</t>
  </si>
  <si>
    <t>Családsegító Szolg.tám I.féléves szerz.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</si>
  <si>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</si>
  <si>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</si>
  <si>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</si>
  <si>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</si>
  <si>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</si>
  <si>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2012. évi teljesítés</t>
  </si>
  <si>
    <t>2013. évi   várható</t>
  </si>
  <si>
    <t>2014. évi terv</t>
  </si>
  <si>
    <t>2014. évi előirányzat</t>
  </si>
  <si>
    <t>2012.évi ellátás tény</t>
  </si>
  <si>
    <t>2014.évi ellátás terv</t>
  </si>
  <si>
    <t>2012.évi támogatás tény</t>
  </si>
  <si>
    <t>2014.évi támogatás terv</t>
  </si>
  <si>
    <t>2014. évi szociális ellátások alakulásának részletezése</t>
  </si>
  <si>
    <t>Felhasználás
2013. XII.31-ig</t>
  </si>
  <si>
    <t xml:space="preserve">
2014. év utáni szükséglet
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</si>
  <si>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</si>
  <si>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</si>
  <si>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</si>
  <si>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</si>
  <si>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</si>
  <si>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</si>
  <si>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A 2014. évi általános működés és ágazati feladatok támogatásának alakulása jogcímenként</t>
  </si>
  <si>
    <t>2014. évi Környezetvédelmi Intézkedési Terve</t>
  </si>
  <si>
    <t>K I M U T A T Á S
a 2014. évi működési célú pénzeszközátadásokról, céljellegű támogatásokról</t>
  </si>
  <si>
    <t>dr Kiss Annamária</t>
  </si>
  <si>
    <t>fogorvosi alapellátás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</si>
  <si>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</si>
  <si>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</si>
  <si>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</si>
  <si>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</si>
  <si>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</si>
  <si>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</si>
  <si>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2013.évi ellátás várható</t>
  </si>
  <si>
    <t>2013.évi támogatás várható</t>
  </si>
  <si>
    <t>Köztemetés</t>
  </si>
  <si>
    <t>sorszám</t>
  </si>
  <si>
    <t>cím</t>
  </si>
  <si>
    <t>helyrajzi szám</t>
  </si>
  <si>
    <t>munkanem</t>
  </si>
  <si>
    <t>1/a</t>
  </si>
  <si>
    <t>Fő út 11.</t>
  </si>
  <si>
    <t>védőkorlát</t>
  </si>
  <si>
    <t>1/b</t>
  </si>
  <si>
    <t>Áfonya u.</t>
  </si>
  <si>
    <t>607/17</t>
  </si>
  <si>
    <t>vízellátás</t>
  </si>
  <si>
    <t>Gyurgyalag u.</t>
  </si>
  <si>
    <t>1/c</t>
  </si>
  <si>
    <t>Hidak</t>
  </si>
  <si>
    <t>felújítás</t>
  </si>
  <si>
    <t>2/a</t>
  </si>
  <si>
    <t>Fő út 1.</t>
  </si>
  <si>
    <t>618/1</t>
  </si>
  <si>
    <t>tető felújítás</t>
  </si>
  <si>
    <t>2/b</t>
  </si>
  <si>
    <t>Fő út 63./1</t>
  </si>
  <si>
    <t>664/2</t>
  </si>
  <si>
    <t>tető javítás</t>
  </si>
  <si>
    <t>Fő út 63/2</t>
  </si>
  <si>
    <t>Vörösvári út 12.</t>
  </si>
  <si>
    <t>3/a</t>
  </si>
  <si>
    <t>Béke út 14</t>
  </si>
  <si>
    <t>elektromos javítások</t>
  </si>
  <si>
    <t>3/b</t>
  </si>
  <si>
    <t>kémény kialakítás átvételhez</t>
  </si>
  <si>
    <t>3/c</t>
  </si>
  <si>
    <t>gáztervezés, MEO</t>
  </si>
  <si>
    <t>3/d</t>
  </si>
  <si>
    <t>Garázs köz</t>
  </si>
  <si>
    <t>661/1</t>
  </si>
  <si>
    <t>lépcsők javítása</t>
  </si>
  <si>
    <t>Mese lépcső</t>
  </si>
  <si>
    <t>3/e</t>
  </si>
  <si>
    <t>festés</t>
  </si>
  <si>
    <t>4/a</t>
  </si>
  <si>
    <t>Fő út 1</t>
  </si>
  <si>
    <t>fűtés korszerűsítés</t>
  </si>
  <si>
    <t>4/b</t>
  </si>
  <si>
    <t>két bejárati ajtó csere</t>
  </si>
  <si>
    <t>4/c</t>
  </si>
  <si>
    <t>Csobogó sétány</t>
  </si>
  <si>
    <t>391/2</t>
  </si>
  <si>
    <t>kerítés felújítás</t>
  </si>
  <si>
    <t>Sportpálya</t>
  </si>
  <si>
    <t>406/125</t>
  </si>
  <si>
    <t>korlátok javítása</t>
  </si>
  <si>
    <t>5/a</t>
  </si>
  <si>
    <t>külső lábazat javítása</t>
  </si>
  <si>
    <t>6/a</t>
  </si>
  <si>
    <t>gyerekpad és asztal</t>
  </si>
  <si>
    <t>6/b</t>
  </si>
  <si>
    <t>mászófal</t>
  </si>
  <si>
    <t>csúszdás mászóka</t>
  </si>
  <si>
    <t>Előirányzat-felhasználási terv
2014. évre</t>
  </si>
  <si>
    <t>Települési önkormányzatok köznevelési feladatainak egyéb támogatása</t>
  </si>
  <si>
    <t>Magyarország 2013. évi központi költségvetéséről szóló 2012. évi CCIV. törvény 3. számú melléklete alapján a helyi önkormányzatok által felhasználható központosított előirányzatok</t>
  </si>
  <si>
    <t>2013. évi   terv</t>
  </si>
  <si>
    <t>Csobánka Község 2014. évi beruházási, felújítási és karbantartási kiadásai feladatonként ( Ft-ban)</t>
  </si>
  <si>
    <t>az Önkormányzat 2014. évi költségvetése Környezetvédelmi Alapjának felhasználására</t>
  </si>
  <si>
    <t>4. számú tájékoztató tábla</t>
  </si>
  <si>
    <t>3. számú tájékoztató tábla</t>
  </si>
  <si>
    <t xml:space="preserve">     - Működési támogatás átadás (Civil Alap 2014)</t>
  </si>
  <si>
    <t>Adóterv</t>
  </si>
  <si>
    <t>2014 évi terv</t>
  </si>
  <si>
    <t>Gördülő költségvetési terv 2014-2016
2014. évre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</si>
  <si>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</si>
  <si>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</si>
  <si>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</si>
  <si>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</si>
  <si>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</si>
  <si>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I/3 Budakalász V. P.H. 2475/10/2009. sz. határozata alapján fapótlás teljesítése (119. hrsz, 288. hrsz ingatlanokon)</t>
  </si>
  <si>
    <t>l/4. Csobánkai Tanösvény karbantartáshoz támogatás</t>
  </si>
  <si>
    <t>2014.01.01. napjától</t>
  </si>
  <si>
    <t>Módosítás</t>
  </si>
  <si>
    <t>2014. évi módosított ei.</t>
  </si>
  <si>
    <t>I. sz. mód.</t>
  </si>
  <si>
    <t>2014.évi mód.ei.</t>
  </si>
  <si>
    <t>2014.évi támogatás mód.ei.</t>
  </si>
  <si>
    <t>Mód.ei.</t>
  </si>
  <si>
    <t>2/a   -  Fő út 1.   -  tető felújítás</t>
  </si>
  <si>
    <t>4/b   -  Fő út 1.   -  két bejárati ajtó csere</t>
  </si>
  <si>
    <t>7   -  Tornaszoba   -  önerő</t>
  </si>
  <si>
    <t>3. Nemzetiségek Háza</t>
  </si>
  <si>
    <t>c/1. Berda-tábla helyreállítása, egy csobánkai természeti érték védetté nyilvánításának költségei</t>
  </si>
  <si>
    <t>2014. évi beruházási/felúj prg.</t>
  </si>
  <si>
    <t>2013. évről áthúzódó bérkompenzáció</t>
  </si>
  <si>
    <t>Helyi önkormányzatok kiegészítő támogatásai</t>
  </si>
  <si>
    <t>2014. évi bérkompenzáció</t>
  </si>
  <si>
    <t>Ágazati pótlék</t>
  </si>
  <si>
    <t>A HELYI ÖNKORMÁNYZATOK MŰKÖDÉSÉNEK ÁLTALÁNOS TÁMOGATÁSA ÖSSZESEN</t>
  </si>
  <si>
    <t xml:space="preserve">A TELEPÜLÉSI ÖNKORMÁNYZATOK SZOCIÁLIS  ÉS GYERMEKJÓLÉTI FELADATAINAK TÁMOGATÁSA ÖSSZESEN </t>
  </si>
  <si>
    <t>Forrás</t>
  </si>
  <si>
    <t>Szabad pénzmaradvány terhére vállalható</t>
  </si>
  <si>
    <t xml:space="preserve">Felhalmozási tartalék (2013.évben elmaradt) </t>
  </si>
  <si>
    <t>Béke út 4.</t>
  </si>
  <si>
    <t>961/3</t>
  </si>
  <si>
    <t>Tornaszoba pályázat önerő</t>
  </si>
  <si>
    <t>Pénzmaradvány működési c. (karbantartás)</t>
  </si>
  <si>
    <t>DMRV (szivattyú felújítás)</t>
  </si>
  <si>
    <t>Környvéd. alap</t>
  </si>
  <si>
    <t>Felhalmozási c. tartalék</t>
  </si>
  <si>
    <t>2014.05.01. napjától</t>
  </si>
  <si>
    <t>HÉSZ</t>
  </si>
  <si>
    <t>Alaptérkép HÉSZ-hez</t>
  </si>
  <si>
    <t>6/b -  Fő út 11.   csúszdás mászóka vásárlás</t>
  </si>
  <si>
    <t>DMRV szivattyú felújítás</t>
  </si>
  <si>
    <t>1/c  - Hidak felújítás</t>
  </si>
  <si>
    <t>Környezetvédelmi Alapból finanszírozott felújítások</t>
  </si>
  <si>
    <t>4/c - Csobogó sétány Játszótér - kerítés felújítás</t>
  </si>
  <si>
    <t>6/a - Csobogó sétány  - gyerekpad és asztal</t>
  </si>
  <si>
    <t xml:space="preserve">6/b - Csobogó sétány mászófal </t>
  </si>
  <si>
    <t>1/a - Fő út 11 védőkorlát</t>
  </si>
  <si>
    <t>9. Helyi Építési Szabályzat I. ütem + Alaptérkép Helyi Építési Szabályzathoz</t>
  </si>
  <si>
    <t>b/4. Az környezetvédelemmel kapcsolatos felújítási, felhalmozási, fejlesztési kiadásokra (7. melléklet szerinti részletezésben)</t>
  </si>
  <si>
    <t>2.1 + 2.2 mell összesen</t>
  </si>
  <si>
    <t>II. sz mód.</t>
  </si>
  <si>
    <t>II.sz.mód.</t>
  </si>
  <si>
    <t>III.sz.mód.</t>
  </si>
  <si>
    <t>2014. évi mód. előirányzat</t>
  </si>
  <si>
    <t>Csobánkai Sportegyesület</t>
  </si>
  <si>
    <t>Iskolaorvosi ell / OEP fin továbbítása</t>
  </si>
  <si>
    <t>Gyermekorvosi ell. támogatása</t>
  </si>
  <si>
    <t>Családsegító Szolg. feladatellátási szerz.</t>
  </si>
  <si>
    <t>adatok Ft-ban</t>
  </si>
  <si>
    <t>E-útdíj bevezetésével kapcsolatos önkormányzatoknál keletkező bevételkiesés ellentételezése</t>
  </si>
  <si>
    <t>Előző évi feladetellátás pótigény</t>
  </si>
  <si>
    <t>Szociális tüzifa</t>
  </si>
  <si>
    <t>KMOP-4.7.1-.13-0005 pályázat informatikai eszköz beszerzések</t>
  </si>
  <si>
    <t>Eszköz beszerzések Közösségi Házba (Testvér városi projekt)</t>
  </si>
  <si>
    <t>Közösségi Ház Gyermekkönyvtár NKA pályázat</t>
  </si>
  <si>
    <t>Tartalékok (működésre)</t>
  </si>
  <si>
    <t>Tartalékok (felhalmozásra)</t>
  </si>
  <si>
    <t>II.sz. mód.</t>
  </si>
  <si>
    <t>Közösségi Ház eszköz beszerzések</t>
  </si>
  <si>
    <t>Szociális tüzafa vásárlás támogatása</t>
  </si>
  <si>
    <t>Működési célú finanszírozási bevételek (ktgvetési pénzm+ áhtn belüli meghitelezések)</t>
  </si>
  <si>
    <t>Szabadidősport feladatok, utánpótlás nevelés</t>
  </si>
  <si>
    <t>Működési célú finanszírozási kiadások (Áht-n belüli megelőlegezés visszafizetés)</t>
  </si>
  <si>
    <t xml:space="preserve">   Államháztartáson belüli megelőlegezések visszafizetése</t>
  </si>
  <si>
    <t>Áht-n belüli megelőlegezések</t>
  </si>
  <si>
    <t>1. melléklet a 3/2015. (II.20.) önkormányzati rendelethez</t>
  </si>
  <si>
    <r>
      <rPr>
        <b/>
        <sz val="10"/>
        <rFont val="Times New Roman CE"/>
        <charset val="238"/>
      </rPr>
      <t xml:space="preserve">2.1. melléklet a 3/2015. (II.20.) önkormányzati rendelethez   </t>
    </r>
    <r>
      <rPr>
        <i/>
        <sz val="10"/>
        <rFont val="Times New Roman CE"/>
        <charset val="238"/>
      </rPr>
      <t xml:space="preserve">  </t>
    </r>
  </si>
  <si>
    <t xml:space="preserve">2.2. melléklet a 3/2015. (II.20.)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</si>
</sst>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60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u/>
      <sz val="9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" fillId="0" borderId="0"/>
  </cellStyleXfs>
  <cellXfs count="166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20" fillId="2" borderId="16" xfId="0" applyNumberFormat="1" applyFont="1" applyFill="1" applyBorder="1" applyAlignment="1" applyProtection="1">
      <alignment vertical="center" wrapText="1"/>
    </xf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0" fontId="84" fillId="0" borderId="0" xfId="5" applyFont="1" applyFill="1" applyProtection="1">
      <protection locked="0"/>
    </xf>
    <xf numFmtId="0" fontId="84" fillId="0" borderId="0" xfId="5" applyFont="1" applyFill="1" applyProtection="1"/>
    <xf numFmtId="0" fontId="84" fillId="0" borderId="0" xfId="5" applyFont="1" applyFill="1" applyAlignment="1" applyProtection="1">
      <alignment vertical="center"/>
    </xf>
    <xf numFmtId="164" fontId="84" fillId="0" borderId="0" xfId="5" applyNumberFormat="1" applyFont="1" applyFill="1" applyAlignment="1" applyProtection="1">
      <alignment vertical="center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0" fontId="43" fillId="0" borderId="0" xfId="0" applyFont="1"/>
    <xf numFmtId="0" fontId="43" fillId="0" borderId="0" xfId="0" applyFont="1" applyAlignment="1">
      <alignment horizontal="justify"/>
    </xf>
    <xf numFmtId="164" fontId="0" fillId="0" borderId="9" xfId="0" applyNumberForma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29" fillId="0" borderId="35" xfId="4" applyFont="1" applyFill="1" applyBorder="1" applyAlignment="1" applyProtection="1">
      <alignment horizontal="left" vertical="center" wrapText="1"/>
    </xf>
    <xf numFmtId="0" fontId="43" fillId="0" borderId="0" xfId="0" applyFont="1" applyAlignment="1">
      <alignment vertical="center"/>
    </xf>
    <xf numFmtId="164" fontId="15" fillId="0" borderId="0" xfId="0" applyNumberFormat="1" applyFont="1" applyFill="1" applyAlignment="1">
      <alignment vertical="center" wrapText="1"/>
    </xf>
    <xf numFmtId="0" fontId="97" fillId="0" borderId="0" xfId="0" applyFont="1"/>
    <xf numFmtId="0" fontId="95" fillId="0" borderId="0" xfId="0" applyFont="1"/>
    <xf numFmtId="4" fontId="97" fillId="0" borderId="0" xfId="0" applyNumberFormat="1" applyFont="1" applyAlignment="1">
      <alignment horizontal="center"/>
    </xf>
    <xf numFmtId="0" fontId="95" fillId="0" borderId="45" xfId="0" applyFont="1" applyBorder="1" applyAlignment="1">
      <alignment horizontal="center" vertical="center" wrapText="1"/>
    </xf>
    <xf numFmtId="3" fontId="95" fillId="0" borderId="23" xfId="0" applyNumberFormat="1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3" fontId="95" fillId="0" borderId="15" xfId="0" applyNumberFormat="1" applyFont="1" applyBorder="1" applyAlignment="1">
      <alignment horizontal="center" vertical="center" wrapText="1"/>
    </xf>
    <xf numFmtId="3" fontId="95" fillId="0" borderId="25" xfId="0" applyNumberFormat="1" applyFont="1" applyBorder="1" applyAlignment="1">
      <alignment horizontal="center" vertical="center" wrapText="1"/>
    </xf>
    <xf numFmtId="0" fontId="97" fillId="0" borderId="53" xfId="0" applyFont="1" applyBorder="1" applyAlignment="1">
      <alignment horizontal="justify" vertical="top" wrapText="1"/>
    </xf>
    <xf numFmtId="2" fontId="97" fillId="0" borderId="53" xfId="0" applyNumberFormat="1" applyFont="1" applyBorder="1" applyAlignment="1">
      <alignment horizontal="center" vertical="center" wrapText="1"/>
    </xf>
    <xf numFmtId="4" fontId="97" fillId="0" borderId="19" xfId="0" applyNumberFormat="1" applyFont="1" applyBorder="1" applyAlignment="1">
      <alignment horizontal="center" vertical="center"/>
    </xf>
    <xf numFmtId="4" fontId="97" fillId="0" borderId="26" xfId="0" applyNumberFormat="1" applyFont="1" applyBorder="1" applyAlignment="1">
      <alignment horizontal="center" vertical="center"/>
    </xf>
    <xf numFmtId="4" fontId="97" fillId="0" borderId="28" xfId="0" applyNumberFormat="1" applyFont="1" applyBorder="1" applyAlignment="1">
      <alignment horizontal="center" vertical="center"/>
    </xf>
    <xf numFmtId="0" fontId="96" fillId="6" borderId="53" xfId="0" applyFont="1" applyFill="1" applyBorder="1" applyAlignment="1">
      <alignment horizontal="justify" vertical="top" wrapText="1"/>
    </xf>
    <xf numFmtId="2" fontId="96" fillId="6" borderId="54" xfId="0" applyNumberFormat="1" applyFont="1" applyFill="1" applyBorder="1" applyAlignment="1">
      <alignment horizontal="center" vertical="center" wrapText="1"/>
    </xf>
    <xf numFmtId="2" fontId="96" fillId="6" borderId="19" xfId="0" applyNumberFormat="1" applyFont="1" applyFill="1" applyBorder="1" applyAlignment="1">
      <alignment horizontal="center" vertical="center" wrapText="1"/>
    </xf>
    <xf numFmtId="4" fontId="96" fillId="6" borderId="26" xfId="0" applyNumberFormat="1" applyFont="1" applyFill="1" applyBorder="1" applyAlignment="1">
      <alignment horizontal="center" vertical="center"/>
    </xf>
    <xf numFmtId="0" fontId="96" fillId="0" borderId="0" xfId="0" applyFont="1"/>
    <xf numFmtId="2" fontId="97" fillId="0" borderId="54" xfId="0" applyNumberFormat="1" applyFont="1" applyBorder="1" applyAlignment="1">
      <alignment horizontal="center" vertical="center" wrapText="1"/>
    </xf>
    <xf numFmtId="0" fontId="97" fillId="0" borderId="56" xfId="0" applyFont="1" applyBorder="1" applyAlignment="1">
      <alignment horizontal="justify" vertical="top" wrapText="1"/>
    </xf>
    <xf numFmtId="0" fontId="96" fillId="0" borderId="45" xfId="0" applyFont="1" applyBorder="1" applyAlignment="1">
      <alignment horizontal="justify" vertical="top" wrapText="1"/>
    </xf>
    <xf numFmtId="2" fontId="96" fillId="0" borderId="15" xfId="0" applyNumberFormat="1" applyFont="1" applyBorder="1" applyAlignment="1">
      <alignment horizontal="center" vertical="center" wrapText="1"/>
    </xf>
    <xf numFmtId="2" fontId="96" fillId="0" borderId="25" xfId="0" applyNumberFormat="1" applyFont="1" applyBorder="1" applyAlignment="1">
      <alignment horizontal="center" vertical="center" wrapText="1"/>
    </xf>
    <xf numFmtId="0" fontId="98" fillId="0" borderId="0" xfId="0" applyFont="1"/>
    <xf numFmtId="0" fontId="95" fillId="0" borderId="0" xfId="0" applyFont="1" applyAlignment="1">
      <alignment horizontal="justify"/>
    </xf>
    <xf numFmtId="167" fontId="97" fillId="0" borderId="0" xfId="0" applyNumberFormat="1" applyFont="1"/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0" fontId="15" fillId="0" borderId="3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61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55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62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15" fillId="0" borderId="35" xfId="1" applyNumberFormat="1" applyFont="1" applyFill="1" applyBorder="1" applyProtection="1"/>
    <xf numFmtId="0" fontId="15" fillId="0" borderId="15" xfId="4" applyFont="1" applyFill="1" applyBorder="1" applyAlignment="1" applyProtection="1">
      <alignment horizontal="center" vertical="center"/>
    </xf>
    <xf numFmtId="166" fontId="15" fillId="0" borderId="13" xfId="1" applyNumberFormat="1" applyFont="1" applyFill="1" applyBorder="1" applyProtection="1">
      <protection locked="0"/>
    </xf>
    <xf numFmtId="166" fontId="15" fillId="0" borderId="9" xfId="1" applyNumberFormat="1" applyFont="1" applyFill="1" applyBorder="1" applyProtection="1">
      <protection locked="0"/>
    </xf>
    <xf numFmtId="166" fontId="15" fillId="0" borderId="12" xfId="1" applyNumberFormat="1" applyFont="1" applyFill="1" applyBorder="1" applyProtection="1">
      <protection locked="0"/>
    </xf>
    <xf numFmtId="166" fontId="15" fillId="0" borderId="1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0" fontId="15" fillId="0" borderId="46" xfId="4" applyFont="1" applyFill="1" applyBorder="1"/>
    <xf numFmtId="0" fontId="4" fillId="0" borderId="57" xfId="4" applyFont="1" applyFill="1" applyBorder="1" applyAlignment="1" applyProtection="1">
      <alignment horizontal="center"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2" fontId="97" fillId="0" borderId="56" xfId="0" applyNumberFormat="1" applyFont="1" applyBorder="1" applyAlignment="1">
      <alignment horizontal="center" vertical="center" wrapText="1"/>
    </xf>
    <xf numFmtId="4" fontId="97" fillId="0" borderId="56" xfId="0" applyNumberFormat="1" applyFont="1" applyBorder="1" applyAlignment="1">
      <alignment horizontal="center" vertical="center"/>
    </xf>
    <xf numFmtId="0" fontId="97" fillId="0" borderId="54" xfId="0" applyFont="1" applyBorder="1" applyAlignment="1">
      <alignment horizontal="justify" vertical="top" wrapText="1"/>
    </xf>
    <xf numFmtId="4" fontId="97" fillId="0" borderId="24" xfId="0" applyNumberFormat="1" applyFont="1" applyBorder="1" applyAlignment="1">
      <alignment horizontal="center" vertical="center"/>
    </xf>
    <xf numFmtId="2" fontId="96" fillId="0" borderId="45" xfId="0" applyNumberFormat="1" applyFont="1" applyBorder="1" applyAlignment="1">
      <alignment horizontal="center" vertical="center" wrapText="1"/>
    </xf>
    <xf numFmtId="4" fontId="97" fillId="0" borderId="22" xfId="0" applyNumberFormat="1" applyFont="1" applyBorder="1" applyAlignment="1">
      <alignment horizontal="center" vertical="center"/>
    </xf>
    <xf numFmtId="2" fontId="96" fillId="0" borderId="23" xfId="0" applyNumberFormat="1" applyFont="1" applyBorder="1" applyAlignment="1">
      <alignment horizontal="center" vertical="center" wrapText="1"/>
    </xf>
    <xf numFmtId="4" fontId="97" fillId="0" borderId="54" xfId="0" applyNumberFormat="1" applyFont="1" applyBorder="1" applyAlignment="1">
      <alignment horizontal="center" vertical="center"/>
    </xf>
    <xf numFmtId="4" fontId="97" fillId="0" borderId="20" xfId="0" applyNumberFormat="1" applyFont="1" applyBorder="1" applyAlignment="1">
      <alignment horizontal="center" vertical="center"/>
    </xf>
    <xf numFmtId="164" fontId="0" fillId="0" borderId="0" xfId="0" applyNumberFormat="1" applyFont="1" applyFill="1" applyAlignment="1">
      <alignment vertical="center" wrapText="1"/>
    </xf>
    <xf numFmtId="3" fontId="71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vertical="center"/>
    </xf>
    <xf numFmtId="3" fontId="71" fillId="10" borderId="19" xfId="0" applyNumberFormat="1" applyFont="1" applyFill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0" fontId="0" fillId="10" borderId="0" xfId="0" applyFill="1" applyAlignment="1"/>
    <xf numFmtId="3" fontId="71" fillId="10" borderId="22" xfId="0" applyNumberFormat="1" applyFont="1" applyFill="1" applyBorder="1" applyAlignment="1">
      <alignment horizontal="right" wrapText="1"/>
    </xf>
    <xf numFmtId="3" fontId="81" fillId="10" borderId="21" xfId="0" applyNumberFormat="1" applyFont="1" applyFill="1" applyBorder="1" applyAlignment="1">
      <alignment horizontal="right" vertical="center"/>
    </xf>
    <xf numFmtId="3" fontId="81" fillId="10" borderId="23" xfId="0" applyNumberFormat="1" applyFont="1" applyFill="1" applyBorder="1" applyAlignment="1">
      <alignment horizontal="right" vertical="center"/>
    </xf>
    <xf numFmtId="3" fontId="71" fillId="10" borderId="22" xfId="0" applyNumberFormat="1" applyFont="1" applyFill="1" applyBorder="1" applyAlignment="1">
      <alignment horizontal="right" vertical="center"/>
    </xf>
    <xf numFmtId="3" fontId="100" fillId="10" borderId="19" xfId="0" applyNumberFormat="1" applyFont="1" applyFill="1" applyBorder="1" applyAlignment="1">
      <alignment horizontal="right" vertical="center"/>
    </xf>
    <xf numFmtId="3" fontId="73" fillId="10" borderId="19" xfId="0" applyNumberFormat="1" applyFont="1" applyFill="1" applyBorder="1" applyAlignment="1">
      <alignment horizontal="right" vertical="center"/>
    </xf>
    <xf numFmtId="3" fontId="100" fillId="10" borderId="21" xfId="0" applyNumberFormat="1" applyFont="1" applyFill="1" applyBorder="1" applyAlignment="1">
      <alignment horizontal="right" vertical="center"/>
    </xf>
    <xf numFmtId="3" fontId="50" fillId="10" borderId="22" xfId="0" applyNumberFormat="1" applyFont="1" applyFill="1" applyBorder="1" applyAlignment="1">
      <alignment horizontal="right" vertical="center"/>
    </xf>
    <xf numFmtId="3" fontId="50" fillId="10" borderId="19" xfId="0" applyNumberFormat="1" applyFont="1" applyFill="1" applyBorder="1" applyAlignment="1">
      <alignment horizontal="right" vertical="center"/>
    </xf>
    <xf numFmtId="3" fontId="81" fillId="10" borderId="19" xfId="0" applyNumberFormat="1" applyFont="1" applyFill="1" applyBorder="1" applyAlignment="1">
      <alignment horizontal="right" vertical="center"/>
    </xf>
    <xf numFmtId="3" fontId="80" fillId="10" borderId="19" xfId="0" applyNumberFormat="1" applyFont="1" applyFill="1" applyBorder="1" applyAlignment="1">
      <alignment horizontal="right" vertical="center"/>
    </xf>
    <xf numFmtId="3" fontId="80" fillId="10" borderId="21" xfId="0" applyNumberFormat="1" applyFont="1" applyFill="1" applyBorder="1" applyAlignment="1">
      <alignment horizontal="right" vertical="center"/>
    </xf>
    <xf numFmtId="3" fontId="73" fillId="10" borderId="22" xfId="0" applyNumberFormat="1" applyFont="1" applyFill="1" applyBorder="1" applyAlignment="1">
      <alignment horizontal="right" vertical="center"/>
    </xf>
    <xf numFmtId="3" fontId="82" fillId="10" borderId="19" xfId="0" applyNumberFormat="1" applyFont="1" applyFill="1" applyBorder="1" applyAlignment="1">
      <alignment horizontal="right" vertical="center"/>
    </xf>
    <xf numFmtId="3" fontId="82" fillId="10" borderId="21" xfId="0" applyNumberFormat="1" applyFont="1" applyFill="1" applyBorder="1" applyAlignment="1">
      <alignment horizontal="right" vertical="center"/>
    </xf>
    <xf numFmtId="3" fontId="81" fillId="10" borderId="0" xfId="0" applyNumberFormat="1" applyFont="1" applyFill="1" applyBorder="1" applyAlignment="1">
      <alignment horizontal="right" vertical="center"/>
    </xf>
    <xf numFmtId="3" fontId="81" fillId="10" borderId="25" xfId="0" applyNumberFormat="1" applyFont="1" applyFill="1" applyBorder="1" applyAlignment="1">
      <alignment horizontal="right" vertical="center"/>
    </xf>
    <xf numFmtId="3" fontId="0" fillId="10" borderId="0" xfId="0" applyNumberFormat="1" applyFill="1"/>
    <xf numFmtId="0" fontId="0" fillId="10" borderId="0" xfId="0" applyFill="1"/>
    <xf numFmtId="0" fontId="102" fillId="0" borderId="0" xfId="0" applyFont="1" applyFill="1" applyBorder="1" applyAlignment="1" applyProtection="1">
      <alignment horizontal="right"/>
    </xf>
    <xf numFmtId="166" fontId="104" fillId="0" borderId="45" xfId="1" applyNumberFormat="1" applyFont="1" applyFill="1" applyBorder="1" applyProtection="1"/>
    <xf numFmtId="0" fontId="104" fillId="0" borderId="46" xfId="4" applyFont="1" applyFill="1" applyBorder="1"/>
    <xf numFmtId="166" fontId="103" fillId="0" borderId="35" xfId="1" applyNumberFormat="1" applyFont="1" applyFill="1" applyBorder="1" applyProtection="1"/>
    <xf numFmtId="0" fontId="104" fillId="0" borderId="0" xfId="4" applyFont="1" applyFill="1"/>
    <xf numFmtId="0" fontId="71" fillId="0" borderId="0" xfId="0" applyFont="1"/>
    <xf numFmtId="0" fontId="71" fillId="0" borderId="0" xfId="0" applyFont="1" applyAlignment="1">
      <alignment horizontal="center"/>
    </xf>
    <xf numFmtId="0" fontId="71" fillId="0" borderId="0" xfId="0" applyFont="1" applyAlignment="1">
      <alignment wrapText="1"/>
    </xf>
    <xf numFmtId="3" fontId="105" fillId="0" borderId="0" xfId="0" applyNumberFormat="1" applyFont="1" applyAlignment="1">
      <alignment horizontal="center"/>
    </xf>
    <xf numFmtId="3" fontId="71" fillId="0" borderId="0" xfId="0" applyNumberFormat="1" applyFont="1" applyAlignment="1">
      <alignment horizontal="center"/>
    </xf>
    <xf numFmtId="0" fontId="71" fillId="0" borderId="2" xfId="0" applyFont="1" applyBorder="1"/>
    <xf numFmtId="0" fontId="71" fillId="0" borderId="2" xfId="0" applyFont="1" applyBorder="1" applyAlignment="1">
      <alignment horizontal="center"/>
    </xf>
    <xf numFmtId="16" fontId="71" fillId="0" borderId="2" xfId="0" applyNumberFormat="1" applyFont="1" applyBorder="1" applyAlignment="1">
      <alignment horizontal="center"/>
    </xf>
    <xf numFmtId="0" fontId="50" fillId="0" borderId="2" xfId="0" applyFont="1" applyBorder="1"/>
    <xf numFmtId="16" fontId="50" fillId="0" borderId="2" xfId="0" applyNumberFormat="1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164" fontId="20" fillId="11" borderId="16" xfId="5" applyNumberFormat="1" applyFont="1" applyFill="1" applyBorder="1" applyProtection="1"/>
    <xf numFmtId="3" fontId="50" fillId="0" borderId="23" xfId="0" applyNumberFormat="1" applyFont="1" applyFill="1" applyBorder="1" applyAlignment="1">
      <alignment horizontal="right" vertical="center" wrapText="1"/>
    </xf>
    <xf numFmtId="0" fontId="71" fillId="0" borderId="13" xfId="0" applyFont="1" applyBorder="1"/>
    <xf numFmtId="0" fontId="71" fillId="0" borderId="5" xfId="0" applyFont="1" applyBorder="1"/>
    <xf numFmtId="0" fontId="71" fillId="0" borderId="5" xfId="0" applyFont="1" applyBorder="1" applyAlignment="1">
      <alignment horizontal="center"/>
    </xf>
    <xf numFmtId="3" fontId="71" fillId="0" borderId="22" xfId="0" applyNumberFormat="1" applyFont="1" applyBorder="1"/>
    <xf numFmtId="0" fontId="71" fillId="0" borderId="9" xfId="0" applyFont="1" applyBorder="1"/>
    <xf numFmtId="3" fontId="71" fillId="0" borderId="19" xfId="0" applyNumberFormat="1" applyFont="1" applyBorder="1"/>
    <xf numFmtId="0" fontId="50" fillId="0" borderId="9" xfId="0" applyFont="1" applyBorder="1"/>
    <xf numFmtId="3" fontId="50" fillId="0" borderId="19" xfId="0" applyNumberFormat="1" applyFont="1" applyBorder="1"/>
    <xf numFmtId="0" fontId="22" fillId="14" borderId="4" xfId="5" applyFont="1" applyFill="1" applyBorder="1" applyAlignment="1" applyProtection="1">
      <alignment horizontal="left" vertical="center" indent="1"/>
    </xf>
    <xf numFmtId="164" fontId="22" fillId="14" borderId="4" xfId="5" applyNumberFormat="1" applyFont="1" applyFill="1" applyBorder="1" applyAlignment="1" applyProtection="1">
      <alignment vertical="center"/>
      <protection locked="0"/>
    </xf>
    <xf numFmtId="164" fontId="22" fillId="14" borderId="31" xfId="5" applyNumberFormat="1" applyFont="1" applyFill="1" applyBorder="1" applyAlignment="1" applyProtection="1">
      <alignment vertical="center"/>
    </xf>
    <xf numFmtId="0" fontId="22" fillId="14" borderId="2" xfId="5" applyFont="1" applyFill="1" applyBorder="1" applyAlignment="1" applyProtection="1">
      <alignment horizontal="left" vertical="center" wrapText="1" indent="1"/>
    </xf>
    <xf numFmtId="164" fontId="22" fillId="14" borderId="2" xfId="5" applyNumberFormat="1" applyFont="1" applyFill="1" applyBorder="1" applyAlignment="1" applyProtection="1">
      <alignment vertical="center"/>
      <protection locked="0"/>
    </xf>
    <xf numFmtId="164" fontId="22" fillId="14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0" fontId="95" fillId="0" borderId="45" xfId="0" applyFont="1" applyBorder="1" applyAlignment="1">
      <alignment horizontal="center" vertical="center" wrapText="1"/>
    </xf>
    <xf numFmtId="0" fontId="43" fillId="0" borderId="0" xfId="0" applyFont="1" applyAlignment="1"/>
    <xf numFmtId="0" fontId="26" fillId="9" borderId="15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9" borderId="23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vertical="top" wrapText="1"/>
    </xf>
    <xf numFmtId="0" fontId="26" fillId="8" borderId="15" xfId="0" applyFont="1" applyFill="1" applyBorder="1" applyAlignment="1">
      <alignment wrapText="1"/>
    </xf>
    <xf numFmtId="0" fontId="22" fillId="0" borderId="46" xfId="5" applyFont="1" applyFill="1" applyBorder="1" applyAlignment="1" applyProtection="1">
      <alignment horizontal="left" vertical="center" indent="1"/>
    </xf>
    <xf numFmtId="0" fontId="104" fillId="0" borderId="35" xfId="4" applyFont="1" applyFill="1" applyBorder="1" applyAlignment="1" applyProtection="1">
      <alignment horizontal="center" vertical="center"/>
    </xf>
    <xf numFmtId="166" fontId="104" fillId="0" borderId="61" xfId="1" applyNumberFormat="1" applyFont="1" applyFill="1" applyBorder="1" applyProtection="1">
      <protection locked="0"/>
    </xf>
    <xf numFmtId="166" fontId="104" fillId="0" borderId="55" xfId="1" applyNumberFormat="1" applyFont="1" applyFill="1" applyBorder="1" applyProtection="1">
      <protection locked="0"/>
    </xf>
    <xf numFmtId="166" fontId="104" fillId="0" borderId="62" xfId="1" applyNumberFormat="1" applyFont="1" applyFill="1" applyBorder="1" applyProtection="1">
      <protection locked="0"/>
    </xf>
    <xf numFmtId="0" fontId="103" fillId="0" borderId="5" xfId="4" applyFont="1" applyFill="1" applyBorder="1" applyAlignment="1" applyProtection="1">
      <alignment horizontal="center" vertical="center" wrapText="1"/>
    </xf>
    <xf numFmtId="0" fontId="104" fillId="0" borderId="16" xfId="4" applyFont="1" applyFill="1" applyBorder="1" applyAlignment="1" applyProtection="1">
      <alignment horizontal="center" vertical="center"/>
    </xf>
    <xf numFmtId="166" fontId="104" fillId="0" borderId="5" xfId="1" applyNumberFormat="1" applyFont="1" applyFill="1" applyBorder="1" applyProtection="1">
      <protection locked="0"/>
    </xf>
    <xf numFmtId="166" fontId="104" fillId="0" borderId="2" xfId="1" applyNumberFormat="1" applyFont="1" applyFill="1" applyBorder="1" applyProtection="1">
      <protection locked="0"/>
    </xf>
    <xf numFmtId="166" fontId="104" fillId="0" borderId="7" xfId="1" applyNumberFormat="1" applyFont="1" applyFill="1" applyBorder="1" applyProtection="1">
      <protection locked="0"/>
    </xf>
    <xf numFmtId="166" fontId="104" fillId="0" borderId="16" xfId="1" applyNumberFormat="1" applyFont="1" applyFill="1" applyBorder="1" applyProtection="1"/>
    <xf numFmtId="166" fontId="104" fillId="0" borderId="35" xfId="1" applyNumberFormat="1" applyFont="1" applyFill="1" applyBorder="1" applyProtection="1"/>
    <xf numFmtId="0" fontId="15" fillId="0" borderId="38" xfId="4" applyFont="1" applyFill="1" applyBorder="1" applyAlignment="1" applyProtection="1">
      <alignment horizontal="center" vertical="center"/>
    </xf>
    <xf numFmtId="166" fontId="15" fillId="0" borderId="57" xfId="1" applyNumberFormat="1" applyFont="1" applyFill="1" applyBorder="1" applyProtection="1">
      <protection locked="0"/>
    </xf>
    <xf numFmtId="166" fontId="15" fillId="0" borderId="49" xfId="1" applyNumberFormat="1" applyFont="1" applyFill="1" applyBorder="1" applyProtection="1">
      <protection locked="0"/>
    </xf>
    <xf numFmtId="166" fontId="15" fillId="0" borderId="38" xfId="1" applyNumberFormat="1" applyFont="1" applyFill="1" applyBorder="1" applyProtection="1"/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15" fillId="0" borderId="11" xfId="1" applyNumberFormat="1" applyFont="1" applyFill="1" applyBorder="1" applyProtection="1">
      <protection locked="0"/>
    </xf>
    <xf numFmtId="166" fontId="15" fillId="13" borderId="9" xfId="1" applyNumberFormat="1" applyFont="1" applyFill="1" applyBorder="1" applyProtection="1">
      <protection locked="0"/>
    </xf>
    <xf numFmtId="166" fontId="15" fillId="13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15" fillId="13" borderId="43" xfId="1" applyNumberFormat="1" applyFont="1" applyFill="1" applyBorder="1" applyProtection="1">
      <protection locked="0"/>
    </xf>
    <xf numFmtId="166" fontId="15" fillId="13" borderId="7" xfId="1" applyNumberFormat="1" applyFont="1" applyFill="1" applyBorder="1" applyProtection="1">
      <protection locked="0"/>
    </xf>
    <xf numFmtId="166" fontId="15" fillId="13" borderId="12" xfId="1" applyNumberFormat="1" applyFont="1" applyFill="1" applyBorder="1" applyProtection="1">
      <protection locked="0"/>
    </xf>
    <xf numFmtId="166" fontId="4" fillId="0" borderId="38" xfId="1" applyNumberFormat="1" applyFont="1" applyFill="1" applyBorder="1" applyProtection="1"/>
    <xf numFmtId="166" fontId="4" fillId="0" borderId="16" xfId="1" applyNumberFormat="1" applyFont="1" applyFill="1" applyBorder="1" applyProtection="1"/>
    <xf numFmtId="0" fontId="4" fillId="0" borderId="46" xfId="4" applyFont="1" applyFill="1" applyBorder="1" applyAlignment="1" applyProtection="1">
      <alignment horizontal="center" vertical="center" wrapText="1"/>
    </xf>
    <xf numFmtId="3" fontId="33" fillId="0" borderId="46" xfId="0" applyNumberFormat="1" applyFont="1" applyFill="1" applyBorder="1" applyAlignment="1" applyProtection="1">
      <alignment horizontal="right" vertical="center" indent="1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" fontId="71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19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>
      <alignment vertical="center" wrapText="1"/>
    </xf>
    <xf numFmtId="164" fontId="7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2" fillId="0" borderId="2" xfId="0" applyNumberFormat="1" applyFont="1" applyFill="1" applyBorder="1" applyAlignment="1" applyProtection="1">
      <alignment vertical="center" wrapText="1"/>
      <protection locked="0"/>
    </xf>
    <xf numFmtId="1" fontId="72" fillId="0" borderId="2" xfId="0" applyNumberFormat="1" applyFont="1" applyFill="1" applyBorder="1" applyAlignment="1" applyProtection="1">
      <alignment vertical="center" wrapText="1"/>
      <protection locked="0"/>
    </xf>
    <xf numFmtId="164" fontId="72" fillId="0" borderId="19" xfId="0" applyNumberFormat="1" applyFont="1" applyFill="1" applyBorder="1" applyAlignment="1" applyProtection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0" fontId="43" fillId="0" borderId="15" xfId="0" applyFont="1" applyBorder="1" applyAlignment="1">
      <alignment vertical="top" wrapText="1"/>
    </xf>
    <xf numFmtId="0" fontId="0" fillId="0" borderId="13" xfId="0" applyFont="1" applyBorder="1" applyAlignment="1" applyProtection="1">
      <alignment horizontal="right" vertical="center" indent="1"/>
    </xf>
    <xf numFmtId="0" fontId="0" fillId="0" borderId="5" xfId="0" applyFont="1" applyBorder="1" applyAlignment="1" applyProtection="1">
      <alignment horizontal="left" vertical="center" indent="1"/>
      <protection locked="0"/>
    </xf>
    <xf numFmtId="3" fontId="0" fillId="0" borderId="5" xfId="0" applyNumberFormat="1" applyFont="1" applyBorder="1" applyAlignment="1" applyProtection="1">
      <alignment horizontal="right" vertical="center" indent="1"/>
      <protection locked="0"/>
    </xf>
    <xf numFmtId="3" fontId="0" fillId="0" borderId="75" xfId="0" applyNumberFormat="1" applyFont="1" applyBorder="1" applyAlignment="1" applyProtection="1">
      <alignment horizontal="right" vertical="center" indent="1"/>
      <protection locked="0"/>
    </xf>
    <xf numFmtId="0" fontId="0" fillId="0" borderId="9" xfId="0" applyFont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horizontal="left" vertical="center" indent="1"/>
      <protection locked="0"/>
    </xf>
    <xf numFmtId="3" fontId="0" fillId="10" borderId="2" xfId="0" applyNumberFormat="1" applyFont="1" applyFill="1" applyBorder="1" applyAlignment="1" applyProtection="1">
      <alignment horizontal="right" vertical="center" indent="1"/>
      <protection locked="0"/>
    </xf>
    <xf numFmtId="3" fontId="0" fillId="0" borderId="64" xfId="0" applyNumberFormat="1" applyFont="1" applyBorder="1" applyAlignment="1" applyProtection="1">
      <alignment horizontal="right" vertical="center" indent="1"/>
      <protection locked="0"/>
    </xf>
    <xf numFmtId="3" fontId="0" fillId="0" borderId="2" xfId="0" applyNumberFormat="1" applyFont="1" applyBorder="1" applyAlignment="1" applyProtection="1">
      <alignment horizontal="right" vertical="center" indent="1"/>
      <protection locked="0"/>
    </xf>
    <xf numFmtId="0" fontId="0" fillId="0" borderId="2" xfId="0" applyFont="1" applyBorder="1" applyAlignment="1" applyProtection="1">
      <alignment horizontal="left" vertical="center" wrapText="1" indent="1"/>
      <protection locked="0"/>
    </xf>
    <xf numFmtId="0" fontId="33" fillId="12" borderId="9" xfId="0" applyFont="1" applyFill="1" applyBorder="1" applyAlignment="1" applyProtection="1">
      <alignment horizontal="right" vertical="center" indent="1"/>
    </xf>
    <xf numFmtId="0" fontId="33" fillId="12" borderId="2" xfId="0" applyFont="1" applyFill="1" applyBorder="1" applyAlignment="1" applyProtection="1">
      <alignment horizontal="left" vertical="center" indent="1"/>
      <protection locked="0"/>
    </xf>
    <xf numFmtId="3" fontId="33" fillId="12" borderId="2" xfId="0" applyNumberFormat="1" applyFont="1" applyFill="1" applyBorder="1" applyAlignment="1" applyProtection="1">
      <alignment horizontal="right" vertical="center" indent="1"/>
      <protection locked="0"/>
    </xf>
    <xf numFmtId="3" fontId="33" fillId="12" borderId="64" xfId="0" applyNumberFormat="1" applyFont="1" applyFill="1" applyBorder="1" applyAlignment="1" applyProtection="1">
      <alignment horizontal="right" vertical="center" indent="1"/>
      <protection locked="0"/>
    </xf>
    <xf numFmtId="0" fontId="71" fillId="0" borderId="12" xfId="0" applyFont="1" applyBorder="1"/>
    <xf numFmtId="0" fontId="71" fillId="0" borderId="7" xfId="0" applyFont="1" applyBorder="1"/>
    <xf numFmtId="0" fontId="71" fillId="0" borderId="7" xfId="0" applyFont="1" applyBorder="1" applyAlignment="1">
      <alignment horizontal="center"/>
    </xf>
    <xf numFmtId="3" fontId="71" fillId="0" borderId="21" xfId="0" applyNumberFormat="1" applyFont="1" applyBorder="1"/>
    <xf numFmtId="0" fontId="1" fillId="10" borderId="0" xfId="6" applyFill="1"/>
    <xf numFmtId="3" fontId="74" fillId="10" borderId="22" xfId="6" applyNumberFormat="1" applyFont="1" applyFill="1" applyBorder="1" applyAlignment="1">
      <alignment horizontal="right" vertical="center"/>
    </xf>
    <xf numFmtId="3" fontId="74" fillId="10" borderId="21" xfId="6" applyNumberFormat="1" applyFont="1" applyFill="1" applyBorder="1" applyAlignment="1">
      <alignment horizontal="right" vertical="center"/>
    </xf>
    <xf numFmtId="3" fontId="50" fillId="10" borderId="21" xfId="6" applyNumberFormat="1" applyFont="1" applyFill="1" applyBorder="1" applyAlignment="1">
      <alignment horizontal="right" vertical="center"/>
    </xf>
    <xf numFmtId="3" fontId="50" fillId="10" borderId="33" xfId="6" applyNumberFormat="1" applyFont="1" applyFill="1" applyBorder="1" applyAlignment="1">
      <alignment horizontal="right" vertical="center"/>
    </xf>
    <xf numFmtId="3" fontId="74" fillId="10" borderId="25" xfId="6" applyNumberFormat="1" applyFont="1" applyFill="1" applyBorder="1" applyAlignment="1">
      <alignment horizontal="right" vertical="center"/>
    </xf>
    <xf numFmtId="3" fontId="50" fillId="10" borderId="19" xfId="6" applyNumberFormat="1" applyFont="1" applyFill="1" applyBorder="1" applyAlignment="1">
      <alignment horizontal="right" vertical="center"/>
    </xf>
    <xf numFmtId="0" fontId="4" fillId="0" borderId="59" xfId="4" applyFont="1" applyFill="1" applyBorder="1" applyAlignment="1" applyProtection="1">
      <alignment horizontal="center" vertical="center" wrapText="1"/>
    </xf>
    <xf numFmtId="3" fontId="71" fillId="0" borderId="72" xfId="0" applyNumberFormat="1" applyFont="1" applyBorder="1"/>
    <xf numFmtId="3" fontId="71" fillId="0" borderId="26" xfId="0" applyNumberFormat="1" applyFont="1" applyBorder="1"/>
    <xf numFmtId="3" fontId="71" fillId="0" borderId="57" xfId="0" applyNumberFormat="1" applyFont="1" applyBorder="1"/>
    <xf numFmtId="3" fontId="71" fillId="0" borderId="49" xfId="0" applyNumberFormat="1" applyFont="1" applyBorder="1"/>
    <xf numFmtId="3" fontId="71" fillId="0" borderId="43" xfId="0" applyNumberFormat="1" applyFont="1" applyBorder="1"/>
    <xf numFmtId="3" fontId="71" fillId="15" borderId="19" xfId="0" applyNumberFormat="1" applyFont="1" applyFill="1" applyBorder="1"/>
    <xf numFmtId="3" fontId="43" fillId="0" borderId="0" xfId="0" applyNumberFormat="1" applyFont="1"/>
    <xf numFmtId="3" fontId="71" fillId="0" borderId="71" xfId="0" applyNumberFormat="1" applyFont="1" applyBorder="1"/>
    <xf numFmtId="3" fontId="71" fillId="0" borderId="27" xfId="0" applyNumberFormat="1" applyFont="1" applyBorder="1"/>
    <xf numFmtId="0" fontId="71" fillId="0" borderId="69" xfId="0" applyFont="1" applyBorder="1"/>
    <xf numFmtId="0" fontId="71" fillId="0" borderId="55" xfId="0" applyFont="1" applyBorder="1"/>
    <xf numFmtId="164" fontId="7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1" fillId="0" borderId="4" xfId="0" applyNumberFormat="1" applyFont="1" applyFill="1" applyBorder="1" applyAlignment="1" applyProtection="1">
      <alignment vertical="center" wrapText="1"/>
      <protection locked="0"/>
    </xf>
    <xf numFmtId="164" fontId="7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1" fillId="0" borderId="32" xfId="0" applyNumberFormat="1" applyFont="1" applyFill="1" applyBorder="1" applyAlignment="1" applyProtection="1">
      <alignment vertical="center" wrapText="1"/>
      <protection locked="0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 applyProtection="1">
      <alignment vertical="center" wrapText="1"/>
    </xf>
    <xf numFmtId="1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</xf>
    <xf numFmtId="1" fontId="15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3" xfId="0" applyNumberFormat="1" applyFont="1" applyFill="1" applyBorder="1" applyAlignment="1" applyProtection="1">
      <alignment vertical="center" wrapText="1"/>
    </xf>
    <xf numFmtId="1" fontId="15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31" xfId="0" applyNumberFormat="1" applyFont="1" applyFill="1" applyBorder="1" applyAlignment="1" applyProtection="1">
      <alignment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left" vertical="center" wrapText="1"/>
    </xf>
    <xf numFmtId="164" fontId="4" fillId="2" borderId="16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3" fontId="71" fillId="0" borderId="16" xfId="0" applyNumberFormat="1" applyFont="1" applyBorder="1" applyAlignment="1">
      <alignment horizontal="right" wrapText="1"/>
    </xf>
    <xf numFmtId="3" fontId="71" fillId="0" borderId="3" xfId="0" applyNumberFormat="1" applyFont="1" applyBorder="1" applyAlignment="1">
      <alignment horizontal="right" wrapText="1"/>
    </xf>
    <xf numFmtId="3" fontId="71" fillId="0" borderId="24" xfId="0" applyNumberFormat="1" applyFont="1" applyBorder="1" applyAlignment="1">
      <alignment horizontal="right" wrapText="1"/>
    </xf>
    <xf numFmtId="3" fontId="50" fillId="8" borderId="16" xfId="0" applyNumberFormat="1" applyFont="1" applyFill="1" applyBorder="1" applyAlignment="1">
      <alignment horizontal="right" wrapText="1"/>
    </xf>
    <xf numFmtId="0" fontId="15" fillId="0" borderId="46" xfId="4" applyFont="1" applyFill="1" applyBorder="1" applyAlignment="1" applyProtection="1">
      <alignment horizontal="center" vertical="center"/>
    </xf>
    <xf numFmtId="0" fontId="26" fillId="9" borderId="35" xfId="0" applyFont="1" applyFill="1" applyBorder="1" applyAlignment="1">
      <alignment horizontal="center" vertical="center" wrapText="1"/>
    </xf>
    <xf numFmtId="3" fontId="71" fillId="0" borderId="68" xfId="0" applyNumberFormat="1" applyFont="1" applyBorder="1" applyAlignment="1">
      <alignment horizontal="right" wrapText="1"/>
    </xf>
    <xf numFmtId="0" fontId="29" fillId="0" borderId="80" xfId="4" applyFont="1" applyFill="1" applyBorder="1" applyAlignment="1" applyProtection="1">
      <alignment horizontal="center" vertical="center" wrapText="1"/>
    </xf>
    <xf numFmtId="0" fontId="30" fillId="0" borderId="44" xfId="4" applyFont="1" applyFill="1" applyBorder="1" applyAlignment="1" applyProtection="1">
      <alignment horizontal="center" vertical="center"/>
    </xf>
    <xf numFmtId="3" fontId="30" fillId="0" borderId="65" xfId="1" applyNumberFormat="1" applyFont="1" applyFill="1" applyBorder="1" applyAlignment="1" applyProtection="1">
      <alignment horizontal="right"/>
      <protection locked="0"/>
    </xf>
    <xf numFmtId="3" fontId="30" fillId="0" borderId="64" xfId="1" applyNumberFormat="1" applyFont="1" applyFill="1" applyBorder="1" applyAlignment="1" applyProtection="1">
      <alignment horizontal="right"/>
      <protection locked="0"/>
    </xf>
    <xf numFmtId="3" fontId="30" fillId="0" borderId="42" xfId="1" applyNumberFormat="1" applyFont="1" applyFill="1" applyBorder="1" applyAlignment="1" applyProtection="1">
      <alignment horizontal="right"/>
      <protection locked="0"/>
    </xf>
    <xf numFmtId="0" fontId="12" fillId="0" borderId="0" xfId="4" applyFill="1" applyAlignment="1">
      <alignment wrapTex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18" fillId="10" borderId="0" xfId="0" applyFont="1" applyFill="1" applyAlignment="1"/>
    <xf numFmtId="0" fontId="80" fillId="10" borderId="0" xfId="0" applyFont="1" applyFill="1"/>
    <xf numFmtId="3" fontId="50" fillId="10" borderId="23" xfId="0" applyNumberFormat="1" applyFont="1" applyFill="1" applyBorder="1" applyAlignment="1">
      <alignment horizontal="center" vertical="center" wrapText="1"/>
    </xf>
    <xf numFmtId="0" fontId="4" fillId="10" borderId="38" xfId="4" applyFont="1" applyFill="1" applyBorder="1" applyAlignment="1" applyProtection="1">
      <alignment horizontal="center" vertical="center" wrapText="1"/>
    </xf>
    <xf numFmtId="0" fontId="18" fillId="10" borderId="0" xfId="0" applyFont="1" applyFill="1" applyAlignment="1">
      <alignment vertical="center"/>
    </xf>
    <xf numFmtId="0" fontId="71" fillId="10" borderId="2" xfId="0" applyFont="1" applyFill="1" applyBorder="1" applyAlignment="1">
      <alignment horizontal="center" vertical="center" wrapText="1"/>
    </xf>
    <xf numFmtId="0" fontId="71" fillId="10" borderId="2" xfId="0" applyFont="1" applyFill="1" applyBorder="1" applyAlignment="1">
      <alignment horizontal="left" vertical="center" wrapText="1"/>
    </xf>
    <xf numFmtId="0" fontId="72" fillId="10" borderId="2" xfId="0" applyFont="1" applyFill="1" applyBorder="1" applyAlignment="1">
      <alignment horizontal="left" vertical="center" wrapText="1" indent="3"/>
    </xf>
    <xf numFmtId="0" fontId="71" fillId="10" borderId="2" xfId="0" applyFont="1" applyFill="1" applyBorder="1" applyAlignment="1">
      <alignment horizontal="right" vertical="center" wrapText="1"/>
    </xf>
    <xf numFmtId="0" fontId="71" fillId="10" borderId="2" xfId="0" applyFont="1" applyFill="1" applyBorder="1" applyAlignment="1">
      <alignment horizontal="justify" vertical="center" wrapText="1"/>
    </xf>
    <xf numFmtId="0" fontId="81" fillId="10" borderId="7" xfId="0" applyFont="1" applyFill="1" applyBorder="1" applyAlignment="1">
      <alignment horizontal="center" wrapText="1"/>
    </xf>
    <xf numFmtId="0" fontId="99" fillId="10" borderId="2" xfId="0" applyFont="1" applyFill="1" applyBorder="1" applyAlignment="1">
      <alignment horizontal="right" vertical="center" wrapText="1"/>
    </xf>
    <xf numFmtId="0" fontId="100" fillId="10" borderId="2" xfId="0" applyFont="1" applyFill="1" applyBorder="1" applyAlignment="1">
      <alignment horizontal="left" vertical="center" wrapText="1" indent="3"/>
    </xf>
    <xf numFmtId="0" fontId="101" fillId="10" borderId="0" xfId="0" applyFont="1" applyFill="1"/>
    <xf numFmtId="0" fontId="101" fillId="10" borderId="0" xfId="0" applyFont="1" applyFill="1" applyAlignment="1" applyProtection="1">
      <alignment vertical="center"/>
    </xf>
    <xf numFmtId="0" fontId="0" fillId="10" borderId="0" xfId="0" applyFont="1" applyFill="1"/>
    <xf numFmtId="0" fontId="99" fillId="10" borderId="2" xfId="0" applyFont="1" applyFill="1" applyBorder="1" applyAlignment="1">
      <alignment vertical="center" wrapText="1"/>
    </xf>
    <xf numFmtId="0" fontId="99" fillId="10" borderId="32" xfId="0" applyFont="1" applyFill="1" applyBorder="1" applyAlignment="1">
      <alignment vertical="center" wrapText="1"/>
    </xf>
    <xf numFmtId="0" fontId="99" fillId="10" borderId="32" xfId="0" applyFont="1" applyFill="1" applyBorder="1" applyAlignment="1">
      <alignment horizontal="right" vertical="center" wrapText="1"/>
    </xf>
    <xf numFmtId="0" fontId="100" fillId="10" borderId="32" xfId="0" applyFont="1" applyFill="1" applyBorder="1" applyAlignment="1">
      <alignment horizontal="left" vertical="center" wrapText="1" indent="3"/>
    </xf>
    <xf numFmtId="0" fontId="50" fillId="10" borderId="5" xfId="0" applyFont="1" applyFill="1" applyBorder="1" applyAlignment="1">
      <alignment horizontal="center" vertical="center" wrapText="1"/>
    </xf>
    <xf numFmtId="0" fontId="33" fillId="10" borderId="0" xfId="0" applyFont="1" applyFill="1"/>
    <xf numFmtId="0" fontId="80" fillId="10" borderId="2" xfId="0" applyFont="1" applyFill="1" applyBorder="1" applyAlignment="1">
      <alignment horizontal="center" vertical="center" wrapText="1"/>
    </xf>
    <xf numFmtId="0" fontId="73" fillId="10" borderId="2" xfId="0" applyFont="1" applyFill="1" applyBorder="1" applyAlignment="1">
      <alignment horizontal="justify" vertical="center" wrapText="1"/>
    </xf>
    <xf numFmtId="0" fontId="80" fillId="10" borderId="7" xfId="0" applyFont="1" applyFill="1" applyBorder="1" applyAlignment="1">
      <alignment horizontal="center" vertical="center" wrapText="1"/>
    </xf>
    <xf numFmtId="0" fontId="80" fillId="10" borderId="7" xfId="0" applyFont="1" applyFill="1" applyBorder="1" applyAlignment="1">
      <alignment horizontal="justify" vertical="center" wrapText="1"/>
    </xf>
    <xf numFmtId="0" fontId="73" fillId="10" borderId="2" xfId="0" applyFont="1" applyFill="1" applyBorder="1" applyAlignment="1">
      <alignment horizontal="center" vertical="center" wrapText="1"/>
    </xf>
    <xf numFmtId="0" fontId="80" fillId="10" borderId="2" xfId="0" applyFont="1" applyFill="1" applyBorder="1" applyAlignment="1">
      <alignment horizontal="justify" vertical="center" wrapText="1"/>
    </xf>
    <xf numFmtId="0" fontId="82" fillId="10" borderId="2" xfId="0" applyFont="1" applyFill="1" applyBorder="1" applyAlignment="1">
      <alignment horizontal="left" vertical="center" wrapText="1" indent="2"/>
    </xf>
    <xf numFmtId="0" fontId="82" fillId="10" borderId="2" xfId="0" applyFont="1" applyFill="1" applyBorder="1" applyAlignment="1">
      <alignment horizontal="left" vertical="center" wrapText="1" indent="4"/>
    </xf>
    <xf numFmtId="0" fontId="82" fillId="10" borderId="7" xfId="0" applyFont="1" applyFill="1" applyBorder="1" applyAlignment="1">
      <alignment horizontal="left" vertical="center" wrapText="1" indent="4"/>
    </xf>
    <xf numFmtId="0" fontId="81" fillId="10" borderId="0" xfId="0" applyFont="1" applyFill="1" applyBorder="1" applyAlignment="1">
      <alignment horizontal="center" vertical="center" wrapText="1"/>
    </xf>
    <xf numFmtId="0" fontId="81" fillId="10" borderId="0" xfId="0" applyFont="1" applyFill="1" applyBorder="1" applyAlignment="1">
      <alignment horizontal="left" vertical="center" wrapText="1"/>
    </xf>
    <xf numFmtId="0" fontId="74" fillId="10" borderId="0" xfId="6" applyFont="1" applyFill="1" applyBorder="1" applyAlignment="1">
      <alignment horizontal="center" vertical="center" wrapText="1"/>
    </xf>
    <xf numFmtId="0" fontId="83" fillId="10" borderId="0" xfId="6" applyFont="1" applyFill="1" applyBorder="1" applyAlignment="1">
      <alignment horizontal="center" vertical="center" wrapText="1"/>
    </xf>
    <xf numFmtId="0" fontId="74" fillId="10" borderId="0" xfId="6" applyFont="1" applyFill="1" applyBorder="1" applyAlignment="1">
      <alignment horizontal="justify" vertical="center" wrapText="1"/>
    </xf>
    <xf numFmtId="3" fontId="50" fillId="10" borderId="23" xfId="6" applyNumberFormat="1" applyFont="1" applyFill="1" applyBorder="1" applyAlignment="1">
      <alignment horizontal="center" vertical="center" wrapText="1"/>
    </xf>
    <xf numFmtId="0" fontId="74" fillId="10" borderId="13" xfId="6" applyFont="1" applyFill="1" applyBorder="1" applyAlignment="1">
      <alignment horizontal="center" vertical="center"/>
    </xf>
    <xf numFmtId="0" fontId="74" fillId="10" borderId="12" xfId="6" applyFont="1" applyFill="1" applyBorder="1" applyAlignment="1">
      <alignment horizontal="center" vertical="center"/>
    </xf>
    <xf numFmtId="0" fontId="74" fillId="10" borderId="14" xfId="6" applyFont="1" applyFill="1" applyBorder="1" applyAlignment="1">
      <alignment horizontal="center" vertical="center"/>
    </xf>
    <xf numFmtId="3" fontId="74" fillId="10" borderId="33" xfId="6" applyNumberFormat="1" applyFont="1" applyFill="1" applyBorder="1" applyAlignment="1">
      <alignment horizontal="right" vertical="center"/>
    </xf>
    <xf numFmtId="0" fontId="85" fillId="10" borderId="0" xfId="6" applyFont="1" applyFill="1" applyBorder="1" applyAlignment="1">
      <alignment horizontal="center" vertical="center" wrapText="1"/>
    </xf>
    <xf numFmtId="0" fontId="74" fillId="10" borderId="9" xfId="6" applyFont="1" applyFill="1" applyBorder="1" applyAlignment="1">
      <alignment horizontal="center" vertical="center"/>
    </xf>
    <xf numFmtId="3" fontId="74" fillId="10" borderId="19" xfId="6" applyNumberFormat="1" applyFont="1" applyFill="1" applyBorder="1" applyAlignment="1">
      <alignment horizontal="right" vertical="center"/>
    </xf>
    <xf numFmtId="0" fontId="103" fillId="0" borderId="16" xfId="4" applyFont="1" applyFill="1" applyBorder="1" applyAlignment="1" applyProtection="1">
      <alignment horizontal="center" vertical="center" wrapText="1"/>
    </xf>
    <xf numFmtId="0" fontId="104" fillId="0" borderId="3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166" fontId="15" fillId="0" borderId="56" xfId="1" applyNumberFormat="1" applyFont="1" applyFill="1" applyBorder="1" applyProtection="1">
      <protection locked="0"/>
    </xf>
    <xf numFmtId="166" fontId="15" fillId="0" borderId="29" xfId="1" applyNumberFormat="1" applyFont="1" applyFill="1" applyBorder="1" applyProtection="1">
      <protection locked="0"/>
    </xf>
    <xf numFmtId="166" fontId="104" fillId="0" borderId="29" xfId="1" applyNumberFormat="1" applyFont="1" applyFill="1" applyBorder="1" applyProtection="1">
      <protection locked="0"/>
    </xf>
    <xf numFmtId="166" fontId="104" fillId="0" borderId="1" xfId="1" applyNumberFormat="1" applyFont="1" applyFill="1" applyBorder="1" applyProtection="1">
      <protection locked="0"/>
    </xf>
    <xf numFmtId="166" fontId="15" fillId="0" borderId="8" xfId="1" applyNumberFormat="1" applyFont="1" applyFill="1" applyBorder="1" applyProtection="1">
      <protection locked="0"/>
    </xf>
    <xf numFmtId="166" fontId="15" fillId="13" borderId="8" xfId="1" applyNumberFormat="1" applyFont="1" applyFill="1" applyBorder="1" applyProtection="1">
      <protection locked="0"/>
    </xf>
    <xf numFmtId="166" fontId="15" fillId="13" borderId="1" xfId="1" applyNumberFormat="1" applyFont="1" applyFill="1" applyBorder="1" applyProtection="1">
      <protection locked="0"/>
    </xf>
    <xf numFmtId="166" fontId="15" fillId="13" borderId="50" xfId="1" applyNumberFormat="1" applyFont="1" applyFill="1" applyBorder="1" applyProtection="1">
      <protection locked="0"/>
    </xf>
    <xf numFmtId="166" fontId="15" fillId="13" borderId="49" xfId="1" applyNumberFormat="1" applyFont="1" applyFill="1" applyBorder="1" applyProtection="1">
      <protection locked="0"/>
    </xf>
    <xf numFmtId="166" fontId="2" fillId="0" borderId="0" xfId="4" applyNumberFormat="1" applyFont="1" applyFill="1"/>
    <xf numFmtId="0" fontId="1" fillId="10" borderId="0" xfId="4" applyFont="1" applyFill="1"/>
    <xf numFmtId="0" fontId="12" fillId="10" borderId="0" xfId="4" applyFill="1"/>
    <xf numFmtId="0" fontId="6" fillId="10" borderId="37" xfId="0" applyFont="1" applyFill="1" applyBorder="1" applyAlignment="1" applyProtection="1">
      <alignment horizontal="right" vertical="center"/>
    </xf>
    <xf numFmtId="0" fontId="8" fillId="10" borderId="15" xfId="4" applyFont="1" applyFill="1" applyBorder="1" applyAlignment="1" applyProtection="1">
      <alignment horizontal="center" vertical="center" wrapText="1"/>
    </xf>
    <xf numFmtId="0" fontId="8" fillId="10" borderId="16" xfId="4" applyFont="1" applyFill="1" applyBorder="1" applyAlignment="1" applyProtection="1">
      <alignment horizontal="center" vertical="center" wrapText="1"/>
    </xf>
    <xf numFmtId="0" fontId="4" fillId="10" borderId="35" xfId="4" applyFont="1" applyFill="1" applyBorder="1" applyAlignment="1" applyProtection="1">
      <alignment horizontal="center" vertical="center" wrapText="1"/>
    </xf>
    <xf numFmtId="0" fontId="4" fillId="10" borderId="16" xfId="4" applyFont="1" applyFill="1" applyBorder="1" applyAlignment="1" applyProtection="1">
      <alignment horizontal="center" vertical="center" wrapText="1"/>
    </xf>
    <xf numFmtId="0" fontId="12" fillId="10" borderId="0" xfId="4" applyFill="1" applyAlignment="1">
      <alignment wrapText="1"/>
    </xf>
    <xf numFmtId="0" fontId="20" fillId="10" borderId="15" xfId="4" applyFont="1" applyFill="1" applyBorder="1" applyAlignment="1" applyProtection="1">
      <alignment horizontal="center" vertical="center" wrapText="1"/>
    </xf>
    <xf numFmtId="0" fontId="20" fillId="10" borderId="16" xfId="4" applyFont="1" applyFill="1" applyBorder="1" applyAlignment="1" applyProtection="1">
      <alignment horizontal="center" vertical="center" wrapText="1"/>
    </xf>
    <xf numFmtId="0" fontId="22" fillId="10" borderId="0" xfId="4" applyFont="1" applyFill="1"/>
    <xf numFmtId="0" fontId="20" fillId="10" borderId="17" xfId="4" applyFont="1" applyFill="1" applyBorder="1" applyAlignment="1" applyProtection="1">
      <alignment horizontal="left" vertical="center" wrapText="1" indent="1"/>
    </xf>
    <xf numFmtId="0" fontId="20" fillId="10" borderId="16" xfId="4" applyFont="1" applyFill="1" applyBorder="1" applyAlignment="1" applyProtection="1">
      <alignment horizontal="left" vertical="center" wrapText="1" indent="1"/>
    </xf>
    <xf numFmtId="164" fontId="4" fillId="10" borderId="67" xfId="4" applyNumberFormat="1" applyFont="1" applyFill="1" applyBorder="1" applyAlignment="1" applyProtection="1">
      <alignment horizontal="right" vertical="center" wrapText="1" indent="1"/>
    </xf>
    <xf numFmtId="164" fontId="4" fillId="10" borderId="18" xfId="4" applyNumberFormat="1" applyFont="1" applyFill="1" applyBorder="1" applyAlignment="1" applyProtection="1">
      <alignment horizontal="right" vertical="center" wrapText="1" indent="1"/>
    </xf>
    <xf numFmtId="164" fontId="4" fillId="10" borderId="59" xfId="4" applyNumberFormat="1" applyFont="1" applyFill="1" applyBorder="1" applyAlignment="1" applyProtection="1">
      <alignment horizontal="right" vertical="center" wrapText="1" indent="1"/>
    </xf>
    <xf numFmtId="0" fontId="15" fillId="10" borderId="0" xfId="4" applyFont="1" applyFill="1"/>
    <xf numFmtId="0" fontId="20" fillId="10" borderId="15" xfId="4" applyFont="1" applyFill="1" applyBorder="1" applyAlignment="1" applyProtection="1">
      <alignment horizontal="left" vertical="center" wrapText="1" indent="1"/>
    </xf>
    <xf numFmtId="0" fontId="28" fillId="10" borderId="16" xfId="0" applyFont="1" applyFill="1" applyBorder="1" applyAlignment="1" applyProtection="1">
      <alignment horizontal="left" vertical="center" wrapText="1" indent="1"/>
    </xf>
    <xf numFmtId="164" fontId="4" fillId="10" borderId="46" xfId="4" applyNumberFormat="1" applyFont="1" applyFill="1" applyBorder="1" applyAlignment="1" applyProtection="1">
      <alignment horizontal="right" vertical="center" wrapText="1" indent="1"/>
    </xf>
    <xf numFmtId="164" fontId="4" fillId="10" borderId="16" xfId="4" applyNumberFormat="1" applyFont="1" applyFill="1" applyBorder="1" applyAlignment="1" applyProtection="1">
      <alignment horizontal="right" vertical="center" wrapText="1" indent="1"/>
    </xf>
    <xf numFmtId="164" fontId="4" fillId="10" borderId="38" xfId="4" applyNumberFormat="1" applyFont="1" applyFill="1" applyBorder="1" applyAlignment="1" applyProtection="1">
      <alignment horizontal="right" vertical="center" wrapText="1" indent="1"/>
    </xf>
    <xf numFmtId="49" fontId="22" fillId="10" borderId="9" xfId="4" applyNumberFormat="1" applyFont="1" applyFill="1" applyBorder="1" applyAlignment="1" applyProtection="1">
      <alignment horizontal="left" vertical="center" wrapText="1" indent="1"/>
    </xf>
    <xf numFmtId="0" fontId="27" fillId="10" borderId="5" xfId="0" applyFont="1" applyFill="1" applyBorder="1" applyAlignment="1" applyProtection="1">
      <alignment horizontal="left" vertical="center" wrapText="1" indent="1"/>
    </xf>
    <xf numFmtId="164" fontId="15" fillId="1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9" xfId="4" applyNumberFormat="1" applyFont="1" applyFill="1" applyBorder="1" applyAlignment="1" applyProtection="1">
      <alignment horizontal="right" vertical="center" wrapText="1" indent="1"/>
      <protection locked="0"/>
    </xf>
    <xf numFmtId="0" fontId="27" fillId="10" borderId="4" xfId="0" applyFont="1" applyFill="1" applyBorder="1" applyAlignment="1" applyProtection="1">
      <alignment horizontal="left" vertical="center" wrapText="1" indent="1"/>
    </xf>
    <xf numFmtId="0" fontId="27" fillId="10" borderId="3" xfId="0" applyFont="1" applyFill="1" applyBorder="1" applyAlignment="1" applyProtection="1">
      <alignment horizontal="left" vertical="center" wrapText="1" indent="1"/>
    </xf>
    <xf numFmtId="164" fontId="4" fillId="10" borderId="35" xfId="4" applyNumberFormat="1" applyFont="1" applyFill="1" applyBorder="1" applyAlignment="1" applyProtection="1">
      <alignment horizontal="right" vertical="center" wrapText="1" indent="1"/>
    </xf>
    <xf numFmtId="49" fontId="22" fillId="10" borderId="13" xfId="4" applyNumberFormat="1" applyFont="1" applyFill="1" applyBorder="1" applyAlignment="1" applyProtection="1">
      <alignment horizontal="left" vertical="center" wrapText="1" indent="1"/>
    </xf>
    <xf numFmtId="0" fontId="22" fillId="10" borderId="5" xfId="4" applyFont="1" applyFill="1" applyBorder="1" applyAlignment="1" applyProtection="1">
      <alignment horizontal="left" vertical="center" wrapText="1" indent="1"/>
    </xf>
    <xf numFmtId="0" fontId="22" fillId="10" borderId="2" xfId="4" applyFont="1" applyFill="1" applyBorder="1" applyAlignment="1" applyProtection="1">
      <alignment horizontal="left" vertical="center" wrapText="1" indent="1"/>
    </xf>
    <xf numFmtId="49" fontId="22" fillId="10" borderId="8" xfId="4" applyNumberFormat="1" applyFont="1" applyFill="1" applyBorder="1" applyAlignment="1" applyProtection="1">
      <alignment horizontal="left" vertical="center" wrapText="1" indent="1"/>
    </xf>
    <xf numFmtId="0" fontId="22" fillId="10" borderId="1" xfId="4" applyFont="1" applyFill="1" applyBorder="1" applyAlignment="1" applyProtection="1">
      <alignment horizontal="left" vertical="center" wrapText="1" indent="1"/>
    </xf>
    <xf numFmtId="49" fontId="22" fillId="10" borderId="10" xfId="4" applyNumberFormat="1" applyFont="1" applyFill="1" applyBorder="1" applyAlignment="1" applyProtection="1">
      <alignment horizontal="left" vertical="center" wrapText="1" indent="1"/>
    </xf>
    <xf numFmtId="0" fontId="22" fillId="10" borderId="3" xfId="4" applyFont="1" applyFill="1" applyBorder="1" applyAlignment="1" applyProtection="1">
      <alignment horizontal="left" vertical="center" wrapText="1" indent="1"/>
    </xf>
    <xf numFmtId="164" fontId="4" fillId="1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1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10" borderId="38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10" borderId="11" xfId="4" applyNumberFormat="1" applyFont="1" applyFill="1" applyBorder="1" applyAlignment="1" applyProtection="1">
      <alignment horizontal="left" vertical="center" wrapText="1" indent="1"/>
    </xf>
    <xf numFmtId="0" fontId="22" fillId="10" borderId="4" xfId="4" applyFont="1" applyFill="1" applyBorder="1" applyAlignment="1" applyProtection="1">
      <alignment horizontal="left" vertical="center" wrapText="1" indent="1"/>
    </xf>
    <xf numFmtId="49" fontId="22" fillId="10" borderId="12" xfId="4" applyNumberFormat="1" applyFont="1" applyFill="1" applyBorder="1" applyAlignment="1" applyProtection="1">
      <alignment horizontal="left" vertical="center" wrapText="1" indent="1"/>
    </xf>
    <xf numFmtId="0" fontId="22" fillId="10" borderId="7" xfId="4" applyFont="1" applyFill="1" applyBorder="1" applyAlignment="1" applyProtection="1">
      <alignment horizontal="left" vertical="center" wrapText="1" indent="1"/>
    </xf>
    <xf numFmtId="0" fontId="20" fillId="10" borderId="45" xfId="4" applyFont="1" applyFill="1" applyBorder="1" applyAlignment="1" applyProtection="1">
      <alignment horizontal="left" vertical="center" wrapText="1" indent="1"/>
    </xf>
    <xf numFmtId="49" fontId="22" fillId="10" borderId="53" xfId="4" applyNumberFormat="1" applyFont="1" applyFill="1" applyBorder="1" applyAlignment="1" applyProtection="1">
      <alignment horizontal="left" vertical="center" wrapText="1" indent="1"/>
    </xf>
    <xf numFmtId="0" fontId="48" fillId="10" borderId="4" xfId="0" applyFont="1" applyFill="1" applyBorder="1" applyAlignment="1" applyProtection="1">
      <alignment horizontal="left" vertical="center" wrapText="1" indent="1"/>
    </xf>
    <xf numFmtId="164" fontId="18" fillId="10" borderId="65" xfId="4" applyNumberFormat="1" applyFont="1" applyFill="1" applyBorder="1" applyAlignment="1" applyProtection="1">
      <alignment horizontal="right" vertical="center" wrapText="1" indent="1"/>
    </xf>
    <xf numFmtId="164" fontId="18" fillId="10" borderId="4" xfId="4" applyNumberFormat="1" applyFont="1" applyFill="1" applyBorder="1" applyAlignment="1" applyProtection="1">
      <alignment horizontal="right" vertical="center" wrapText="1" indent="1"/>
    </xf>
    <xf numFmtId="164" fontId="18" fillId="10" borderId="51" xfId="4" applyNumberFormat="1" applyFont="1" applyFill="1" applyBorder="1" applyAlignment="1" applyProtection="1">
      <alignment horizontal="right" vertical="center" wrapText="1" indent="1"/>
    </xf>
    <xf numFmtId="49" fontId="22" fillId="10" borderId="54" xfId="4" applyNumberFormat="1" applyFont="1" applyFill="1" applyBorder="1" applyAlignment="1" applyProtection="1">
      <alignment horizontal="left" vertical="center" wrapText="1" indent="1"/>
    </xf>
    <xf numFmtId="0" fontId="27" fillId="10" borderId="2" xfId="0" applyFont="1" applyFill="1" applyBorder="1" applyAlignment="1" applyProtection="1">
      <alignment horizontal="left" vertical="center" wrapText="1" indent="1"/>
    </xf>
    <xf numFmtId="0" fontId="48" fillId="10" borderId="2" xfId="0" applyFont="1" applyFill="1" applyBorder="1" applyAlignment="1" applyProtection="1">
      <alignment horizontal="left" vertical="center" wrapText="1" indent="1"/>
    </xf>
    <xf numFmtId="164" fontId="18" fillId="10" borderId="64" xfId="4" applyNumberFormat="1" applyFont="1" applyFill="1" applyBorder="1" applyAlignment="1" applyProtection="1">
      <alignment horizontal="right" vertical="center" wrapText="1" indent="1"/>
    </xf>
    <xf numFmtId="164" fontId="18" fillId="10" borderId="2" xfId="4" applyNumberFormat="1" applyFont="1" applyFill="1" applyBorder="1" applyAlignment="1" applyProtection="1">
      <alignment horizontal="right" vertical="center" wrapText="1" indent="1"/>
    </xf>
    <xf numFmtId="164" fontId="18" fillId="10" borderId="49" xfId="4" applyNumberFormat="1" applyFont="1" applyFill="1" applyBorder="1" applyAlignment="1" applyProtection="1">
      <alignment horizontal="right" vertical="center" wrapText="1" indent="1"/>
    </xf>
    <xf numFmtId="0" fontId="27" fillId="10" borderId="2" xfId="0" applyFont="1" applyFill="1" applyBorder="1" applyAlignment="1" applyProtection="1">
      <alignment horizontal="left" vertical="center" indent="1"/>
    </xf>
    <xf numFmtId="49" fontId="22" fillId="10" borderId="41" xfId="4" applyNumberFormat="1" applyFont="1" applyFill="1" applyBorder="1" applyAlignment="1" applyProtection="1">
      <alignment horizontal="left" vertical="center" wrapText="1" indent="1"/>
    </xf>
    <xf numFmtId="0" fontId="27" fillId="10" borderId="32" xfId="0" applyFont="1" applyFill="1" applyBorder="1" applyAlignment="1" applyProtection="1">
      <alignment horizontal="left" vertical="center" indent="1"/>
    </xf>
    <xf numFmtId="0" fontId="28" fillId="10" borderId="32" xfId="0" applyFont="1" applyFill="1" applyBorder="1" applyAlignment="1" applyProtection="1">
      <alignment horizontal="left" vertical="center" wrapText="1" indent="1"/>
    </xf>
    <xf numFmtId="0" fontId="27" fillId="10" borderId="32" xfId="0" applyFont="1" applyFill="1" applyBorder="1" applyAlignment="1" applyProtection="1">
      <alignment horizontal="left" vertical="center" wrapText="1" indent="1"/>
    </xf>
    <xf numFmtId="0" fontId="28" fillId="10" borderId="3" xfId="0" applyFont="1" applyFill="1" applyBorder="1" applyAlignment="1" applyProtection="1">
      <alignment horizontal="left" vertical="center" wrapText="1" indent="1"/>
    </xf>
    <xf numFmtId="164" fontId="4" fillId="1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23" fillId="10" borderId="16" xfId="4" applyFont="1" applyFill="1" applyBorder="1" applyAlignment="1" applyProtection="1">
      <alignment horizontal="left" vertical="center" wrapText="1" indent="1"/>
    </xf>
    <xf numFmtId="164" fontId="34" fillId="10" borderId="35" xfId="4" applyNumberFormat="1" applyFont="1" applyFill="1" applyBorder="1" applyAlignment="1" applyProtection="1">
      <alignment horizontal="right" vertical="center" wrapText="1" indent="1"/>
    </xf>
    <xf numFmtId="164" fontId="34" fillId="10" borderId="16" xfId="4" applyNumberFormat="1" applyFont="1" applyFill="1" applyBorder="1" applyAlignment="1" applyProtection="1">
      <alignment horizontal="right" vertical="center" wrapText="1" indent="1"/>
    </xf>
    <xf numFmtId="164" fontId="34" fillId="10" borderId="38" xfId="4" applyNumberFormat="1" applyFont="1" applyFill="1" applyBorder="1" applyAlignment="1" applyProtection="1">
      <alignment horizontal="right" vertical="center" wrapText="1" indent="1"/>
    </xf>
    <xf numFmtId="0" fontId="28" fillId="10" borderId="15" xfId="0" applyFont="1" applyFill="1" applyBorder="1" applyAlignment="1" applyProtection="1">
      <alignment horizontal="left" vertical="center" wrapText="1" indent="1"/>
    </xf>
    <xf numFmtId="164" fontId="33" fillId="10" borderId="35" xfId="4" applyNumberFormat="1" applyFont="1" applyFill="1" applyBorder="1" applyAlignment="1" applyProtection="1">
      <alignment horizontal="right" vertical="center" wrapText="1" indent="1"/>
    </xf>
    <xf numFmtId="164" fontId="33" fillId="10" borderId="16" xfId="4" applyNumberFormat="1" applyFont="1" applyFill="1" applyBorder="1" applyAlignment="1" applyProtection="1">
      <alignment horizontal="right" vertical="center" wrapText="1" indent="1"/>
    </xf>
    <xf numFmtId="164" fontId="33" fillId="10" borderId="38" xfId="4" applyNumberFormat="1" applyFont="1" applyFill="1" applyBorder="1" applyAlignment="1" applyProtection="1">
      <alignment horizontal="right" vertical="center" wrapText="1" indent="1"/>
    </xf>
    <xf numFmtId="49" fontId="28" fillId="10" borderId="11" xfId="0" applyNumberFormat="1" applyFont="1" applyFill="1" applyBorder="1" applyAlignment="1" applyProtection="1">
      <alignment horizontal="left" vertical="center" wrapText="1" indent="1"/>
    </xf>
    <xf numFmtId="164" fontId="18" fillId="10" borderId="69" xfId="4" applyNumberFormat="1" applyFont="1" applyFill="1" applyBorder="1" applyAlignment="1" applyProtection="1">
      <alignment horizontal="right" vertical="center" wrapText="1" indent="1"/>
    </xf>
    <xf numFmtId="49" fontId="27" fillId="10" borderId="9" xfId="0" applyNumberFormat="1" applyFont="1" applyFill="1" applyBorder="1" applyAlignment="1" applyProtection="1">
      <alignment horizontal="left" vertical="center" wrapText="1" indent="2"/>
    </xf>
    <xf numFmtId="49" fontId="28" fillId="10" borderId="9" xfId="0" applyNumberFormat="1" applyFont="1" applyFill="1" applyBorder="1" applyAlignment="1" applyProtection="1">
      <alignment horizontal="left" vertical="center" wrapText="1" indent="1"/>
    </xf>
    <xf numFmtId="164" fontId="18" fillId="10" borderId="55" xfId="4" applyNumberFormat="1" applyFont="1" applyFill="1" applyBorder="1" applyAlignment="1" applyProtection="1">
      <alignment horizontal="right" vertical="center" wrapText="1" indent="1"/>
    </xf>
    <xf numFmtId="49" fontId="27" fillId="10" borderId="14" xfId="0" applyNumberFormat="1" applyFont="1" applyFill="1" applyBorder="1" applyAlignment="1" applyProtection="1">
      <alignment horizontal="left" vertical="center" wrapText="1" indent="2"/>
    </xf>
    <xf numFmtId="0" fontId="26" fillId="10" borderId="15" xfId="0" applyFont="1" applyFill="1" applyBorder="1" applyAlignment="1" applyProtection="1">
      <alignment horizontal="left" vertical="center" wrapText="1" indent="1"/>
    </xf>
    <xf numFmtId="0" fontId="26" fillId="10" borderId="16" xfId="0" applyFont="1" applyFill="1" applyBorder="1" applyAlignment="1" applyProtection="1">
      <alignment horizontal="left" vertical="center" wrapText="1" indent="1"/>
    </xf>
    <xf numFmtId="0" fontId="43" fillId="10" borderId="10" xfId="0" applyFont="1" applyFill="1" applyBorder="1" applyAlignment="1" applyProtection="1">
      <alignment horizontal="left" vertical="center" wrapText="1" indent="1"/>
    </xf>
    <xf numFmtId="0" fontId="26" fillId="10" borderId="3" xfId="0" applyFont="1" applyFill="1" applyBorder="1" applyAlignment="1" applyProtection="1">
      <alignment horizontal="left" vertical="center" wrapText="1" indent="1"/>
    </xf>
    <xf numFmtId="0" fontId="7" fillId="10" borderId="0" xfId="4" applyFont="1" applyFill="1" applyBorder="1" applyAlignment="1" applyProtection="1">
      <alignment horizontal="center" vertical="center" wrapText="1"/>
    </xf>
    <xf numFmtId="0" fontId="7" fillId="10" borderId="0" xfId="4" applyFont="1" applyFill="1" applyBorder="1" applyAlignment="1" applyProtection="1">
      <alignment vertical="center" wrapText="1"/>
    </xf>
    <xf numFmtId="164" fontId="4" fillId="10" borderId="0" xfId="4" applyNumberFormat="1" applyFont="1" applyFill="1" applyBorder="1" applyAlignment="1" applyProtection="1">
      <alignment horizontal="right" vertical="center" wrapText="1" indent="1"/>
    </xf>
    <xf numFmtId="0" fontId="6" fillId="10" borderId="37" xfId="0" applyFont="1" applyFill="1" applyBorder="1" applyAlignment="1" applyProtection="1">
      <alignment horizontal="right"/>
    </xf>
    <xf numFmtId="0" fontId="12" fillId="10" borderId="0" xfId="4" applyFill="1" applyAlignment="1"/>
    <xf numFmtId="0" fontId="20" fillId="10" borderId="18" xfId="4" applyFont="1" applyFill="1" applyBorder="1" applyAlignment="1" applyProtection="1">
      <alignment vertical="center" wrapText="1"/>
    </xf>
    <xf numFmtId="164" fontId="15" fillId="1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22" fillId="10" borderId="6" xfId="4" applyFont="1" applyFill="1" applyBorder="1" applyAlignment="1" applyProtection="1">
      <alignment horizontal="left" vertical="center" wrapText="1" indent="1"/>
    </xf>
    <xf numFmtId="0" fontId="22" fillId="10" borderId="0" xfId="4" applyFont="1" applyFill="1" applyBorder="1" applyAlignment="1" applyProtection="1">
      <alignment horizontal="left" vertical="center" wrapText="1" indent="1"/>
    </xf>
    <xf numFmtId="0" fontId="22" fillId="10" borderId="2" xfId="4" applyFont="1" applyFill="1" applyBorder="1" applyAlignment="1" applyProtection="1">
      <alignment horizontal="left" indent="6"/>
    </xf>
    <xf numFmtId="0" fontId="22" fillId="10" borderId="2" xfId="4" applyFont="1" applyFill="1" applyBorder="1" applyAlignment="1" applyProtection="1">
      <alignment horizontal="left" vertical="center" wrapText="1" indent="6"/>
    </xf>
    <xf numFmtId="0" fontId="22" fillId="10" borderId="7" xfId="4" applyFont="1" applyFill="1" applyBorder="1" applyAlignment="1" applyProtection="1">
      <alignment horizontal="left" vertical="center" wrapText="1" indent="6"/>
    </xf>
    <xf numFmtId="49" fontId="22" fillId="10" borderId="14" xfId="4" applyNumberFormat="1" applyFont="1" applyFill="1" applyBorder="1" applyAlignment="1" applyProtection="1">
      <alignment horizontal="left" vertical="center" wrapText="1" indent="1"/>
    </xf>
    <xf numFmtId="0" fontId="22" fillId="10" borderId="32" xfId="4" applyFont="1" applyFill="1" applyBorder="1" applyAlignment="1" applyProtection="1">
      <alignment horizontal="left" vertical="center" wrapText="1" indent="6"/>
    </xf>
    <xf numFmtId="164" fontId="15" fillId="1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8" xfId="4" applyNumberFormat="1" applyFont="1" applyFill="1" applyBorder="1" applyAlignment="1" applyProtection="1">
      <alignment horizontal="right" vertical="center" wrapText="1" indent="1"/>
      <protection locked="0"/>
    </xf>
    <xf numFmtId="0" fontId="20" fillId="10" borderId="16" xfId="4" applyFont="1" applyFill="1" applyBorder="1" applyAlignment="1" applyProtection="1">
      <alignment vertical="center" wrapText="1"/>
    </xf>
    <xf numFmtId="164" fontId="15" fillId="1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10" borderId="2" xfId="0" quotePrefix="1" applyFont="1" applyFill="1" applyBorder="1" applyAlignment="1" applyProtection="1">
      <alignment horizontal="left" vertical="center" wrapText="1" indent="6"/>
    </xf>
    <xf numFmtId="0" fontId="27" fillId="10" borderId="32" xfId="0" quotePrefix="1" applyFont="1" applyFill="1" applyBorder="1" applyAlignment="1" applyProtection="1">
      <alignment horizontal="left" vertical="center" wrapText="1" indent="6"/>
    </xf>
    <xf numFmtId="164" fontId="15" fillId="1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29" fillId="10" borderId="16" xfId="4" applyFont="1" applyFill="1" applyBorder="1" applyAlignment="1" applyProtection="1">
      <alignment horizontal="left" vertical="center" wrapText="1" indent="1"/>
    </xf>
    <xf numFmtId="164" fontId="33" fillId="1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12" fillId="10" borderId="0" xfId="4" applyFill="1" applyAlignment="1">
      <alignment horizontal="left" vertical="center" indent="1"/>
    </xf>
    <xf numFmtId="0" fontId="20" fillId="10" borderId="8" xfId="4" applyFont="1" applyFill="1" applyBorder="1" applyAlignment="1" applyProtection="1">
      <alignment horizontal="left" vertical="center" wrapText="1" indent="1"/>
    </xf>
    <xf numFmtId="0" fontId="32" fillId="10" borderId="1" xfId="4" applyFont="1" applyFill="1" applyBorder="1" applyAlignment="1" applyProtection="1">
      <alignment horizontal="left" vertical="center" wrapText="1" indent="1"/>
    </xf>
    <xf numFmtId="49" fontId="48" fillId="10" borderId="15" xfId="0" applyNumberFormat="1" applyFont="1" applyFill="1" applyBorder="1" applyAlignment="1" applyProtection="1">
      <alignment horizontal="left" vertical="center" wrapText="1" indent="1"/>
    </xf>
    <xf numFmtId="0" fontId="48" fillId="10" borderId="16" xfId="0" applyFont="1" applyFill="1" applyBorder="1" applyAlignment="1" applyProtection="1">
      <alignment horizontal="left" vertical="center" wrapText="1" indent="1"/>
    </xf>
    <xf numFmtId="164" fontId="18" fillId="10" borderId="35" xfId="4" applyNumberFormat="1" applyFont="1" applyFill="1" applyBorder="1" applyAlignment="1" applyProtection="1">
      <alignment horizontal="right" vertical="center" wrapText="1" indent="1"/>
    </xf>
    <xf numFmtId="164" fontId="18" fillId="10" borderId="16" xfId="4" applyNumberFormat="1" applyFont="1" applyFill="1" applyBorder="1" applyAlignment="1" applyProtection="1">
      <alignment horizontal="right" vertical="center" wrapText="1" indent="1"/>
    </xf>
    <xf numFmtId="164" fontId="18" fillId="10" borderId="38" xfId="4" applyNumberFormat="1" applyFont="1" applyFill="1" applyBorder="1" applyAlignment="1" applyProtection="1">
      <alignment horizontal="right" vertical="center" wrapText="1" indent="1"/>
    </xf>
    <xf numFmtId="49" fontId="27" fillId="10" borderId="11" xfId="0" applyNumberFormat="1" applyFont="1" applyFill="1" applyBorder="1" applyAlignment="1" applyProtection="1">
      <alignment horizontal="left" vertical="center" wrapText="1" indent="2"/>
    </xf>
    <xf numFmtId="0" fontId="71" fillId="10" borderId="69" xfId="0" applyFont="1" applyFill="1" applyBorder="1" applyAlignment="1" applyProtection="1">
      <alignment horizontal="right" vertical="center" wrapText="1" indent="1"/>
      <protection locked="0"/>
    </xf>
    <xf numFmtId="0" fontId="71" fillId="10" borderId="4" xfId="0" applyFont="1" applyFill="1" applyBorder="1" applyAlignment="1" applyProtection="1">
      <alignment horizontal="right" vertical="center" wrapText="1" indent="1"/>
      <protection locked="0"/>
    </xf>
    <xf numFmtId="0" fontId="71" fillId="10" borderId="51" xfId="0" applyFont="1" applyFill="1" applyBorder="1" applyAlignment="1" applyProtection="1">
      <alignment horizontal="right" vertical="center" wrapText="1" indent="1"/>
      <protection locked="0"/>
    </xf>
    <xf numFmtId="0" fontId="71" fillId="10" borderId="55" xfId="0" applyFont="1" applyFill="1" applyBorder="1" applyAlignment="1" applyProtection="1">
      <alignment horizontal="right" vertical="center" wrapText="1" indent="1"/>
      <protection locked="0"/>
    </xf>
    <xf numFmtId="0" fontId="71" fillId="10" borderId="2" xfId="0" applyFont="1" applyFill="1" applyBorder="1" applyAlignment="1" applyProtection="1">
      <alignment horizontal="right" vertical="center" wrapText="1" indent="1"/>
      <protection locked="0"/>
    </xf>
    <xf numFmtId="0" fontId="71" fillId="10" borderId="49" xfId="0" applyFont="1" applyFill="1" applyBorder="1" applyAlignment="1" applyProtection="1">
      <alignment horizontal="right" vertical="center" wrapText="1" indent="1"/>
      <protection locked="0"/>
    </xf>
    <xf numFmtId="49" fontId="27" fillId="10" borderId="12" xfId="0" applyNumberFormat="1" applyFont="1" applyFill="1" applyBorder="1" applyAlignment="1" applyProtection="1">
      <alignment horizontal="left" vertical="center" wrapText="1" indent="2"/>
    </xf>
    <xf numFmtId="0" fontId="27" fillId="10" borderId="7" xfId="0" applyFont="1" applyFill="1" applyBorder="1" applyAlignment="1" applyProtection="1">
      <alignment horizontal="left" vertical="center" wrapText="1" indent="1"/>
    </xf>
    <xf numFmtId="0" fontId="71" fillId="10" borderId="62" xfId="0" applyFont="1" applyFill="1" applyBorder="1" applyAlignment="1" applyProtection="1">
      <alignment horizontal="right" vertical="center" wrapText="1" indent="1"/>
      <protection locked="0"/>
    </xf>
    <xf numFmtId="0" fontId="71" fillId="10" borderId="7" xfId="0" applyFont="1" applyFill="1" applyBorder="1" applyAlignment="1" applyProtection="1">
      <alignment horizontal="right" vertical="center" wrapText="1" indent="1"/>
      <protection locked="0"/>
    </xf>
    <xf numFmtId="0" fontId="71" fillId="10" borderId="43" xfId="0" applyFont="1" applyFill="1" applyBorder="1" applyAlignment="1" applyProtection="1">
      <alignment horizontal="right" vertical="center" wrapText="1" indent="1"/>
      <protection locked="0"/>
    </xf>
    <xf numFmtId="164" fontId="50" fillId="10" borderId="35" xfId="0" applyNumberFormat="1" applyFont="1" applyFill="1" applyBorder="1" applyAlignment="1" applyProtection="1">
      <alignment horizontal="right" vertical="center" wrapText="1" indent="1"/>
    </xf>
    <xf numFmtId="164" fontId="50" fillId="10" borderId="16" xfId="0" applyNumberFormat="1" applyFont="1" applyFill="1" applyBorder="1" applyAlignment="1" applyProtection="1">
      <alignment horizontal="right" vertical="center" wrapText="1" indent="1"/>
    </xf>
    <xf numFmtId="164" fontId="50" fillId="10" borderId="38" xfId="0" applyNumberFormat="1" applyFont="1" applyFill="1" applyBorder="1" applyAlignment="1" applyProtection="1">
      <alignment horizontal="right" vertical="center" wrapText="1" indent="1"/>
    </xf>
    <xf numFmtId="0" fontId="50" fillId="10" borderId="38" xfId="0" quotePrefix="1" applyFont="1" applyFill="1" applyBorder="1" applyAlignment="1" applyProtection="1">
      <alignment horizontal="right" vertical="center" wrapText="1" indent="1"/>
      <protection locked="0"/>
    </xf>
    <xf numFmtId="0" fontId="24" fillId="10" borderId="0" xfId="4" applyFont="1" applyFill="1"/>
    <xf numFmtId="0" fontId="28" fillId="10" borderId="10" xfId="0" applyFont="1" applyFill="1" applyBorder="1" applyAlignment="1" applyProtection="1">
      <alignment horizontal="left" vertical="center" wrapText="1" indent="1"/>
    </xf>
    <xf numFmtId="0" fontId="12" fillId="10" borderId="0" xfId="4" applyFont="1" applyFill="1" applyProtection="1"/>
    <xf numFmtId="0" fontId="1" fillId="10" borderId="0" xfId="4" applyFont="1" applyFill="1" applyAlignment="1" applyProtection="1">
      <alignment horizontal="right" vertical="center" indent="1"/>
    </xf>
    <xf numFmtId="164" fontId="4" fillId="10" borderId="23" xfId="4" applyNumberFormat="1" applyFont="1" applyFill="1" applyBorder="1" applyAlignment="1" applyProtection="1">
      <alignment horizontal="right" vertical="center" wrapText="1" indent="1"/>
    </xf>
    <xf numFmtId="0" fontId="6" fillId="10" borderId="0" xfId="0" applyFont="1" applyFill="1" applyBorder="1" applyAlignment="1" applyProtection="1">
      <alignment horizontal="right" vertical="center"/>
    </xf>
    <xf numFmtId="0" fontId="49" fillId="10" borderId="16" xfId="0" applyFont="1" applyFill="1" applyBorder="1" applyAlignment="1" applyProtection="1">
      <alignment horizontal="left" vertical="center" wrapText="1" indent="1"/>
    </xf>
    <xf numFmtId="164" fontId="50" fillId="10" borderId="23" xfId="0" applyNumberFormat="1" applyFont="1" applyFill="1" applyBorder="1" applyAlignment="1" applyProtection="1">
      <alignment horizontal="right" vertical="center" wrapText="1" indent="1"/>
    </xf>
    <xf numFmtId="0" fontId="16" fillId="10" borderId="0" xfId="0" applyFont="1" applyFill="1" applyAlignment="1" applyProtection="1">
      <alignment horizontal="left" vertical="center" indent="1"/>
    </xf>
    <xf numFmtId="0" fontId="17" fillId="10" borderId="0" xfId="0" applyFont="1" applyFill="1" applyAlignment="1" applyProtection="1">
      <alignment horizontal="left" vertical="center" indent="1"/>
    </xf>
    <xf numFmtId="0" fontId="1" fillId="10" borderId="0" xfId="0" applyFont="1" applyFill="1" applyAlignment="1" applyProtection="1">
      <alignment horizontal="right" vertical="center" indent="1"/>
    </xf>
    <xf numFmtId="49" fontId="27" fillId="10" borderId="15" xfId="0" applyNumberFormat="1" applyFont="1" applyFill="1" applyBorder="1" applyAlignment="1" applyProtection="1">
      <alignment horizontal="left" vertical="center" wrapText="1" indent="1"/>
    </xf>
    <xf numFmtId="0" fontId="52" fillId="10" borderId="16" xfId="0" applyFont="1" applyFill="1" applyBorder="1" applyAlignment="1" applyProtection="1">
      <alignment horizontal="left" vertical="center" wrapText="1" indent="1"/>
    </xf>
    <xf numFmtId="164" fontId="71" fillId="10" borderId="23" xfId="0" applyNumberFormat="1" applyFont="1" applyFill="1" applyBorder="1" applyAlignment="1" applyProtection="1">
      <alignment horizontal="right" vertical="center" wrapText="1" indent="1"/>
    </xf>
    <xf numFmtId="49" fontId="53" fillId="10" borderId="15" xfId="0" applyNumberFormat="1" applyFont="1" applyFill="1" applyBorder="1" applyAlignment="1" applyProtection="1">
      <alignment horizontal="left" vertical="center" wrapText="1" indent="1"/>
    </xf>
    <xf numFmtId="0" fontId="53" fillId="10" borderId="16" xfId="0" applyFont="1" applyFill="1" applyBorder="1" applyAlignment="1" applyProtection="1">
      <alignment horizontal="left" vertical="center" wrapText="1" indent="1"/>
    </xf>
    <xf numFmtId="0" fontId="72" fillId="10" borderId="23" xfId="0" applyFont="1" applyFill="1" applyBorder="1" applyAlignment="1" applyProtection="1">
      <alignment horizontal="right" vertical="center" wrapText="1" indent="1"/>
    </xf>
    <xf numFmtId="3" fontId="72" fillId="10" borderId="23" xfId="0" applyNumberFormat="1" applyFont="1" applyFill="1" applyBorder="1" applyAlignment="1" applyProtection="1">
      <alignment horizontal="right" vertical="center" wrapText="1" indent="1"/>
    </xf>
    <xf numFmtId="0" fontId="70" fillId="10" borderId="0" xfId="4" applyFont="1" applyFill="1"/>
    <xf numFmtId="164" fontId="72" fillId="10" borderId="23" xfId="0" applyNumberFormat="1" applyFont="1" applyFill="1" applyBorder="1" applyAlignment="1" applyProtection="1">
      <alignment horizontal="right" vertical="center" wrapText="1" indent="1"/>
    </xf>
    <xf numFmtId="0" fontId="71" fillId="10" borderId="23" xfId="0" applyFont="1" applyFill="1" applyBorder="1" applyAlignment="1" applyProtection="1">
      <alignment horizontal="right" vertical="center" wrapText="1" indent="1"/>
    </xf>
    <xf numFmtId="0" fontId="12" fillId="10" borderId="0" xfId="4" applyFont="1" applyFill="1"/>
    <xf numFmtId="0" fontId="1" fillId="10" borderId="0" xfId="4" applyFont="1" applyFill="1" applyAlignment="1">
      <alignment horizontal="right" vertical="center" indent="1"/>
    </xf>
    <xf numFmtId="164" fontId="15" fillId="1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5" xfId="4" applyNumberFormat="1" applyFont="1" applyFill="1" applyBorder="1" applyAlignment="1" applyProtection="1">
      <alignment horizontal="right" vertical="center" wrapText="1" indent="1"/>
      <protection locked="0"/>
    </xf>
    <xf numFmtId="49" fontId="27" fillId="10" borderId="9" xfId="0" applyNumberFormat="1" applyFont="1" applyFill="1" applyBorder="1" applyAlignment="1" applyProtection="1">
      <alignment horizontal="left" vertical="top" wrapText="1" indent="2"/>
    </xf>
    <xf numFmtId="164" fontId="1" fillId="1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1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0" xfId="4" applyNumberFormat="1" applyFont="1" applyFill="1"/>
    <xf numFmtId="164" fontId="33" fillId="1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10" borderId="35" xfId="4" applyNumberFormat="1" applyFont="1" applyFill="1" applyBorder="1" applyAlignment="1" applyProtection="1">
      <alignment horizontal="right" vertical="center" wrapText="1" indent="1"/>
    </xf>
    <xf numFmtId="164" fontId="9" fillId="10" borderId="16" xfId="4" applyNumberFormat="1" applyFont="1" applyFill="1" applyBorder="1" applyAlignment="1" applyProtection="1">
      <alignment horizontal="right" vertical="center" wrapText="1" indent="1"/>
    </xf>
    <xf numFmtId="164" fontId="9" fillId="10" borderId="38" xfId="4" applyNumberFormat="1" applyFont="1" applyFill="1" applyBorder="1" applyAlignment="1" applyProtection="1">
      <alignment horizontal="right" vertical="center" wrapText="1" indent="1"/>
    </xf>
    <xf numFmtId="3" fontId="71" fillId="1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1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1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1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10" borderId="35" xfId="4" applyNumberFormat="1" applyFont="1" applyFill="1" applyBorder="1" applyAlignment="1" applyProtection="1">
      <alignment horizontal="right" vertical="center" wrapText="1" indent="1"/>
    </xf>
    <xf numFmtId="3" fontId="9" fillId="10" borderId="16" xfId="4" applyNumberFormat="1" applyFont="1" applyFill="1" applyBorder="1" applyAlignment="1" applyProtection="1">
      <alignment horizontal="right" vertical="center" wrapText="1" indent="1"/>
    </xf>
    <xf numFmtId="3" fontId="71" fillId="10" borderId="69" xfId="0" applyNumberFormat="1" applyFont="1" applyFill="1" applyBorder="1" applyAlignment="1" applyProtection="1">
      <alignment horizontal="right" vertical="center" wrapText="1" indent="1"/>
      <protection locked="0"/>
    </xf>
    <xf numFmtId="3" fontId="71" fillId="1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50" fillId="1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1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47" xfId="4" applyNumberFormat="1" applyFont="1" applyFill="1" applyBorder="1" applyAlignment="1" applyProtection="1">
      <alignment horizontal="right" vertical="center" wrapText="1" indent="1"/>
      <protection locked="0"/>
    </xf>
    <xf numFmtId="49" fontId="28" fillId="10" borderId="15" xfId="0" applyNumberFormat="1" applyFont="1" applyFill="1" applyBorder="1" applyAlignment="1" applyProtection="1">
      <alignment horizontal="left" vertical="center" wrapText="1" indent="1"/>
    </xf>
    <xf numFmtId="0" fontId="50" fillId="10" borderId="35" xfId="0" quotePrefix="1" applyFont="1" applyFill="1" applyBorder="1" applyAlignment="1" applyProtection="1">
      <alignment horizontal="right" vertical="center" wrapText="1" indent="1"/>
      <protection locked="0"/>
    </xf>
    <xf numFmtId="0" fontId="50" fillId="10" borderId="16" xfId="0" quotePrefix="1" applyFont="1" applyFill="1" applyBorder="1" applyAlignment="1" applyProtection="1">
      <alignment horizontal="right" vertical="center" wrapText="1" indent="1"/>
      <protection locked="0"/>
    </xf>
    <xf numFmtId="49" fontId="27" fillId="10" borderId="14" xfId="0" applyNumberFormat="1" applyFont="1" applyFill="1" applyBorder="1" applyAlignment="1" applyProtection="1">
      <alignment horizontal="left" vertical="top" wrapText="1" indent="2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 wrapText="1"/>
    </xf>
    <xf numFmtId="0" fontId="30" fillId="0" borderId="61" xfId="4" applyFont="1" applyFill="1" applyBorder="1" applyAlignment="1" applyProtection="1">
      <alignment wrapText="1"/>
      <protection locked="0"/>
    </xf>
    <xf numFmtId="0" fontId="30" fillId="0" borderId="55" xfId="4" applyFont="1" applyFill="1" applyBorder="1" applyAlignment="1" applyProtection="1">
      <alignment wrapText="1"/>
      <protection locked="0"/>
    </xf>
    <xf numFmtId="0" fontId="30" fillId="0" borderId="62" xfId="4" applyFont="1" applyFill="1" applyBorder="1" applyAlignment="1" applyProtection="1">
      <alignment wrapText="1"/>
      <protection locked="0"/>
    </xf>
    <xf numFmtId="0" fontId="30" fillId="0" borderId="29" xfId="4" applyFont="1" applyFill="1" applyBorder="1" applyAlignment="1" applyProtection="1">
      <alignment wrapText="1"/>
      <protection locked="0"/>
    </xf>
    <xf numFmtId="0" fontId="2" fillId="0" borderId="0" xfId="4" applyFont="1" applyFill="1" applyAlignment="1">
      <alignment wrapText="1"/>
    </xf>
    <xf numFmtId="164" fontId="3" fillId="10" borderId="0" xfId="0" applyNumberFormat="1" applyFont="1" applyFill="1" applyAlignment="1" applyProtection="1">
      <alignment horizontal="left" vertical="center" wrapText="1"/>
    </xf>
    <xf numFmtId="164" fontId="3" fillId="10" borderId="0" xfId="0" applyNumberFormat="1" applyFont="1" applyFill="1" applyAlignment="1" applyProtection="1">
      <alignment vertical="center" wrapText="1"/>
    </xf>
    <xf numFmtId="164" fontId="94" fillId="10" borderId="0" xfId="0" applyNumberFormat="1" applyFont="1" applyFill="1" applyAlignment="1">
      <alignment vertical="center" wrapText="1"/>
    </xf>
    <xf numFmtId="164" fontId="87" fillId="10" borderId="0" xfId="0" applyNumberFormat="1" applyFont="1" applyFill="1" applyAlignment="1">
      <alignment vertical="center" wrapText="1"/>
    </xf>
    <xf numFmtId="0" fontId="8" fillId="10" borderId="16" xfId="0" applyFont="1" applyFill="1" applyBorder="1" applyAlignment="1" applyProtection="1">
      <alignment horizontal="center" vertical="center"/>
      <protection locked="0"/>
    </xf>
    <xf numFmtId="0" fontId="4" fillId="10" borderId="35" xfId="0" quotePrefix="1" applyFont="1" applyFill="1" applyBorder="1" applyAlignment="1" applyProtection="1">
      <alignment horizontal="right" vertical="center" indent="1"/>
    </xf>
    <xf numFmtId="0" fontId="4" fillId="10" borderId="46" xfId="0" quotePrefix="1" applyFont="1" applyFill="1" applyBorder="1" applyAlignment="1" applyProtection="1">
      <alignment horizontal="right" vertical="center" indent="1"/>
    </xf>
    <xf numFmtId="0" fontId="4" fillId="10" borderId="38" xfId="0" quotePrefix="1" applyFont="1" applyFill="1" applyBorder="1" applyAlignment="1" applyProtection="1">
      <alignment horizontal="right" vertical="center" indent="1"/>
    </xf>
    <xf numFmtId="0" fontId="88" fillId="10" borderId="0" xfId="0" applyFont="1" applyFill="1" applyAlignment="1">
      <alignment vertical="center"/>
    </xf>
    <xf numFmtId="0" fontId="8" fillId="10" borderId="78" xfId="0" applyFont="1" applyFill="1" applyBorder="1" applyAlignment="1" applyProtection="1">
      <alignment vertical="center"/>
    </xf>
    <xf numFmtId="0" fontId="8" fillId="10" borderId="81" xfId="0" applyFont="1" applyFill="1" applyBorder="1" applyAlignment="1" applyProtection="1">
      <alignment vertical="center"/>
    </xf>
    <xf numFmtId="0" fontId="8" fillId="10" borderId="3" xfId="0" quotePrefix="1" applyFont="1" applyFill="1" applyBorder="1" applyAlignment="1" applyProtection="1">
      <alignment horizontal="center" vertical="center"/>
      <protection locked="0"/>
    </xf>
    <xf numFmtId="0" fontId="4" fillId="10" borderId="47" xfId="0" applyFont="1" applyFill="1" applyBorder="1" applyAlignment="1" applyProtection="1">
      <alignment horizontal="right" vertical="center" indent="1"/>
    </xf>
    <xf numFmtId="0" fontId="8" fillId="10" borderId="0" xfId="0" applyFont="1" applyFill="1" applyAlignment="1" applyProtection="1">
      <alignment vertical="center"/>
    </xf>
    <xf numFmtId="0" fontId="6" fillId="10" borderId="0" xfId="0" applyFont="1" applyFill="1" applyAlignment="1" applyProtection="1">
      <alignment horizontal="right"/>
    </xf>
    <xf numFmtId="0" fontId="89" fillId="10" borderId="0" xfId="0" applyFont="1" applyFill="1" applyAlignment="1">
      <alignment vertical="center"/>
    </xf>
    <xf numFmtId="0" fontId="8" fillId="10" borderId="67" xfId="0" applyFont="1" applyFill="1" applyBorder="1" applyAlignment="1" applyProtection="1">
      <alignment horizontal="center" vertical="center" wrapText="1"/>
    </xf>
    <xf numFmtId="0" fontId="4" fillId="10" borderId="74" xfId="0" applyFont="1" applyFill="1" applyBorder="1" applyAlignment="1" applyProtection="1">
      <alignment horizontal="center" vertical="center" wrapText="1"/>
    </xf>
    <xf numFmtId="0" fontId="4" fillId="10" borderId="67" xfId="0" applyFont="1" applyFill="1" applyBorder="1" applyAlignment="1" applyProtection="1">
      <alignment horizontal="center" vertical="center" wrapText="1"/>
    </xf>
    <xf numFmtId="0" fontId="4" fillId="10" borderId="25" xfId="4" applyFont="1" applyFill="1" applyBorder="1" applyAlignment="1" applyProtection="1">
      <alignment horizontal="center" vertical="center" wrapText="1"/>
    </xf>
    <xf numFmtId="0" fontId="90" fillId="10" borderId="0" xfId="0" applyFont="1" applyFill="1" applyAlignment="1">
      <alignment vertical="center" wrapText="1"/>
    </xf>
    <xf numFmtId="0" fontId="20" fillId="10" borderId="15" xfId="0" applyFont="1" applyFill="1" applyBorder="1" applyAlignment="1" applyProtection="1">
      <alignment horizontal="center" vertical="center" wrapText="1"/>
    </xf>
    <xf numFmtId="0" fontId="20" fillId="10" borderId="16" xfId="0" applyFont="1" applyFill="1" applyBorder="1" applyAlignment="1" applyProtection="1">
      <alignment horizontal="center" vertical="center" wrapText="1"/>
    </xf>
    <xf numFmtId="0" fontId="20" fillId="10" borderId="35" xfId="0" applyFont="1" applyFill="1" applyBorder="1" applyAlignment="1" applyProtection="1">
      <alignment horizontal="center" vertical="center" wrapText="1"/>
    </xf>
    <xf numFmtId="0" fontId="4" fillId="10" borderId="45" xfId="0" applyFont="1" applyFill="1" applyBorder="1" applyAlignment="1" applyProtection="1">
      <alignment horizontal="center" vertical="center" wrapText="1"/>
    </xf>
    <xf numFmtId="0" fontId="4" fillId="10" borderId="35" xfId="0" applyFont="1" applyFill="1" applyBorder="1" applyAlignment="1" applyProtection="1">
      <alignment horizontal="center" vertical="center" wrapText="1"/>
    </xf>
    <xf numFmtId="0" fontId="4" fillId="10" borderId="25" xfId="0" applyFont="1" applyFill="1" applyBorder="1" applyAlignment="1" applyProtection="1">
      <alignment horizontal="center" vertical="center" wrapText="1"/>
    </xf>
    <xf numFmtId="0" fontId="4" fillId="10" borderId="38" xfId="0" applyFont="1" applyFill="1" applyBorder="1" applyAlignment="1" applyProtection="1">
      <alignment horizontal="center" vertical="center" wrapText="1"/>
    </xf>
    <xf numFmtId="0" fontId="88" fillId="10" borderId="0" xfId="0" applyFont="1" applyFill="1" applyAlignment="1">
      <alignment horizontal="center" vertical="center" wrapText="1"/>
    </xf>
    <xf numFmtId="0" fontId="8" fillId="10" borderId="41" xfId="0" applyFont="1" applyFill="1" applyBorder="1" applyAlignment="1" applyProtection="1">
      <alignment horizontal="center" vertical="center" wrapText="1"/>
    </xf>
    <xf numFmtId="0" fontId="8" fillId="10" borderId="42" xfId="0" applyFont="1" applyFill="1" applyBorder="1" applyAlignment="1" applyProtection="1">
      <alignment horizontal="center" vertical="center" wrapText="1"/>
    </xf>
    <xf numFmtId="164" fontId="4" fillId="10" borderId="41" xfId="0" applyNumberFormat="1" applyFont="1" applyFill="1" applyBorder="1" applyAlignment="1" applyProtection="1">
      <alignment horizontal="center" vertical="center" wrapText="1"/>
    </xf>
    <xf numFmtId="164" fontId="4" fillId="10" borderId="62" xfId="0" applyNumberFormat="1" applyFont="1" applyFill="1" applyBorder="1" applyAlignment="1" applyProtection="1">
      <alignment horizontal="center" vertical="center" wrapText="1"/>
    </xf>
    <xf numFmtId="164" fontId="4" fillId="10" borderId="27" xfId="0" applyNumberFormat="1" applyFont="1" applyFill="1" applyBorder="1" applyAlignment="1" applyProtection="1">
      <alignment horizontal="center" vertical="center" wrapText="1"/>
    </xf>
    <xf numFmtId="164" fontId="4" fillId="10" borderId="43" xfId="0" applyNumberFormat="1" applyFont="1" applyFill="1" applyBorder="1" applyAlignment="1" applyProtection="1">
      <alignment horizontal="center" vertical="center" wrapText="1"/>
    </xf>
    <xf numFmtId="0" fontId="23" fillId="10" borderId="16" xfId="0" applyFont="1" applyFill="1" applyBorder="1" applyAlignment="1" applyProtection="1">
      <alignment horizontal="center" vertical="center" wrapText="1"/>
    </xf>
    <xf numFmtId="0" fontId="29" fillId="10" borderId="35" xfId="0" applyFont="1" applyFill="1" applyBorder="1" applyAlignment="1" applyProtection="1">
      <alignment horizontal="left" vertical="center" wrapText="1" indent="1"/>
    </xf>
    <xf numFmtId="164" fontId="33" fillId="10" borderId="45" xfId="0" applyNumberFormat="1" applyFont="1" applyFill="1" applyBorder="1" applyAlignment="1" applyProtection="1">
      <alignment horizontal="right" vertical="center" wrapText="1" indent="1"/>
    </xf>
    <xf numFmtId="164" fontId="33" fillId="10" borderId="35" xfId="0" applyNumberFormat="1" applyFont="1" applyFill="1" applyBorder="1" applyAlignment="1" applyProtection="1">
      <alignment horizontal="right" vertical="center" wrapText="1" indent="1"/>
    </xf>
    <xf numFmtId="164" fontId="33" fillId="10" borderId="25" xfId="0" applyNumberFormat="1" applyFont="1" applyFill="1" applyBorder="1" applyAlignment="1" applyProtection="1">
      <alignment horizontal="right" vertical="center" wrapText="1" indent="1"/>
    </xf>
    <xf numFmtId="164" fontId="33" fillId="10" borderId="38" xfId="0" applyNumberFormat="1" applyFont="1" applyFill="1" applyBorder="1" applyAlignment="1" applyProtection="1">
      <alignment horizontal="right" vertical="center" wrapText="1" indent="1"/>
    </xf>
    <xf numFmtId="0" fontId="91" fillId="10" borderId="0" xfId="0" applyFont="1" applyFill="1" applyAlignment="1">
      <alignment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49" fontId="22" fillId="10" borderId="2" xfId="0" applyNumberFormat="1" applyFont="1" applyFill="1" applyBorder="1" applyAlignment="1" applyProtection="1">
      <alignment horizontal="center" vertical="center" wrapText="1"/>
    </xf>
    <xf numFmtId="0" fontId="22" fillId="10" borderId="61" xfId="4" applyFont="1" applyFill="1" applyBorder="1" applyAlignment="1" applyProtection="1">
      <alignment horizontal="left" vertical="center" wrapText="1" indent="1"/>
    </xf>
    <xf numFmtId="164" fontId="15" fillId="1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10" borderId="9" xfId="0" applyFont="1" applyFill="1" applyBorder="1" applyAlignment="1" applyProtection="1">
      <alignment horizontal="center" vertical="center" wrapText="1"/>
    </xf>
    <xf numFmtId="0" fontId="22" fillId="10" borderId="55" xfId="4" applyFont="1" applyFill="1" applyBorder="1" applyAlignment="1" applyProtection="1">
      <alignment horizontal="left" vertical="center" wrapText="1" indent="1"/>
    </xf>
    <xf numFmtId="164" fontId="15" fillId="1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10" borderId="29" xfId="4" applyFont="1" applyFill="1" applyBorder="1" applyAlignment="1" applyProtection="1">
      <alignment horizontal="left" vertical="center" wrapText="1" indent="1"/>
    </xf>
    <xf numFmtId="0" fontId="20" fillId="10" borderId="8" xfId="0" applyFont="1" applyFill="1" applyBorder="1" applyAlignment="1" applyProtection="1">
      <alignment horizontal="center" vertical="center" wrapText="1"/>
    </xf>
    <xf numFmtId="164" fontId="15" fillId="1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0" xfId="0" applyNumberFormat="1" applyFont="1" applyFill="1" applyBorder="1" applyAlignment="1" applyProtection="1">
      <alignment horizontal="right" vertical="center" wrapText="1" indent="1"/>
      <protection locked="0"/>
    </xf>
    <xf numFmtId="0" fontId="92" fillId="10" borderId="0" xfId="0" applyFont="1" applyFill="1" applyAlignment="1">
      <alignment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49" fontId="22" fillId="10" borderId="7" xfId="0" applyNumberFormat="1" applyFont="1" applyFill="1" applyBorder="1" applyAlignment="1" applyProtection="1">
      <alignment horizontal="center" vertical="center" wrapText="1"/>
    </xf>
    <xf numFmtId="164" fontId="15" fillId="1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10" borderId="69" xfId="4" applyFont="1" applyFill="1" applyBorder="1" applyAlignment="1" applyProtection="1">
      <alignment horizontal="left" vertical="center" wrapText="1" indent="1"/>
    </xf>
    <xf numFmtId="0" fontId="29" fillId="10" borderId="15" xfId="0" applyFont="1" applyFill="1" applyBorder="1" applyAlignment="1" applyProtection="1">
      <alignment horizontal="center" vertical="center" wrapText="1"/>
    </xf>
    <xf numFmtId="0" fontId="29" fillId="10" borderId="35" xfId="4" applyFont="1" applyFill="1" applyBorder="1" applyAlignment="1" applyProtection="1">
      <alignment horizontal="left" vertical="center" wrapText="1" indent="1"/>
    </xf>
    <xf numFmtId="0" fontId="29" fillId="10" borderId="13" xfId="0" applyFont="1" applyFill="1" applyBorder="1" applyAlignment="1" applyProtection="1">
      <alignment horizontal="center" vertical="center" wrapText="1"/>
    </xf>
    <xf numFmtId="49" fontId="22" fillId="10" borderId="5" xfId="0" applyNumberFormat="1" applyFont="1" applyFill="1" applyBorder="1" applyAlignment="1" applyProtection="1">
      <alignment horizontal="center" vertical="center" wrapText="1"/>
    </xf>
    <xf numFmtId="0" fontId="30" fillId="10" borderId="61" xfId="4" applyFont="1" applyFill="1" applyBorder="1" applyAlignment="1" applyProtection="1">
      <alignment horizontal="left" vertical="center" wrapText="1" indent="1"/>
    </xf>
    <xf numFmtId="164" fontId="0" fillId="1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10" borderId="10" xfId="0" applyFont="1" applyFill="1" applyBorder="1" applyAlignment="1" applyProtection="1">
      <alignment horizontal="center" vertical="center" wrapText="1"/>
    </xf>
    <xf numFmtId="49" fontId="22" fillId="10" borderId="4" xfId="0" applyNumberFormat="1" applyFont="1" applyFill="1" applyBorder="1" applyAlignment="1" applyProtection="1">
      <alignment horizontal="center" vertical="center" wrapText="1"/>
    </xf>
    <xf numFmtId="0" fontId="30" fillId="10" borderId="68" xfId="4" applyFont="1" applyFill="1" applyBorder="1" applyAlignment="1" applyProtection="1">
      <alignment horizontal="left" vertical="center" wrapText="1" indent="1"/>
    </xf>
    <xf numFmtId="164" fontId="0" fillId="1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8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10" borderId="16" xfId="4" applyNumberFormat="1" applyFont="1" applyFill="1" applyBorder="1" applyAlignment="1" applyProtection="1">
      <alignment horizontal="left" vertical="center" wrapText="1" indent="1"/>
    </xf>
    <xf numFmtId="0" fontId="28" fillId="10" borderId="17" xfId="0" applyFont="1" applyFill="1" applyBorder="1" applyAlignment="1" applyProtection="1">
      <alignment horizontal="center" vertical="center" wrapText="1"/>
    </xf>
    <xf numFmtId="0" fontId="10" fillId="10" borderId="0" xfId="0" applyFont="1" applyFill="1" applyAlignment="1" applyProtection="1">
      <alignment vertical="center" wrapText="1"/>
    </xf>
    <xf numFmtId="0" fontId="29" fillId="10" borderId="67" xfId="4" applyFont="1" applyFill="1" applyBorder="1" applyAlignment="1" applyProtection="1">
      <alignment horizontal="left" vertical="center" wrapText="1" indent="1"/>
    </xf>
    <xf numFmtId="164" fontId="33" fillId="10" borderId="74" xfId="0" applyNumberFormat="1" applyFont="1" applyFill="1" applyBorder="1" applyAlignment="1" applyProtection="1">
      <alignment horizontal="right" vertical="center" wrapText="1" indent="1"/>
    </xf>
    <xf numFmtId="164" fontId="33" fillId="10" borderId="67" xfId="0" applyNumberFormat="1" applyFont="1" applyFill="1" applyBorder="1" applyAlignment="1" applyProtection="1">
      <alignment horizontal="right" vertical="center" wrapText="1" indent="1"/>
    </xf>
    <xf numFmtId="164" fontId="33" fillId="10" borderId="73" xfId="0" applyNumberFormat="1" applyFont="1" applyFill="1" applyBorder="1" applyAlignment="1" applyProtection="1">
      <alignment horizontal="right" vertical="center" wrapText="1" indent="1"/>
    </xf>
    <xf numFmtId="164" fontId="33" fillId="10" borderId="59" xfId="0" applyNumberFormat="1" applyFont="1" applyFill="1" applyBorder="1" applyAlignment="1" applyProtection="1">
      <alignment horizontal="right" vertical="center" wrapText="1" indent="1"/>
    </xf>
    <xf numFmtId="49" fontId="22" fillId="10" borderId="5" xfId="4" applyNumberFormat="1" applyFont="1" applyFill="1" applyBorder="1" applyAlignment="1" applyProtection="1">
      <alignment horizontal="left" vertical="center" wrapText="1" indent="1"/>
    </xf>
    <xf numFmtId="0" fontId="2" fillId="10" borderId="14" xfId="0" applyFont="1" applyFill="1" applyBorder="1" applyAlignment="1" applyProtection="1">
      <alignment vertical="center" wrapText="1"/>
    </xf>
    <xf numFmtId="49" fontId="22" fillId="10" borderId="32" xfId="4" applyNumberFormat="1" applyFont="1" applyFill="1" applyBorder="1" applyAlignment="1" applyProtection="1">
      <alignment horizontal="left" vertical="center" wrapText="1" indent="1"/>
    </xf>
    <xf numFmtId="0" fontId="30" fillId="10" borderId="52" xfId="4" applyFont="1" applyFill="1" applyBorder="1" applyAlignment="1" applyProtection="1">
      <alignment horizontal="left" vertical="center" wrapText="1" indent="1"/>
    </xf>
    <xf numFmtId="164" fontId="0" fillId="1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8" fillId="10" borderId="15" xfId="0" applyFont="1" applyFill="1" applyBorder="1" applyAlignment="1" applyProtection="1">
      <alignment horizontal="center" vertical="center" wrapText="1"/>
    </xf>
    <xf numFmtId="0" fontId="51" fillId="10" borderId="44" xfId="0" applyFont="1" applyFill="1" applyBorder="1" applyAlignment="1" applyProtection="1">
      <alignment horizontal="center" wrapText="1"/>
    </xf>
    <xf numFmtId="0" fontId="29" fillId="10" borderId="46" xfId="4" applyFont="1" applyFill="1" applyBorder="1" applyAlignment="1" applyProtection="1">
      <alignment horizontal="left" vertical="center" wrapText="1" indent="1"/>
    </xf>
    <xf numFmtId="0" fontId="43" fillId="10" borderId="44" xfId="0" applyFont="1" applyFill="1" applyBorder="1" applyAlignment="1" applyProtection="1">
      <alignment horizontal="center" wrapText="1"/>
    </xf>
    <xf numFmtId="0" fontId="26" fillId="10" borderId="46" xfId="0" applyFont="1" applyFill="1" applyBorder="1" applyAlignment="1" applyProtection="1">
      <alignment horizontal="left" wrapText="1" indent="1"/>
    </xf>
    <xf numFmtId="164" fontId="4" fillId="10" borderId="25" xfId="0" applyNumberFormat="1" applyFont="1" applyFill="1" applyBorder="1" applyAlignment="1" applyProtection="1">
      <alignment horizontal="right" vertical="center" wrapText="1" indent="1"/>
    </xf>
    <xf numFmtId="164" fontId="4" fillId="10" borderId="46" xfId="0" applyNumberFormat="1" applyFont="1" applyFill="1" applyBorder="1" applyAlignment="1" applyProtection="1">
      <alignment horizontal="right" vertical="center" wrapText="1" indent="1"/>
    </xf>
    <xf numFmtId="164" fontId="4" fillId="10" borderId="23" xfId="0" applyNumberFormat="1" applyFont="1" applyFill="1" applyBorder="1" applyAlignment="1" applyProtection="1">
      <alignment horizontal="right" vertical="center" wrapText="1" indent="1"/>
    </xf>
    <xf numFmtId="0" fontId="22" fillId="10" borderId="0" xfId="0" applyFont="1" applyFill="1" applyBorder="1" applyAlignment="1" applyProtection="1">
      <alignment horizontal="center" vertical="center" wrapText="1"/>
    </xf>
    <xf numFmtId="0" fontId="8" fillId="10" borderId="0" xfId="0" applyFont="1" applyFill="1" applyBorder="1" applyAlignment="1" applyProtection="1">
      <alignment horizontal="left" vertical="center" wrapText="1" indent="1"/>
    </xf>
    <xf numFmtId="164" fontId="4" fillId="10" borderId="0" xfId="0" applyNumberFormat="1" applyFont="1" applyFill="1" applyBorder="1" applyAlignment="1" applyProtection="1">
      <alignment horizontal="right" vertical="center" wrapText="1" indent="1"/>
    </xf>
    <xf numFmtId="0" fontId="93" fillId="10" borderId="0" xfId="0" applyFont="1" applyFill="1" applyAlignment="1">
      <alignment vertical="center" wrapText="1"/>
    </xf>
    <xf numFmtId="0" fontId="22" fillId="10" borderId="0" xfId="0" applyFont="1" applyFill="1" applyAlignment="1" applyProtection="1">
      <alignment horizontal="left" vertical="center" wrapText="1"/>
    </xf>
    <xf numFmtId="0" fontId="22" fillId="10" borderId="0" xfId="0" applyFont="1" applyFill="1" applyAlignment="1" applyProtection="1">
      <alignment vertical="center" wrapText="1"/>
    </xf>
    <xf numFmtId="0" fontId="15" fillId="10" borderId="0" xfId="0" applyFont="1" applyFill="1" applyAlignment="1" applyProtection="1">
      <alignment horizontal="right" vertical="center" wrapText="1" indent="1"/>
    </xf>
    <xf numFmtId="0" fontId="20" fillId="10" borderId="45" xfId="0" applyFont="1" applyFill="1" applyBorder="1" applyAlignment="1" applyProtection="1">
      <alignment horizontal="center" vertical="center" wrapText="1"/>
    </xf>
    <xf numFmtId="0" fontId="20" fillId="10" borderId="46" xfId="0" applyFont="1" applyFill="1" applyBorder="1" applyAlignment="1" applyProtection="1">
      <alignment horizontal="center" vertical="center" wrapText="1"/>
    </xf>
    <xf numFmtId="0" fontId="8" fillId="10" borderId="46" xfId="0" applyFont="1" applyFill="1" applyBorder="1" applyAlignment="1" applyProtection="1">
      <alignment horizontal="center" vertical="center" wrapText="1"/>
    </xf>
    <xf numFmtId="0" fontId="29" fillId="10" borderId="11" xfId="0" applyFont="1" applyFill="1" applyBorder="1" applyAlignment="1" applyProtection="1">
      <alignment horizontal="center" vertical="center" wrapText="1"/>
    </xf>
    <xf numFmtId="49" fontId="22" fillId="10" borderId="4" xfId="4" applyNumberFormat="1" applyFont="1" applyFill="1" applyBorder="1" applyAlignment="1" applyProtection="1">
      <alignment horizontal="left" vertical="center" wrapText="1" indent="1"/>
    </xf>
    <xf numFmtId="164" fontId="0" fillId="1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29" fillId="10" borderId="9" xfId="0" applyFont="1" applyFill="1" applyBorder="1" applyAlignment="1" applyProtection="1">
      <alignment horizontal="center" vertical="center" wrapText="1"/>
    </xf>
    <xf numFmtId="49" fontId="22" fillId="10" borderId="2" xfId="4" applyNumberFormat="1" applyFont="1" applyFill="1" applyBorder="1" applyAlignment="1" applyProtection="1">
      <alignment horizontal="left" vertical="center" wrapText="1" indent="1"/>
    </xf>
    <xf numFmtId="164" fontId="0" fillId="1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10" borderId="35" xfId="4" applyFont="1" applyFill="1" applyBorder="1" applyAlignment="1" applyProtection="1">
      <alignment horizontal="left" vertical="center" wrapText="1" indent="1"/>
    </xf>
    <xf numFmtId="0" fontId="22" fillId="10" borderId="16" xfId="0" applyFont="1" applyFill="1" applyBorder="1" applyAlignment="1" applyProtection="1">
      <alignment horizontal="center" vertical="center" wrapText="1"/>
    </xf>
    <xf numFmtId="0" fontId="8" fillId="10" borderId="35" xfId="0" applyFont="1" applyFill="1" applyBorder="1" applyAlignment="1" applyProtection="1">
      <alignment horizontal="left" vertical="center" wrapText="1" indent="1"/>
    </xf>
    <xf numFmtId="164" fontId="4" fillId="10" borderId="38" xfId="0" applyNumberFormat="1" applyFont="1" applyFill="1" applyBorder="1" applyAlignment="1" applyProtection="1">
      <alignment horizontal="right" vertical="center" wrapText="1" indent="1"/>
    </xf>
    <xf numFmtId="0" fontId="90" fillId="10" borderId="0" xfId="0" applyFont="1" applyFill="1" applyAlignment="1" applyProtection="1">
      <alignment horizontal="left" vertical="center" wrapText="1"/>
    </xf>
    <xf numFmtId="0" fontId="90" fillId="10" borderId="0" xfId="0" applyFont="1" applyFill="1" applyAlignment="1" applyProtection="1">
      <alignment vertical="center" wrapText="1"/>
    </xf>
    <xf numFmtId="0" fontId="90" fillId="10" borderId="0" xfId="0" applyFont="1" applyFill="1" applyAlignment="1" applyProtection="1">
      <alignment horizontal="right" vertical="center" wrapText="1" indent="1"/>
    </xf>
    <xf numFmtId="0" fontId="0" fillId="10" borderId="0" xfId="0" applyFont="1" applyFill="1" applyAlignment="1" applyProtection="1">
      <alignment horizontal="right" vertical="center" wrapText="1" indent="1"/>
    </xf>
    <xf numFmtId="0" fontId="89" fillId="10" borderId="15" xfId="0" applyFont="1" applyFill="1" applyBorder="1" applyAlignment="1" applyProtection="1">
      <alignment horizontal="left" vertical="center"/>
    </xf>
    <xf numFmtId="0" fontId="94" fillId="10" borderId="46" xfId="0" applyFont="1" applyFill="1" applyBorder="1" applyAlignment="1" applyProtection="1">
      <alignment vertical="center" wrapText="1"/>
    </xf>
    <xf numFmtId="0" fontId="89" fillId="10" borderId="44" xfId="0" applyFont="1" applyFill="1" applyBorder="1" applyAlignment="1" applyProtection="1">
      <alignment vertical="center" wrapText="1"/>
    </xf>
    <xf numFmtId="3" fontId="89" fillId="1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4" fillId="1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0" fillId="10" borderId="0" xfId="0" applyFont="1" applyFill="1" applyAlignment="1">
      <alignment horizontal="left" vertical="center" wrapText="1"/>
    </xf>
    <xf numFmtId="0" fontId="0" fillId="10" borderId="0" xfId="0" applyFont="1" applyFill="1" applyAlignment="1">
      <alignment vertical="center" wrapText="1"/>
    </xf>
    <xf numFmtId="164" fontId="19" fillId="10" borderId="0" xfId="0" applyNumberFormat="1" applyFont="1" applyFill="1" applyAlignment="1" applyProtection="1">
      <alignment vertical="center" wrapText="1"/>
      <protection locked="0"/>
    </xf>
    <xf numFmtId="0" fontId="71" fillId="10" borderId="0" xfId="0" applyFont="1" applyFill="1" applyAlignment="1" applyProtection="1">
      <alignment horizontal="right" vertical="top"/>
      <protection locked="0"/>
    </xf>
    <xf numFmtId="164" fontId="3" fillId="10" borderId="0" xfId="0" applyNumberFormat="1" applyFont="1" applyFill="1" applyAlignment="1">
      <alignment vertical="center" wrapText="1"/>
    </xf>
    <xf numFmtId="0" fontId="7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0" fillId="10" borderId="0" xfId="0" applyFill="1" applyAlignment="1">
      <alignment vertical="center" wrapText="1"/>
    </xf>
    <xf numFmtId="0" fontId="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2" fillId="10" borderId="12" xfId="0" applyFont="1" applyFill="1" applyBorder="1" applyAlignment="1" applyProtection="1">
      <alignment vertical="center" wrapText="1"/>
    </xf>
    <xf numFmtId="49" fontId="22" fillId="10" borderId="7" xfId="4" applyNumberFormat="1" applyFont="1" applyFill="1" applyBorder="1" applyAlignment="1" applyProtection="1">
      <alignment horizontal="left" vertical="center" wrapText="1" indent="1"/>
    </xf>
    <xf numFmtId="0" fontId="30" fillId="10" borderId="62" xfId="4" applyFont="1" applyFill="1" applyBorder="1" applyAlignment="1" applyProtection="1">
      <alignment horizontal="left" vertical="center" wrapText="1" indent="1"/>
    </xf>
    <xf numFmtId="164" fontId="0" fillId="1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43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10" borderId="40" xfId="4" applyNumberFormat="1" applyFont="1" applyFill="1" applyBorder="1" applyAlignment="1" applyProtection="1">
      <alignment horizontal="left" vertical="center" wrapText="1" indent="1"/>
    </xf>
    <xf numFmtId="0" fontId="30" fillId="10" borderId="77" xfId="4" applyFont="1" applyFill="1" applyBorder="1" applyAlignment="1" applyProtection="1">
      <alignment horizontal="left" vertical="center" wrapText="1" indent="1"/>
    </xf>
    <xf numFmtId="0" fontId="40" fillId="10" borderId="44" xfId="0" applyFont="1" applyFill="1" applyBorder="1" applyAlignment="1" applyProtection="1">
      <alignment horizontal="center" wrapText="1"/>
    </xf>
    <xf numFmtId="0" fontId="41" fillId="10" borderId="44" xfId="0" applyFont="1" applyFill="1" applyBorder="1" applyAlignment="1" applyProtection="1">
      <alignment horizontal="center" wrapText="1"/>
    </xf>
    <xf numFmtId="0" fontId="42" fillId="10" borderId="46" xfId="0" applyFont="1" applyFill="1" applyBorder="1" applyAlignment="1" applyProtection="1">
      <alignment horizontal="left" wrapText="1" indent="1"/>
    </xf>
    <xf numFmtId="164" fontId="4" fillId="10" borderId="45" xfId="0" applyNumberFormat="1" applyFont="1" applyFill="1" applyBorder="1" applyAlignment="1" applyProtection="1">
      <alignment horizontal="right" vertical="center" wrapText="1" indent="1"/>
    </xf>
    <xf numFmtId="164" fontId="4" fillId="10" borderId="35" xfId="0" applyNumberFormat="1" applyFont="1" applyFill="1" applyBorder="1" applyAlignment="1" applyProtection="1">
      <alignment horizontal="right" vertical="center" wrapText="1" indent="1"/>
    </xf>
    <xf numFmtId="164" fontId="7" fillId="10" borderId="0" xfId="0" applyNumberFormat="1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164" fontId="0" fillId="10" borderId="0" xfId="0" applyNumberFormat="1" applyFill="1" applyAlignment="1">
      <alignment vertical="center" wrapText="1"/>
    </xf>
    <xf numFmtId="0" fontId="0" fillId="10" borderId="0" xfId="0" applyFill="1" applyAlignment="1" applyProtection="1">
      <alignment horizontal="left" vertical="center" wrapText="1"/>
    </xf>
    <xf numFmtId="0" fontId="0" fillId="10" borderId="0" xfId="0" applyFill="1" applyAlignment="1" applyProtection="1">
      <alignment vertical="center" wrapText="1"/>
    </xf>
    <xf numFmtId="0" fontId="4" fillId="10" borderId="15" xfId="0" applyFont="1" applyFill="1" applyBorder="1" applyAlignment="1" applyProtection="1">
      <alignment horizontal="left" vertical="center"/>
    </xf>
    <xf numFmtId="0" fontId="15" fillId="10" borderId="46" xfId="0" applyFont="1" applyFill="1" applyBorder="1" applyAlignment="1" applyProtection="1">
      <alignment vertical="center" wrapText="1"/>
    </xf>
    <xf numFmtId="0" fontId="4" fillId="10" borderId="44" xfId="0" applyFont="1" applyFill="1" applyBorder="1" applyAlignment="1" applyProtection="1">
      <alignment vertical="center" wrapText="1"/>
    </xf>
    <xf numFmtId="0" fontId="0" fillId="10" borderId="0" xfId="0" applyFill="1" applyAlignment="1">
      <alignment horizontal="left" vertical="center" wrapText="1"/>
    </xf>
    <xf numFmtId="164" fontId="0" fillId="10" borderId="0" xfId="0" applyNumberFormat="1" applyFont="1" applyFill="1" applyAlignment="1">
      <alignment vertical="center" wrapText="1"/>
    </xf>
    <xf numFmtId="164" fontId="19" fillId="10" borderId="0" xfId="0" applyNumberFormat="1" applyFont="1" applyFill="1" applyAlignment="1" applyProtection="1">
      <alignment vertical="center" wrapText="1"/>
    </xf>
    <xf numFmtId="0" fontId="8" fillId="10" borderId="16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164" fontId="4" fillId="10" borderId="42" xfId="0" applyNumberFormat="1" applyFont="1" applyFill="1" applyBorder="1" applyAlignment="1" applyProtection="1">
      <alignment horizontal="right" vertical="center" wrapText="1" indent="1"/>
    </xf>
    <xf numFmtId="164" fontId="4" fillId="10" borderId="62" xfId="0" applyNumberFormat="1" applyFont="1" applyFill="1" applyBorder="1" applyAlignment="1" applyProtection="1">
      <alignment horizontal="right" vertical="center" wrapText="1" indent="1"/>
    </xf>
    <xf numFmtId="164" fontId="4" fillId="10" borderId="27" xfId="0" applyNumberFormat="1" applyFont="1" applyFill="1" applyBorder="1" applyAlignment="1" applyProtection="1">
      <alignment horizontal="right" vertical="center" wrapText="1" indent="1"/>
    </xf>
    <xf numFmtId="164" fontId="4" fillId="10" borderId="43" xfId="0" applyNumberFormat="1" applyFont="1" applyFill="1" applyBorder="1" applyAlignment="1" applyProtection="1">
      <alignment horizontal="right" vertical="center" wrapText="1" indent="1"/>
    </xf>
    <xf numFmtId="0" fontId="28" fillId="10" borderId="23" xfId="0" applyFont="1" applyFill="1" applyBorder="1" applyAlignment="1" applyProtection="1">
      <alignment horizontal="left" vertical="center" wrapText="1" indent="1"/>
    </xf>
    <xf numFmtId="0" fontId="28" fillId="10" borderId="24" xfId="0" applyFont="1" applyFill="1" applyBorder="1" applyAlignment="1" applyProtection="1">
      <alignment horizontal="left" vertical="center" wrapText="1" indent="1"/>
    </xf>
    <xf numFmtId="0" fontId="27" fillId="10" borderId="31" xfId="0" applyFont="1" applyFill="1" applyBorder="1" applyAlignment="1" applyProtection="1">
      <alignment horizontal="left" vertical="center" wrapText="1" indent="1"/>
    </xf>
    <xf numFmtId="0" fontId="27" fillId="10" borderId="19" xfId="0" applyFont="1" applyFill="1" applyBorder="1" applyAlignment="1" applyProtection="1">
      <alignment horizontal="left" vertical="center" wrapText="1" indent="1"/>
    </xf>
    <xf numFmtId="0" fontId="27" fillId="10" borderId="33" xfId="0" applyFont="1" applyFill="1" applyBorder="1" applyAlignment="1" applyProtection="1">
      <alignment horizontal="left" vertical="center" wrapText="1" indent="1"/>
    </xf>
    <xf numFmtId="49" fontId="22" fillId="10" borderId="16" xfId="0" applyNumberFormat="1" applyFont="1" applyFill="1" applyBorder="1" applyAlignment="1" applyProtection="1">
      <alignment horizontal="center" vertical="center" wrapText="1"/>
    </xf>
    <xf numFmtId="0" fontId="27" fillId="10" borderId="21" xfId="0" applyFont="1" applyFill="1" applyBorder="1" applyAlignment="1" applyProtection="1">
      <alignment horizontal="left" vertical="center" wrapText="1" indent="1"/>
    </xf>
    <xf numFmtId="0" fontId="48" fillId="10" borderId="31" xfId="0" applyFont="1" applyFill="1" applyBorder="1" applyAlignment="1" applyProtection="1">
      <alignment horizontal="left" vertical="center" wrapText="1" indent="1"/>
    </xf>
    <xf numFmtId="164" fontId="18" fillId="10" borderId="61" xfId="0" applyNumberFormat="1" applyFont="1" applyFill="1" applyBorder="1" applyAlignment="1" applyProtection="1">
      <alignment horizontal="right" vertical="center" wrapText="1" indent="1"/>
    </xf>
    <xf numFmtId="164" fontId="18" fillId="10" borderId="72" xfId="0" applyNumberFormat="1" applyFont="1" applyFill="1" applyBorder="1" applyAlignment="1" applyProtection="1">
      <alignment horizontal="right" vertical="center" wrapText="1" indent="1"/>
    </xf>
    <xf numFmtId="164" fontId="18" fillId="10" borderId="57" xfId="0" applyNumberFormat="1" applyFont="1" applyFill="1" applyBorder="1" applyAlignment="1" applyProtection="1">
      <alignment horizontal="right" vertical="center" wrapText="1" indent="1"/>
    </xf>
    <xf numFmtId="0" fontId="48" fillId="10" borderId="19" xfId="0" applyFont="1" applyFill="1" applyBorder="1" applyAlignment="1" applyProtection="1">
      <alignment horizontal="left" vertical="center" wrapText="1" indent="1"/>
    </xf>
    <xf numFmtId="164" fontId="18" fillId="10" borderId="55" xfId="0" applyNumberFormat="1" applyFont="1" applyFill="1" applyBorder="1" applyAlignment="1" applyProtection="1">
      <alignment horizontal="right" vertical="center" wrapText="1" indent="1"/>
    </xf>
    <xf numFmtId="164" fontId="18" fillId="10" borderId="26" xfId="0" applyNumberFormat="1" applyFont="1" applyFill="1" applyBorder="1" applyAlignment="1" applyProtection="1">
      <alignment horizontal="right" vertical="center" wrapText="1" indent="1"/>
    </xf>
    <xf numFmtId="164" fontId="18" fillId="10" borderId="49" xfId="0" applyNumberFormat="1" applyFont="1" applyFill="1" applyBorder="1" applyAlignment="1" applyProtection="1">
      <alignment horizontal="right" vertical="center" wrapText="1" indent="1"/>
    </xf>
    <xf numFmtId="0" fontId="20" fillId="10" borderId="14" xfId="0" applyFont="1" applyFill="1" applyBorder="1" applyAlignment="1" applyProtection="1">
      <alignment horizontal="center" vertical="center" wrapText="1"/>
    </xf>
    <xf numFmtId="164" fontId="15" fillId="1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0" fillId="10" borderId="11" xfId="0" applyFont="1" applyFill="1" applyBorder="1" applyAlignment="1" applyProtection="1">
      <alignment horizontal="center" vertical="center" wrapText="1"/>
    </xf>
    <xf numFmtId="164" fontId="15" fillId="1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1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10" borderId="17" xfId="0" applyFont="1" applyFill="1" applyBorder="1" applyAlignment="1" applyProtection="1">
      <alignment horizontal="center" vertical="center" wrapText="1"/>
    </xf>
    <xf numFmtId="0" fontId="23" fillId="10" borderId="18" xfId="0" applyFont="1" applyFill="1" applyBorder="1" applyAlignment="1" applyProtection="1">
      <alignment horizontal="center" vertical="center" wrapText="1"/>
    </xf>
    <xf numFmtId="164" fontId="6" fillId="10" borderId="60" xfId="0" applyNumberFormat="1" applyFont="1" applyFill="1" applyBorder="1" applyAlignment="1" applyProtection="1">
      <alignment horizontal="right" vertical="center" wrapText="1" indent="1"/>
    </xf>
    <xf numFmtId="164" fontId="6" fillId="10" borderId="67" xfId="0" applyNumberFormat="1" applyFont="1" applyFill="1" applyBorder="1" applyAlignment="1" applyProtection="1">
      <alignment horizontal="right" vertical="center" wrapText="1" indent="1"/>
    </xf>
    <xf numFmtId="164" fontId="6" fillId="10" borderId="73" xfId="0" applyNumberFormat="1" applyFont="1" applyFill="1" applyBorder="1" applyAlignment="1" applyProtection="1">
      <alignment horizontal="right" vertical="center" wrapText="1" indent="1"/>
    </xf>
    <xf numFmtId="164" fontId="33" fillId="10" borderId="46" xfId="0" applyNumberFormat="1" applyFont="1" applyFill="1" applyBorder="1" applyAlignment="1" applyProtection="1">
      <alignment horizontal="right" vertical="center" wrapText="1" indent="1"/>
    </xf>
    <xf numFmtId="0" fontId="27" fillId="10" borderId="22" xfId="0" applyFont="1" applyFill="1" applyBorder="1" applyAlignment="1" applyProtection="1">
      <alignment horizontal="left" vertical="center" wrapText="1" indent="1"/>
    </xf>
    <xf numFmtId="164" fontId="0" fillId="1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1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10" borderId="24" xfId="0" applyFont="1" applyFill="1" applyBorder="1" applyAlignment="1" applyProtection="1">
      <alignment horizontal="left" vertical="center" wrapText="1" indent="1"/>
    </xf>
    <xf numFmtId="0" fontId="51" fillId="10" borderId="16" xfId="0" applyFont="1" applyFill="1" applyBorder="1" applyAlignment="1" applyProtection="1">
      <alignment horizontal="center" wrapText="1"/>
    </xf>
    <xf numFmtId="0" fontId="26" fillId="10" borderId="23" xfId="0" applyFont="1" applyFill="1" applyBorder="1" applyAlignment="1" applyProtection="1">
      <alignment horizontal="left" vertical="center" wrapText="1" indent="1"/>
    </xf>
    <xf numFmtId="164" fontId="2" fillId="10" borderId="0" xfId="0" applyNumberFormat="1" applyFont="1" applyFill="1" applyAlignment="1">
      <alignment vertical="center" wrapText="1"/>
    </xf>
    <xf numFmtId="0" fontId="22" fillId="10" borderId="46" xfId="0" applyFont="1" applyFill="1" applyBorder="1" applyAlignment="1" applyProtection="1">
      <alignment horizontal="center" vertical="center" wrapText="1"/>
    </xf>
    <xf numFmtId="0" fontId="51" fillId="10" borderId="46" xfId="0" applyFont="1" applyFill="1" applyBorder="1" applyAlignment="1" applyProtection="1">
      <alignment horizontal="center" wrapText="1"/>
    </xf>
    <xf numFmtId="0" fontId="26" fillId="10" borderId="60" xfId="0" applyFont="1" applyFill="1" applyBorder="1" applyAlignment="1" applyProtection="1">
      <alignment horizontal="left" vertical="center" wrapText="1" indent="1"/>
    </xf>
    <xf numFmtId="164" fontId="33" fillId="10" borderId="60" xfId="0" applyNumberFormat="1" applyFont="1" applyFill="1" applyBorder="1" applyAlignment="1" applyProtection="1">
      <alignment horizontal="right" vertical="center" wrapText="1" indent="1"/>
    </xf>
    <xf numFmtId="0" fontId="8" fillId="10" borderId="5" xfId="0" applyFont="1" applyFill="1" applyBorder="1" applyAlignment="1" applyProtection="1">
      <alignment horizontal="center" vertical="center"/>
    </xf>
    <xf numFmtId="0" fontId="4" fillId="10" borderId="61" xfId="0" quotePrefix="1" applyFont="1" applyFill="1" applyBorder="1" applyAlignment="1" applyProtection="1">
      <alignment horizontal="right" vertical="center" indent="1"/>
    </xf>
    <xf numFmtId="0" fontId="4" fillId="10" borderId="75" xfId="0" quotePrefix="1" applyFont="1" applyFill="1" applyBorder="1" applyAlignment="1" applyProtection="1">
      <alignment horizontal="right" vertical="center" indent="1"/>
    </xf>
    <xf numFmtId="164" fontId="15" fillId="10" borderId="5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10" borderId="55" xfId="4" applyFont="1" applyFill="1" applyBorder="1" applyAlignment="1" applyProtection="1">
      <alignment horizontal="left" indent="7"/>
    </xf>
    <xf numFmtId="0" fontId="27" fillId="10" borderId="55" xfId="0" applyFont="1" applyFill="1" applyBorder="1" applyAlignment="1" applyProtection="1">
      <alignment horizontal="left" vertical="center" wrapText="1" indent="6"/>
    </xf>
    <xf numFmtId="0" fontId="22" fillId="10" borderId="69" xfId="4" applyFont="1" applyFill="1" applyBorder="1" applyAlignment="1" applyProtection="1">
      <alignment horizontal="left" vertical="center" wrapText="1" indent="6"/>
    </xf>
    <xf numFmtId="0" fontId="22" fillId="10" borderId="55" xfId="4" applyFont="1" applyFill="1" applyBorder="1" applyAlignment="1" applyProtection="1">
      <alignment horizontal="left" vertical="center" wrapText="1" indent="6"/>
    </xf>
    <xf numFmtId="0" fontId="29" fillId="10" borderId="12" xfId="0" applyFont="1" applyFill="1" applyBorder="1" applyAlignment="1" applyProtection="1">
      <alignment horizontal="center" vertical="center" wrapText="1"/>
    </xf>
    <xf numFmtId="0" fontId="22" fillId="10" borderId="52" xfId="4" applyFont="1" applyFill="1" applyBorder="1" applyAlignment="1" applyProtection="1">
      <alignment horizontal="left" vertical="center" wrapText="1" indent="6"/>
    </xf>
    <xf numFmtId="0" fontId="27" fillId="10" borderId="61" xfId="0" applyFont="1" applyFill="1" applyBorder="1" applyAlignment="1" applyProtection="1">
      <alignment horizontal="left" vertical="center" wrapText="1" indent="1"/>
    </xf>
    <xf numFmtId="0" fontId="27" fillId="10" borderId="55" xfId="0" applyFont="1" applyFill="1" applyBorder="1" applyAlignment="1" applyProtection="1">
      <alignment horizontal="left" vertical="center" wrapText="1" indent="1"/>
    </xf>
    <xf numFmtId="0" fontId="27" fillId="10" borderId="52" xfId="0" applyFont="1" applyFill="1" applyBorder="1" applyAlignment="1" applyProtection="1">
      <alignment horizontal="left" vertical="center" wrapText="1" indent="6"/>
    </xf>
    <xf numFmtId="0" fontId="29" fillId="10" borderId="17" xfId="0" applyFont="1" applyFill="1" applyBorder="1" applyAlignment="1" applyProtection="1">
      <alignment horizontal="center" vertical="center" wrapText="1"/>
    </xf>
    <xf numFmtId="0" fontId="20" fillId="10" borderId="18" xfId="4" applyFont="1" applyFill="1" applyBorder="1" applyAlignment="1" applyProtection="1">
      <alignment horizontal="left" vertical="center" wrapText="1" indent="1"/>
    </xf>
    <xf numFmtId="0" fontId="28" fillId="10" borderId="0" xfId="0" applyFont="1" applyFill="1" applyBorder="1" applyAlignment="1" applyProtection="1">
      <alignment horizontal="left" vertical="center" wrapText="1" indent="1"/>
    </xf>
    <xf numFmtId="0" fontId="27" fillId="10" borderId="75" xfId="0" applyFont="1" applyFill="1" applyBorder="1" applyAlignment="1" applyProtection="1">
      <alignment horizontal="left" vertical="center" wrapText="1" indent="1"/>
    </xf>
    <xf numFmtId="0" fontId="29" fillId="10" borderId="14" xfId="0" applyFont="1" applyFill="1" applyBorder="1" applyAlignment="1" applyProtection="1">
      <alignment horizontal="center" vertical="center" wrapText="1"/>
    </xf>
    <xf numFmtId="0" fontId="27" fillId="10" borderId="77" xfId="0" applyFont="1" applyFill="1" applyBorder="1" applyAlignment="1" applyProtection="1">
      <alignment horizontal="left" vertical="center" wrapText="1" indent="1"/>
    </xf>
    <xf numFmtId="164" fontId="15" fillId="1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9" fillId="10" borderId="0" xfId="0" applyFont="1" applyFill="1" applyAlignment="1" applyProtection="1">
      <alignment horizontal="center" vertical="center" wrapText="1"/>
    </xf>
    <xf numFmtId="0" fontId="9" fillId="10" borderId="16" xfId="0" applyFont="1" applyFill="1" applyBorder="1" applyAlignment="1" applyProtection="1">
      <alignment vertical="center" wrapText="1"/>
    </xf>
    <xf numFmtId="0" fontId="28" fillId="10" borderId="68" xfId="0" applyFont="1" applyFill="1" applyBorder="1" applyAlignment="1" applyProtection="1">
      <alignment horizontal="left" vertical="center" wrapText="1" indent="1"/>
    </xf>
    <xf numFmtId="164" fontId="33" fillId="1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10" borderId="50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10" borderId="16" xfId="4" applyNumberFormat="1" applyFont="1" applyFill="1" applyBorder="1" applyAlignment="1" applyProtection="1">
      <alignment horizontal="left" vertical="center" wrapText="1" indent="1"/>
    </xf>
    <xf numFmtId="0" fontId="28" fillId="10" borderId="29" xfId="0" applyFont="1" applyFill="1" applyBorder="1" applyAlignment="1" applyProtection="1">
      <alignment horizontal="left" vertical="center" wrapText="1" indent="1"/>
    </xf>
    <xf numFmtId="0" fontId="28" fillId="10" borderId="35" xfId="0" applyFont="1" applyFill="1" applyBorder="1" applyAlignment="1" applyProtection="1">
      <alignment horizontal="left" vertical="center" wrapText="1" indent="1"/>
    </xf>
    <xf numFmtId="164" fontId="34" fillId="10" borderId="45" xfId="0" applyNumberFormat="1" applyFont="1" applyFill="1" applyBorder="1" applyAlignment="1" applyProtection="1">
      <alignment horizontal="right" vertical="center" wrapText="1" indent="1"/>
    </xf>
    <xf numFmtId="164" fontId="34" fillId="10" borderId="35" xfId="0" applyNumberFormat="1" applyFont="1" applyFill="1" applyBorder="1" applyAlignment="1" applyProtection="1">
      <alignment horizontal="right" vertical="center" wrapText="1" indent="1"/>
    </xf>
    <xf numFmtId="164" fontId="34" fillId="10" borderId="25" xfId="0" applyNumberFormat="1" applyFont="1" applyFill="1" applyBorder="1" applyAlignment="1" applyProtection="1">
      <alignment horizontal="right" vertical="center" wrapText="1" indent="1"/>
    </xf>
    <xf numFmtId="164" fontId="34" fillId="10" borderId="38" xfId="0" applyNumberFormat="1" applyFont="1" applyFill="1" applyBorder="1" applyAlignment="1" applyProtection="1">
      <alignment horizontal="right" vertical="center" wrapText="1" indent="1"/>
    </xf>
    <xf numFmtId="0" fontId="27" fillId="10" borderId="68" xfId="0" applyFont="1" applyFill="1" applyBorder="1" applyAlignment="1" applyProtection="1">
      <alignment horizontal="left" vertical="center" wrapText="1" indent="1"/>
    </xf>
    <xf numFmtId="0" fontId="0" fillId="10" borderId="0" xfId="0" applyFont="1" applyFill="1" applyAlignment="1" applyProtection="1">
      <alignment horizontal="left" vertical="center" wrapText="1"/>
    </xf>
    <xf numFmtId="0" fontId="0" fillId="10" borderId="0" xfId="0" applyFont="1" applyFill="1" applyAlignment="1" applyProtection="1">
      <alignment vertical="center" wrapText="1"/>
    </xf>
    <xf numFmtId="164" fontId="0" fillId="10" borderId="0" xfId="0" applyNumberFormat="1" applyFont="1" applyFill="1" applyAlignment="1" applyProtection="1">
      <alignment horizontal="right" vertical="center" wrapText="1" indent="1"/>
    </xf>
    <xf numFmtId="0" fontId="4" fillId="0" borderId="38" xfId="4" applyFont="1" applyFill="1" applyBorder="1" applyAlignment="1" applyProtection="1">
      <alignment horizontal="center" vertical="center" wrapText="1"/>
    </xf>
    <xf numFmtId="166" fontId="104" fillId="0" borderId="22" xfId="1" applyNumberFormat="1" applyFont="1" applyFill="1" applyBorder="1" applyProtection="1">
      <protection locked="0"/>
    </xf>
    <xf numFmtId="166" fontId="104" fillId="0" borderId="19" xfId="1" applyNumberFormat="1" applyFont="1" applyFill="1" applyBorder="1" applyProtection="1">
      <protection locked="0"/>
    </xf>
    <xf numFmtId="166" fontId="104" fillId="0" borderId="33" xfId="1" applyNumberFormat="1" applyFont="1" applyFill="1" applyBorder="1" applyProtection="1">
      <protection locked="0"/>
    </xf>
    <xf numFmtId="166" fontId="15" fillId="0" borderId="22" xfId="1" applyNumberFormat="1" applyFont="1" applyFill="1" applyBorder="1" applyProtection="1">
      <protection locked="0"/>
    </xf>
    <xf numFmtId="166" fontId="15" fillId="0" borderId="31" xfId="1" applyNumberFormat="1" applyFont="1" applyFill="1" applyBorder="1" applyProtection="1">
      <protection locked="0"/>
    </xf>
    <xf numFmtId="166" fontId="15" fillId="0" borderId="19" xfId="1" applyNumberFormat="1" applyFont="1" applyFill="1" applyBorder="1" applyProtection="1">
      <protection locked="0"/>
    </xf>
    <xf numFmtId="166" fontId="15" fillId="13" borderId="19" xfId="1" applyNumberFormat="1" applyFont="1" applyFill="1" applyBorder="1" applyProtection="1">
      <protection locked="0"/>
    </xf>
    <xf numFmtId="166" fontId="15" fillId="0" borderId="21" xfId="1" applyNumberFormat="1" applyFont="1" applyFill="1" applyBorder="1" applyProtection="1">
      <protection locked="0"/>
    </xf>
    <xf numFmtId="166" fontId="15" fillId="0" borderId="23" xfId="1" applyNumberFormat="1" applyFont="1" applyFill="1" applyBorder="1" applyProtection="1"/>
    <xf numFmtId="166" fontId="104" fillId="0" borderId="23" xfId="1" applyNumberFormat="1" applyFont="1" applyFill="1" applyBorder="1" applyProtection="1">
      <protection locked="0"/>
    </xf>
    <xf numFmtId="0" fontId="95" fillId="0" borderId="0" xfId="0" applyFont="1" applyAlignment="1">
      <alignment horizontal="center" wrapText="1"/>
    </xf>
    <xf numFmtId="0" fontId="97" fillId="0" borderId="0" xfId="0" applyFont="1" applyAlignment="1">
      <alignment wrapText="1"/>
    </xf>
    <xf numFmtId="0" fontId="97" fillId="0" borderId="0" xfId="0" applyFont="1" applyAlignment="1"/>
    <xf numFmtId="0" fontId="71" fillId="0" borderId="0" xfId="0" applyFont="1" applyAlignment="1"/>
    <xf numFmtId="0" fontId="95" fillId="0" borderId="0" xfId="0" applyFont="1" applyAlignment="1">
      <alignment horizontal="center"/>
    </xf>
    <xf numFmtId="0" fontId="95" fillId="0" borderId="73" xfId="0" applyFont="1" applyBorder="1" applyAlignment="1">
      <alignment horizontal="center" vertical="center" wrapText="1"/>
    </xf>
    <xf numFmtId="0" fontId="95" fillId="0" borderId="66" xfId="0" applyFont="1" applyBorder="1" applyAlignment="1">
      <alignment horizontal="center" vertical="center" wrapText="1"/>
    </xf>
    <xf numFmtId="0" fontId="95" fillId="0" borderId="45" xfId="0" applyFont="1" applyBorder="1" applyAlignment="1">
      <alignment horizontal="center" vertical="center" wrapText="1"/>
    </xf>
    <xf numFmtId="0" fontId="97" fillId="0" borderId="46" xfId="0" applyFont="1" applyBorder="1" applyAlignment="1"/>
    <xf numFmtId="0" fontId="71" fillId="0" borderId="38" xfId="0" applyFont="1" applyBorder="1" applyAlignment="1"/>
    <xf numFmtId="0" fontId="95" fillId="0" borderId="0" xfId="0" applyFont="1" applyAlignment="1">
      <alignment horizontal="right"/>
    </xf>
    <xf numFmtId="0" fontId="96" fillId="0" borderId="0" xfId="0" applyFont="1" applyAlignment="1">
      <alignment horizontal="right"/>
    </xf>
    <xf numFmtId="0" fontId="16" fillId="10" borderId="0" xfId="0" applyFont="1" applyFill="1" applyAlignment="1" applyProtection="1">
      <alignment horizontal="center" vertical="center"/>
    </xf>
    <xf numFmtId="164" fontId="7" fillId="10" borderId="0" xfId="4" applyNumberFormat="1" applyFont="1" applyFill="1" applyBorder="1" applyAlignment="1" applyProtection="1">
      <alignment horizontal="center" vertical="center"/>
    </xf>
    <xf numFmtId="0" fontId="51" fillId="10" borderId="0" xfId="0" applyFont="1" applyFill="1" applyBorder="1" applyAlignment="1" applyProtection="1">
      <alignment horizontal="left" wrapText="1" indent="1"/>
    </xf>
    <xf numFmtId="164" fontId="37" fillId="10" borderId="37" xfId="4" applyNumberFormat="1" applyFont="1" applyFill="1" applyBorder="1" applyAlignment="1" applyProtection="1">
      <alignment horizontal="left" vertical="center"/>
    </xf>
    <xf numFmtId="164" fontId="37" fillId="10" borderId="37" xfId="4" applyNumberFormat="1" applyFont="1" applyFill="1" applyBorder="1" applyAlignment="1" applyProtection="1">
      <alignment horizontal="left"/>
    </xf>
    <xf numFmtId="0" fontId="24" fillId="10" borderId="0" xfId="4" applyFont="1" applyFill="1" applyAlignment="1" applyProtection="1">
      <alignment horizontal="center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43" fillId="0" borderId="35" xfId="0" applyFont="1" applyBorder="1" applyAlignment="1">
      <alignment vertical="top" wrapText="1"/>
    </xf>
    <xf numFmtId="0" fontId="0" fillId="0" borderId="44" xfId="0" applyBorder="1" applyAlignment="1">
      <alignment vertical="top"/>
    </xf>
    <xf numFmtId="0" fontId="43" fillId="0" borderId="17" xfId="0" applyFont="1" applyBorder="1" applyAlignment="1">
      <alignment vertical="top" wrapText="1"/>
    </xf>
    <xf numFmtId="0" fontId="0" fillId="0" borderId="8" xfId="0" applyBorder="1"/>
    <xf numFmtId="0" fontId="0" fillId="0" borderId="10" xfId="0" applyBorder="1"/>
    <xf numFmtId="0" fontId="43" fillId="0" borderId="16" xfId="0" applyFont="1" applyBorder="1" applyAlignment="1">
      <alignment vertical="top" wrapText="1"/>
    </xf>
    <xf numFmtId="0" fontId="0" fillId="0" borderId="16" xfId="0" applyBorder="1"/>
    <xf numFmtId="0" fontId="43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>
      <alignment horizontal="center" vertical="center"/>
    </xf>
    <xf numFmtId="0" fontId="26" fillId="9" borderId="16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wrapText="1"/>
    </xf>
    <xf numFmtId="0" fontId="43" fillId="0" borderId="3" xfId="0" applyFont="1" applyBorder="1" applyAlignment="1">
      <alignment wrapText="1"/>
    </xf>
    <xf numFmtId="0" fontId="0" fillId="0" borderId="3" xfId="0" applyBorder="1"/>
    <xf numFmtId="0" fontId="26" fillId="8" borderId="16" xfId="0" applyFont="1" applyFill="1" applyBorder="1" applyAlignment="1">
      <alignment horizontal="center" wrapText="1"/>
    </xf>
    <xf numFmtId="0" fontId="8" fillId="10" borderId="45" xfId="0" applyFont="1" applyFill="1" applyBorder="1" applyAlignment="1" applyProtection="1">
      <alignment horizontal="center" vertical="center" wrapText="1"/>
    </xf>
    <xf numFmtId="0" fontId="8" fillId="10" borderId="44" xfId="0" applyFont="1" applyFill="1" applyBorder="1" applyAlignment="1" applyProtection="1">
      <alignment horizontal="center" vertical="center" wrapText="1"/>
    </xf>
    <xf numFmtId="0" fontId="8" fillId="10" borderId="70" xfId="0" applyFont="1" applyFill="1" applyBorder="1" applyAlignment="1" applyProtection="1">
      <alignment horizontal="center" vertical="center" wrapText="1"/>
    </xf>
    <xf numFmtId="0" fontId="8" fillId="10" borderId="76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3" fillId="10" borderId="37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105" fillId="0" borderId="0" xfId="0" applyNumberFormat="1" applyFont="1" applyAlignment="1">
      <alignment horizontal="right"/>
    </xf>
    <xf numFmtId="0" fontId="50" fillId="0" borderId="15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" fillId="0" borderId="45" xfId="4" applyFont="1" applyFill="1" applyBorder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0" fontId="50" fillId="0" borderId="17" xfId="0" applyFont="1" applyFill="1" applyBorder="1" applyAlignment="1">
      <alignment horizontal="center" vertical="center" textRotation="90" wrapText="1"/>
    </xf>
    <xf numFmtId="0" fontId="50" fillId="0" borderId="10" xfId="0" applyFont="1" applyFill="1" applyBorder="1" applyAlignment="1">
      <alignment horizontal="center" vertical="center" textRotation="90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4" fillId="0" borderId="34" xfId="4" applyFont="1" applyFill="1" applyBorder="1" applyAlignment="1" applyProtection="1">
      <alignment horizontal="center" vertical="center" wrapText="1"/>
    </xf>
    <xf numFmtId="0" fontId="4" fillId="0" borderId="24" xfId="4" applyFont="1" applyFill="1" applyBorder="1" applyAlignment="1" applyProtection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24" fillId="0" borderId="0" xfId="0" applyFont="1" applyAlignment="1">
      <alignment horizontal="center" wrapText="1"/>
    </xf>
    <xf numFmtId="0" fontId="106" fillId="0" borderId="0" xfId="5" applyFont="1" applyFill="1" applyAlignment="1" applyProtection="1">
      <alignment horizontal="right"/>
      <protection locked="0"/>
    </xf>
    <xf numFmtId="0" fontId="74" fillId="10" borderId="55" xfId="6" applyFont="1" applyFill="1" applyBorder="1" applyAlignment="1">
      <alignment horizontal="left" vertical="center" wrapText="1"/>
    </xf>
    <xf numFmtId="0" fontId="74" fillId="10" borderId="64" xfId="6" applyFont="1" applyFill="1" applyBorder="1" applyAlignment="1">
      <alignment horizontal="left" vertical="center" wrapText="1"/>
    </xf>
    <xf numFmtId="0" fontId="74" fillId="10" borderId="6" xfId="6" applyFont="1" applyFill="1" applyBorder="1" applyAlignment="1">
      <alignment horizontal="left" vertical="center" wrapText="1"/>
    </xf>
    <xf numFmtId="0" fontId="74" fillId="10" borderId="62" xfId="6" applyFont="1" applyFill="1" applyBorder="1" applyAlignment="1">
      <alignment horizontal="left" vertical="center" wrapText="1"/>
    </xf>
    <xf numFmtId="0" fontId="74" fillId="10" borderId="42" xfId="6" applyFont="1" applyFill="1" applyBorder="1" applyAlignment="1">
      <alignment horizontal="left" vertical="center" wrapText="1"/>
    </xf>
    <xf numFmtId="0" fontId="74" fillId="10" borderId="63" xfId="6" applyFont="1" applyFill="1" applyBorder="1" applyAlignment="1">
      <alignment horizontal="left" vertical="center" wrapText="1"/>
    </xf>
    <xf numFmtId="0" fontId="74" fillId="10" borderId="45" xfId="6" applyFont="1" applyFill="1" applyBorder="1" applyAlignment="1">
      <alignment horizontal="center" vertical="center" wrapText="1"/>
    </xf>
    <xf numFmtId="0" fontId="74" fillId="10" borderId="46" xfId="6" applyFont="1" applyFill="1" applyBorder="1" applyAlignment="1">
      <alignment horizontal="center" vertical="center" wrapText="1"/>
    </xf>
    <xf numFmtId="0" fontId="74" fillId="10" borderId="38" xfId="6" applyFont="1" applyFill="1" applyBorder="1" applyAlignment="1">
      <alignment horizontal="center" vertical="center" wrapText="1"/>
    </xf>
    <xf numFmtId="0" fontId="16" fillId="10" borderId="0" xfId="0" applyFont="1" applyFill="1" applyBorder="1" applyAlignment="1" applyProtection="1">
      <alignment horizontal="center" vertical="center"/>
    </xf>
    <xf numFmtId="0" fontId="85" fillId="10" borderId="0" xfId="6" applyFont="1" applyFill="1" applyBorder="1" applyAlignment="1">
      <alignment horizontal="center" vertical="center" wrapText="1"/>
    </xf>
    <xf numFmtId="0" fontId="74" fillId="10" borderId="44" xfId="6" applyFont="1" applyFill="1" applyBorder="1" applyAlignment="1">
      <alignment horizontal="center" vertical="center" wrapText="1"/>
    </xf>
    <xf numFmtId="0" fontId="81" fillId="10" borderId="45" xfId="0" applyFont="1" applyFill="1" applyBorder="1" applyAlignment="1">
      <alignment horizontal="center" vertical="center" wrapText="1"/>
    </xf>
    <xf numFmtId="0" fontId="81" fillId="10" borderId="46" xfId="0" applyFont="1" applyFill="1" applyBorder="1" applyAlignment="1">
      <alignment horizontal="center" vertical="center" wrapText="1"/>
    </xf>
    <xf numFmtId="0" fontId="81" fillId="10" borderId="44" xfId="0" applyFont="1" applyFill="1" applyBorder="1" applyAlignment="1">
      <alignment horizontal="center" vertical="center" wrapText="1"/>
    </xf>
    <xf numFmtId="0" fontId="81" fillId="10" borderId="70" xfId="0" applyFont="1" applyFill="1" applyBorder="1" applyAlignment="1">
      <alignment horizontal="center" vertical="center" wrapText="1"/>
    </xf>
    <xf numFmtId="0" fontId="81" fillId="10" borderId="54" xfId="0" applyFont="1" applyFill="1" applyBorder="1" applyAlignment="1">
      <alignment horizontal="center" vertical="center" wrapText="1"/>
    </xf>
    <xf numFmtId="0" fontId="81" fillId="10" borderId="39" xfId="0" applyFont="1" applyFill="1" applyBorder="1" applyAlignment="1">
      <alignment horizontal="center" vertical="center" wrapText="1"/>
    </xf>
    <xf numFmtId="0" fontId="71" fillId="10" borderId="5" xfId="0" applyFont="1" applyFill="1" applyBorder="1" applyAlignment="1">
      <alignment horizontal="center" vertical="center" wrapText="1"/>
    </xf>
    <xf numFmtId="0" fontId="71" fillId="10" borderId="2" xfId="0" applyFont="1" applyFill="1" applyBorder="1" applyAlignment="1">
      <alignment horizontal="center" vertical="center" wrapText="1"/>
    </xf>
    <xf numFmtId="0" fontId="71" fillId="10" borderId="61" xfId="0" applyFont="1" applyFill="1" applyBorder="1" applyAlignment="1">
      <alignment horizontal="left" vertical="center" wrapText="1"/>
    </xf>
    <xf numFmtId="0" fontId="71" fillId="10" borderId="75" xfId="0" applyFont="1" applyFill="1" applyBorder="1" applyAlignment="1">
      <alignment horizontal="left" vertical="center" wrapText="1"/>
    </xf>
    <xf numFmtId="0" fontId="71" fillId="10" borderId="76" xfId="0" applyFont="1" applyFill="1" applyBorder="1" applyAlignment="1">
      <alignment horizontal="left" vertical="center" wrapText="1"/>
    </xf>
    <xf numFmtId="0" fontId="81" fillId="10" borderId="62" xfId="0" applyFont="1" applyFill="1" applyBorder="1" applyAlignment="1">
      <alignment horizontal="left" vertical="center" wrapText="1"/>
    </xf>
    <xf numFmtId="0" fontId="81" fillId="10" borderId="42" xfId="0" applyFont="1" applyFill="1" applyBorder="1" applyAlignment="1">
      <alignment horizontal="left" vertical="center" wrapText="1"/>
    </xf>
    <xf numFmtId="0" fontId="81" fillId="10" borderId="63" xfId="0" applyFont="1" applyFill="1" applyBorder="1" applyAlignment="1">
      <alignment horizontal="left" vertical="center" wrapText="1"/>
    </xf>
    <xf numFmtId="0" fontId="74" fillId="10" borderId="35" xfId="0" applyFont="1" applyFill="1" applyBorder="1" applyAlignment="1">
      <alignment horizontal="center" vertical="center" wrapText="1"/>
    </xf>
    <xf numFmtId="0" fontId="74" fillId="10" borderId="46" xfId="0" applyFont="1" applyFill="1" applyBorder="1" applyAlignment="1">
      <alignment horizontal="center" vertical="center" wrapText="1"/>
    </xf>
    <xf numFmtId="0" fontId="74" fillId="10" borderId="44" xfId="0" applyFont="1" applyFill="1" applyBorder="1" applyAlignment="1">
      <alignment horizontal="center" vertical="center" wrapText="1"/>
    </xf>
    <xf numFmtId="0" fontId="74" fillId="10" borderId="35" xfId="0" applyFont="1" applyFill="1" applyBorder="1" applyAlignment="1">
      <alignment horizontal="left" vertical="center" wrapText="1"/>
    </xf>
    <xf numFmtId="0" fontId="81" fillId="10" borderId="46" xfId="0" applyFont="1" applyFill="1" applyBorder="1" applyAlignment="1">
      <alignment horizontal="left" vertical="center" wrapText="1"/>
    </xf>
    <xf numFmtId="0" fontId="81" fillId="10" borderId="44" xfId="0" applyFont="1" applyFill="1" applyBorder="1" applyAlignment="1">
      <alignment horizontal="left" vertical="center" wrapText="1"/>
    </xf>
    <xf numFmtId="0" fontId="74" fillId="10" borderId="55" xfId="0" applyFont="1" applyFill="1" applyBorder="1" applyAlignment="1">
      <alignment horizontal="left" vertical="center" wrapText="1"/>
    </xf>
    <xf numFmtId="0" fontId="81" fillId="10" borderId="64" xfId="0" applyFont="1" applyFill="1" applyBorder="1" applyAlignment="1">
      <alignment horizontal="left" vertical="center" wrapText="1"/>
    </xf>
    <xf numFmtId="0" fontId="81" fillId="10" borderId="6" xfId="0" applyFont="1" applyFill="1" applyBorder="1" applyAlignment="1">
      <alignment horizontal="left" vertical="center" wrapText="1"/>
    </xf>
    <xf numFmtId="0" fontId="50" fillId="10" borderId="55" xfId="0" applyFont="1" applyFill="1" applyBorder="1" applyAlignment="1">
      <alignment horizontal="left" vertical="center" wrapText="1"/>
    </xf>
    <xf numFmtId="0" fontId="50" fillId="10" borderId="64" xfId="0" applyFont="1" applyFill="1" applyBorder="1" applyAlignment="1">
      <alignment horizontal="left" vertical="center" wrapText="1"/>
    </xf>
    <xf numFmtId="0" fontId="50" fillId="10" borderId="6" xfId="0" applyFont="1" applyFill="1" applyBorder="1" applyAlignment="1">
      <alignment horizontal="left" vertical="center" wrapText="1"/>
    </xf>
    <xf numFmtId="0" fontId="71" fillId="10" borderId="2" xfId="0" applyFont="1" applyFill="1" applyBorder="1" applyAlignment="1">
      <alignment horizontal="left" vertical="center" wrapText="1"/>
    </xf>
    <xf numFmtId="0" fontId="73" fillId="10" borderId="2" xfId="0" applyFont="1" applyFill="1" applyBorder="1" applyAlignment="1">
      <alignment horizontal="center" vertical="center" wrapText="1"/>
    </xf>
    <xf numFmtId="0" fontId="73" fillId="10" borderId="32" xfId="0" applyFont="1" applyFill="1" applyBorder="1" applyAlignment="1">
      <alignment horizontal="center" vertical="center" wrapText="1"/>
    </xf>
    <xf numFmtId="0" fontId="71" fillId="10" borderId="5" xfId="0" applyFont="1" applyFill="1" applyBorder="1" applyAlignment="1">
      <alignment horizontal="left" vertical="center" wrapText="1"/>
    </xf>
    <xf numFmtId="0" fontId="73" fillId="10" borderId="2" xfId="0" applyFont="1" applyFill="1" applyBorder="1" applyAlignment="1">
      <alignment horizontal="left" vertical="center" wrapText="1"/>
    </xf>
    <xf numFmtId="0" fontId="81" fillId="10" borderId="35" xfId="0" applyFont="1" applyFill="1" applyBorder="1" applyAlignment="1">
      <alignment horizontal="left" vertical="center" wrapText="1"/>
    </xf>
    <xf numFmtId="0" fontId="74" fillId="10" borderId="52" xfId="6" applyFont="1" applyFill="1" applyBorder="1" applyAlignment="1">
      <alignment horizontal="left" vertical="center" wrapText="1"/>
    </xf>
    <xf numFmtId="0" fontId="74" fillId="10" borderId="77" xfId="6" applyFont="1" applyFill="1" applyBorder="1" applyAlignment="1">
      <alignment horizontal="left" vertical="center" wrapText="1"/>
    </xf>
    <xf numFmtId="0" fontId="74" fillId="10" borderId="40" xfId="6" applyFont="1" applyFill="1" applyBorder="1" applyAlignment="1">
      <alignment horizontal="left" vertical="center" wrapText="1"/>
    </xf>
    <xf numFmtId="0" fontId="74" fillId="10" borderId="61" xfId="6" applyFont="1" applyFill="1" applyBorder="1" applyAlignment="1">
      <alignment horizontal="left" vertical="center" wrapText="1"/>
    </xf>
    <xf numFmtId="0" fontId="74" fillId="10" borderId="75" xfId="6" applyFont="1" applyFill="1" applyBorder="1" applyAlignment="1">
      <alignment horizontal="left" vertical="center" wrapText="1"/>
    </xf>
    <xf numFmtId="0" fontId="74" fillId="10" borderId="76" xfId="6" applyFont="1" applyFill="1" applyBorder="1" applyAlignment="1">
      <alignment horizontal="left" vertical="center" wrapText="1"/>
    </xf>
    <xf numFmtId="0" fontId="50" fillId="10" borderId="61" xfId="0" applyFont="1" applyFill="1" applyBorder="1" applyAlignment="1">
      <alignment horizontal="left" vertical="center" wrapText="1"/>
    </xf>
    <xf numFmtId="0" fontId="50" fillId="10" borderId="75" xfId="0" applyFont="1" applyFill="1" applyBorder="1" applyAlignment="1">
      <alignment horizontal="left" vertical="center" wrapText="1"/>
    </xf>
    <xf numFmtId="0" fontId="50" fillId="10" borderId="76" xfId="0" applyFont="1" applyFill="1" applyBorder="1" applyAlignment="1">
      <alignment horizontal="left" vertical="center" wrapText="1"/>
    </xf>
    <xf numFmtId="0" fontId="81" fillId="10" borderId="38" xfId="0" applyFont="1" applyFill="1" applyBorder="1" applyAlignment="1">
      <alignment horizontal="center" vertical="center" wrapText="1"/>
    </xf>
    <xf numFmtId="0" fontId="73" fillId="10" borderId="5" xfId="0" applyFont="1" applyFill="1" applyBorder="1" applyAlignment="1">
      <alignment horizontal="center" vertical="center" wrapText="1"/>
    </xf>
    <xf numFmtId="0" fontId="73" fillId="10" borderId="61" xfId="0" applyFont="1" applyFill="1" applyBorder="1" applyAlignment="1">
      <alignment horizontal="left" vertical="center" wrapText="1"/>
    </xf>
    <xf numFmtId="0" fontId="73" fillId="10" borderId="75" xfId="0" applyFont="1" applyFill="1" applyBorder="1" applyAlignment="1">
      <alignment horizontal="left" vertical="center" wrapText="1"/>
    </xf>
    <xf numFmtId="0" fontId="73" fillId="10" borderId="76" xfId="0" applyFont="1" applyFill="1" applyBorder="1" applyAlignment="1">
      <alignment horizontal="left" vertical="center" wrapText="1"/>
    </xf>
    <xf numFmtId="0" fontId="81" fillId="10" borderId="2" xfId="0" applyFont="1" applyFill="1" applyBorder="1" applyAlignment="1">
      <alignment horizontal="center" vertical="center" wrapText="1"/>
    </xf>
    <xf numFmtId="0" fontId="81" fillId="10" borderId="7" xfId="0" applyFont="1" applyFill="1" applyBorder="1" applyAlignment="1">
      <alignment horizontal="center" vertical="center" wrapText="1"/>
    </xf>
    <xf numFmtId="0" fontId="81" fillId="10" borderId="55" xfId="0" applyFont="1" applyFill="1" applyBorder="1" applyAlignment="1">
      <alignment horizontal="left" vertical="center" wrapText="1"/>
    </xf>
    <xf numFmtId="0" fontId="81" fillId="10" borderId="1" xfId="0" applyFont="1" applyFill="1" applyBorder="1" applyAlignment="1">
      <alignment horizontal="center" vertical="center" wrapTex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 2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7" customWidth="1"/>
    <col min="2" max="16384" width="9.33203125" style="487"/>
  </cols>
  <sheetData>
    <row r="1" spans="1:1" s="486" customFormat="1" ht="15" x14ac:dyDescent="0.25">
      <c r="A1" s="486" t="s">
        <v>448</v>
      </c>
    </row>
    <row r="2" spans="1:1" s="486" customFormat="1" ht="15" x14ac:dyDescent="0.25">
      <c r="A2" s="486" t="s">
        <v>449</v>
      </c>
    </row>
    <row r="3" spans="1:1" s="486" customFormat="1" ht="15" x14ac:dyDescent="0.25">
      <c r="A3" s="486" t="s">
        <v>450</v>
      </c>
    </row>
    <row r="4" spans="1:1" s="486" customFormat="1" ht="15" x14ac:dyDescent="0.25">
      <c r="A4" s="486" t="s">
        <v>451</v>
      </c>
    </row>
    <row r="5" spans="1:1" s="486" customFormat="1" ht="15" x14ac:dyDescent="0.25">
      <c r="A5" s="486" t="s">
        <v>452</v>
      </c>
    </row>
    <row r="6" spans="1:1" s="486" customFormat="1" ht="15" x14ac:dyDescent="0.25">
      <c r="A6" s="486" t="s">
        <v>453</v>
      </c>
    </row>
    <row r="7" spans="1:1" s="486" customFormat="1" ht="15" x14ac:dyDescent="0.25">
      <c r="A7" s="486" t="s">
        <v>454</v>
      </c>
    </row>
    <row r="8" spans="1:1" s="486" customFormat="1" ht="15" x14ac:dyDescent="0.25">
      <c r="A8" s="486" t="s">
        <v>455</v>
      </c>
    </row>
    <row r="9" spans="1:1" s="486" customFormat="1" ht="15" x14ac:dyDescent="0.25">
      <c r="A9" s="486" t="s">
        <v>456</v>
      </c>
    </row>
    <row r="10" spans="1:1" s="486" customFormat="1" ht="15" x14ac:dyDescent="0.25">
      <c r="A10" s="486" t="s">
        <v>457</v>
      </c>
    </row>
    <row r="11" spans="1:1" s="486" customFormat="1" ht="15" x14ac:dyDescent="0.25">
      <c r="A11" s="486" t="s">
        <v>458</v>
      </c>
    </row>
    <row r="12" spans="1:1" s="486" customFormat="1" ht="15" x14ac:dyDescent="0.25">
      <c r="A12" s="486" t="s">
        <v>459</v>
      </c>
    </row>
    <row r="13" spans="1:1" s="486" customFormat="1" ht="15" x14ac:dyDescent="0.25">
      <c r="A13" s="486" t="s">
        <v>460</v>
      </c>
    </row>
    <row r="14" spans="1:1" s="486" customFormat="1" ht="15" x14ac:dyDescent="0.25">
      <c r="A14" s="486" t="s">
        <v>461</v>
      </c>
    </row>
    <row r="15" spans="1:1" s="486" customFormat="1" ht="15" x14ac:dyDescent="0.25">
      <c r="A15" s="486" t="s">
        <v>462</v>
      </c>
    </row>
    <row r="16" spans="1:1" s="486" customFormat="1" ht="15" x14ac:dyDescent="0.25">
      <c r="A16" s="486" t="s">
        <v>463</v>
      </c>
    </row>
    <row r="17" spans="1:1" s="486" customFormat="1" ht="15" x14ac:dyDescent="0.25">
      <c r="A17" s="486" t="s">
        <v>464</v>
      </c>
    </row>
    <row r="18" spans="1:1" s="486" customFormat="1" ht="15" x14ac:dyDescent="0.25">
      <c r="A18" s="486" t="s">
        <v>465</v>
      </c>
    </row>
    <row r="19" spans="1:1" s="486" customFormat="1" ht="15" x14ac:dyDescent="0.25">
      <c r="A19" s="486" t="s">
        <v>466</v>
      </c>
    </row>
    <row r="20" spans="1:1" s="486" customFormat="1" ht="15" x14ac:dyDescent="0.25">
      <c r="A20" s="486" t="s">
        <v>467</v>
      </c>
    </row>
    <row r="21" spans="1:1" s="486" customFormat="1" ht="15" x14ac:dyDescent="0.25">
      <c r="A21" s="486" t="s">
        <v>468</v>
      </c>
    </row>
    <row r="22" spans="1:1" s="486" customFormat="1" ht="15" x14ac:dyDescent="0.25">
      <c r="A22" s="486" t="s">
        <v>469</v>
      </c>
    </row>
    <row r="23" spans="1:1" s="486" customFormat="1" ht="15" x14ac:dyDescent="0.25">
      <c r="A23" s="486" t="s">
        <v>470</v>
      </c>
    </row>
    <row r="24" spans="1:1" s="486" customFormat="1" ht="15" x14ac:dyDescent="0.25">
      <c r="A24" s="486" t="s">
        <v>471</v>
      </c>
    </row>
    <row r="25" spans="1:1" s="486" customFormat="1" ht="15" x14ac:dyDescent="0.25">
      <c r="A25" s="486" t="s">
        <v>472</v>
      </c>
    </row>
    <row r="26" spans="1:1" s="486" customFormat="1" ht="15" x14ac:dyDescent="0.25">
      <c r="A26" s="486" t="s">
        <v>473</v>
      </c>
    </row>
    <row r="27" spans="1:1" s="486" customFormat="1" ht="15" x14ac:dyDescent="0.25">
      <c r="A27" s="486" t="s">
        <v>474</v>
      </c>
    </row>
    <row r="28" spans="1:1" s="486" customFormat="1" ht="15" x14ac:dyDescent="0.25">
      <c r="A28" s="486" t="s">
        <v>475</v>
      </c>
    </row>
    <row r="29" spans="1:1" s="486" customFormat="1" ht="15" x14ac:dyDescent="0.25">
      <c r="A29" s="486" t="s">
        <v>476</v>
      </c>
    </row>
    <row r="30" spans="1:1" s="486" customFormat="1" ht="15" x14ac:dyDescent="0.25">
      <c r="A30" s="486" t="s">
        <v>477</v>
      </c>
    </row>
    <row r="31" spans="1:1" s="486" customFormat="1" ht="15" x14ac:dyDescent="0.25">
      <c r="A31" s="486" t="s">
        <v>478</v>
      </c>
    </row>
    <row r="32" spans="1:1" s="486" customFormat="1" ht="15" x14ac:dyDescent="0.25">
      <c r="A32" s="486" t="s">
        <v>479</v>
      </c>
    </row>
    <row r="33" spans="1:1" s="486" customFormat="1" ht="15" x14ac:dyDescent="0.25">
      <c r="A33" s="486" t="s">
        <v>480</v>
      </c>
    </row>
    <row r="34" spans="1:1" s="486" customFormat="1" ht="15" x14ac:dyDescent="0.25">
      <c r="A34" s="486" t="s">
        <v>481</v>
      </c>
    </row>
    <row r="35" spans="1:1" s="486" customFormat="1" ht="15" x14ac:dyDescent="0.25">
      <c r="A35" s="486" t="s">
        <v>482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43" t="s">
        <v>99</v>
      </c>
      <c r="E1" s="146" t="s">
        <v>106</v>
      </c>
    </row>
    <row r="3" spans="1:5" x14ac:dyDescent="0.2">
      <c r="A3" s="152"/>
      <c r="B3" s="153"/>
      <c r="C3" s="152"/>
      <c r="D3" s="155"/>
      <c r="E3" s="153"/>
    </row>
    <row r="4" spans="1:5" ht="15.75" x14ac:dyDescent="0.25">
      <c r="A4" s="106" t="s">
        <v>429</v>
      </c>
      <c r="B4" s="154"/>
      <c r="C4" s="163"/>
      <c r="D4" s="155"/>
      <c r="E4" s="153"/>
    </row>
    <row r="5" spans="1:5" x14ac:dyDescent="0.2">
      <c r="A5" s="152"/>
      <c r="B5" s="153"/>
      <c r="C5" s="152"/>
      <c r="D5" s="155"/>
      <c r="E5" s="153"/>
    </row>
    <row r="6" spans="1:5" x14ac:dyDescent="0.2">
      <c r="A6" s="152" t="s">
        <v>197</v>
      </c>
      <c r="B6" s="153">
        <f>+'1.1.sz.mell.'!C51</f>
        <v>691031</v>
      </c>
      <c r="C6" s="152" t="s">
        <v>436</v>
      </c>
      <c r="D6" s="155">
        <f>+'2.1.sz.mell  '!C18+'2.2.sz.mell  '!C18</f>
        <v>691031</v>
      </c>
      <c r="E6" s="153">
        <f t="shared" ref="E6:E15" si="0">+B6-D6</f>
        <v>0</v>
      </c>
    </row>
    <row r="7" spans="1:5" x14ac:dyDescent="0.2">
      <c r="A7" s="152" t="s">
        <v>100</v>
      </c>
      <c r="B7" s="153">
        <f>+'1.1.sz.mell.'!C65</f>
        <v>834874</v>
      </c>
      <c r="C7" s="152" t="s">
        <v>437</v>
      </c>
      <c r="D7" s="155">
        <f>+'2.1.sz.mell  '!C28+'2.2.sz.mell  '!C32</f>
        <v>834874</v>
      </c>
      <c r="E7" s="153">
        <f t="shared" si="0"/>
        <v>0</v>
      </c>
    </row>
    <row r="8" spans="1:5" x14ac:dyDescent="0.2">
      <c r="A8" s="152" t="s">
        <v>427</v>
      </c>
      <c r="B8" s="153">
        <f>+'1.1.sz.mell.'!C67</f>
        <v>834929</v>
      </c>
      <c r="C8" s="152" t="s">
        <v>438</v>
      </c>
      <c r="D8" s="155">
        <f>+'2.1.sz.mell  '!C30+'2.2.sz.mell  '!C34</f>
        <v>834929</v>
      </c>
      <c r="E8" s="153">
        <f t="shared" si="0"/>
        <v>0</v>
      </c>
    </row>
    <row r="9" spans="1:5" x14ac:dyDescent="0.2">
      <c r="A9" s="152"/>
      <c r="B9" s="153"/>
      <c r="C9" s="152"/>
      <c r="D9" s="155"/>
      <c r="E9" s="153"/>
    </row>
    <row r="10" spans="1:5" x14ac:dyDescent="0.2">
      <c r="A10" s="152"/>
      <c r="B10" s="153"/>
      <c r="C10" s="152"/>
      <c r="D10" s="155"/>
      <c r="E10" s="153"/>
    </row>
    <row r="11" spans="1:5" ht="15.75" x14ac:dyDescent="0.25">
      <c r="A11" s="106" t="s">
        <v>430</v>
      </c>
      <c r="B11" s="154"/>
      <c r="C11" s="163"/>
      <c r="D11" s="155"/>
      <c r="E11" s="153"/>
    </row>
    <row r="12" spans="1:5" x14ac:dyDescent="0.2">
      <c r="A12" s="152"/>
      <c r="B12" s="153"/>
      <c r="C12" s="152"/>
      <c r="D12" s="155"/>
      <c r="E12" s="153"/>
    </row>
    <row r="13" spans="1:5" x14ac:dyDescent="0.2">
      <c r="A13" s="152" t="s">
        <v>124</v>
      </c>
      <c r="B13" s="153">
        <f>+'1.1.sz.mell.'!C101</f>
        <v>484391</v>
      </c>
      <c r="C13" s="152" t="s">
        <v>439</v>
      </c>
      <c r="D13" s="155">
        <f>+'2.1.sz.mell  '!K18+'2.2.sz.mell  '!K18</f>
        <v>484391</v>
      </c>
      <c r="E13" s="153">
        <f t="shared" si="0"/>
        <v>0</v>
      </c>
    </row>
    <row r="14" spans="1:5" x14ac:dyDescent="0.2">
      <c r="A14" s="152" t="s">
        <v>101</v>
      </c>
      <c r="B14" s="153">
        <f>+'1.1.sz.mell.'!C120</f>
        <v>718552</v>
      </c>
      <c r="C14" s="152" t="s">
        <v>440</v>
      </c>
      <c r="D14" s="155">
        <f>+'2.1.sz.mell  '!K28+'2.2.sz.mell  '!K32</f>
        <v>718552</v>
      </c>
      <c r="E14" s="153">
        <f t="shared" si="0"/>
        <v>0</v>
      </c>
    </row>
    <row r="15" spans="1:5" x14ac:dyDescent="0.2">
      <c r="A15" s="152" t="s">
        <v>428</v>
      </c>
      <c r="B15" s="153">
        <f>+'1.1.sz.mell.'!C122</f>
        <v>710342</v>
      </c>
      <c r="C15" s="152" t="s">
        <v>441</v>
      </c>
      <c r="D15" s="155">
        <f>+'2.1.sz.mell  '!K30+'2.2.sz.mell  '!K34</f>
        <v>710342</v>
      </c>
      <c r="E15" s="153">
        <f t="shared" si="0"/>
        <v>0</v>
      </c>
    </row>
    <row r="16" spans="1:5" x14ac:dyDescent="0.2">
      <c r="A16" s="144"/>
      <c r="B16" s="144"/>
      <c r="C16" s="152"/>
      <c r="D16" s="155"/>
      <c r="E16" s="145"/>
    </row>
    <row r="17" spans="1:5" x14ac:dyDescent="0.2">
      <c r="A17" s="144"/>
      <c r="B17" s="144"/>
      <c r="C17" s="144"/>
      <c r="D17" s="144"/>
      <c r="E17" s="144"/>
    </row>
    <row r="18" spans="1:5" x14ac:dyDescent="0.2">
      <c r="A18" s="144"/>
      <c r="B18" s="144"/>
      <c r="C18" s="144"/>
      <c r="D18" s="144"/>
      <c r="E18" s="144"/>
    </row>
    <row r="19" spans="1:5" x14ac:dyDescent="0.2">
      <c r="A19" s="144"/>
      <c r="B19" s="144"/>
      <c r="C19" s="144"/>
      <c r="D19" s="144"/>
      <c r="E19" s="14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"/>
  <sheetViews>
    <sheetView view="pageLayout" zoomScaleNormal="120" workbookViewId="0">
      <selection activeCell="T43" sqref="T43"/>
    </sheetView>
  </sheetViews>
  <sheetFormatPr defaultColWidth="9.33203125" defaultRowHeight="15" x14ac:dyDescent="0.25"/>
  <cols>
    <col min="1" max="1" width="5.6640625" style="166" customWidth="1"/>
    <col min="2" max="2" width="43.1640625" style="166" bestFit="1" customWidth="1"/>
    <col min="3" max="6" width="14" style="166" customWidth="1"/>
    <col min="7" max="16384" width="9.33203125" style="166"/>
  </cols>
  <sheetData>
    <row r="1" spans="1:7" ht="33" customHeight="1" x14ac:dyDescent="0.25">
      <c r="A1" s="1522" t="s">
        <v>895</v>
      </c>
      <c r="B1" s="1522"/>
      <c r="C1" s="1522"/>
      <c r="D1" s="1522"/>
      <c r="E1" s="1522"/>
      <c r="F1" s="1522"/>
    </row>
    <row r="2" spans="1:7" ht="15.95" customHeight="1" thickBot="1" x14ac:dyDescent="0.3">
      <c r="A2" s="167"/>
      <c r="B2" s="167"/>
      <c r="C2" s="1523"/>
      <c r="D2" s="1523"/>
      <c r="E2" s="1530" t="s">
        <v>1008</v>
      </c>
      <c r="F2" s="1530"/>
      <c r="G2" s="174"/>
    </row>
    <row r="3" spans="1:7" ht="63" customHeight="1" x14ac:dyDescent="0.25">
      <c r="A3" s="1526" t="s">
        <v>967</v>
      </c>
      <c r="B3" s="1528" t="s">
        <v>201</v>
      </c>
      <c r="C3" s="1528" t="s">
        <v>431</v>
      </c>
      <c r="D3" s="1528"/>
      <c r="E3" s="1528"/>
      <c r="F3" s="1524" t="s">
        <v>376</v>
      </c>
    </row>
    <row r="4" spans="1:7" ht="15.75" thickBot="1" x14ac:dyDescent="0.3">
      <c r="A4" s="1527"/>
      <c r="B4" s="1529"/>
      <c r="C4" s="169" t="s">
        <v>202</v>
      </c>
      <c r="D4" s="169" t="s">
        <v>374</v>
      </c>
      <c r="E4" s="169" t="s">
        <v>375</v>
      </c>
      <c r="F4" s="1525"/>
    </row>
    <row r="5" spans="1:7" ht="15.75" thickBot="1" x14ac:dyDescent="0.3">
      <c r="A5" s="171">
        <v>1</v>
      </c>
      <c r="B5" s="172">
        <v>2</v>
      </c>
      <c r="C5" s="172">
        <v>3</v>
      </c>
      <c r="D5" s="172">
        <v>4</v>
      </c>
      <c r="E5" s="172">
        <v>5</v>
      </c>
      <c r="F5" s="173">
        <v>6</v>
      </c>
    </row>
    <row r="6" spans="1:7" x14ac:dyDescent="0.25">
      <c r="A6" s="170" t="s">
        <v>969</v>
      </c>
      <c r="B6" s="197"/>
      <c r="C6" s="198"/>
      <c r="D6" s="198"/>
      <c r="E6" s="198"/>
      <c r="F6" s="177">
        <f>SUM(C6:E6)</f>
        <v>0</v>
      </c>
    </row>
    <row r="7" spans="1:7" x14ac:dyDescent="0.25">
      <c r="A7" s="168" t="s">
        <v>970</v>
      </c>
      <c r="B7" s="199"/>
      <c r="C7" s="200"/>
      <c r="D7" s="200"/>
      <c r="E7" s="200"/>
      <c r="F7" s="178">
        <f>SUM(C7:E7)</f>
        <v>0</v>
      </c>
    </row>
    <row r="8" spans="1:7" x14ac:dyDescent="0.25">
      <c r="A8" s="168" t="s">
        <v>971</v>
      </c>
      <c r="B8" s="199"/>
      <c r="C8" s="200"/>
      <c r="D8" s="200"/>
      <c r="E8" s="200"/>
      <c r="F8" s="178">
        <f>SUM(C8:E8)</f>
        <v>0</v>
      </c>
    </row>
    <row r="9" spans="1:7" x14ac:dyDescent="0.25">
      <c r="A9" s="168" t="s">
        <v>972</v>
      </c>
      <c r="B9" s="199"/>
      <c r="C9" s="200"/>
      <c r="D9" s="200"/>
      <c r="E9" s="200"/>
      <c r="F9" s="178">
        <f>SUM(C9:E9)</f>
        <v>0</v>
      </c>
    </row>
    <row r="10" spans="1:7" ht="15.75" thickBot="1" x14ac:dyDescent="0.3">
      <c r="A10" s="175" t="s">
        <v>973</v>
      </c>
      <c r="B10" s="201"/>
      <c r="C10" s="202"/>
      <c r="D10" s="202"/>
      <c r="E10" s="202"/>
      <c r="F10" s="178">
        <f>SUM(C10:E10)</f>
        <v>0</v>
      </c>
    </row>
    <row r="11" spans="1:7" ht="15.75" thickBot="1" x14ac:dyDescent="0.3">
      <c r="A11" s="171" t="s">
        <v>974</v>
      </c>
      <c r="B11" s="176" t="s">
        <v>203</v>
      </c>
      <c r="C11" s="179">
        <f>SUM(C6:C10)</f>
        <v>0</v>
      </c>
      <c r="D11" s="179">
        <f>SUM(D6:D10)</f>
        <v>0</v>
      </c>
      <c r="E11" s="179">
        <f>SUM(E6:E10)</f>
        <v>0</v>
      </c>
      <c r="F11" s="180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3/2015. (II.20.)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12"/>
  <sheetViews>
    <sheetView view="pageLayout" zoomScaleNormal="120" zoomScaleSheetLayoutView="100" workbookViewId="0">
      <selection activeCell="I12" sqref="I12"/>
    </sheetView>
  </sheetViews>
  <sheetFormatPr defaultColWidth="9.33203125" defaultRowHeight="15" x14ac:dyDescent="0.25"/>
  <cols>
    <col min="1" max="1" width="5.6640625" style="166" customWidth="1"/>
    <col min="2" max="2" width="68.6640625" style="166" customWidth="1"/>
    <col min="3" max="4" width="11.5" style="166" customWidth="1"/>
    <col min="5" max="5" width="11.5" style="166" hidden="1" customWidth="1"/>
    <col min="6" max="6" width="11.1640625" style="166" bestFit="1" customWidth="1"/>
    <col min="7" max="7" width="11.5" style="166" customWidth="1"/>
    <col min="8" max="16384" width="9.33203125" style="166"/>
  </cols>
  <sheetData>
    <row r="1" spans="1:7" ht="33" customHeight="1" x14ac:dyDescent="0.25">
      <c r="A1" s="1522" t="s">
        <v>605</v>
      </c>
      <c r="B1" s="1522"/>
      <c r="C1" s="1522"/>
      <c r="D1" s="1522"/>
      <c r="E1" s="1522"/>
      <c r="F1" s="1522"/>
      <c r="G1" s="1522"/>
    </row>
    <row r="2" spans="1:7" ht="15.95" customHeight="1" thickBot="1" x14ac:dyDescent="0.3">
      <c r="A2" s="167"/>
      <c r="B2" s="167"/>
      <c r="C2" s="181"/>
      <c r="D2" s="181"/>
      <c r="E2" s="181"/>
      <c r="F2" s="181"/>
      <c r="G2" s="181" t="s">
        <v>1008</v>
      </c>
    </row>
    <row r="3" spans="1:7" ht="36.75" customHeight="1" thickBot="1" x14ac:dyDescent="0.3">
      <c r="A3" s="203" t="s">
        <v>967</v>
      </c>
      <c r="B3" s="500" t="s">
        <v>198</v>
      </c>
      <c r="C3" s="797" t="s">
        <v>1040</v>
      </c>
      <c r="D3" s="797" t="s">
        <v>1191</v>
      </c>
      <c r="E3" s="922"/>
      <c r="F3" s="791" t="s">
        <v>1140</v>
      </c>
      <c r="G3" s="792" t="s">
        <v>1141</v>
      </c>
    </row>
    <row r="4" spans="1:7" ht="15.75" thickBot="1" x14ac:dyDescent="0.3">
      <c r="A4" s="204">
        <v>1</v>
      </c>
      <c r="B4" s="501">
        <v>2</v>
      </c>
      <c r="C4" s="204">
        <v>3</v>
      </c>
      <c r="D4" s="923">
        <v>4</v>
      </c>
      <c r="E4" s="923"/>
      <c r="F4" s="205">
        <v>5</v>
      </c>
      <c r="G4" s="206">
        <v>6</v>
      </c>
    </row>
    <row r="5" spans="1:7" x14ac:dyDescent="0.25">
      <c r="A5" s="207" t="s">
        <v>969</v>
      </c>
      <c r="B5" s="793" t="s">
        <v>1013</v>
      </c>
      <c r="C5" s="798">
        <v>87700</v>
      </c>
      <c r="D5" s="799">
        <v>76570</v>
      </c>
      <c r="E5" s="924"/>
      <c r="F5" s="799">
        <v>87700</v>
      </c>
      <c r="G5" s="800">
        <v>87700</v>
      </c>
    </row>
    <row r="6" spans="1:7" ht="24.75" x14ac:dyDescent="0.25">
      <c r="A6" s="208" t="s">
        <v>970</v>
      </c>
      <c r="B6" s="794" t="s">
        <v>377</v>
      </c>
      <c r="C6" s="801">
        <v>414</v>
      </c>
      <c r="D6" s="802">
        <v>414</v>
      </c>
      <c r="E6" s="925"/>
      <c r="F6" s="802">
        <v>414</v>
      </c>
      <c r="G6" s="803">
        <f>'1.1.sz.mell.'!E48</f>
        <v>414</v>
      </c>
    </row>
    <row r="7" spans="1:7" x14ac:dyDescent="0.25">
      <c r="A7" s="208" t="s">
        <v>971</v>
      </c>
      <c r="B7" s="795" t="s">
        <v>204</v>
      </c>
      <c r="C7" s="801">
        <v>2816</v>
      </c>
      <c r="D7" s="804">
        <v>2500</v>
      </c>
      <c r="E7" s="925"/>
      <c r="F7" s="804"/>
      <c r="G7" s="803"/>
    </row>
    <row r="8" spans="1:7" ht="24.75" x14ac:dyDescent="0.25">
      <c r="A8" s="208" t="s">
        <v>972</v>
      </c>
      <c r="B8" s="795" t="s">
        <v>379</v>
      </c>
      <c r="C8" s="801">
        <v>0</v>
      </c>
      <c r="D8" s="804"/>
      <c r="E8" s="925"/>
      <c r="F8" s="804"/>
      <c r="G8" s="803">
        <f>'1.1.sz.mell.'!C47</f>
        <v>0</v>
      </c>
    </row>
    <row r="9" spans="1:7" x14ac:dyDescent="0.25">
      <c r="A9" s="209" t="s">
        <v>973</v>
      </c>
      <c r="B9" s="795" t="s">
        <v>378</v>
      </c>
      <c r="C9" s="801">
        <v>0</v>
      </c>
      <c r="D9" s="804"/>
      <c r="E9" s="925"/>
      <c r="F9" s="804"/>
      <c r="G9" s="803">
        <v>0</v>
      </c>
    </row>
    <row r="10" spans="1:7" ht="15.75" thickBot="1" x14ac:dyDescent="0.3">
      <c r="A10" s="208" t="s">
        <v>974</v>
      </c>
      <c r="B10" s="796" t="s">
        <v>199</v>
      </c>
      <c r="C10" s="805">
        <v>0</v>
      </c>
      <c r="D10" s="806"/>
      <c r="E10" s="926"/>
      <c r="F10" s="806"/>
      <c r="G10" s="807">
        <v>0</v>
      </c>
    </row>
    <row r="11" spans="1:7" ht="15.75" thickBot="1" x14ac:dyDescent="0.3">
      <c r="A11" s="1531" t="s">
        <v>205</v>
      </c>
      <c r="B11" s="1532"/>
      <c r="C11" s="808">
        <f>SUM(C5:C10)</f>
        <v>90930</v>
      </c>
      <c r="D11" s="808">
        <f t="shared" ref="D11:G11" si="0">SUM(D5:D10)</f>
        <v>79484</v>
      </c>
      <c r="E11" s="808">
        <f t="shared" si="0"/>
        <v>0</v>
      </c>
      <c r="F11" s="808">
        <f t="shared" si="0"/>
        <v>88114</v>
      </c>
      <c r="G11" s="808">
        <f t="shared" si="0"/>
        <v>88114</v>
      </c>
    </row>
    <row r="12" spans="1:7" ht="27" customHeight="1" x14ac:dyDescent="0.25">
      <c r="A12" s="1533" t="s">
        <v>242</v>
      </c>
      <c r="B12" s="1533"/>
      <c r="C12" s="1533"/>
      <c r="D12" s="1533"/>
      <c r="E12" s="1533"/>
      <c r="F12" s="1533"/>
      <c r="G12" s="1533"/>
    </row>
  </sheetData>
  <mergeCells count="3">
    <mergeCell ref="A11:B11"/>
    <mergeCell ref="A1:G1"/>
    <mergeCell ref="A12:G12"/>
  </mergeCells>
  <phoneticPr fontId="3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92" orientation="portrait" r:id="rId1"/>
  <headerFooter alignWithMargins="0">
    <oddHeader>&amp;R&amp;"Times New Roman CE,Félkövér dőlt"&amp;11 &amp;"Times New Roman CE,Félkövér"4. melléklet a 3/2015. (II.20.)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I31"/>
  <sheetViews>
    <sheetView view="pageLayout" zoomScaleNormal="120" zoomScaleSheetLayoutView="100" workbookViewId="0">
      <selection activeCell="P11" sqref="P11"/>
    </sheetView>
  </sheetViews>
  <sheetFormatPr defaultColWidth="9.33203125" defaultRowHeight="15" x14ac:dyDescent="0.25"/>
  <cols>
    <col min="1" max="1" width="5.6640625" style="166" customWidth="1"/>
    <col min="2" max="2" width="32.83203125" style="1211" customWidth="1"/>
    <col min="3" max="4" width="13.1640625" style="1" hidden="1" customWidth="1"/>
    <col min="5" max="5" width="11.1640625" style="763" bestFit="1" customWidth="1"/>
    <col min="6" max="6" width="10.33203125" style="763" bestFit="1" customWidth="1"/>
    <col min="7" max="7" width="9.6640625" style="763" bestFit="1" customWidth="1"/>
    <col min="8" max="8" width="13.1640625" style="763" customWidth="1"/>
    <col min="9" max="9" width="11.1640625" style="763" bestFit="1" customWidth="1"/>
    <col min="10" max="11" width="13.33203125" style="1" hidden="1" customWidth="1"/>
    <col min="12" max="12" width="13.33203125" style="1" customWidth="1"/>
    <col min="13" max="13" width="10.33203125" style="1" bestFit="1" customWidth="1"/>
    <col min="14" max="14" width="9.6640625" style="1" bestFit="1" customWidth="1"/>
    <col min="15" max="15" width="10.33203125" style="1" customWidth="1"/>
    <col min="16" max="16" width="13.33203125" style="1" customWidth="1"/>
    <col min="17" max="17" width="9.33203125" style="166"/>
    <col min="18" max="18" width="10.83203125" style="166" bestFit="1" customWidth="1"/>
    <col min="19" max="16384" width="9.33203125" style="166"/>
  </cols>
  <sheetData>
    <row r="1" spans="1:35" x14ac:dyDescent="0.25">
      <c r="A1" s="1522" t="s">
        <v>1045</v>
      </c>
      <c r="B1" s="1522"/>
      <c r="C1" s="1522"/>
      <c r="D1" s="1522"/>
      <c r="E1" s="1522"/>
      <c r="F1" s="1522"/>
      <c r="G1" s="1522"/>
      <c r="H1" s="1522"/>
      <c r="I1" s="1522"/>
      <c r="J1" s="1522"/>
      <c r="K1" s="1522"/>
      <c r="L1" s="1522"/>
      <c r="M1" s="1522"/>
      <c r="N1" s="1522"/>
      <c r="O1" s="1522"/>
      <c r="P1" s="1522"/>
    </row>
    <row r="2" spans="1:35" ht="15.75" thickBot="1" x14ac:dyDescent="0.3">
      <c r="A2" s="502"/>
      <c r="B2" s="1205"/>
      <c r="C2" s="701"/>
      <c r="D2" s="701"/>
      <c r="E2" s="759"/>
      <c r="F2" s="759"/>
      <c r="G2" s="759"/>
      <c r="H2" s="759"/>
      <c r="I2" s="759"/>
      <c r="J2" s="701"/>
      <c r="K2" s="701"/>
      <c r="L2" s="701"/>
      <c r="M2" s="701"/>
      <c r="N2" s="701"/>
      <c r="O2" s="701"/>
      <c r="P2" s="701" t="s">
        <v>1008</v>
      </c>
    </row>
    <row r="3" spans="1:35" ht="39" thickBot="1" x14ac:dyDescent="0.3">
      <c r="A3" s="203" t="s">
        <v>967</v>
      </c>
      <c r="B3" s="500" t="s">
        <v>733</v>
      </c>
      <c r="C3" s="702" t="s">
        <v>1041</v>
      </c>
      <c r="D3" s="571" t="s">
        <v>1065</v>
      </c>
      <c r="E3" s="974" t="s">
        <v>1042</v>
      </c>
      <c r="F3" s="821" t="s">
        <v>1146</v>
      </c>
      <c r="G3" s="821" t="s">
        <v>1189</v>
      </c>
      <c r="H3" s="898" t="s">
        <v>1190</v>
      </c>
      <c r="I3" s="821" t="s">
        <v>1149</v>
      </c>
      <c r="J3" s="702" t="s">
        <v>1043</v>
      </c>
      <c r="K3" s="570" t="s">
        <v>1066</v>
      </c>
      <c r="L3" s="832" t="s">
        <v>1044</v>
      </c>
      <c r="M3" s="833" t="s">
        <v>1146</v>
      </c>
      <c r="N3" s="833" t="s">
        <v>1189</v>
      </c>
      <c r="O3" s="898" t="s">
        <v>1190</v>
      </c>
      <c r="P3" s="1483" t="s">
        <v>1150</v>
      </c>
    </row>
    <row r="4" spans="1:35" ht="15.75" thickBot="1" x14ac:dyDescent="0.3">
      <c r="A4" s="204">
        <v>1</v>
      </c>
      <c r="B4" s="1206">
        <v>2</v>
      </c>
      <c r="C4" s="703">
        <v>3</v>
      </c>
      <c r="D4" s="704">
        <v>4</v>
      </c>
      <c r="E4" s="817">
        <v>3</v>
      </c>
      <c r="F4" s="822">
        <v>4</v>
      </c>
      <c r="G4" s="822">
        <v>5</v>
      </c>
      <c r="H4" s="822"/>
      <c r="I4" s="822">
        <v>6</v>
      </c>
      <c r="J4" s="703">
        <v>6</v>
      </c>
      <c r="K4" s="704">
        <v>7</v>
      </c>
      <c r="L4" s="713">
        <v>7</v>
      </c>
      <c r="M4" s="834">
        <v>8</v>
      </c>
      <c r="N4" s="834">
        <v>9</v>
      </c>
      <c r="O4" s="919"/>
      <c r="P4" s="828">
        <v>10</v>
      </c>
    </row>
    <row r="5" spans="1:35" x14ac:dyDescent="0.25">
      <c r="A5" s="207" t="s">
        <v>969</v>
      </c>
      <c r="B5" s="1207" t="s">
        <v>727</v>
      </c>
      <c r="C5" s="705">
        <v>1955</v>
      </c>
      <c r="D5" s="706">
        <v>2235</v>
      </c>
      <c r="E5" s="818">
        <v>2235</v>
      </c>
      <c r="F5" s="823"/>
      <c r="G5" s="823">
        <v>739</v>
      </c>
      <c r="H5" s="823">
        <v>555</v>
      </c>
      <c r="I5" s="1484">
        <f>E5+F5+G5+H5</f>
        <v>3529</v>
      </c>
      <c r="J5" s="705">
        <f>C5*0.9</f>
        <v>1759.5</v>
      </c>
      <c r="K5" s="706">
        <f>D5*0.9</f>
        <v>2011.5</v>
      </c>
      <c r="L5" s="714">
        <f>E5*0.9</f>
        <v>2011.5</v>
      </c>
      <c r="M5" s="835">
        <f>F5*0.9</f>
        <v>0</v>
      </c>
      <c r="N5" s="835">
        <f>2452-2012</f>
        <v>440</v>
      </c>
      <c r="O5" s="835">
        <v>555</v>
      </c>
      <c r="P5" s="1487">
        <f>L5+M5+N5+O5</f>
        <v>3006.5</v>
      </c>
      <c r="R5" s="986"/>
    </row>
    <row r="6" spans="1:35" x14ac:dyDescent="0.25">
      <c r="A6" s="208" t="s">
        <v>970</v>
      </c>
      <c r="B6" s="1208" t="s">
        <v>735</v>
      </c>
      <c r="C6" s="707">
        <v>8182</v>
      </c>
      <c r="D6" s="708">
        <v>7190</v>
      </c>
      <c r="E6" s="819">
        <v>7190</v>
      </c>
      <c r="F6" s="824"/>
      <c r="G6" s="824">
        <f>-2673/90*100</f>
        <v>-2970</v>
      </c>
      <c r="H6" s="824">
        <v>398</v>
      </c>
      <c r="I6" s="1485">
        <f t="shared" ref="I6:I13" si="0">E6+F6+G6+H6</f>
        <v>4618</v>
      </c>
      <c r="J6" s="707">
        <f>C6*0.8</f>
        <v>6545.6</v>
      </c>
      <c r="K6" s="708">
        <f>D6*0.8</f>
        <v>5752</v>
      </c>
      <c r="L6" s="836">
        <f>E6*0.8+1</f>
        <v>5753</v>
      </c>
      <c r="M6" s="198">
        <f t="shared" ref="M6:M7" si="1">F6*0.9</f>
        <v>0</v>
      </c>
      <c r="N6" s="198">
        <f>3080-5753</f>
        <v>-2673</v>
      </c>
      <c r="O6" s="198">
        <v>398</v>
      </c>
      <c r="P6" s="1488">
        <f t="shared" ref="P6:P13" si="2">L6+M6+N6+O6</f>
        <v>3478</v>
      </c>
      <c r="R6" s="986"/>
    </row>
    <row r="7" spans="1:35" x14ac:dyDescent="0.25">
      <c r="A7" s="209" t="s">
        <v>971</v>
      </c>
      <c r="B7" s="1209" t="s">
        <v>736</v>
      </c>
      <c r="C7" s="709">
        <v>3117</v>
      </c>
      <c r="D7" s="710">
        <v>2238</v>
      </c>
      <c r="E7" s="820">
        <v>2238</v>
      </c>
      <c r="F7" s="825"/>
      <c r="G7" s="825">
        <f>-15/90*100</f>
        <v>-16.666666666666664</v>
      </c>
      <c r="H7" s="825">
        <v>401</v>
      </c>
      <c r="I7" s="1485">
        <f t="shared" si="0"/>
        <v>2622.3333333333335</v>
      </c>
      <c r="J7" s="709">
        <f>C7*0.9</f>
        <v>2805.3</v>
      </c>
      <c r="K7" s="710">
        <f>D7*0.9</f>
        <v>2014.2</v>
      </c>
      <c r="L7" s="715">
        <f>E7*0.9+1</f>
        <v>2015.2</v>
      </c>
      <c r="M7" s="200">
        <f t="shared" si="1"/>
        <v>0</v>
      </c>
      <c r="N7" s="200">
        <v>-15</v>
      </c>
      <c r="O7" s="200">
        <v>401</v>
      </c>
      <c r="P7" s="1489">
        <f t="shared" si="2"/>
        <v>2401.1999999999998</v>
      </c>
      <c r="R7" s="986"/>
    </row>
    <row r="8" spans="1:35" x14ac:dyDescent="0.25">
      <c r="A8" s="209" t="s">
        <v>972</v>
      </c>
      <c r="B8" s="1209" t="s">
        <v>731</v>
      </c>
      <c r="C8" s="709">
        <v>289</v>
      </c>
      <c r="D8" s="710">
        <v>144</v>
      </c>
      <c r="E8" s="820">
        <v>0</v>
      </c>
      <c r="F8" s="825">
        <v>0</v>
      </c>
      <c r="G8" s="825">
        <v>0</v>
      </c>
      <c r="H8" s="825">
        <v>0</v>
      </c>
      <c r="I8" s="1485">
        <f t="shared" si="0"/>
        <v>0</v>
      </c>
      <c r="J8" s="709"/>
      <c r="K8" s="710"/>
      <c r="L8" s="837"/>
      <c r="M8" s="838"/>
      <c r="N8" s="838"/>
      <c r="O8" s="838"/>
      <c r="P8" s="1490">
        <f t="shared" si="2"/>
        <v>0</v>
      </c>
    </row>
    <row r="9" spans="1:35" x14ac:dyDescent="0.25">
      <c r="A9" s="208" t="s">
        <v>973</v>
      </c>
      <c r="B9" s="1209" t="s">
        <v>742</v>
      </c>
      <c r="C9" s="709">
        <v>2488</v>
      </c>
      <c r="D9" s="710">
        <v>2100</v>
      </c>
      <c r="E9" s="820">
        <v>0</v>
      </c>
      <c r="F9" s="825">
        <v>0</v>
      </c>
      <c r="G9" s="825">
        <v>1937</v>
      </c>
      <c r="H9" s="825">
        <v>0</v>
      </c>
      <c r="I9" s="1485">
        <f t="shared" si="0"/>
        <v>1937</v>
      </c>
      <c r="J9" s="709">
        <v>2488</v>
      </c>
      <c r="K9" s="710">
        <v>2100</v>
      </c>
      <c r="L9" s="716"/>
      <c r="M9" s="202"/>
      <c r="N9" s="202">
        <v>1937</v>
      </c>
      <c r="O9" s="202"/>
      <c r="P9" s="1491">
        <f t="shared" si="2"/>
        <v>1937</v>
      </c>
    </row>
    <row r="10" spans="1:35" ht="23.25" x14ac:dyDescent="0.25">
      <c r="A10" s="209" t="s">
        <v>974</v>
      </c>
      <c r="B10" s="1209" t="s">
        <v>728</v>
      </c>
      <c r="C10" s="709">
        <v>133</v>
      </c>
      <c r="D10" s="710"/>
      <c r="E10" s="820">
        <v>0</v>
      </c>
      <c r="F10" s="825">
        <v>0</v>
      </c>
      <c r="G10" s="825">
        <v>0</v>
      </c>
      <c r="H10" s="825">
        <v>0</v>
      </c>
      <c r="I10" s="1485">
        <f t="shared" si="0"/>
        <v>0</v>
      </c>
      <c r="J10" s="709">
        <v>133</v>
      </c>
      <c r="K10" s="710"/>
      <c r="L10" s="716"/>
      <c r="M10" s="202"/>
      <c r="N10" s="202"/>
      <c r="O10" s="202"/>
      <c r="P10" s="1491">
        <f t="shared" si="2"/>
        <v>0</v>
      </c>
    </row>
    <row r="11" spans="1:35" x14ac:dyDescent="0.25">
      <c r="A11" s="209" t="s">
        <v>975</v>
      </c>
      <c r="B11" s="1209" t="s">
        <v>729</v>
      </c>
      <c r="C11" s="709">
        <v>360</v>
      </c>
      <c r="D11" s="710">
        <v>160</v>
      </c>
      <c r="E11" s="820">
        <v>0</v>
      </c>
      <c r="F11" s="825">
        <v>0</v>
      </c>
      <c r="G11" s="825">
        <v>190</v>
      </c>
      <c r="H11" s="825">
        <v>210</v>
      </c>
      <c r="I11" s="1485">
        <f t="shared" si="0"/>
        <v>400</v>
      </c>
      <c r="J11" s="709">
        <v>360</v>
      </c>
      <c r="K11" s="710">
        <v>160</v>
      </c>
      <c r="L11" s="716"/>
      <c r="M11" s="202"/>
      <c r="N11" s="202">
        <v>190</v>
      </c>
      <c r="O11" s="202">
        <v>210</v>
      </c>
      <c r="P11" s="1491">
        <f t="shared" si="2"/>
        <v>400</v>
      </c>
    </row>
    <row r="12" spans="1:35" ht="15.75" thickBot="1" x14ac:dyDescent="0.3">
      <c r="A12" s="208" t="s">
        <v>976</v>
      </c>
      <c r="B12" s="1209"/>
      <c r="C12" s="709"/>
      <c r="D12" s="710"/>
      <c r="E12" s="820"/>
      <c r="F12" s="825"/>
      <c r="G12" s="825"/>
      <c r="H12" s="825"/>
      <c r="I12" s="1486">
        <f t="shared" si="0"/>
        <v>0</v>
      </c>
      <c r="J12" s="709"/>
      <c r="K12" s="710"/>
      <c r="L12" s="716"/>
      <c r="M12" s="202"/>
      <c r="N12" s="202"/>
      <c r="O12" s="202"/>
      <c r="P12" s="1491">
        <f t="shared" si="2"/>
        <v>0</v>
      </c>
    </row>
    <row r="13" spans="1:35" ht="21.75" thickBot="1" x14ac:dyDescent="0.3">
      <c r="A13" s="204"/>
      <c r="B13" s="540" t="s">
        <v>734</v>
      </c>
      <c r="C13" s="711">
        <f>SUM(C5:C12)</f>
        <v>16524</v>
      </c>
      <c r="D13" s="712">
        <f t="shared" ref="D13:E13" si="3">SUM(D5:D12)</f>
        <v>14067</v>
      </c>
      <c r="E13" s="760">
        <f t="shared" si="3"/>
        <v>11663</v>
      </c>
      <c r="F13" s="826">
        <f t="shared" ref="F13:H13" si="4">SUM(F5:F12)</f>
        <v>0</v>
      </c>
      <c r="G13" s="826">
        <f t="shared" si="4"/>
        <v>-120.66666666666652</v>
      </c>
      <c r="H13" s="826">
        <f t="shared" si="4"/>
        <v>1564</v>
      </c>
      <c r="I13" s="1493">
        <f t="shared" si="0"/>
        <v>13106.333333333334</v>
      </c>
      <c r="J13" s="711">
        <f>SUM(J5:J12)</f>
        <v>14091.400000000001</v>
      </c>
      <c r="K13" s="712">
        <f>SUM(K5:K12)</f>
        <v>12037.7</v>
      </c>
      <c r="L13" s="717">
        <f>SUM(L5:L12)</f>
        <v>9779.7000000000007</v>
      </c>
      <c r="M13" s="839">
        <f>SUM(M5:M12)</f>
        <v>0</v>
      </c>
      <c r="N13" s="839">
        <f t="shared" ref="N13:O13" si="5">SUM(N5:N12)</f>
        <v>-121</v>
      </c>
      <c r="O13" s="839">
        <f t="shared" si="5"/>
        <v>1564</v>
      </c>
      <c r="P13" s="1492">
        <f t="shared" si="2"/>
        <v>11222.7</v>
      </c>
    </row>
    <row r="15" spans="1:35" ht="15.75" thickBot="1" x14ac:dyDescent="0.3">
      <c r="A15" s="502"/>
      <c r="B15" s="1205"/>
      <c r="C15" s="701"/>
      <c r="D15" s="701"/>
      <c r="E15" s="759"/>
      <c r="F15" s="759"/>
      <c r="G15" s="759"/>
      <c r="H15" s="759"/>
      <c r="I15" s="759"/>
      <c r="J15" s="701"/>
      <c r="K15" s="701"/>
      <c r="L15" s="701"/>
      <c r="M15" s="701"/>
      <c r="N15" s="701"/>
      <c r="O15" s="701"/>
      <c r="P15" s="701" t="s">
        <v>1008</v>
      </c>
      <c r="Q15" s="485"/>
      <c r="R15" s="485"/>
      <c r="S15" s="497"/>
      <c r="T15" s="423"/>
      <c r="U15" s="424"/>
      <c r="V15" s="424"/>
      <c r="W15" s="424"/>
      <c r="X15" s="424"/>
      <c r="Y15" s="424"/>
      <c r="Z15" s="485"/>
      <c r="AA15" s="485"/>
      <c r="AB15" s="485"/>
      <c r="AC15" s="497"/>
      <c r="AD15" s="485"/>
      <c r="AE15" s="485"/>
      <c r="AF15" s="485"/>
      <c r="AG15" s="497"/>
      <c r="AH15" s="424"/>
      <c r="AI15" s="424"/>
    </row>
    <row r="16" spans="1:35" ht="39" thickBot="1" x14ac:dyDescent="0.3">
      <c r="A16" s="203" t="s">
        <v>967</v>
      </c>
      <c r="B16" s="500" t="s">
        <v>733</v>
      </c>
      <c r="C16" s="702" t="s">
        <v>1041</v>
      </c>
      <c r="D16" s="571" t="s">
        <v>1065</v>
      </c>
      <c r="E16" s="974" t="s">
        <v>1042</v>
      </c>
      <c r="F16" s="821" t="s">
        <v>1146</v>
      </c>
      <c r="G16" s="821" t="s">
        <v>1189</v>
      </c>
      <c r="H16" s="898" t="s">
        <v>1190</v>
      </c>
      <c r="I16" s="821" t="s">
        <v>1149</v>
      </c>
      <c r="J16" s="702" t="s">
        <v>1043</v>
      </c>
      <c r="K16" s="570" t="s">
        <v>1066</v>
      </c>
      <c r="L16" s="832" t="s">
        <v>1044</v>
      </c>
      <c r="M16" s="833" t="s">
        <v>1146</v>
      </c>
      <c r="N16" s="833" t="s">
        <v>1189</v>
      </c>
      <c r="O16" s="898" t="s">
        <v>1190</v>
      </c>
      <c r="P16" s="721" t="s">
        <v>1150</v>
      </c>
      <c r="Q16" s="485"/>
      <c r="R16" s="485"/>
      <c r="S16" s="497"/>
      <c r="T16" s="423"/>
      <c r="U16" s="424"/>
      <c r="V16" s="424"/>
      <c r="W16" s="499"/>
      <c r="X16" s="424"/>
      <c r="Y16" s="424"/>
      <c r="Z16" s="485"/>
      <c r="AA16" s="485"/>
      <c r="AB16" s="485"/>
      <c r="AC16" s="497"/>
      <c r="AD16" s="485"/>
      <c r="AE16" s="485"/>
      <c r="AF16" s="485"/>
      <c r="AG16" s="497"/>
      <c r="AH16" s="424"/>
      <c r="AI16" s="424"/>
    </row>
    <row r="17" spans="1:16" ht="15.75" thickBot="1" x14ac:dyDescent="0.3">
      <c r="A17" s="204">
        <v>1</v>
      </c>
      <c r="B17" s="1206">
        <v>2</v>
      </c>
      <c r="C17" s="703">
        <v>3</v>
      </c>
      <c r="D17" s="704">
        <v>4</v>
      </c>
      <c r="E17" s="975">
        <v>3</v>
      </c>
      <c r="F17" s="822">
        <v>4</v>
      </c>
      <c r="G17" s="822">
        <v>5</v>
      </c>
      <c r="H17" s="822"/>
      <c r="I17" s="822">
        <v>6</v>
      </c>
      <c r="J17" s="713">
        <v>6</v>
      </c>
      <c r="K17" s="704">
        <v>7</v>
      </c>
      <c r="L17" s="713">
        <v>7</v>
      </c>
      <c r="M17" s="834">
        <v>8</v>
      </c>
      <c r="N17" s="834">
        <v>9</v>
      </c>
      <c r="O17" s="919"/>
      <c r="P17" s="828">
        <v>10</v>
      </c>
    </row>
    <row r="18" spans="1:16" x14ac:dyDescent="0.25">
      <c r="A18" s="207" t="s">
        <v>969</v>
      </c>
      <c r="B18" s="1207" t="s">
        <v>494</v>
      </c>
      <c r="C18" s="705">
        <v>889</v>
      </c>
      <c r="D18" s="706">
        <v>74</v>
      </c>
      <c r="E18" s="818">
        <v>0</v>
      </c>
      <c r="F18" s="823">
        <v>0</v>
      </c>
      <c r="G18" s="823">
        <v>0</v>
      </c>
      <c r="H18" s="823">
        <v>0</v>
      </c>
      <c r="I18" s="1484">
        <f>E18+F18+G18+H18</f>
        <v>0</v>
      </c>
      <c r="J18" s="714">
        <f>C18*0.9</f>
        <v>800.1</v>
      </c>
      <c r="K18" s="706">
        <f>D18*0.9</f>
        <v>66.600000000000009</v>
      </c>
      <c r="L18" s="714">
        <f>E18*0.9</f>
        <v>0</v>
      </c>
      <c r="M18" s="835">
        <f>F18*0.9</f>
        <v>0</v>
      </c>
      <c r="N18" s="835">
        <f t="shared" ref="N18:O18" si="6">G18*0.9</f>
        <v>0</v>
      </c>
      <c r="O18" s="835">
        <f t="shared" si="6"/>
        <v>0</v>
      </c>
      <c r="P18" s="829">
        <f>L18*0.9</f>
        <v>0</v>
      </c>
    </row>
    <row r="19" spans="1:16" x14ac:dyDescent="0.25">
      <c r="A19" s="208" t="s">
        <v>970</v>
      </c>
      <c r="B19" s="1208" t="s">
        <v>737</v>
      </c>
      <c r="C19" s="707">
        <v>4271</v>
      </c>
      <c r="D19" s="708">
        <v>304</v>
      </c>
      <c r="E19" s="819">
        <v>0</v>
      </c>
      <c r="F19" s="824">
        <v>0</v>
      </c>
      <c r="G19" s="824">
        <v>0</v>
      </c>
      <c r="H19" s="824">
        <v>0</v>
      </c>
      <c r="I19" s="1485">
        <f t="shared" ref="I19:I29" si="7">E19+F19+G19+H19</f>
        <v>0</v>
      </c>
      <c r="J19" s="715">
        <f>C19*0.75</f>
        <v>3203.25</v>
      </c>
      <c r="K19" s="708">
        <f>D19*0.75</f>
        <v>228</v>
      </c>
      <c r="L19" s="715">
        <f>E19*0.75</f>
        <v>0</v>
      </c>
      <c r="M19" s="200">
        <f>F19*0.75</f>
        <v>0</v>
      </c>
      <c r="N19" s="200">
        <f t="shared" ref="N19:O19" si="8">G19*0.75</f>
        <v>0</v>
      </c>
      <c r="O19" s="200">
        <f t="shared" si="8"/>
        <v>0</v>
      </c>
      <c r="P19" s="830">
        <f>L19*0.75</f>
        <v>0</v>
      </c>
    </row>
    <row r="20" spans="1:16" x14ac:dyDescent="0.25">
      <c r="A20" s="209" t="s">
        <v>971</v>
      </c>
      <c r="B20" s="1209" t="s">
        <v>738</v>
      </c>
      <c r="C20" s="709">
        <f>946+182+14</f>
        <v>1142</v>
      </c>
      <c r="D20" s="710">
        <f>691+79+397-60</f>
        <v>1107</v>
      </c>
      <c r="E20" s="820">
        <v>1200</v>
      </c>
      <c r="F20" s="825"/>
      <c r="G20" s="825"/>
      <c r="H20" s="825"/>
      <c r="I20" s="1485">
        <f t="shared" si="7"/>
        <v>1200</v>
      </c>
      <c r="J20" s="716"/>
      <c r="K20" s="710"/>
      <c r="L20" s="842"/>
      <c r="M20" s="841"/>
      <c r="N20" s="841"/>
      <c r="O20" s="841"/>
      <c r="P20" s="840"/>
    </row>
    <row r="21" spans="1:16" x14ac:dyDescent="0.25">
      <c r="A21" s="209" t="s">
        <v>972</v>
      </c>
      <c r="B21" s="1209" t="s">
        <v>739</v>
      </c>
      <c r="C21" s="709">
        <v>513</v>
      </c>
      <c r="D21" s="710">
        <v>409</v>
      </c>
      <c r="E21" s="820">
        <v>410</v>
      </c>
      <c r="F21" s="825"/>
      <c r="G21" s="825"/>
      <c r="H21" s="825"/>
      <c r="I21" s="1485">
        <f t="shared" si="7"/>
        <v>410</v>
      </c>
      <c r="J21" s="716"/>
      <c r="K21" s="710"/>
      <c r="L21" s="842"/>
      <c r="M21" s="841"/>
      <c r="N21" s="841"/>
      <c r="O21" s="841"/>
      <c r="P21" s="840"/>
    </row>
    <row r="22" spans="1:16" x14ac:dyDescent="0.25">
      <c r="A22" s="209" t="s">
        <v>973</v>
      </c>
      <c r="B22" s="1209" t="s">
        <v>1067</v>
      </c>
      <c r="C22" s="709">
        <v>91</v>
      </c>
      <c r="D22" s="710">
        <v>115</v>
      </c>
      <c r="E22" s="820">
        <v>0</v>
      </c>
      <c r="F22" s="825">
        <v>0</v>
      </c>
      <c r="G22" s="825">
        <v>0</v>
      </c>
      <c r="H22" s="825">
        <v>330</v>
      </c>
      <c r="I22" s="1485">
        <f t="shared" si="7"/>
        <v>330</v>
      </c>
      <c r="J22" s="716"/>
      <c r="K22" s="710"/>
      <c r="L22" s="842"/>
      <c r="M22" s="841"/>
      <c r="N22" s="841"/>
      <c r="O22" s="841"/>
      <c r="P22" s="840"/>
    </row>
    <row r="23" spans="1:16" ht="23.25" x14ac:dyDescent="0.25">
      <c r="A23" s="209" t="s">
        <v>974</v>
      </c>
      <c r="B23" s="1209" t="s">
        <v>740</v>
      </c>
      <c r="C23" s="709">
        <v>50</v>
      </c>
      <c r="D23" s="710">
        <v>60</v>
      </c>
      <c r="E23" s="820">
        <v>60</v>
      </c>
      <c r="F23" s="825"/>
      <c r="G23" s="825"/>
      <c r="H23" s="825"/>
      <c r="I23" s="1485">
        <f t="shared" si="7"/>
        <v>60</v>
      </c>
      <c r="J23" s="716"/>
      <c r="K23" s="710"/>
      <c r="L23" s="842"/>
      <c r="M23" s="841"/>
      <c r="N23" s="841"/>
      <c r="O23" s="841"/>
      <c r="P23" s="840"/>
    </row>
    <row r="24" spans="1:16" ht="23.25" x14ac:dyDescent="0.25">
      <c r="A24" s="209" t="s">
        <v>975</v>
      </c>
      <c r="B24" s="1209" t="s">
        <v>741</v>
      </c>
      <c r="C24" s="709">
        <v>201</v>
      </c>
      <c r="D24" s="710">
        <f>122+167</f>
        <v>289</v>
      </c>
      <c r="E24" s="820">
        <v>270</v>
      </c>
      <c r="F24" s="825"/>
      <c r="G24" s="825">
        <v>-99</v>
      </c>
      <c r="H24" s="825"/>
      <c r="I24" s="1485">
        <f t="shared" si="7"/>
        <v>171</v>
      </c>
      <c r="J24" s="716"/>
      <c r="K24" s="710"/>
      <c r="L24" s="842"/>
      <c r="M24" s="841"/>
      <c r="N24" s="841"/>
      <c r="O24" s="841"/>
      <c r="P24" s="840"/>
    </row>
    <row r="25" spans="1:16" ht="23.25" x14ac:dyDescent="0.25">
      <c r="A25" s="209" t="s">
        <v>976</v>
      </c>
      <c r="B25" s="1209" t="s">
        <v>744</v>
      </c>
      <c r="C25" s="709"/>
      <c r="D25" s="710"/>
      <c r="E25" s="820"/>
      <c r="F25" s="825"/>
      <c r="G25" s="825"/>
      <c r="H25" s="825"/>
      <c r="I25" s="1485">
        <f t="shared" si="7"/>
        <v>0</v>
      </c>
      <c r="J25" s="716"/>
      <c r="K25" s="710"/>
      <c r="L25" s="842"/>
      <c r="M25" s="841"/>
      <c r="N25" s="841"/>
      <c r="O25" s="841"/>
      <c r="P25" s="840"/>
    </row>
    <row r="26" spans="1:16" x14ac:dyDescent="0.25">
      <c r="A26" s="209" t="s">
        <v>977</v>
      </c>
      <c r="B26" s="1209" t="s">
        <v>1036</v>
      </c>
      <c r="C26" s="709"/>
      <c r="D26" s="710"/>
      <c r="E26" s="820"/>
      <c r="F26" s="825"/>
      <c r="G26" s="825"/>
      <c r="H26" s="825"/>
      <c r="I26" s="1485">
        <f t="shared" si="7"/>
        <v>0</v>
      </c>
      <c r="J26" s="716"/>
      <c r="K26" s="710"/>
      <c r="L26" s="842"/>
      <c r="M26" s="841"/>
      <c r="N26" s="841"/>
      <c r="O26" s="841"/>
      <c r="P26" s="840"/>
    </row>
    <row r="27" spans="1:16" x14ac:dyDescent="0.25">
      <c r="A27" s="208" t="s">
        <v>978</v>
      </c>
      <c r="B27" s="1208" t="s">
        <v>731</v>
      </c>
      <c r="C27" s="707"/>
      <c r="D27" s="708"/>
      <c r="E27" s="819">
        <v>144</v>
      </c>
      <c r="F27" s="824"/>
      <c r="G27" s="824"/>
      <c r="H27" s="824"/>
      <c r="I27" s="1485">
        <f t="shared" si="7"/>
        <v>144</v>
      </c>
      <c r="J27" s="715"/>
      <c r="K27" s="708"/>
      <c r="L27" s="837"/>
      <c r="M27" s="838"/>
      <c r="N27" s="838"/>
      <c r="O27" s="838"/>
      <c r="P27" s="985"/>
    </row>
    <row r="28" spans="1:16" ht="15.75" thickBot="1" x14ac:dyDescent="0.3">
      <c r="A28" s="976" t="s">
        <v>979</v>
      </c>
      <c r="B28" s="1210" t="s">
        <v>1199</v>
      </c>
      <c r="C28" s="977"/>
      <c r="D28" s="978"/>
      <c r="E28" s="979"/>
      <c r="F28" s="980"/>
      <c r="G28" s="980">
        <v>99</v>
      </c>
      <c r="H28" s="980"/>
      <c r="I28" s="1486">
        <f t="shared" si="7"/>
        <v>99</v>
      </c>
      <c r="J28" s="981"/>
      <c r="K28" s="978"/>
      <c r="L28" s="982"/>
      <c r="M28" s="983"/>
      <c r="N28" s="983"/>
      <c r="O28" s="983"/>
      <c r="P28" s="984"/>
    </row>
    <row r="29" spans="1:16" ht="32.25" thickBot="1" x14ac:dyDescent="0.3">
      <c r="A29" s="204"/>
      <c r="B29" s="540" t="s">
        <v>743</v>
      </c>
      <c r="C29" s="711">
        <f>SUM(C18:C27)</f>
        <v>7157</v>
      </c>
      <c r="D29" s="712">
        <f t="shared" ref="D29" si="9">SUM(D18:D27)</f>
        <v>2358</v>
      </c>
      <c r="E29" s="827">
        <f>SUM(E18:E28)</f>
        <v>2084</v>
      </c>
      <c r="F29" s="827">
        <f t="shared" ref="F29:H29" si="10">SUM(F18:F28)</f>
        <v>0</v>
      </c>
      <c r="G29" s="827">
        <f t="shared" si="10"/>
        <v>0</v>
      </c>
      <c r="H29" s="827">
        <f t="shared" si="10"/>
        <v>330</v>
      </c>
      <c r="I29" s="823">
        <f t="shared" si="7"/>
        <v>2414</v>
      </c>
      <c r="J29" s="717">
        <f>SUM(J18:J27)</f>
        <v>4003.35</v>
      </c>
      <c r="K29" s="712">
        <f>SUM(K18:K27)</f>
        <v>294.60000000000002</v>
      </c>
      <c r="L29" s="717">
        <f>SUM(L18:L27)</f>
        <v>0</v>
      </c>
      <c r="M29" s="839">
        <f>SUM(M18:M27)</f>
        <v>0</v>
      </c>
      <c r="N29" s="839">
        <f t="shared" ref="N29:O29" si="11">SUM(N18:N27)</f>
        <v>0</v>
      </c>
      <c r="O29" s="839">
        <f t="shared" si="11"/>
        <v>0</v>
      </c>
      <c r="P29" s="831">
        <f>SUM(P18:P27)</f>
        <v>0</v>
      </c>
    </row>
    <row r="30" spans="1:16" ht="15.75" thickBot="1" x14ac:dyDescent="0.3">
      <c r="C30" s="720"/>
      <c r="D30" s="720"/>
      <c r="E30" s="761"/>
      <c r="F30" s="761"/>
      <c r="G30" s="761"/>
      <c r="H30" s="761"/>
      <c r="I30" s="761"/>
      <c r="J30" s="720"/>
      <c r="K30" s="720"/>
      <c r="L30" s="720"/>
      <c r="M30" s="720"/>
      <c r="N30" s="720"/>
      <c r="O30" s="720"/>
      <c r="P30" s="720"/>
    </row>
    <row r="31" spans="1:16" ht="15.75" thickBot="1" x14ac:dyDescent="0.3">
      <c r="A31" s="503"/>
      <c r="B31" s="147" t="s">
        <v>1002</v>
      </c>
      <c r="C31" s="718">
        <f>C29+C13</f>
        <v>23681</v>
      </c>
      <c r="D31" s="718">
        <f t="shared" ref="D31:E31" si="12">D29+D13</f>
        <v>16425</v>
      </c>
      <c r="E31" s="762">
        <f t="shared" si="12"/>
        <v>13747</v>
      </c>
      <c r="F31" s="762">
        <f t="shared" ref="F31:H31" si="13">F29+F13</f>
        <v>0</v>
      </c>
      <c r="G31" s="762">
        <f t="shared" si="13"/>
        <v>-120.66666666666652</v>
      </c>
      <c r="H31" s="762">
        <f t="shared" si="13"/>
        <v>1894</v>
      </c>
      <c r="I31" s="762">
        <f>E31+F31+G31+H31</f>
        <v>15520.333333333334</v>
      </c>
      <c r="J31" s="719">
        <f>J29+J13</f>
        <v>18094.75</v>
      </c>
      <c r="K31" s="718">
        <f>K29+K13</f>
        <v>12332.300000000001</v>
      </c>
      <c r="L31" s="719">
        <f>L29+L13</f>
        <v>9779.7000000000007</v>
      </c>
      <c r="M31" s="844">
        <f>M29+M13</f>
        <v>0</v>
      </c>
      <c r="N31" s="844">
        <f t="shared" ref="N31:O31" si="14">N29+N13</f>
        <v>-121</v>
      </c>
      <c r="O31" s="844">
        <f t="shared" si="14"/>
        <v>1564</v>
      </c>
      <c r="P31" s="843">
        <f>P29+P13</f>
        <v>11222.7</v>
      </c>
    </row>
  </sheetData>
  <mergeCells count="1">
    <mergeCell ref="A1:P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 alignWithMargins="0">
    <oddHeader>&amp;R&amp;"Times New Roman CE,Félkövér"&amp;11 5. melléklet a 3/2015. (II.20.)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2"/>
  <sheetViews>
    <sheetView view="pageLayout" zoomScaleNormal="100" zoomScaleSheetLayoutView="100" workbookViewId="0">
      <selection activeCell="D17" sqref="D17"/>
    </sheetView>
  </sheetViews>
  <sheetFormatPr defaultColWidth="9.33203125" defaultRowHeight="12.75" x14ac:dyDescent="0.2"/>
  <cols>
    <col min="1" max="1" width="61.83203125" style="44" customWidth="1"/>
    <col min="2" max="2" width="13.6640625" style="43" bestFit="1" customWidth="1"/>
    <col min="3" max="3" width="13.5" style="43" bestFit="1" customWidth="1"/>
    <col min="4" max="4" width="13.83203125" style="43" bestFit="1" customWidth="1"/>
    <col min="5" max="5" width="11.1640625" style="43" bestFit="1" customWidth="1"/>
    <col min="6" max="6" width="16.6640625" style="54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1534" t="s">
        <v>898</v>
      </c>
      <c r="B1" s="1534"/>
      <c r="C1" s="1534"/>
      <c r="D1" s="1534"/>
      <c r="E1" s="1534"/>
      <c r="F1" s="1534"/>
    </row>
    <row r="2" spans="1:6" ht="22.5" customHeight="1" thickBot="1" x14ac:dyDescent="0.3">
      <c r="A2" s="210"/>
      <c r="B2" s="54"/>
      <c r="C2" s="54"/>
      <c r="D2" s="54"/>
      <c r="E2" s="54"/>
      <c r="F2" s="49" t="s">
        <v>11</v>
      </c>
    </row>
    <row r="3" spans="1:6" s="46" customFormat="1" ht="44.25" customHeight="1" thickBot="1" x14ac:dyDescent="0.25">
      <c r="A3" s="211" t="s">
        <v>15</v>
      </c>
      <c r="B3" s="212" t="s">
        <v>423</v>
      </c>
      <c r="C3" s="212" t="s">
        <v>16</v>
      </c>
      <c r="D3" s="212" t="s">
        <v>1046</v>
      </c>
      <c r="E3" s="212" t="s">
        <v>1040</v>
      </c>
      <c r="F3" s="50" t="s">
        <v>1047</v>
      </c>
    </row>
    <row r="4" spans="1:6" s="54" customFormat="1" ht="12" customHeight="1" thickBot="1" x14ac:dyDescent="0.25">
      <c r="A4" s="51">
        <v>1</v>
      </c>
      <c r="B4" s="52">
        <v>2</v>
      </c>
      <c r="C4" s="52">
        <v>3</v>
      </c>
      <c r="D4" s="52">
        <v>4</v>
      </c>
      <c r="E4" s="52">
        <v>5</v>
      </c>
      <c r="F4" s="53" t="s">
        <v>36</v>
      </c>
    </row>
    <row r="5" spans="1:6" s="850" customFormat="1" ht="22.15" customHeight="1" x14ac:dyDescent="0.2">
      <c r="A5" s="851" t="s">
        <v>1177</v>
      </c>
      <c r="B5" s="847">
        <v>400</v>
      </c>
      <c r="C5" s="848"/>
      <c r="D5" s="847"/>
      <c r="E5" s="847">
        <v>400</v>
      </c>
      <c r="F5" s="849">
        <f t="shared" ref="F5:F21" si="0">B5-D5-E5</f>
        <v>0</v>
      </c>
    </row>
    <row r="6" spans="1:6" s="850" customFormat="1" ht="22.15" customHeight="1" x14ac:dyDescent="0.2">
      <c r="A6" s="851" t="s">
        <v>1184</v>
      </c>
      <c r="B6" s="847">
        <v>200</v>
      </c>
      <c r="C6" s="848"/>
      <c r="D6" s="847"/>
      <c r="E6" s="847">
        <v>200</v>
      </c>
      <c r="F6" s="849">
        <f t="shared" si="0"/>
        <v>0</v>
      </c>
    </row>
    <row r="7" spans="1:6" s="855" customFormat="1" ht="25.5" x14ac:dyDescent="0.2">
      <c r="A7" s="851" t="s">
        <v>1185</v>
      </c>
      <c r="B7" s="852">
        <f>2921+737</f>
        <v>3658</v>
      </c>
      <c r="C7" s="853"/>
      <c r="D7" s="852"/>
      <c r="E7" s="852">
        <v>3658</v>
      </c>
      <c r="F7" s="854"/>
    </row>
    <row r="8" spans="1:6" s="855" customFormat="1" ht="15.95" customHeight="1" x14ac:dyDescent="0.2">
      <c r="A8" s="851" t="s">
        <v>1206</v>
      </c>
      <c r="B8" s="852">
        <v>174</v>
      </c>
      <c r="C8" s="853"/>
      <c r="D8" s="852"/>
      <c r="E8" s="852"/>
      <c r="F8" s="854"/>
    </row>
    <row r="9" spans="1:6" s="855" customFormat="1" ht="15.95" customHeight="1" x14ac:dyDescent="0.2">
      <c r="A9" s="851" t="s">
        <v>1200</v>
      </c>
      <c r="B9" s="852">
        <v>2691</v>
      </c>
      <c r="C9" s="853"/>
      <c r="D9" s="852"/>
      <c r="E9" s="852">
        <f>B9</f>
        <v>2691</v>
      </c>
      <c r="F9" s="854"/>
    </row>
    <row r="10" spans="1:6" s="850" customFormat="1" ht="15.95" customHeight="1" x14ac:dyDescent="0.2">
      <c r="A10" s="851" t="s">
        <v>1201</v>
      </c>
      <c r="B10" s="847">
        <v>2326</v>
      </c>
      <c r="C10" s="848"/>
      <c r="D10" s="847"/>
      <c r="E10" s="852">
        <f t="shared" ref="E10:E15" si="1">B10</f>
        <v>2326</v>
      </c>
      <c r="F10" s="849">
        <f t="shared" si="0"/>
        <v>0</v>
      </c>
    </row>
    <row r="11" spans="1:6" s="542" customFormat="1" ht="15.95" customHeight="1" x14ac:dyDescent="0.2">
      <c r="A11" s="63" t="s">
        <v>1202</v>
      </c>
      <c r="B11" s="64">
        <v>650</v>
      </c>
      <c r="C11" s="55"/>
      <c r="D11" s="32"/>
      <c r="E11" s="852">
        <f t="shared" si="1"/>
        <v>650</v>
      </c>
      <c r="F11" s="56">
        <f t="shared" si="0"/>
        <v>0</v>
      </c>
    </row>
    <row r="12" spans="1:6" s="542" customFormat="1" ht="15.75" customHeight="1" x14ac:dyDescent="0.2">
      <c r="A12" s="63"/>
      <c r="B12" s="64"/>
      <c r="C12" s="55"/>
      <c r="D12" s="32"/>
      <c r="E12" s="852">
        <f t="shared" si="1"/>
        <v>0</v>
      </c>
      <c r="F12" s="56">
        <f>B12-D12-E12</f>
        <v>0</v>
      </c>
    </row>
    <row r="13" spans="1:6" ht="15.95" customHeight="1" x14ac:dyDescent="0.2">
      <c r="A13" s="536"/>
      <c r="B13" s="64"/>
      <c r="C13" s="55"/>
      <c r="D13" s="32"/>
      <c r="E13" s="852">
        <f t="shared" si="1"/>
        <v>0</v>
      </c>
      <c r="F13" s="56"/>
    </row>
    <row r="14" spans="1:6" ht="15.95" customHeight="1" x14ac:dyDescent="0.2">
      <c r="A14" s="536"/>
      <c r="B14" s="32"/>
      <c r="C14" s="55"/>
      <c r="D14" s="32"/>
      <c r="E14" s="852">
        <f t="shared" si="1"/>
        <v>0</v>
      </c>
      <c r="F14" s="56"/>
    </row>
    <row r="15" spans="1:6" ht="15.95" customHeight="1" x14ac:dyDescent="0.2">
      <c r="A15" s="536"/>
      <c r="B15" s="32"/>
      <c r="C15" s="55"/>
      <c r="D15" s="32"/>
      <c r="E15" s="852">
        <f t="shared" si="1"/>
        <v>0</v>
      </c>
      <c r="F15" s="56"/>
    </row>
    <row r="16" spans="1:6" ht="15.95" customHeight="1" x14ac:dyDescent="0.2">
      <c r="A16" s="536"/>
      <c r="B16" s="32"/>
      <c r="C16" s="55"/>
      <c r="D16" s="32"/>
      <c r="E16" s="32"/>
      <c r="F16" s="56"/>
    </row>
    <row r="17" spans="1:6" ht="15.95" customHeight="1" x14ac:dyDescent="0.2">
      <c r="A17" s="536"/>
      <c r="B17" s="32"/>
      <c r="C17" s="55"/>
      <c r="D17" s="32"/>
      <c r="E17" s="32"/>
      <c r="F17" s="56">
        <f t="shared" si="0"/>
        <v>0</v>
      </c>
    </row>
    <row r="18" spans="1:6" ht="15.95" customHeight="1" x14ac:dyDescent="0.2">
      <c r="A18" s="535"/>
      <c r="B18" s="32"/>
      <c r="C18" s="55"/>
      <c r="D18" s="32"/>
      <c r="E18" s="32"/>
      <c r="F18" s="56">
        <f t="shared" si="0"/>
        <v>0</v>
      </c>
    </row>
    <row r="19" spans="1:6" ht="15.95" customHeight="1" x14ac:dyDescent="0.2">
      <c r="A19" s="535"/>
      <c r="B19" s="32"/>
      <c r="C19" s="55"/>
      <c r="D19" s="32"/>
      <c r="E19" s="32"/>
      <c r="F19" s="56">
        <f t="shared" si="0"/>
        <v>0</v>
      </c>
    </row>
    <row r="20" spans="1:6" ht="15.95" customHeight="1" x14ac:dyDescent="0.2">
      <c r="A20" s="47"/>
      <c r="B20" s="32"/>
      <c r="C20" s="55"/>
      <c r="D20" s="32"/>
      <c r="E20" s="32"/>
      <c r="F20" s="56">
        <f t="shared" si="0"/>
        <v>0</v>
      </c>
    </row>
    <row r="21" spans="1:6" ht="15.95" customHeight="1" thickBot="1" x14ac:dyDescent="0.25">
      <c r="A21" s="57"/>
      <c r="B21" s="33"/>
      <c r="C21" s="58"/>
      <c r="D21" s="33"/>
      <c r="E21" s="33"/>
      <c r="F21" s="59">
        <f t="shared" si="0"/>
        <v>0</v>
      </c>
    </row>
    <row r="22" spans="1:6" s="62" customFormat="1" ht="18" customHeight="1" thickBot="1" x14ac:dyDescent="0.25">
      <c r="A22" s="213" t="s">
        <v>14</v>
      </c>
      <c r="B22" s="899">
        <f>SUM(B5:B21)</f>
        <v>10099</v>
      </c>
      <c r="C22" s="136"/>
      <c r="D22" s="60">
        <f>SUM(D5:D21)</f>
        <v>0</v>
      </c>
      <c r="E22" s="899">
        <f>SUM(E5:E21)</f>
        <v>9925</v>
      </c>
      <c r="F22" s="61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105" orientation="landscape" horizontalDpi="300" verticalDpi="300" r:id="rId1"/>
  <headerFooter alignWithMargins="0">
    <oddHeader>&amp;R&amp;"Times New Roman CE,Félkövér dőlt"&amp;11 &amp;"Times New Roman CE,Félkövér"6. melléklet a 3/2015. (II.20.)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0"/>
  <sheetViews>
    <sheetView view="pageLayout" zoomScaleNormal="100" zoomScaleSheetLayoutView="100" workbookViewId="0">
      <selection activeCell="G27" sqref="G27"/>
    </sheetView>
  </sheetViews>
  <sheetFormatPr defaultColWidth="9.33203125" defaultRowHeight="12.75" x14ac:dyDescent="0.2"/>
  <cols>
    <col min="1" max="1" width="47.83203125" style="44" customWidth="1"/>
    <col min="2" max="2" width="13.5" style="43" customWidth="1"/>
    <col min="3" max="6" width="17.16406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1534" t="s">
        <v>899</v>
      </c>
      <c r="B1" s="1534"/>
      <c r="C1" s="1534"/>
      <c r="D1" s="1534"/>
      <c r="E1" s="1534"/>
      <c r="F1" s="1534"/>
    </row>
    <row r="2" spans="1:6" ht="23.25" customHeight="1" thickBot="1" x14ac:dyDescent="0.3">
      <c r="A2" s="210"/>
      <c r="B2" s="54"/>
      <c r="C2" s="54"/>
      <c r="D2" s="54"/>
      <c r="E2" s="49"/>
      <c r="F2" s="49" t="s">
        <v>11</v>
      </c>
    </row>
    <row r="3" spans="1:6" s="46" customFormat="1" ht="48.75" customHeight="1" thickBot="1" x14ac:dyDescent="0.25">
      <c r="A3" s="211" t="s">
        <v>17</v>
      </c>
      <c r="B3" s="212" t="s">
        <v>423</v>
      </c>
      <c r="C3" s="212" t="s">
        <v>16</v>
      </c>
      <c r="D3" s="212" t="s">
        <v>1046</v>
      </c>
      <c r="E3" s="212" t="s">
        <v>1040</v>
      </c>
      <c r="F3" s="50" t="s">
        <v>1048</v>
      </c>
    </row>
    <row r="4" spans="1:6" s="54" customFormat="1" ht="15" customHeight="1" thickBot="1" x14ac:dyDescent="0.25">
      <c r="A4" s="51">
        <v>1</v>
      </c>
      <c r="B4" s="52">
        <v>2</v>
      </c>
      <c r="C4" s="52">
        <v>3</v>
      </c>
      <c r="D4" s="52">
        <v>4</v>
      </c>
      <c r="E4" s="52">
        <v>5</v>
      </c>
      <c r="F4" s="53">
        <v>6</v>
      </c>
    </row>
    <row r="5" spans="1:6" s="850" customFormat="1" ht="15.95" customHeight="1" x14ac:dyDescent="0.2">
      <c r="A5" s="851" t="s">
        <v>1154</v>
      </c>
      <c r="B5" s="847">
        <v>3412</v>
      </c>
      <c r="C5" s="848"/>
      <c r="D5" s="847"/>
      <c r="E5" s="847">
        <v>3412</v>
      </c>
      <c r="F5" s="849">
        <f t="shared" ref="F5:F19" si="0">B5-D5-E5</f>
        <v>0</v>
      </c>
    </row>
    <row r="6" spans="1:6" s="850" customFormat="1" ht="15.95" customHeight="1" x14ac:dyDescent="0.2">
      <c r="A6" s="851" t="s">
        <v>1152</v>
      </c>
      <c r="B6" s="847">
        <v>1000</v>
      </c>
      <c r="C6" s="848"/>
      <c r="D6" s="847"/>
      <c r="E6" s="847">
        <v>1000</v>
      </c>
      <c r="F6" s="849">
        <f t="shared" si="0"/>
        <v>0</v>
      </c>
    </row>
    <row r="7" spans="1:6" s="733" customFormat="1" ht="15.95" customHeight="1" x14ac:dyDescent="0.2">
      <c r="A7" s="851" t="s">
        <v>1153</v>
      </c>
      <c r="B7" s="908">
        <v>200</v>
      </c>
      <c r="C7" s="900"/>
      <c r="D7" s="847">
        <v>0</v>
      </c>
      <c r="E7" s="847">
        <v>200</v>
      </c>
      <c r="F7" s="901">
        <f t="shared" si="0"/>
        <v>0</v>
      </c>
    </row>
    <row r="8" spans="1:6" s="733" customFormat="1" ht="15.95" customHeight="1" x14ac:dyDescent="0.2">
      <c r="A8" s="851" t="s">
        <v>1155</v>
      </c>
      <c r="B8" s="847">
        <v>1688</v>
      </c>
      <c r="C8" s="900"/>
      <c r="D8" s="847">
        <f>1688-50-150-70</f>
        <v>1418</v>
      </c>
      <c r="E8" s="847">
        <v>270</v>
      </c>
      <c r="F8" s="901">
        <f t="shared" si="0"/>
        <v>0</v>
      </c>
    </row>
    <row r="9" spans="1:6" s="542" customFormat="1" ht="15.95" customHeight="1" x14ac:dyDescent="0.2">
      <c r="A9" s="851" t="s">
        <v>1178</v>
      </c>
      <c r="B9" s="847">
        <v>2771</v>
      </c>
      <c r="C9" s="900"/>
      <c r="D9" s="847">
        <v>0</v>
      </c>
      <c r="E9" s="847">
        <v>2771</v>
      </c>
      <c r="F9" s="901">
        <f t="shared" si="0"/>
        <v>0</v>
      </c>
    </row>
    <row r="10" spans="1:6" s="542" customFormat="1" ht="15.95" customHeight="1" thickBot="1" x14ac:dyDescent="0.25">
      <c r="A10" s="896" t="s">
        <v>1179</v>
      </c>
      <c r="B10" s="897">
        <v>143</v>
      </c>
      <c r="C10" s="902"/>
      <c r="D10" s="897"/>
      <c r="E10" s="897">
        <v>143</v>
      </c>
      <c r="F10" s="903">
        <f t="shared" si="0"/>
        <v>0</v>
      </c>
    </row>
    <row r="11" spans="1:6" s="542" customFormat="1" ht="30" customHeight="1" x14ac:dyDescent="0.2">
      <c r="A11" s="894" t="s">
        <v>1180</v>
      </c>
      <c r="B11" s="895"/>
      <c r="C11" s="904"/>
      <c r="D11" s="895"/>
      <c r="E11" s="895"/>
      <c r="F11" s="905">
        <f t="shared" si="0"/>
        <v>0</v>
      </c>
    </row>
    <row r="12" spans="1:6" s="542" customFormat="1" ht="15.95" customHeight="1" x14ac:dyDescent="0.2">
      <c r="A12" s="851" t="s">
        <v>1181</v>
      </c>
      <c r="B12" s="847">
        <v>100</v>
      </c>
      <c r="C12" s="900"/>
      <c r="D12" s="847"/>
      <c r="E12" s="847">
        <v>100</v>
      </c>
      <c r="F12" s="901">
        <f t="shared" si="0"/>
        <v>0</v>
      </c>
    </row>
    <row r="13" spans="1:6" s="542" customFormat="1" ht="15.95" customHeight="1" x14ac:dyDescent="0.2">
      <c r="A13" s="851" t="s">
        <v>1182</v>
      </c>
      <c r="B13" s="847">
        <v>30</v>
      </c>
      <c r="C13" s="900"/>
      <c r="D13" s="847"/>
      <c r="E13" s="847">
        <v>30</v>
      </c>
      <c r="F13" s="901">
        <f t="shared" si="0"/>
        <v>0</v>
      </c>
    </row>
    <row r="14" spans="1:6" s="733" customFormat="1" ht="15.95" customHeight="1" thickBot="1" x14ac:dyDescent="0.25">
      <c r="A14" s="896" t="s">
        <v>1183</v>
      </c>
      <c r="B14" s="897">
        <v>150</v>
      </c>
      <c r="C14" s="902"/>
      <c r="D14" s="897"/>
      <c r="E14" s="897">
        <v>150</v>
      </c>
      <c r="F14" s="903">
        <f t="shared" si="0"/>
        <v>0</v>
      </c>
    </row>
    <row r="15" spans="1:6" s="733" customFormat="1" ht="15.95" customHeight="1" x14ac:dyDescent="0.2">
      <c r="A15" s="906"/>
      <c r="B15" s="895"/>
      <c r="C15" s="904"/>
      <c r="D15" s="895"/>
      <c r="E15" s="895"/>
      <c r="F15" s="905">
        <f t="shared" si="0"/>
        <v>0</v>
      </c>
    </row>
    <row r="16" spans="1:6" s="733" customFormat="1" ht="15.95" customHeight="1" x14ac:dyDescent="0.2">
      <c r="A16" s="907"/>
      <c r="B16" s="908"/>
      <c r="C16" s="900"/>
      <c r="D16" s="908"/>
      <c r="E16" s="908"/>
      <c r="F16" s="901">
        <f t="shared" si="0"/>
        <v>0</v>
      </c>
    </row>
    <row r="17" spans="1:6" s="733" customFormat="1" ht="15.95" customHeight="1" x14ac:dyDescent="0.2">
      <c r="A17" s="907"/>
      <c r="B17" s="908"/>
      <c r="C17" s="900"/>
      <c r="D17" s="908"/>
      <c r="E17" s="908"/>
      <c r="F17" s="901">
        <f t="shared" si="0"/>
        <v>0</v>
      </c>
    </row>
    <row r="18" spans="1:6" s="733" customFormat="1" ht="15.95" customHeight="1" x14ac:dyDescent="0.2">
      <c r="A18" s="907"/>
      <c r="B18" s="908"/>
      <c r="C18" s="900"/>
      <c r="D18" s="908"/>
      <c r="E18" s="908"/>
      <c r="F18" s="901">
        <f t="shared" si="0"/>
        <v>0</v>
      </c>
    </row>
    <row r="19" spans="1:6" s="733" customFormat="1" ht="15.95" customHeight="1" thickBot="1" x14ac:dyDescent="0.25">
      <c r="A19" s="909"/>
      <c r="B19" s="910"/>
      <c r="C19" s="910"/>
      <c r="D19" s="910"/>
      <c r="E19" s="910"/>
      <c r="F19" s="911">
        <f t="shared" si="0"/>
        <v>0</v>
      </c>
    </row>
    <row r="20" spans="1:6" s="62" customFormat="1" ht="18" customHeight="1" thickBot="1" x14ac:dyDescent="0.25">
      <c r="A20" s="912" t="s">
        <v>14</v>
      </c>
      <c r="B20" s="899">
        <f>SUM(B5:B19)</f>
        <v>9494</v>
      </c>
      <c r="C20" s="913"/>
      <c r="D20" s="899">
        <f>SUM(D5:D19)</f>
        <v>1418</v>
      </c>
      <c r="E20" s="899">
        <f>SUM(E5:E19)</f>
        <v>8076</v>
      </c>
      <c r="F20" s="914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&amp;"Times New Roman CE,Félkövér"7. melléklet a 3/2015. (II.20.)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32"/>
  <sheetViews>
    <sheetView view="pageLayout" zoomScaleNormal="100" zoomScaleSheetLayoutView="100" workbookViewId="0">
      <selection activeCell="K12" sqref="K12"/>
    </sheetView>
  </sheetViews>
  <sheetFormatPr defaultColWidth="9.33203125" defaultRowHeight="12" x14ac:dyDescent="0.2"/>
  <cols>
    <col min="1" max="1" width="49.1640625" style="533" customWidth="1"/>
    <col min="2" max="2" width="9.33203125" style="533"/>
    <col min="3" max="3" width="18.83203125" style="533" customWidth="1"/>
    <col min="4" max="4" width="12.6640625" style="533" customWidth="1"/>
    <col min="5" max="5" width="11.1640625" style="533" bestFit="1" customWidth="1"/>
    <col min="6" max="6" width="5.33203125" style="533" bestFit="1" customWidth="1"/>
    <col min="7" max="7" width="11.1640625" style="533" hidden="1" customWidth="1"/>
    <col min="8" max="8" width="10.33203125" style="810" bestFit="1" customWidth="1"/>
    <col min="9" max="16384" width="9.33203125" style="533"/>
  </cols>
  <sheetData>
    <row r="1" spans="1:8" ht="15.75" customHeight="1" x14ac:dyDescent="0.2">
      <c r="A1" s="1542"/>
      <c r="B1" s="1542"/>
      <c r="C1" s="1542"/>
      <c r="D1" s="1542"/>
      <c r="E1" s="1542"/>
      <c r="F1" s="1542"/>
      <c r="G1" s="1542"/>
      <c r="H1" s="1542"/>
    </row>
    <row r="2" spans="1:8" x14ac:dyDescent="0.2">
      <c r="A2" s="1543" t="s">
        <v>1015</v>
      </c>
      <c r="B2" s="1543"/>
      <c r="C2" s="1543"/>
      <c r="D2" s="1543"/>
      <c r="E2" s="1543"/>
      <c r="F2" s="1543"/>
      <c r="G2" s="1543"/>
      <c r="H2" s="1543"/>
    </row>
    <row r="3" spans="1:8" x14ac:dyDescent="0.2">
      <c r="A3" s="1543" t="s">
        <v>1055</v>
      </c>
      <c r="B3" s="1543"/>
      <c r="C3" s="1543"/>
      <c r="D3" s="1543"/>
      <c r="E3" s="1543"/>
      <c r="F3" s="1543"/>
      <c r="G3" s="1543"/>
      <c r="H3" s="1543"/>
    </row>
    <row r="4" spans="1:8" x14ac:dyDescent="0.2">
      <c r="A4" s="1543" t="s">
        <v>1131</v>
      </c>
      <c r="B4" s="1543"/>
      <c r="C4" s="1543"/>
      <c r="D4" s="1543"/>
      <c r="E4" s="1543"/>
      <c r="F4" s="1543"/>
      <c r="G4" s="1543"/>
      <c r="H4" s="1543"/>
    </row>
    <row r="5" spans="1:8" ht="12.75" thickBot="1" x14ac:dyDescent="0.25"/>
    <row r="6" spans="1:8" s="541" customFormat="1" ht="24.75" thickBot="1" x14ac:dyDescent="0.25">
      <c r="A6" s="811" t="s">
        <v>1003</v>
      </c>
      <c r="B6" s="1544" t="s">
        <v>396</v>
      </c>
      <c r="C6" s="1541"/>
      <c r="D6" s="812" t="s">
        <v>1014</v>
      </c>
      <c r="E6" s="812" t="s">
        <v>1146</v>
      </c>
      <c r="F6" s="920" t="s">
        <v>1205</v>
      </c>
      <c r="G6" s="920" t="s">
        <v>1190</v>
      </c>
      <c r="H6" s="813" t="s">
        <v>1151</v>
      </c>
    </row>
    <row r="7" spans="1:8" ht="38.25" customHeight="1" thickBot="1" x14ac:dyDescent="0.25">
      <c r="A7" s="1537" t="s">
        <v>397</v>
      </c>
      <c r="B7" s="1540" t="s">
        <v>398</v>
      </c>
      <c r="C7" s="1541"/>
      <c r="D7" s="915">
        <v>417000</v>
      </c>
      <c r="E7" s="916"/>
      <c r="F7" s="921"/>
      <c r="G7" s="921"/>
      <c r="H7" s="917">
        <f>D7+E7+F7+G7</f>
        <v>417000</v>
      </c>
    </row>
    <row r="8" spans="1:8" ht="27.75" customHeight="1" thickBot="1" x14ac:dyDescent="0.25">
      <c r="A8" s="1539"/>
      <c r="B8" s="1540" t="s">
        <v>399</v>
      </c>
      <c r="C8" s="1541"/>
      <c r="D8" s="915">
        <v>100000</v>
      </c>
      <c r="E8" s="916">
        <v>200000</v>
      </c>
      <c r="F8" s="921"/>
      <c r="G8" s="921"/>
      <c r="H8" s="917">
        <f t="shared" ref="H8:H27" si="0">D8+E8+F8+G8</f>
        <v>300000</v>
      </c>
    </row>
    <row r="9" spans="1:8" ht="18" customHeight="1" thickBot="1" x14ac:dyDescent="0.25">
      <c r="A9" s="1537" t="s">
        <v>400</v>
      </c>
      <c r="B9" s="1540" t="s">
        <v>401</v>
      </c>
      <c r="C9" s="1541"/>
      <c r="D9" s="915">
        <v>50000</v>
      </c>
      <c r="E9" s="916"/>
      <c r="F9" s="921"/>
      <c r="G9" s="921"/>
      <c r="H9" s="917">
        <f t="shared" si="0"/>
        <v>50000</v>
      </c>
    </row>
    <row r="10" spans="1:8" ht="15" customHeight="1" thickBot="1" x14ac:dyDescent="0.25">
      <c r="A10" s="1538"/>
      <c r="B10" s="1540" t="s">
        <v>402</v>
      </c>
      <c r="C10" s="1541"/>
      <c r="D10" s="915">
        <v>50000</v>
      </c>
      <c r="E10" s="916"/>
      <c r="F10" s="921"/>
      <c r="G10" s="921"/>
      <c r="H10" s="917">
        <f t="shared" si="0"/>
        <v>50000</v>
      </c>
    </row>
    <row r="11" spans="1:8" ht="17.25" customHeight="1" thickBot="1" x14ac:dyDescent="0.25">
      <c r="A11" s="1538"/>
      <c r="B11" s="1540" t="s">
        <v>403</v>
      </c>
      <c r="C11" s="1541"/>
      <c r="D11" s="915"/>
      <c r="E11" s="916"/>
      <c r="F11" s="921"/>
      <c r="G11" s="921"/>
      <c r="H11" s="917">
        <f t="shared" si="0"/>
        <v>0</v>
      </c>
    </row>
    <row r="12" spans="1:8" ht="54" customHeight="1" thickBot="1" x14ac:dyDescent="0.25">
      <c r="A12" s="1539"/>
      <c r="B12" s="1540" t="s">
        <v>1186</v>
      </c>
      <c r="C12" s="1541"/>
      <c r="D12" s="915"/>
      <c r="E12" s="916">
        <v>280000</v>
      </c>
      <c r="F12" s="921"/>
      <c r="G12" s="921"/>
      <c r="H12" s="917">
        <f t="shared" si="0"/>
        <v>280000</v>
      </c>
    </row>
    <row r="13" spans="1:8" ht="45.75" customHeight="1" thickBot="1" x14ac:dyDescent="0.25">
      <c r="A13" s="856" t="s">
        <v>404</v>
      </c>
      <c r="B13" s="1535" t="s">
        <v>1156</v>
      </c>
      <c r="C13" s="1536"/>
      <c r="D13" s="915"/>
      <c r="E13" s="915"/>
      <c r="F13" s="921"/>
      <c r="G13" s="921"/>
      <c r="H13" s="917">
        <f t="shared" si="0"/>
        <v>0</v>
      </c>
    </row>
    <row r="14" spans="1:8" ht="18" customHeight="1" thickBot="1" x14ac:dyDescent="0.25">
      <c r="A14" s="814" t="s">
        <v>405</v>
      </c>
      <c r="B14" s="1546"/>
      <c r="C14" s="1547"/>
      <c r="D14" s="916"/>
      <c r="E14" s="916"/>
      <c r="F14" s="921"/>
      <c r="G14" s="921"/>
      <c r="H14" s="917">
        <f t="shared" si="0"/>
        <v>0</v>
      </c>
    </row>
    <row r="15" spans="1:8" ht="36.75" customHeight="1" thickBot="1" x14ac:dyDescent="0.25">
      <c r="A15" s="814" t="s">
        <v>406</v>
      </c>
      <c r="B15" s="1545" t="s">
        <v>407</v>
      </c>
      <c r="C15" s="1541"/>
      <c r="D15" s="915"/>
      <c r="E15" s="916"/>
      <c r="F15" s="921"/>
      <c r="G15" s="921"/>
      <c r="H15" s="917">
        <f t="shared" si="0"/>
        <v>0</v>
      </c>
    </row>
    <row r="16" spans="1:8" ht="24.75" thickBot="1" x14ac:dyDescent="0.25">
      <c r="A16" s="814" t="s">
        <v>408</v>
      </c>
      <c r="B16" s="1545"/>
      <c r="C16" s="1541"/>
      <c r="D16" s="915"/>
      <c r="E16" s="916"/>
      <c r="F16" s="921"/>
      <c r="G16" s="921"/>
      <c r="H16" s="917">
        <f t="shared" si="0"/>
        <v>0</v>
      </c>
    </row>
    <row r="17" spans="1:8" ht="24.75" thickBot="1" x14ac:dyDescent="0.25">
      <c r="A17" s="814" t="s">
        <v>409</v>
      </c>
      <c r="B17" s="1540"/>
      <c r="C17" s="1541"/>
      <c r="D17" s="915"/>
      <c r="E17" s="916"/>
      <c r="F17" s="921"/>
      <c r="G17" s="921"/>
      <c r="H17" s="917">
        <f t="shared" si="0"/>
        <v>0</v>
      </c>
    </row>
    <row r="18" spans="1:8" ht="63" customHeight="1" thickBot="1" x14ac:dyDescent="0.25">
      <c r="A18" s="814" t="s">
        <v>410</v>
      </c>
      <c r="B18" s="1545" t="s">
        <v>422</v>
      </c>
      <c r="C18" s="1541"/>
      <c r="D18" s="915"/>
      <c r="E18" s="916">
        <v>403000</v>
      </c>
      <c r="F18" s="921"/>
      <c r="G18" s="921"/>
      <c r="H18" s="917">
        <f t="shared" si="0"/>
        <v>403000</v>
      </c>
    </row>
    <row r="19" spans="1:8" ht="45.75" customHeight="1" thickBot="1" x14ac:dyDescent="0.25">
      <c r="A19" s="814" t="s">
        <v>411</v>
      </c>
      <c r="B19" s="1540" t="s">
        <v>1142</v>
      </c>
      <c r="C19" s="1541"/>
      <c r="D19" s="915"/>
      <c r="E19" s="916">
        <v>100000</v>
      </c>
      <c r="F19" s="921"/>
      <c r="G19" s="921"/>
      <c r="H19" s="917">
        <f t="shared" si="0"/>
        <v>100000</v>
      </c>
    </row>
    <row r="20" spans="1:8" ht="16.5" customHeight="1" thickBot="1" x14ac:dyDescent="0.25">
      <c r="A20" s="814" t="s">
        <v>412</v>
      </c>
      <c r="B20" s="1545"/>
      <c r="C20" s="1541"/>
      <c r="D20" s="915"/>
      <c r="E20" s="916"/>
      <c r="F20" s="921"/>
      <c r="G20" s="921"/>
      <c r="H20" s="917">
        <f t="shared" si="0"/>
        <v>0</v>
      </c>
    </row>
    <row r="21" spans="1:8" ht="24" customHeight="1" thickBot="1" x14ac:dyDescent="0.25">
      <c r="A21" s="814" t="s">
        <v>413</v>
      </c>
      <c r="B21" s="1545" t="s">
        <v>414</v>
      </c>
      <c r="C21" s="1541"/>
      <c r="D21" s="915">
        <v>50000</v>
      </c>
      <c r="E21" s="916"/>
      <c r="F21" s="921"/>
      <c r="G21" s="921"/>
      <c r="H21" s="917">
        <f t="shared" si="0"/>
        <v>50000</v>
      </c>
    </row>
    <row r="22" spans="1:8" ht="21" customHeight="1" thickBot="1" x14ac:dyDescent="0.25">
      <c r="A22" s="1537" t="s">
        <v>415</v>
      </c>
      <c r="B22" s="1540" t="s">
        <v>416</v>
      </c>
      <c r="C22" s="1541"/>
      <c r="D22" s="915">
        <v>120000</v>
      </c>
      <c r="E22" s="916">
        <v>150000</v>
      </c>
      <c r="F22" s="921"/>
      <c r="G22" s="921"/>
      <c r="H22" s="917">
        <f t="shared" si="0"/>
        <v>270000</v>
      </c>
    </row>
    <row r="23" spans="1:8" ht="24" customHeight="1" thickBot="1" x14ac:dyDescent="0.25">
      <c r="A23" s="1538"/>
      <c r="B23" s="1540" t="s">
        <v>417</v>
      </c>
      <c r="C23" s="1541"/>
      <c r="D23" s="915">
        <v>0</v>
      </c>
      <c r="E23" s="916"/>
      <c r="F23" s="921"/>
      <c r="G23" s="921"/>
      <c r="H23" s="917">
        <f t="shared" si="0"/>
        <v>0</v>
      </c>
    </row>
    <row r="24" spans="1:8" ht="43.9" customHeight="1" thickBot="1" x14ac:dyDescent="0.25">
      <c r="A24" s="1538"/>
      <c r="B24" s="1540" t="s">
        <v>1143</v>
      </c>
      <c r="C24" s="1541"/>
      <c r="D24" s="915">
        <v>100000</v>
      </c>
      <c r="E24" s="916"/>
      <c r="F24" s="921"/>
      <c r="G24" s="921"/>
      <c r="H24" s="917">
        <f t="shared" si="0"/>
        <v>100000</v>
      </c>
    </row>
    <row r="25" spans="1:8" ht="27" customHeight="1" thickBot="1" x14ac:dyDescent="0.25">
      <c r="A25" s="1539"/>
      <c r="B25" s="1540" t="s">
        <v>1144</v>
      </c>
      <c r="C25" s="1541"/>
      <c r="D25" s="915">
        <v>50000</v>
      </c>
      <c r="E25" s="916"/>
      <c r="F25" s="921"/>
      <c r="G25" s="921"/>
      <c r="H25" s="917">
        <f t="shared" si="0"/>
        <v>50000</v>
      </c>
    </row>
    <row r="26" spans="1:8" ht="58.5" customHeight="1" thickBot="1" x14ac:dyDescent="0.25">
      <c r="A26" s="814" t="s">
        <v>418</v>
      </c>
      <c r="B26" s="1540" t="s">
        <v>419</v>
      </c>
      <c r="C26" s="1541"/>
      <c r="D26" s="915">
        <v>400000</v>
      </c>
      <c r="E26" s="916">
        <v>100000</v>
      </c>
      <c r="F26" s="921"/>
      <c r="G26" s="921"/>
      <c r="H26" s="917">
        <f t="shared" si="0"/>
        <v>500000</v>
      </c>
    </row>
    <row r="27" spans="1:8" ht="16.5" customHeight="1" thickBot="1" x14ac:dyDescent="0.25">
      <c r="A27" s="814" t="s">
        <v>420</v>
      </c>
      <c r="B27" s="1540"/>
      <c r="C27" s="1541"/>
      <c r="D27" s="915"/>
      <c r="E27" s="916"/>
      <c r="F27" s="921"/>
      <c r="G27" s="921"/>
      <c r="H27" s="917">
        <f t="shared" si="0"/>
        <v>0</v>
      </c>
    </row>
    <row r="28" spans="1:8" ht="13.5" customHeight="1" thickBot="1" x14ac:dyDescent="0.25">
      <c r="A28" s="815" t="s">
        <v>421</v>
      </c>
      <c r="B28" s="1548"/>
      <c r="C28" s="1541"/>
      <c r="D28" s="918">
        <f>SUM(D7:D27)</f>
        <v>1337000</v>
      </c>
      <c r="E28" s="918">
        <f>SUM(E7:E27)</f>
        <v>1233000</v>
      </c>
      <c r="F28" s="918">
        <f t="shared" ref="F28:G28" si="1">SUM(F7:F27)</f>
        <v>0</v>
      </c>
      <c r="G28" s="918">
        <f t="shared" si="1"/>
        <v>0</v>
      </c>
      <c r="H28" s="918">
        <f>SUM(H7:H27)</f>
        <v>2570000</v>
      </c>
    </row>
    <row r="29" spans="1:8" x14ac:dyDescent="0.2">
      <c r="A29" s="534"/>
    </row>
    <row r="32" spans="1:8" x14ac:dyDescent="0.2">
      <c r="E32" s="889"/>
      <c r="F32" s="889"/>
      <c r="G32" s="889"/>
    </row>
  </sheetData>
  <mergeCells count="30">
    <mergeCell ref="B28:C28"/>
    <mergeCell ref="B27:C27"/>
    <mergeCell ref="B26:C26"/>
    <mergeCell ref="B21:C21"/>
    <mergeCell ref="B25:C25"/>
    <mergeCell ref="A22:A25"/>
    <mergeCell ref="B22:C22"/>
    <mergeCell ref="B23:C23"/>
    <mergeCell ref="B24:C24"/>
    <mergeCell ref="B20:C20"/>
    <mergeCell ref="B17:C17"/>
    <mergeCell ref="B18:C18"/>
    <mergeCell ref="B19:C19"/>
    <mergeCell ref="B14:C14"/>
    <mergeCell ref="B15:C15"/>
    <mergeCell ref="B16:C16"/>
    <mergeCell ref="A1:H1"/>
    <mergeCell ref="A2:H2"/>
    <mergeCell ref="A3:H3"/>
    <mergeCell ref="A4:H4"/>
    <mergeCell ref="A7:A8"/>
    <mergeCell ref="B7:C7"/>
    <mergeCell ref="B8:C8"/>
    <mergeCell ref="B6:C6"/>
    <mergeCell ref="B13:C13"/>
    <mergeCell ref="A9:A12"/>
    <mergeCell ref="B9:C9"/>
    <mergeCell ref="B10:C10"/>
    <mergeCell ref="B11:C11"/>
    <mergeCell ref="B12:C12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Header>&amp;R&amp;"Times New Roman CE,Félkövér"&amp;11 8. melléklet a 3/2015. (II.20.)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K104"/>
  <sheetViews>
    <sheetView view="pageLayout" zoomScaleNormal="115" zoomScaleSheetLayoutView="100" workbookViewId="0">
      <selection activeCell="C45" sqref="C45"/>
    </sheetView>
  </sheetViews>
  <sheetFormatPr defaultColWidth="9.33203125" defaultRowHeight="12.75" x14ac:dyDescent="0.2"/>
  <cols>
    <col min="1" max="1" width="4.6640625" style="1480" customWidth="1"/>
    <col min="2" max="2" width="9.6640625" style="1481" customWidth="1"/>
    <col min="3" max="3" width="71.83203125" style="1481" customWidth="1"/>
    <col min="4" max="5" width="11.33203125" style="1354" hidden="1" customWidth="1"/>
    <col min="6" max="9" width="11.33203125" style="1354" customWidth="1"/>
    <col min="10" max="10" width="14.5" style="1354" customWidth="1"/>
    <col min="11" max="16384" width="9.33203125" style="1361"/>
  </cols>
  <sheetData>
    <row r="1" spans="1:10" s="1364" customFormat="1" ht="16.5" customHeight="1" thickBot="1" x14ac:dyDescent="0.25">
      <c r="A1" s="1212"/>
      <c r="B1" s="1213"/>
      <c r="C1" s="1395"/>
      <c r="D1" s="1363"/>
      <c r="E1" s="1363"/>
      <c r="F1" s="1363"/>
      <c r="G1" s="1363"/>
      <c r="H1" s="1363"/>
      <c r="I1" s="1363"/>
      <c r="J1" s="1363"/>
    </row>
    <row r="2" spans="1:10" s="1365" customFormat="1" ht="25.5" customHeight="1" thickBot="1" x14ac:dyDescent="0.25">
      <c r="A2" s="1549" t="s">
        <v>237</v>
      </c>
      <c r="B2" s="1550"/>
      <c r="C2" s="1396" t="s">
        <v>711</v>
      </c>
      <c r="D2" s="1217"/>
      <c r="E2" s="1218" t="s">
        <v>1005</v>
      </c>
      <c r="F2" s="1218"/>
      <c r="G2" s="1218"/>
      <c r="H2" s="1218"/>
      <c r="I2" s="1218"/>
      <c r="J2" s="1219" t="s">
        <v>1005</v>
      </c>
    </row>
    <row r="3" spans="1:10" s="1365" customFormat="1" ht="16.5" hidden="1" thickBot="1" x14ac:dyDescent="0.25">
      <c r="A3" s="1221" t="s">
        <v>206</v>
      </c>
      <c r="B3" s="1222"/>
      <c r="C3" s="1397" t="s">
        <v>1006</v>
      </c>
      <c r="D3" s="1224" t="s">
        <v>1007</v>
      </c>
      <c r="E3" s="1224" t="s">
        <v>1007</v>
      </c>
      <c r="F3" s="1224" t="s">
        <v>1007</v>
      </c>
      <c r="G3" s="1224" t="s">
        <v>1007</v>
      </c>
      <c r="H3" s="1224"/>
      <c r="I3" s="1224"/>
      <c r="J3" s="1224" t="s">
        <v>1007</v>
      </c>
    </row>
    <row r="4" spans="1:10" s="1366" customFormat="1" ht="15.95" customHeight="1" thickBot="1" x14ac:dyDescent="0.3">
      <c r="A4" s="1225"/>
      <c r="B4" s="1225"/>
      <c r="C4" s="1225"/>
      <c r="D4" s="1226"/>
      <c r="E4" s="1226" t="s">
        <v>1008</v>
      </c>
      <c r="F4" s="1226"/>
      <c r="G4" s="1226"/>
      <c r="H4" s="1226"/>
      <c r="I4" s="1226"/>
      <c r="J4" s="1226" t="s">
        <v>1008</v>
      </c>
    </row>
    <row r="5" spans="1:10" ht="26.25" thickBot="1" x14ac:dyDescent="0.25">
      <c r="A5" s="1549" t="s">
        <v>208</v>
      </c>
      <c r="B5" s="1550"/>
      <c r="C5" s="1228" t="s">
        <v>1009</v>
      </c>
      <c r="D5" s="1229" t="s">
        <v>1037</v>
      </c>
      <c r="E5" s="1230" t="s">
        <v>1038</v>
      </c>
      <c r="F5" s="1231" t="s">
        <v>1039</v>
      </c>
      <c r="G5" s="933" t="s">
        <v>1148</v>
      </c>
      <c r="H5" s="933" t="s">
        <v>1189</v>
      </c>
      <c r="I5" s="933" t="s">
        <v>1190</v>
      </c>
      <c r="J5" s="933" t="s">
        <v>1147</v>
      </c>
    </row>
    <row r="6" spans="1:10" s="1368" customFormat="1" ht="12.95" customHeight="1" thickBot="1" x14ac:dyDescent="0.25">
      <c r="A6" s="1233">
        <v>1</v>
      </c>
      <c r="B6" s="1234">
        <v>2</v>
      </c>
      <c r="C6" s="1235">
        <v>3</v>
      </c>
      <c r="D6" s="1236">
        <v>4</v>
      </c>
      <c r="E6" s="1237">
        <v>5</v>
      </c>
      <c r="F6" s="1238">
        <v>4</v>
      </c>
      <c r="G6" s="1239">
        <v>5</v>
      </c>
      <c r="H6" s="1239"/>
      <c r="I6" s="1239"/>
      <c r="J6" s="1239">
        <v>6</v>
      </c>
    </row>
    <row r="7" spans="1:10" s="1368" customFormat="1" ht="15.95" customHeight="1" thickBot="1" x14ac:dyDescent="0.25">
      <c r="A7" s="1241"/>
      <c r="B7" s="1242"/>
      <c r="C7" s="1242" t="s">
        <v>1011</v>
      </c>
      <c r="D7" s="1398"/>
      <c r="E7" s="1399"/>
      <c r="F7" s="1400"/>
      <c r="G7" s="1401"/>
      <c r="H7" s="1401"/>
      <c r="I7" s="1401"/>
      <c r="J7" s="1401"/>
    </row>
    <row r="8" spans="1:10" s="1368" customFormat="1" ht="12" customHeight="1" thickBot="1" x14ac:dyDescent="0.25">
      <c r="A8" s="1233" t="s">
        <v>969</v>
      </c>
      <c r="B8" s="1247"/>
      <c r="C8" s="1402" t="s">
        <v>209</v>
      </c>
      <c r="D8" s="1250">
        <f>+D9+D14</f>
        <v>124904</v>
      </c>
      <c r="E8" s="1250">
        <f>+E9+E14</f>
        <v>102887</v>
      </c>
      <c r="F8" s="1251">
        <f>+F9+F14</f>
        <v>97638</v>
      </c>
      <c r="G8" s="1252">
        <f>+G9+G14</f>
        <v>-11130</v>
      </c>
      <c r="H8" s="1252">
        <f t="shared" ref="H8:I8" si="0">+H9+H14</f>
        <v>0</v>
      </c>
      <c r="I8" s="1252">
        <f t="shared" si="0"/>
        <v>11130</v>
      </c>
      <c r="J8" s="1252">
        <f>F8+G8+H8+I8</f>
        <v>97638</v>
      </c>
    </row>
    <row r="9" spans="1:10" s="1369" customFormat="1" ht="12" customHeight="1" thickBot="1" x14ac:dyDescent="0.25">
      <c r="A9" s="1233" t="s">
        <v>970</v>
      </c>
      <c r="B9" s="1247"/>
      <c r="C9" s="1403" t="s">
        <v>900</v>
      </c>
      <c r="D9" s="1250">
        <f>SUM(D10:D13)</f>
        <v>84681</v>
      </c>
      <c r="E9" s="1250">
        <f>SUM(E10:E13)</f>
        <v>95825</v>
      </c>
      <c r="F9" s="1251">
        <f>SUM(F10:F13)</f>
        <v>90200</v>
      </c>
      <c r="G9" s="1252">
        <f>SUM(G10:G13)</f>
        <v>-11130</v>
      </c>
      <c r="H9" s="1252">
        <f t="shared" ref="H9:I9" si="1">SUM(H10:H13)</f>
        <v>0</v>
      </c>
      <c r="I9" s="1252">
        <f t="shared" si="1"/>
        <v>11130</v>
      </c>
      <c r="J9" s="1252">
        <f t="shared" ref="J9:J59" si="2">F9+G9+H9+I9</f>
        <v>90200</v>
      </c>
    </row>
    <row r="10" spans="1:10" s="1370" customFormat="1" ht="12" customHeight="1" x14ac:dyDescent="0.2">
      <c r="A10" s="1261"/>
      <c r="B10" s="1255" t="s">
        <v>66</v>
      </c>
      <c r="C10" s="1404" t="s">
        <v>1013</v>
      </c>
      <c r="D10" s="1264">
        <v>81677</v>
      </c>
      <c r="E10" s="1264">
        <v>92783</v>
      </c>
      <c r="F10" s="1265">
        <v>87700</v>
      </c>
      <c r="G10" s="1266">
        <v>-11130</v>
      </c>
      <c r="H10" s="1266"/>
      <c r="I10" s="1266">
        <v>11130</v>
      </c>
      <c r="J10" s="1266">
        <f t="shared" si="2"/>
        <v>87700</v>
      </c>
    </row>
    <row r="11" spans="1:10" s="1370" customFormat="1" ht="12" customHeight="1" x14ac:dyDescent="0.2">
      <c r="A11" s="1261"/>
      <c r="B11" s="1255" t="s">
        <v>67</v>
      </c>
      <c r="C11" s="1405" t="s">
        <v>35</v>
      </c>
      <c r="D11" s="1264"/>
      <c r="E11" s="1264"/>
      <c r="F11" s="1265"/>
      <c r="G11" s="1266"/>
      <c r="H11" s="1266"/>
      <c r="I11" s="1266"/>
      <c r="J11" s="1266">
        <f t="shared" si="2"/>
        <v>0</v>
      </c>
    </row>
    <row r="12" spans="1:10" s="1370" customFormat="1" ht="12" customHeight="1" x14ac:dyDescent="0.2">
      <c r="A12" s="1261"/>
      <c r="B12" s="1255" t="s">
        <v>68</v>
      </c>
      <c r="C12" s="1405" t="s">
        <v>129</v>
      </c>
      <c r="D12" s="1264">
        <v>2816</v>
      </c>
      <c r="E12" s="1264">
        <v>2176</v>
      </c>
      <c r="F12" s="1265">
        <v>2000</v>
      </c>
      <c r="G12" s="1266"/>
      <c r="H12" s="1266"/>
      <c r="I12" s="1266"/>
      <c r="J12" s="1266">
        <f t="shared" si="2"/>
        <v>2000</v>
      </c>
    </row>
    <row r="13" spans="1:10" s="1370" customFormat="1" ht="12" customHeight="1" thickBot="1" x14ac:dyDescent="0.25">
      <c r="A13" s="1261"/>
      <c r="B13" s="1255" t="s">
        <v>69</v>
      </c>
      <c r="C13" s="1406" t="s">
        <v>130</v>
      </c>
      <c r="D13" s="1264">
        <v>188</v>
      </c>
      <c r="E13" s="1264">
        <v>866</v>
      </c>
      <c r="F13" s="1265">
        <v>500</v>
      </c>
      <c r="G13" s="1266"/>
      <c r="H13" s="1266"/>
      <c r="I13" s="1266"/>
      <c r="J13" s="1266">
        <f t="shared" si="2"/>
        <v>500</v>
      </c>
    </row>
    <row r="14" spans="1:10" s="1369" customFormat="1" ht="12" customHeight="1" thickBot="1" x14ac:dyDescent="0.25">
      <c r="A14" s="1233" t="s">
        <v>971</v>
      </c>
      <c r="B14" s="1247"/>
      <c r="C14" s="1403" t="s">
        <v>131</v>
      </c>
      <c r="D14" s="1250">
        <f>SUM(D15:D22)</f>
        <v>40223</v>
      </c>
      <c r="E14" s="1250">
        <f>SUM(E15:E22)</f>
        <v>7062</v>
      </c>
      <c r="F14" s="1251">
        <f>SUM(F15:F22)</f>
        <v>7438</v>
      </c>
      <c r="G14" s="1251">
        <f t="shared" ref="G14:I14" si="3">SUM(G15:G22)</f>
        <v>0</v>
      </c>
      <c r="H14" s="1251">
        <f t="shared" si="3"/>
        <v>0</v>
      </c>
      <c r="I14" s="1251">
        <f t="shared" si="3"/>
        <v>0</v>
      </c>
      <c r="J14" s="1251">
        <f t="shared" si="2"/>
        <v>7438</v>
      </c>
    </row>
    <row r="15" spans="1:10" s="1369" customFormat="1" ht="12" customHeight="1" x14ac:dyDescent="0.2">
      <c r="A15" s="1254"/>
      <c r="B15" s="1255" t="s">
        <v>40</v>
      </c>
      <c r="C15" s="1404" t="s">
        <v>136</v>
      </c>
      <c r="D15" s="1258">
        <v>51</v>
      </c>
      <c r="E15" s="1258">
        <v>0</v>
      </c>
      <c r="F15" s="1259">
        <v>0</v>
      </c>
      <c r="G15" s="1260">
        <v>0</v>
      </c>
      <c r="H15" s="1260"/>
      <c r="I15" s="1260"/>
      <c r="J15" s="1260">
        <f t="shared" si="2"/>
        <v>0</v>
      </c>
    </row>
    <row r="16" spans="1:10" s="1369" customFormat="1" ht="12" customHeight="1" x14ac:dyDescent="0.2">
      <c r="A16" s="1261"/>
      <c r="B16" s="1255" t="s">
        <v>41</v>
      </c>
      <c r="C16" s="1405" t="s">
        <v>137</v>
      </c>
      <c r="D16" s="1264">
        <v>940</v>
      </c>
      <c r="E16" s="1264">
        <v>0</v>
      </c>
      <c r="F16" s="1265">
        <v>0</v>
      </c>
      <c r="G16" s="1266">
        <v>0</v>
      </c>
      <c r="H16" s="1266"/>
      <c r="I16" s="1266"/>
      <c r="J16" s="1266">
        <f t="shared" si="2"/>
        <v>0</v>
      </c>
    </row>
    <row r="17" spans="1:10" s="1369" customFormat="1" ht="12" customHeight="1" x14ac:dyDescent="0.2">
      <c r="A17" s="1261"/>
      <c r="B17" s="1255" t="s">
        <v>42</v>
      </c>
      <c r="C17" s="1405" t="s">
        <v>138</v>
      </c>
      <c r="D17" s="1264">
        <f>7895+69+29-1</f>
        <v>7992</v>
      </c>
      <c r="E17" s="1264">
        <v>6337</v>
      </c>
      <c r="F17" s="1265">
        <v>7223</v>
      </c>
      <c r="G17" s="1266"/>
      <c r="H17" s="1266"/>
      <c r="I17" s="1266"/>
      <c r="J17" s="1266">
        <f t="shared" si="2"/>
        <v>7223</v>
      </c>
    </row>
    <row r="18" spans="1:10" s="1369" customFormat="1" ht="12" customHeight="1" x14ac:dyDescent="0.2">
      <c r="A18" s="1261"/>
      <c r="B18" s="1255" t="s">
        <v>43</v>
      </c>
      <c r="C18" s="1405" t="s">
        <v>139</v>
      </c>
      <c r="D18" s="1264">
        <f>4213-1050</f>
        <v>3163</v>
      </c>
      <c r="E18" s="1264">
        <v>131</v>
      </c>
      <c r="F18" s="1265">
        <v>215</v>
      </c>
      <c r="G18" s="1266"/>
      <c r="H18" s="1266"/>
      <c r="I18" s="1266"/>
      <c r="J18" s="1266">
        <f t="shared" si="2"/>
        <v>215</v>
      </c>
    </row>
    <row r="19" spans="1:10" s="1369" customFormat="1" ht="12" customHeight="1" x14ac:dyDescent="0.2">
      <c r="A19" s="1261"/>
      <c r="B19" s="1255" t="s">
        <v>132</v>
      </c>
      <c r="C19" s="1405" t="s">
        <v>140</v>
      </c>
      <c r="D19" s="1264">
        <f>2527-848</f>
        <v>1679</v>
      </c>
      <c r="E19" s="1264">
        <v>17</v>
      </c>
      <c r="F19" s="1265">
        <v>0</v>
      </c>
      <c r="G19" s="1266">
        <v>0</v>
      </c>
      <c r="H19" s="1266"/>
      <c r="I19" s="1266"/>
      <c r="J19" s="1266">
        <f t="shared" si="2"/>
        <v>0</v>
      </c>
    </row>
    <row r="20" spans="1:10" s="1369" customFormat="1" ht="12" customHeight="1" x14ac:dyDescent="0.2">
      <c r="A20" s="1268"/>
      <c r="B20" s="1255" t="s">
        <v>133</v>
      </c>
      <c r="C20" s="1405" t="s">
        <v>243</v>
      </c>
      <c r="D20" s="1270">
        <f>26460-513</f>
        <v>25947</v>
      </c>
      <c r="E20" s="1270">
        <v>0</v>
      </c>
      <c r="F20" s="1271">
        <v>0</v>
      </c>
      <c r="G20" s="1272">
        <v>0</v>
      </c>
      <c r="H20" s="1272"/>
      <c r="I20" s="1272"/>
      <c r="J20" s="1272">
        <f t="shared" si="2"/>
        <v>0</v>
      </c>
    </row>
    <row r="21" spans="1:10" s="1370" customFormat="1" ht="12" customHeight="1" x14ac:dyDescent="0.2">
      <c r="A21" s="1261"/>
      <c r="B21" s="1255" t="s">
        <v>134</v>
      </c>
      <c r="C21" s="1405" t="s">
        <v>142</v>
      </c>
      <c r="D21" s="1264">
        <f>230-1</f>
        <v>229</v>
      </c>
      <c r="E21" s="1264">
        <v>475</v>
      </c>
      <c r="F21" s="1265">
        <v>0</v>
      </c>
      <c r="G21" s="1266">
        <v>0</v>
      </c>
      <c r="H21" s="1266"/>
      <c r="I21" s="1266"/>
      <c r="J21" s="1266">
        <f t="shared" si="2"/>
        <v>0</v>
      </c>
    </row>
    <row r="22" spans="1:10" s="1370" customFormat="1" ht="12" customHeight="1" thickBot="1" x14ac:dyDescent="0.25">
      <c r="A22" s="1274"/>
      <c r="B22" s="1275" t="s">
        <v>135</v>
      </c>
      <c r="C22" s="1406" t="s">
        <v>143</v>
      </c>
      <c r="D22" s="1277">
        <v>222</v>
      </c>
      <c r="E22" s="1277">
        <v>102</v>
      </c>
      <c r="F22" s="1278">
        <v>0</v>
      </c>
      <c r="G22" s="1279">
        <v>0</v>
      </c>
      <c r="H22" s="1279"/>
      <c r="I22" s="1279"/>
      <c r="J22" s="1279">
        <f t="shared" si="2"/>
        <v>0</v>
      </c>
    </row>
    <row r="23" spans="1:10" s="1370" customFormat="1" ht="12" customHeight="1" thickBot="1" x14ac:dyDescent="0.25">
      <c r="A23" s="1233" t="s">
        <v>972</v>
      </c>
      <c r="B23" s="1407"/>
      <c r="C23" s="1403" t="s">
        <v>244</v>
      </c>
      <c r="D23" s="1298">
        <v>112149</v>
      </c>
      <c r="E23" s="1298">
        <v>7832</v>
      </c>
      <c r="F23" s="1299">
        <v>8000</v>
      </c>
      <c r="G23" s="1300"/>
      <c r="H23" s="1300"/>
      <c r="I23" s="1300"/>
      <c r="J23" s="1300">
        <f t="shared" si="2"/>
        <v>8000</v>
      </c>
    </row>
    <row r="24" spans="1:10" s="1369" customFormat="1" ht="12" customHeight="1" thickBot="1" x14ac:dyDescent="0.25">
      <c r="A24" s="1233" t="s">
        <v>973</v>
      </c>
      <c r="B24" s="1247"/>
      <c r="C24" s="1403" t="s">
        <v>901</v>
      </c>
      <c r="D24" s="1250">
        <f>SUM(D25:D32)</f>
        <v>262575</v>
      </c>
      <c r="E24" s="1250">
        <f>SUM(E25:E32)</f>
        <v>115920</v>
      </c>
      <c r="F24" s="1251">
        <f>SUM(F25:F32)</f>
        <v>147818</v>
      </c>
      <c r="G24" s="1251">
        <f t="shared" ref="G24:I24" si="4">SUM(G25:G32)</f>
        <v>6933</v>
      </c>
      <c r="H24" s="1251">
        <f t="shared" si="4"/>
        <v>-341</v>
      </c>
      <c r="I24" s="1251">
        <f t="shared" si="4"/>
        <v>1622</v>
      </c>
      <c r="J24" s="1251">
        <f t="shared" si="2"/>
        <v>156032</v>
      </c>
    </row>
    <row r="25" spans="1:10" s="1370" customFormat="1" ht="12" customHeight="1" x14ac:dyDescent="0.2">
      <c r="A25" s="1261"/>
      <c r="B25" s="1255" t="s">
        <v>44</v>
      </c>
      <c r="C25" s="1404" t="s">
        <v>902</v>
      </c>
      <c r="D25" s="1344">
        <v>54633</v>
      </c>
      <c r="E25" s="1344">
        <f>153232-51718</f>
        <v>101514</v>
      </c>
      <c r="F25" s="1345">
        <f>145863+1955</f>
        <v>147818</v>
      </c>
      <c r="G25" s="1346">
        <v>4668</v>
      </c>
      <c r="H25" s="1346">
        <f>440-2673-15+190-864</f>
        <v>-2922</v>
      </c>
      <c r="I25" s="1346">
        <v>822</v>
      </c>
      <c r="J25" s="1346">
        <f t="shared" si="2"/>
        <v>150386</v>
      </c>
    </row>
    <row r="26" spans="1:10" s="1370" customFormat="1" ht="12" customHeight="1" x14ac:dyDescent="0.2">
      <c r="A26" s="1261"/>
      <c r="B26" s="1255" t="s">
        <v>45</v>
      </c>
      <c r="C26" s="1405" t="s">
        <v>152</v>
      </c>
      <c r="D26" s="1344">
        <v>10150</v>
      </c>
      <c r="E26" s="1344">
        <v>0</v>
      </c>
      <c r="F26" s="1345">
        <v>0</v>
      </c>
      <c r="G26" s="1346">
        <v>1937</v>
      </c>
      <c r="H26" s="1346">
        <v>6</v>
      </c>
      <c r="I26" s="1346"/>
      <c r="J26" s="1346">
        <f t="shared" si="2"/>
        <v>1943</v>
      </c>
    </row>
    <row r="27" spans="1:10" s="1370" customFormat="1" ht="12" customHeight="1" x14ac:dyDescent="0.2">
      <c r="A27" s="1261"/>
      <c r="B27" s="1255" t="s">
        <v>46</v>
      </c>
      <c r="C27" s="1405" t="s">
        <v>49</v>
      </c>
      <c r="D27" s="1344">
        <v>20962</v>
      </c>
      <c r="E27" s="1344">
        <v>0</v>
      </c>
      <c r="F27" s="1345">
        <v>0</v>
      </c>
      <c r="G27" s="1346">
        <v>328</v>
      </c>
      <c r="H27" s="1346">
        <v>638</v>
      </c>
      <c r="I27" s="1346">
        <v>800</v>
      </c>
      <c r="J27" s="1346">
        <f t="shared" si="2"/>
        <v>1766</v>
      </c>
    </row>
    <row r="28" spans="1:10" s="1370" customFormat="1" ht="12" customHeight="1" x14ac:dyDescent="0.2">
      <c r="A28" s="1261"/>
      <c r="B28" s="1255" t="s">
        <v>147</v>
      </c>
      <c r="C28" s="1405" t="s">
        <v>1017</v>
      </c>
      <c r="D28" s="1344">
        <v>0</v>
      </c>
      <c r="E28" s="1344">
        <v>9420</v>
      </c>
      <c r="F28" s="1345">
        <v>0</v>
      </c>
      <c r="G28" s="1346">
        <v>0</v>
      </c>
      <c r="H28" s="1346"/>
      <c r="I28" s="1346"/>
      <c r="J28" s="1346">
        <f t="shared" si="2"/>
        <v>0</v>
      </c>
    </row>
    <row r="29" spans="1:10" s="1370" customFormat="1" ht="12" customHeight="1" x14ac:dyDescent="0.2">
      <c r="A29" s="1261"/>
      <c r="B29" s="1255" t="s">
        <v>148</v>
      </c>
      <c r="C29" s="1405" t="s">
        <v>154</v>
      </c>
      <c r="D29" s="1344">
        <v>0</v>
      </c>
      <c r="E29" s="1344">
        <v>0</v>
      </c>
      <c r="F29" s="1345">
        <v>0</v>
      </c>
      <c r="G29" s="1346">
        <v>0</v>
      </c>
      <c r="H29" s="1346"/>
      <c r="I29" s="1346"/>
      <c r="J29" s="1346">
        <f t="shared" si="2"/>
        <v>0</v>
      </c>
    </row>
    <row r="30" spans="1:10" s="1370" customFormat="1" ht="12" customHeight="1" x14ac:dyDescent="0.2">
      <c r="A30" s="1261"/>
      <c r="B30" s="1255" t="s">
        <v>149</v>
      </c>
      <c r="C30" s="1405" t="s">
        <v>155</v>
      </c>
      <c r="D30" s="1344">
        <v>0</v>
      </c>
      <c r="E30" s="1344">
        <v>0</v>
      </c>
      <c r="F30" s="1345">
        <v>0</v>
      </c>
      <c r="G30" s="1346">
        <v>0</v>
      </c>
      <c r="H30" s="1346"/>
      <c r="I30" s="1346"/>
      <c r="J30" s="1346">
        <f t="shared" si="2"/>
        <v>0</v>
      </c>
    </row>
    <row r="31" spans="1:10" s="1370" customFormat="1" ht="12" customHeight="1" x14ac:dyDescent="0.2">
      <c r="A31" s="1261"/>
      <c r="B31" s="1255" t="s">
        <v>150</v>
      </c>
      <c r="C31" s="1405" t="s">
        <v>245</v>
      </c>
      <c r="D31" s="1344">
        <v>0</v>
      </c>
      <c r="E31" s="1344">
        <v>0</v>
      </c>
      <c r="F31" s="1345">
        <v>0</v>
      </c>
      <c r="G31" s="1346">
        <v>0</v>
      </c>
      <c r="H31" s="1346"/>
      <c r="I31" s="1346"/>
      <c r="J31" s="1346">
        <f t="shared" si="2"/>
        <v>0</v>
      </c>
    </row>
    <row r="32" spans="1:10" s="1370" customFormat="1" ht="12" customHeight="1" thickBot="1" x14ac:dyDescent="0.25">
      <c r="A32" s="1274"/>
      <c r="B32" s="1275" t="s">
        <v>151</v>
      </c>
      <c r="C32" s="1408" t="s">
        <v>210</v>
      </c>
      <c r="D32" s="1375">
        <v>176830</v>
      </c>
      <c r="E32" s="1375">
        <v>4986</v>
      </c>
      <c r="F32" s="1376">
        <v>0</v>
      </c>
      <c r="G32" s="1377">
        <v>0</v>
      </c>
      <c r="H32" s="1377">
        <v>1937</v>
      </c>
      <c r="I32" s="1377"/>
      <c r="J32" s="1377">
        <f t="shared" si="2"/>
        <v>1937</v>
      </c>
    </row>
    <row r="33" spans="1:10" s="1370" customFormat="1" ht="12" customHeight="1" thickBot="1" x14ac:dyDescent="0.25">
      <c r="A33" s="1281" t="s">
        <v>974</v>
      </c>
      <c r="B33" s="1098"/>
      <c r="C33" s="1402" t="s">
        <v>424</v>
      </c>
      <c r="D33" s="1250">
        <f>+D34+D40</f>
        <v>188510</v>
      </c>
      <c r="E33" s="1250">
        <f>+E34+E40</f>
        <v>16009</v>
      </c>
      <c r="F33" s="1251">
        <f>+F34+F40</f>
        <v>15431</v>
      </c>
      <c r="G33" s="1251">
        <f t="shared" ref="G33:I33" si="5">+G34+G40</f>
        <v>5782</v>
      </c>
      <c r="H33" s="1251">
        <f t="shared" si="5"/>
        <v>16682</v>
      </c>
      <c r="I33" s="1251">
        <f t="shared" si="5"/>
        <v>0</v>
      </c>
      <c r="J33" s="1251">
        <f t="shared" si="2"/>
        <v>37895</v>
      </c>
    </row>
    <row r="34" spans="1:10" s="1370" customFormat="1" ht="12" customHeight="1" x14ac:dyDescent="0.2">
      <c r="A34" s="1254"/>
      <c r="B34" s="1309" t="s">
        <v>47</v>
      </c>
      <c r="C34" s="1409" t="s">
        <v>382</v>
      </c>
      <c r="D34" s="1410">
        <f>SUM(D35:D39)</f>
        <v>12712</v>
      </c>
      <c r="E34" s="1410">
        <f>SUM(E35:E39)</f>
        <v>14556</v>
      </c>
      <c r="F34" s="1411">
        <f>SUM(F35:F39)</f>
        <v>15431</v>
      </c>
      <c r="G34" s="1412">
        <f>SUM(G35:G39)</f>
        <v>5782</v>
      </c>
      <c r="H34" s="1412">
        <f t="shared" ref="H34:I34" si="6">SUM(H35:H39)</f>
        <v>921</v>
      </c>
      <c r="I34" s="1412">
        <f t="shared" si="6"/>
        <v>0</v>
      </c>
      <c r="J34" s="1412">
        <f t="shared" si="2"/>
        <v>22134</v>
      </c>
    </row>
    <row r="35" spans="1:10" s="1370" customFormat="1" ht="12" customHeight="1" x14ac:dyDescent="0.2">
      <c r="A35" s="1261"/>
      <c r="B35" s="1342" t="s">
        <v>50</v>
      </c>
      <c r="C35" s="1405" t="s">
        <v>246</v>
      </c>
      <c r="D35" s="1264">
        <v>3646</v>
      </c>
      <c r="E35" s="1264">
        <v>3858</v>
      </c>
      <c r="F35" s="1265">
        <v>3996</v>
      </c>
      <c r="G35" s="1266"/>
      <c r="H35" s="1266"/>
      <c r="I35" s="1266"/>
      <c r="J35" s="1266">
        <f t="shared" si="2"/>
        <v>3996</v>
      </c>
    </row>
    <row r="36" spans="1:10" s="1370" customFormat="1" ht="12" customHeight="1" x14ac:dyDescent="0.2">
      <c r="A36" s="1261"/>
      <c r="B36" s="1342" t="s">
        <v>51</v>
      </c>
      <c r="C36" s="1405" t="s">
        <v>1016</v>
      </c>
      <c r="D36" s="1264"/>
      <c r="E36" s="1264"/>
      <c r="F36" s="1265"/>
      <c r="G36" s="1266"/>
      <c r="H36" s="1266"/>
      <c r="I36" s="1266"/>
      <c r="J36" s="1266">
        <f t="shared" si="2"/>
        <v>0</v>
      </c>
    </row>
    <row r="37" spans="1:10" s="1370" customFormat="1" ht="12" customHeight="1" x14ac:dyDescent="0.2">
      <c r="A37" s="1261"/>
      <c r="B37" s="1342" t="s">
        <v>52</v>
      </c>
      <c r="C37" s="1405" t="s">
        <v>248</v>
      </c>
      <c r="D37" s="1264"/>
      <c r="E37" s="1264"/>
      <c r="F37" s="1265"/>
      <c r="G37" s="1266"/>
      <c r="H37" s="1266"/>
      <c r="I37" s="1266"/>
      <c r="J37" s="1266">
        <f t="shared" si="2"/>
        <v>0</v>
      </c>
    </row>
    <row r="38" spans="1:10" s="1370" customFormat="1" ht="12" customHeight="1" x14ac:dyDescent="0.2">
      <c r="A38" s="1261"/>
      <c r="B38" s="1342" t="s">
        <v>53</v>
      </c>
      <c r="C38" s="1405" t="s">
        <v>249</v>
      </c>
      <c r="D38" s="1264"/>
      <c r="E38" s="1264"/>
      <c r="F38" s="1265"/>
      <c r="G38" s="1266"/>
      <c r="H38" s="1266"/>
      <c r="I38" s="1266"/>
      <c r="J38" s="1266">
        <f t="shared" si="2"/>
        <v>0</v>
      </c>
    </row>
    <row r="39" spans="1:10" s="1370" customFormat="1" ht="12" customHeight="1" x14ac:dyDescent="0.2">
      <c r="A39" s="1261"/>
      <c r="B39" s="1342" t="s">
        <v>157</v>
      </c>
      <c r="C39" s="1405" t="s">
        <v>383</v>
      </c>
      <c r="D39" s="1264">
        <v>9066</v>
      </c>
      <c r="E39" s="1264">
        <v>10698</v>
      </c>
      <c r="F39" s="1265">
        <v>11435</v>
      </c>
      <c r="G39" s="1266">
        <v>5782</v>
      </c>
      <c r="H39" s="1266">
        <v>921</v>
      </c>
      <c r="I39" s="1266"/>
      <c r="J39" s="1266">
        <f t="shared" si="2"/>
        <v>18138</v>
      </c>
    </row>
    <row r="40" spans="1:10" s="1370" customFormat="1" ht="12" customHeight="1" x14ac:dyDescent="0.2">
      <c r="A40" s="1261"/>
      <c r="B40" s="1342" t="s">
        <v>48</v>
      </c>
      <c r="C40" s="1413" t="s">
        <v>384</v>
      </c>
      <c r="D40" s="1414">
        <f>SUM(D41:D45)</f>
        <v>175798</v>
      </c>
      <c r="E40" s="1414">
        <f>SUM(E41:E45)</f>
        <v>1453</v>
      </c>
      <c r="F40" s="1415">
        <f>SUM(F41:F45)</f>
        <v>0</v>
      </c>
      <c r="G40" s="1416">
        <f>SUM(G41:G45)</f>
        <v>0</v>
      </c>
      <c r="H40" s="1416">
        <f t="shared" ref="H40:J40" si="7">SUM(H41:H45)</f>
        <v>15761</v>
      </c>
      <c r="I40" s="1416">
        <f t="shared" si="7"/>
        <v>0</v>
      </c>
      <c r="J40" s="1416">
        <f t="shared" si="7"/>
        <v>15761</v>
      </c>
    </row>
    <row r="41" spans="1:10" s="1370" customFormat="1" ht="12" customHeight="1" x14ac:dyDescent="0.2">
      <c r="A41" s="1261"/>
      <c r="B41" s="1342" t="s">
        <v>56</v>
      </c>
      <c r="C41" s="1405" t="s">
        <v>246</v>
      </c>
      <c r="D41" s="1264"/>
      <c r="E41" s="1264"/>
      <c r="F41" s="1265"/>
      <c r="G41" s="1266"/>
      <c r="H41" s="1266"/>
      <c r="I41" s="1266"/>
      <c r="J41" s="1266">
        <f t="shared" si="2"/>
        <v>0</v>
      </c>
    </row>
    <row r="42" spans="1:10" s="1370" customFormat="1" ht="12" customHeight="1" x14ac:dyDescent="0.2">
      <c r="A42" s="1261"/>
      <c r="B42" s="1342" t="s">
        <v>57</v>
      </c>
      <c r="C42" s="1405" t="s">
        <v>247</v>
      </c>
      <c r="D42" s="1264"/>
      <c r="E42" s="1264"/>
      <c r="F42" s="1265"/>
      <c r="G42" s="1266"/>
      <c r="H42" s="1266"/>
      <c r="I42" s="1266"/>
      <c r="J42" s="1266">
        <f t="shared" si="2"/>
        <v>0</v>
      </c>
    </row>
    <row r="43" spans="1:10" s="1370" customFormat="1" ht="12" customHeight="1" x14ac:dyDescent="0.2">
      <c r="A43" s="1261"/>
      <c r="B43" s="1342" t="s">
        <v>58</v>
      </c>
      <c r="C43" s="1405" t="s">
        <v>248</v>
      </c>
      <c r="D43" s="1264"/>
      <c r="E43" s="1264"/>
      <c r="F43" s="1265"/>
      <c r="G43" s="1266"/>
      <c r="H43" s="1266"/>
      <c r="I43" s="1266"/>
      <c r="J43" s="1266">
        <f t="shared" si="2"/>
        <v>0</v>
      </c>
    </row>
    <row r="44" spans="1:10" s="1370" customFormat="1" ht="12" customHeight="1" x14ac:dyDescent="0.2">
      <c r="A44" s="1261"/>
      <c r="B44" s="1342" t="s">
        <v>59</v>
      </c>
      <c r="C44" s="1405" t="s">
        <v>249</v>
      </c>
      <c r="D44" s="1264">
        <v>166716</v>
      </c>
      <c r="E44" s="1264">
        <v>1453</v>
      </c>
      <c r="F44" s="1265"/>
      <c r="G44" s="1266"/>
      <c r="H44" s="1266">
        <f>7377+7734</f>
        <v>15111</v>
      </c>
      <c r="I44" s="1266"/>
      <c r="J44" s="1266">
        <f t="shared" si="2"/>
        <v>15111</v>
      </c>
    </row>
    <row r="45" spans="1:10" s="1370" customFormat="1" ht="12" customHeight="1" thickBot="1" x14ac:dyDescent="0.25">
      <c r="A45" s="1417"/>
      <c r="B45" s="1311" t="s">
        <v>158</v>
      </c>
      <c r="C45" s="1406" t="s">
        <v>385</v>
      </c>
      <c r="D45" s="1418">
        <v>9082</v>
      </c>
      <c r="E45" s="1418">
        <v>0</v>
      </c>
      <c r="F45" s="1419"/>
      <c r="G45" s="1420"/>
      <c r="H45" s="1420">
        <v>650</v>
      </c>
      <c r="I45" s="1420"/>
      <c r="J45" s="1420">
        <f t="shared" si="2"/>
        <v>650</v>
      </c>
    </row>
    <row r="46" spans="1:10" s="1369" customFormat="1" ht="12" customHeight="1" thickBot="1" x14ac:dyDescent="0.25">
      <c r="A46" s="1281" t="s">
        <v>975</v>
      </c>
      <c r="B46" s="1247"/>
      <c r="C46" s="1403" t="s">
        <v>250</v>
      </c>
      <c r="D46" s="1250">
        <f>+D47+D48</f>
        <v>430</v>
      </c>
      <c r="E46" s="1250">
        <f>+E47+E48</f>
        <v>400</v>
      </c>
      <c r="F46" s="1251">
        <f>+F47+F48</f>
        <v>11435</v>
      </c>
      <c r="G46" s="1251">
        <f t="shared" ref="G46:I46" si="8">+G47+G48</f>
        <v>-11435</v>
      </c>
      <c r="H46" s="1251">
        <f t="shared" si="8"/>
        <v>0</v>
      </c>
      <c r="I46" s="1251">
        <f t="shared" si="8"/>
        <v>0</v>
      </c>
      <c r="J46" s="1251">
        <f t="shared" si="2"/>
        <v>0</v>
      </c>
    </row>
    <row r="47" spans="1:10" s="1370" customFormat="1" ht="12" customHeight="1" x14ac:dyDescent="0.2">
      <c r="A47" s="1261"/>
      <c r="B47" s="1342" t="s">
        <v>54</v>
      </c>
      <c r="C47" s="1404" t="s">
        <v>92</v>
      </c>
      <c r="D47" s="1264">
        <v>430</v>
      </c>
      <c r="E47" s="1264">
        <v>400</v>
      </c>
      <c r="F47" s="1265">
        <v>11435</v>
      </c>
      <c r="G47" s="1266">
        <v>-11435</v>
      </c>
      <c r="H47" s="1266"/>
      <c r="I47" s="1266"/>
      <c r="J47" s="1266">
        <f t="shared" si="2"/>
        <v>0</v>
      </c>
    </row>
    <row r="48" spans="1:10" s="1370" customFormat="1" ht="12" customHeight="1" thickBot="1" x14ac:dyDescent="0.25">
      <c r="A48" s="1261"/>
      <c r="B48" s="1342" t="s">
        <v>55</v>
      </c>
      <c r="C48" s="1406" t="s">
        <v>904</v>
      </c>
      <c r="D48" s="1264">
        <v>0</v>
      </c>
      <c r="E48" s="1264">
        <v>0</v>
      </c>
      <c r="F48" s="1265">
        <v>0</v>
      </c>
      <c r="G48" s="1266">
        <v>0</v>
      </c>
      <c r="H48" s="1266"/>
      <c r="I48" s="1266"/>
      <c r="J48" s="1266">
        <f t="shared" si="2"/>
        <v>0</v>
      </c>
    </row>
    <row r="49" spans="1:11" s="1370" customFormat="1" ht="12" customHeight="1" thickBot="1" x14ac:dyDescent="0.25">
      <c r="A49" s="1233" t="s">
        <v>976</v>
      </c>
      <c r="B49" s="1247"/>
      <c r="C49" s="1403" t="s">
        <v>903</v>
      </c>
      <c r="D49" s="1250">
        <f>+D50+D51+D52</f>
        <v>332</v>
      </c>
      <c r="E49" s="1250">
        <f>+E50+E51+E52</f>
        <v>7184</v>
      </c>
      <c r="F49" s="1251">
        <f>+F50+F51+F52</f>
        <v>414</v>
      </c>
      <c r="G49" s="1251">
        <f t="shared" ref="G49:I49" si="9">+G50+G51+G52</f>
        <v>0</v>
      </c>
      <c r="H49" s="1251">
        <f t="shared" si="9"/>
        <v>0</v>
      </c>
      <c r="I49" s="1251">
        <f t="shared" si="9"/>
        <v>0</v>
      </c>
      <c r="J49" s="1251">
        <f t="shared" si="2"/>
        <v>414</v>
      </c>
    </row>
    <row r="50" spans="1:11" s="1370" customFormat="1" ht="12" customHeight="1" x14ac:dyDescent="0.2">
      <c r="A50" s="1421"/>
      <c r="B50" s="1342" t="s">
        <v>162</v>
      </c>
      <c r="C50" s="1404" t="s">
        <v>160</v>
      </c>
      <c r="D50" s="1422"/>
      <c r="E50" s="1422"/>
      <c r="F50" s="1423"/>
      <c r="G50" s="1424"/>
      <c r="H50" s="1424"/>
      <c r="I50" s="1424"/>
      <c r="J50" s="1424">
        <f t="shared" si="2"/>
        <v>0</v>
      </c>
    </row>
    <row r="51" spans="1:11" s="1370" customFormat="1" ht="12" customHeight="1" x14ac:dyDescent="0.2">
      <c r="A51" s="1421"/>
      <c r="B51" s="1342" t="s">
        <v>163</v>
      </c>
      <c r="C51" s="1405" t="s">
        <v>161</v>
      </c>
      <c r="D51" s="1422">
        <v>332</v>
      </c>
      <c r="E51" s="1422">
        <v>7184</v>
      </c>
      <c r="F51" s="1423">
        <v>414</v>
      </c>
      <c r="G51" s="1424"/>
      <c r="H51" s="1424"/>
      <c r="I51" s="1424"/>
      <c r="J51" s="1424">
        <f t="shared" si="2"/>
        <v>414</v>
      </c>
    </row>
    <row r="52" spans="1:11" s="1370" customFormat="1" ht="12" customHeight="1" thickBot="1" x14ac:dyDescent="0.25">
      <c r="A52" s="1261"/>
      <c r="B52" s="1342" t="s">
        <v>312</v>
      </c>
      <c r="C52" s="1408" t="s">
        <v>252</v>
      </c>
      <c r="D52" s="1264"/>
      <c r="E52" s="1264"/>
      <c r="F52" s="1265"/>
      <c r="G52" s="1266"/>
      <c r="H52" s="1266"/>
      <c r="I52" s="1266"/>
      <c r="J52" s="1266">
        <f t="shared" si="2"/>
        <v>0</v>
      </c>
    </row>
    <row r="53" spans="1:11" s="1370" customFormat="1" ht="12" customHeight="1" thickBot="1" x14ac:dyDescent="0.25">
      <c r="A53" s="1281" t="s">
        <v>977</v>
      </c>
      <c r="B53" s="1348"/>
      <c r="C53" s="1402" t="s">
        <v>253</v>
      </c>
      <c r="D53" s="1425"/>
      <c r="E53" s="1298"/>
      <c r="F53" s="1299"/>
      <c r="G53" s="1300"/>
      <c r="H53" s="1300"/>
      <c r="I53" s="1300"/>
      <c r="J53" s="1300">
        <f t="shared" si="2"/>
        <v>0</v>
      </c>
    </row>
    <row r="54" spans="1:11" s="1369" customFormat="1" ht="12" customHeight="1" thickBot="1" x14ac:dyDescent="0.25">
      <c r="A54" s="1426" t="s">
        <v>978</v>
      </c>
      <c r="B54" s="1427"/>
      <c r="C54" s="1402" t="s">
        <v>425</v>
      </c>
      <c r="D54" s="1428">
        <f>+D9+D14+D23+D24+D33+D46+D49+D53</f>
        <v>688900</v>
      </c>
      <c r="E54" s="1429">
        <f>+E9+E14+E23+E24+E33+E46+E49+E53</f>
        <v>250232</v>
      </c>
      <c r="F54" s="1430">
        <f>+F9+F14+F23+F24+F33+F46+F49+F53</f>
        <v>280736</v>
      </c>
      <c r="G54" s="1430">
        <f t="shared" ref="G54:I54" si="10">+G9+G14+G23+G24+G33+G46+G49+G53</f>
        <v>-9850</v>
      </c>
      <c r="H54" s="1430">
        <f t="shared" si="10"/>
        <v>16341</v>
      </c>
      <c r="I54" s="1430">
        <f t="shared" si="10"/>
        <v>12752</v>
      </c>
      <c r="J54" s="1430">
        <f t="shared" si="2"/>
        <v>299979</v>
      </c>
    </row>
    <row r="55" spans="1:11" s="1369" customFormat="1" ht="12" customHeight="1" thickBot="1" x14ac:dyDescent="0.25">
      <c r="A55" s="1233" t="s">
        <v>979</v>
      </c>
      <c r="B55" s="1301"/>
      <c r="C55" s="1402" t="s">
        <v>256</v>
      </c>
      <c r="D55" s="1431">
        <f>+D56+D57</f>
        <v>143843</v>
      </c>
      <c r="E55" s="1250">
        <f>+E56+E57</f>
        <v>51718</v>
      </c>
      <c r="F55" s="1251">
        <f>+F56+F57</f>
        <v>0</v>
      </c>
      <c r="G55" s="1252">
        <f>+G56+G57</f>
        <v>34801</v>
      </c>
      <c r="H55" s="1252">
        <f t="shared" ref="H55:I55" si="11">+H56+H57</f>
        <v>0</v>
      </c>
      <c r="I55" s="1252">
        <f t="shared" si="11"/>
        <v>-7488</v>
      </c>
      <c r="J55" s="1252">
        <f t="shared" si="2"/>
        <v>27313</v>
      </c>
    </row>
    <row r="56" spans="1:11" s="1369" customFormat="1" ht="12" customHeight="1" x14ac:dyDescent="0.2">
      <c r="A56" s="1254"/>
      <c r="B56" s="1309" t="s">
        <v>95</v>
      </c>
      <c r="C56" s="1432" t="s">
        <v>1208</v>
      </c>
      <c r="D56" s="1433">
        <v>8513</v>
      </c>
      <c r="E56" s="1434">
        <v>51718</v>
      </c>
      <c r="F56" s="1435"/>
      <c r="G56" s="1436">
        <v>34801</v>
      </c>
      <c r="H56" s="1436"/>
      <c r="I56" s="1436">
        <f>-13192+5704</f>
        <v>-7488</v>
      </c>
      <c r="J56" s="1436">
        <f t="shared" si="2"/>
        <v>27313</v>
      </c>
    </row>
    <row r="57" spans="1:11" s="1369" customFormat="1" ht="12" customHeight="1" thickBot="1" x14ac:dyDescent="0.25">
      <c r="A57" s="1417"/>
      <c r="B57" s="1311" t="s">
        <v>96</v>
      </c>
      <c r="C57" s="1437" t="s">
        <v>905</v>
      </c>
      <c r="D57" s="1314">
        <v>135330</v>
      </c>
      <c r="E57" s="1314"/>
      <c r="F57" s="1315"/>
      <c r="G57" s="1316"/>
      <c r="H57" s="1316"/>
      <c r="I57" s="1316"/>
      <c r="J57" s="1316">
        <f t="shared" si="2"/>
        <v>0</v>
      </c>
    </row>
    <row r="58" spans="1:11" s="1370" customFormat="1" ht="15" customHeight="1" thickBot="1" x14ac:dyDescent="0.25">
      <c r="A58" s="1317" t="s">
        <v>980</v>
      </c>
      <c r="B58" s="1438"/>
      <c r="C58" s="1439" t="s">
        <v>270</v>
      </c>
      <c r="D58" s="1250">
        <v>55</v>
      </c>
      <c r="E58" s="1250">
        <v>9211</v>
      </c>
      <c r="F58" s="1251"/>
      <c r="G58" s="1252"/>
      <c r="H58" s="1252"/>
      <c r="I58" s="1252"/>
      <c r="J58" s="1252">
        <f t="shared" si="2"/>
        <v>0</v>
      </c>
    </row>
    <row r="59" spans="1:11" s="1370" customFormat="1" ht="12" customHeight="1" thickBot="1" x14ac:dyDescent="0.25">
      <c r="A59" s="1317" t="s">
        <v>981</v>
      </c>
      <c r="B59" s="1438"/>
      <c r="C59" s="1439" t="s">
        <v>1020</v>
      </c>
      <c r="D59" s="1250">
        <f>+D54+D55+D58</f>
        <v>832798</v>
      </c>
      <c r="E59" s="1250">
        <f t="shared" ref="E59:I59" si="12">+E54+E55+E58</f>
        <v>311161</v>
      </c>
      <c r="F59" s="1251">
        <f t="shared" si="12"/>
        <v>280736</v>
      </c>
      <c r="G59" s="1251">
        <f t="shared" si="12"/>
        <v>24951</v>
      </c>
      <c r="H59" s="1251">
        <f t="shared" si="12"/>
        <v>16341</v>
      </c>
      <c r="I59" s="1251">
        <f t="shared" si="12"/>
        <v>5264</v>
      </c>
      <c r="J59" s="1251">
        <f t="shared" si="2"/>
        <v>327292</v>
      </c>
      <c r="K59" s="1440"/>
    </row>
    <row r="60" spans="1:11" s="1370" customFormat="1" ht="15" customHeight="1" thickBot="1" x14ac:dyDescent="0.25">
      <c r="A60" s="1441"/>
      <c r="B60" s="1442"/>
      <c r="C60" s="1443"/>
      <c r="D60" s="1306"/>
      <c r="E60" s="1444"/>
      <c r="F60" s="1444"/>
      <c r="G60" s="1444"/>
      <c r="H60" s="1444"/>
      <c r="I60" s="1444"/>
      <c r="J60" s="1444">
        <f t="shared" ref="J60" si="13">F60+G60</f>
        <v>0</v>
      </c>
    </row>
    <row r="61" spans="1:11" s="1365" customFormat="1" ht="33.75" customHeight="1" x14ac:dyDescent="0.2">
      <c r="A61" s="1551" t="s">
        <v>237</v>
      </c>
      <c r="B61" s="1552"/>
      <c r="C61" s="1445" t="s">
        <v>711</v>
      </c>
      <c r="D61" s="1446"/>
      <c r="E61" s="1447" t="s">
        <v>1005</v>
      </c>
      <c r="F61" s="1447"/>
      <c r="G61" s="1447"/>
      <c r="H61" s="1447"/>
      <c r="I61" s="1447"/>
      <c r="J61" s="1447" t="s">
        <v>1005</v>
      </c>
    </row>
    <row r="62" spans="1:11" ht="26.25" thickBot="1" x14ac:dyDescent="0.25">
      <c r="A62" s="1329"/>
      <c r="B62" s="1330"/>
      <c r="C62" s="1330"/>
      <c r="D62" s="1331"/>
      <c r="E62" s="1331"/>
      <c r="F62" s="1331"/>
      <c r="G62" s="1331"/>
      <c r="H62" s="1331"/>
      <c r="I62" s="1331"/>
      <c r="J62" s="1331" t="s">
        <v>1008</v>
      </c>
    </row>
    <row r="63" spans="1:11" s="1368" customFormat="1" ht="26.25" thickBot="1" x14ac:dyDescent="0.25">
      <c r="A63" s="1332"/>
      <c r="B63" s="1333"/>
      <c r="C63" s="1334" t="s">
        <v>1</v>
      </c>
      <c r="D63" s="1229" t="s">
        <v>1037</v>
      </c>
      <c r="E63" s="1230" t="s">
        <v>1038</v>
      </c>
      <c r="F63" s="1231" t="s">
        <v>1039</v>
      </c>
      <c r="G63" s="933" t="s">
        <v>1148</v>
      </c>
      <c r="H63" s="933" t="s">
        <v>1189</v>
      </c>
      <c r="I63" s="933" t="s">
        <v>1190</v>
      </c>
      <c r="J63" s="933" t="s">
        <v>1147</v>
      </c>
    </row>
    <row r="64" spans="1:11" s="1386" customFormat="1" ht="12" customHeight="1" thickBot="1" x14ac:dyDescent="0.25">
      <c r="A64" s="1281" t="s">
        <v>969</v>
      </c>
      <c r="B64" s="999"/>
      <c r="C64" s="1282" t="s">
        <v>924</v>
      </c>
      <c r="D64" s="1249">
        <f>SUM(D65:D69)</f>
        <v>186440</v>
      </c>
      <c r="E64" s="1250">
        <f>SUM(E65:E69)</f>
        <v>114068</v>
      </c>
      <c r="F64" s="1251">
        <f>SUM(F65:F69)</f>
        <v>116608</v>
      </c>
      <c r="G64" s="1252">
        <f>SUM(G65:G69)</f>
        <v>13677</v>
      </c>
      <c r="H64" s="1252">
        <f t="shared" ref="H64:I64" si="14">SUM(H65:H69)</f>
        <v>10893</v>
      </c>
      <c r="I64" s="1252">
        <f t="shared" si="14"/>
        <v>494</v>
      </c>
      <c r="J64" s="1252">
        <f>G64+F64+H64+I64</f>
        <v>141672</v>
      </c>
    </row>
    <row r="65" spans="1:10" ht="12" customHeight="1" x14ac:dyDescent="0.2">
      <c r="A65" s="1335"/>
      <c r="B65" s="1336" t="s">
        <v>60</v>
      </c>
      <c r="C65" s="1256" t="s">
        <v>1000</v>
      </c>
      <c r="D65" s="1448">
        <f>133527-44409-11637</f>
        <v>77481</v>
      </c>
      <c r="E65" s="1422">
        <v>27062</v>
      </c>
      <c r="F65" s="1423">
        <v>42110</v>
      </c>
      <c r="G65" s="1424">
        <f>2645-177</f>
        <v>2468</v>
      </c>
      <c r="H65" s="1424">
        <f>-110+1860+69+180</f>
        <v>1999</v>
      </c>
      <c r="I65" s="1424">
        <v>98</v>
      </c>
      <c r="J65" s="1424">
        <f t="shared" ref="J65:J102" si="15">G65+F65+H65+I65</f>
        <v>46675</v>
      </c>
    </row>
    <row r="66" spans="1:10" ht="12" customHeight="1" x14ac:dyDescent="0.2">
      <c r="A66" s="1341"/>
      <c r="B66" s="1342" t="s">
        <v>61</v>
      </c>
      <c r="C66" s="1262" t="s">
        <v>167</v>
      </c>
      <c r="D66" s="1343">
        <f>35899-11635-3062</f>
        <v>21202</v>
      </c>
      <c r="E66" s="1344">
        <v>6100</v>
      </c>
      <c r="F66" s="1345">
        <v>7869</v>
      </c>
      <c r="G66" s="1346">
        <f>3841-70</f>
        <v>3771</v>
      </c>
      <c r="H66" s="1346">
        <f>502+110+18+32</f>
        <v>662</v>
      </c>
      <c r="I66" s="1346">
        <v>26</v>
      </c>
      <c r="J66" s="1346">
        <f t="shared" si="15"/>
        <v>12328</v>
      </c>
    </row>
    <row r="67" spans="1:10" ht="12" customHeight="1" x14ac:dyDescent="0.2">
      <c r="A67" s="1341"/>
      <c r="B67" s="1342" t="s">
        <v>62</v>
      </c>
      <c r="C67" s="1262" t="s">
        <v>91</v>
      </c>
      <c r="D67" s="1263">
        <f>73856-7600-6339</f>
        <v>59917</v>
      </c>
      <c r="E67" s="1264">
        <v>69586</v>
      </c>
      <c r="F67" s="1265">
        <f>60075-800</f>
        <v>59275</v>
      </c>
      <c r="G67" s="1266">
        <f>4195+953</f>
        <v>5148</v>
      </c>
      <c r="H67" s="1266">
        <f>2324+5408+500</f>
        <v>8232</v>
      </c>
      <c r="I67" s="1266">
        <v>-636</v>
      </c>
      <c r="J67" s="1266">
        <f t="shared" si="15"/>
        <v>72019</v>
      </c>
    </row>
    <row r="68" spans="1:10" ht="12" customHeight="1" x14ac:dyDescent="0.2">
      <c r="A68" s="1341"/>
      <c r="B68" s="1342" t="s">
        <v>63</v>
      </c>
      <c r="C68" s="1262" t="s">
        <v>168</v>
      </c>
      <c r="D68" s="1263">
        <v>21960</v>
      </c>
      <c r="E68" s="1264">
        <v>4524</v>
      </c>
      <c r="F68" s="1265">
        <v>2084</v>
      </c>
      <c r="G68" s="1266"/>
      <c r="H68" s="1266"/>
      <c r="I68" s="1266">
        <f>330+676</f>
        <v>1006</v>
      </c>
      <c r="J68" s="1266">
        <f t="shared" si="15"/>
        <v>3090</v>
      </c>
    </row>
    <row r="69" spans="1:10" ht="12" customHeight="1" x14ac:dyDescent="0.2">
      <c r="A69" s="1341"/>
      <c r="B69" s="1342" t="s">
        <v>74</v>
      </c>
      <c r="C69" s="1262" t="s">
        <v>169</v>
      </c>
      <c r="D69" s="1263">
        <f>SUM(D71:D77)</f>
        <v>5880</v>
      </c>
      <c r="E69" s="1264">
        <f>SUM(E71:E77)</f>
        <v>6796</v>
      </c>
      <c r="F69" s="1265">
        <f>SUM(F71:F77)</f>
        <v>5270</v>
      </c>
      <c r="G69" s="1266">
        <f>SUM(G71:G77)</f>
        <v>2290</v>
      </c>
      <c r="H69" s="1266">
        <f t="shared" ref="H69:I69" si="16">SUM(H71:H77)</f>
        <v>0</v>
      </c>
      <c r="I69" s="1266">
        <f t="shared" si="16"/>
        <v>0</v>
      </c>
      <c r="J69" s="1266">
        <f t="shared" si="15"/>
        <v>7560</v>
      </c>
    </row>
    <row r="70" spans="1:10" ht="12" customHeight="1" x14ac:dyDescent="0.2">
      <c r="A70" s="1341"/>
      <c r="B70" s="1342" t="s">
        <v>64</v>
      </c>
      <c r="C70" s="1262" t="s">
        <v>191</v>
      </c>
      <c r="D70" s="1343"/>
      <c r="E70" s="1344"/>
      <c r="F70" s="1345"/>
      <c r="G70" s="1346"/>
      <c r="H70" s="1346"/>
      <c r="I70" s="1346"/>
      <c r="J70" s="1346">
        <f t="shared" si="15"/>
        <v>0</v>
      </c>
    </row>
    <row r="71" spans="1:10" ht="12" customHeight="1" x14ac:dyDescent="0.2">
      <c r="A71" s="1341"/>
      <c r="B71" s="1342" t="s">
        <v>65</v>
      </c>
      <c r="C71" s="1449" t="s">
        <v>906</v>
      </c>
      <c r="D71" s="1263"/>
      <c r="E71" s="1264"/>
      <c r="F71" s="1265"/>
      <c r="G71" s="1266"/>
      <c r="H71" s="1266"/>
      <c r="I71" s="1266"/>
      <c r="J71" s="1266">
        <f t="shared" si="15"/>
        <v>0</v>
      </c>
    </row>
    <row r="72" spans="1:10" ht="12" customHeight="1" x14ac:dyDescent="0.2">
      <c r="A72" s="1341"/>
      <c r="B72" s="1342" t="s">
        <v>75</v>
      </c>
      <c r="C72" s="1450" t="s">
        <v>426</v>
      </c>
      <c r="D72" s="1263"/>
      <c r="E72" s="1264">
        <v>564</v>
      </c>
      <c r="F72" s="1265"/>
      <c r="G72" s="1266"/>
      <c r="H72" s="1266"/>
      <c r="I72" s="1266"/>
      <c r="J72" s="1266">
        <f t="shared" si="15"/>
        <v>0</v>
      </c>
    </row>
    <row r="73" spans="1:10" ht="12" customHeight="1" x14ac:dyDescent="0.2">
      <c r="A73" s="1341"/>
      <c r="B73" s="1342" t="s">
        <v>76</v>
      </c>
      <c r="C73" s="1450" t="s">
        <v>907</v>
      </c>
      <c r="D73" s="1263">
        <v>5248</v>
      </c>
      <c r="E73" s="1264">
        <v>5781</v>
      </c>
      <c r="F73" s="1265">
        <v>4370</v>
      </c>
      <c r="G73" s="1266">
        <v>90</v>
      </c>
      <c r="H73" s="1266"/>
      <c r="I73" s="1266"/>
      <c r="J73" s="1266">
        <f t="shared" si="15"/>
        <v>4460</v>
      </c>
    </row>
    <row r="74" spans="1:10" ht="12" customHeight="1" x14ac:dyDescent="0.2">
      <c r="A74" s="1341"/>
      <c r="B74" s="1342" t="s">
        <v>77</v>
      </c>
      <c r="C74" s="1450" t="s">
        <v>1134</v>
      </c>
      <c r="D74" s="1263">
        <v>632</v>
      </c>
      <c r="E74" s="1264">
        <v>130</v>
      </c>
      <c r="F74" s="1265">
        <v>800</v>
      </c>
      <c r="G74" s="1266">
        <v>700</v>
      </c>
      <c r="H74" s="1266"/>
      <c r="I74" s="1266"/>
      <c r="J74" s="1266">
        <f t="shared" si="15"/>
        <v>1500</v>
      </c>
    </row>
    <row r="75" spans="1:10" ht="12" customHeight="1" x14ac:dyDescent="0.2">
      <c r="A75" s="1341"/>
      <c r="B75" s="1342" t="s">
        <v>78</v>
      </c>
      <c r="C75" s="1451" t="s">
        <v>908</v>
      </c>
      <c r="D75" s="1263"/>
      <c r="E75" s="1264">
        <v>321</v>
      </c>
      <c r="F75" s="1265">
        <v>100</v>
      </c>
      <c r="G75" s="1266"/>
      <c r="H75" s="1266"/>
      <c r="I75" s="1266"/>
      <c r="J75" s="1266">
        <f t="shared" si="15"/>
        <v>100</v>
      </c>
    </row>
    <row r="76" spans="1:10" ht="12" customHeight="1" x14ac:dyDescent="0.2">
      <c r="A76" s="1341"/>
      <c r="B76" s="1342" t="s">
        <v>80</v>
      </c>
      <c r="C76" s="1452" t="s">
        <v>909</v>
      </c>
      <c r="D76" s="1263"/>
      <c r="E76" s="1264"/>
      <c r="F76" s="1265"/>
      <c r="G76" s="1266"/>
      <c r="H76" s="1266"/>
      <c r="I76" s="1266"/>
      <c r="J76" s="1266">
        <f t="shared" si="15"/>
        <v>0</v>
      </c>
    </row>
    <row r="77" spans="1:10" ht="12" customHeight="1" thickBot="1" x14ac:dyDescent="0.25">
      <c r="A77" s="1453"/>
      <c r="B77" s="1372" t="s">
        <v>170</v>
      </c>
      <c r="C77" s="1454" t="s">
        <v>910</v>
      </c>
      <c r="D77" s="1276"/>
      <c r="E77" s="1277"/>
      <c r="F77" s="1278">
        <v>0</v>
      </c>
      <c r="G77" s="1279">
        <v>1500</v>
      </c>
      <c r="H77" s="1279"/>
      <c r="I77" s="1279"/>
      <c r="J77" s="1279">
        <f t="shared" si="15"/>
        <v>1500</v>
      </c>
    </row>
    <row r="78" spans="1:10" ht="12" customHeight="1" thickBot="1" x14ac:dyDescent="0.25">
      <c r="A78" s="1281" t="s">
        <v>970</v>
      </c>
      <c r="B78" s="999"/>
      <c r="C78" s="1282" t="s">
        <v>923</v>
      </c>
      <c r="D78" s="1249">
        <f>SUM(D79:D88)</f>
        <v>208916</v>
      </c>
      <c r="E78" s="1250">
        <f>SUM(E79:E81)</f>
        <v>17736</v>
      </c>
      <c r="F78" s="1251">
        <f t="shared" ref="F78:I78" si="17">SUM(F79:F88)</f>
        <v>174</v>
      </c>
      <c r="G78" s="1252">
        <f t="shared" si="17"/>
        <v>12334</v>
      </c>
      <c r="H78" s="1252">
        <f t="shared" si="17"/>
        <v>5667</v>
      </c>
      <c r="I78" s="1252">
        <f t="shared" si="17"/>
        <v>0</v>
      </c>
      <c r="J78" s="1252">
        <f t="shared" si="15"/>
        <v>18175</v>
      </c>
    </row>
    <row r="79" spans="1:10" s="1386" customFormat="1" ht="12" customHeight="1" x14ac:dyDescent="0.2">
      <c r="A79" s="1335"/>
      <c r="B79" s="1336" t="s">
        <v>66</v>
      </c>
      <c r="C79" s="1455" t="s">
        <v>911</v>
      </c>
      <c r="D79" s="1337">
        <v>208916</v>
      </c>
      <c r="E79" s="1338">
        <v>17725</v>
      </c>
      <c r="F79" s="1339">
        <v>174</v>
      </c>
      <c r="G79" s="1340">
        <v>4258</v>
      </c>
      <c r="H79" s="1340">
        <f>2326+2691+650</f>
        <v>5667</v>
      </c>
      <c r="I79" s="1340"/>
      <c r="J79" s="1340">
        <f t="shared" si="15"/>
        <v>10099</v>
      </c>
    </row>
    <row r="80" spans="1:10" ht="12" customHeight="1" x14ac:dyDescent="0.2">
      <c r="A80" s="1341"/>
      <c r="B80" s="1342" t="s">
        <v>67</v>
      </c>
      <c r="C80" s="1456" t="s">
        <v>171</v>
      </c>
      <c r="D80" s="1343"/>
      <c r="E80" s="1344"/>
      <c r="F80" s="1345"/>
      <c r="G80" s="1346">
        <f>9029-953</f>
        <v>8076</v>
      </c>
      <c r="H80" s="1346"/>
      <c r="I80" s="1346"/>
      <c r="J80" s="1346">
        <f t="shared" si="15"/>
        <v>8076</v>
      </c>
    </row>
    <row r="81" spans="1:10" ht="12" customHeight="1" x14ac:dyDescent="0.2">
      <c r="A81" s="1341"/>
      <c r="B81" s="1342" t="s">
        <v>68</v>
      </c>
      <c r="C81" s="1456" t="s">
        <v>284</v>
      </c>
      <c r="D81" s="1343"/>
      <c r="E81" s="1344">
        <v>11</v>
      </c>
      <c r="F81" s="1345"/>
      <c r="G81" s="1346"/>
      <c r="H81" s="1346"/>
      <c r="I81" s="1346"/>
      <c r="J81" s="1346">
        <f t="shared" si="15"/>
        <v>0</v>
      </c>
    </row>
    <row r="82" spans="1:10" ht="12" customHeight="1" x14ac:dyDescent="0.2">
      <c r="A82" s="1341"/>
      <c r="B82" s="1342" t="s">
        <v>69</v>
      </c>
      <c r="C82" s="1456" t="s">
        <v>912</v>
      </c>
      <c r="D82" s="1343"/>
      <c r="E82" s="1344"/>
      <c r="F82" s="1345"/>
      <c r="G82" s="1346"/>
      <c r="H82" s="1346"/>
      <c r="I82" s="1346"/>
      <c r="J82" s="1346">
        <f t="shared" si="15"/>
        <v>0</v>
      </c>
    </row>
    <row r="83" spans="1:10" ht="12" customHeight="1" x14ac:dyDescent="0.2">
      <c r="A83" s="1341"/>
      <c r="B83" s="1342" t="s">
        <v>70</v>
      </c>
      <c r="C83" s="1450" t="s">
        <v>917</v>
      </c>
      <c r="D83" s="1343"/>
      <c r="E83" s="1344"/>
      <c r="F83" s="1345"/>
      <c r="G83" s="1346"/>
      <c r="H83" s="1346"/>
      <c r="I83" s="1346"/>
      <c r="J83" s="1346">
        <f t="shared" si="15"/>
        <v>0</v>
      </c>
    </row>
    <row r="84" spans="1:10" ht="12" customHeight="1" x14ac:dyDescent="0.2">
      <c r="A84" s="1341"/>
      <c r="B84" s="1342" t="s">
        <v>79</v>
      </c>
      <c r="C84" s="1450" t="s">
        <v>916</v>
      </c>
      <c r="D84" s="1343"/>
      <c r="E84" s="1344">
        <v>11</v>
      </c>
      <c r="F84" s="1345"/>
      <c r="G84" s="1346"/>
      <c r="H84" s="1346"/>
      <c r="I84" s="1346"/>
      <c r="J84" s="1346">
        <f t="shared" si="15"/>
        <v>0</v>
      </c>
    </row>
    <row r="85" spans="1:10" ht="12" customHeight="1" x14ac:dyDescent="0.2">
      <c r="A85" s="1341"/>
      <c r="B85" s="1342" t="s">
        <v>81</v>
      </c>
      <c r="C85" s="1450" t="s">
        <v>915</v>
      </c>
      <c r="D85" s="1343"/>
      <c r="E85" s="1344"/>
      <c r="F85" s="1345"/>
      <c r="G85" s="1346"/>
      <c r="H85" s="1346"/>
      <c r="I85" s="1346"/>
      <c r="J85" s="1346">
        <f t="shared" si="15"/>
        <v>0</v>
      </c>
    </row>
    <row r="86" spans="1:10" s="1386" customFormat="1" ht="12" customHeight="1" x14ac:dyDescent="0.2">
      <c r="A86" s="1341"/>
      <c r="B86" s="1342" t="s">
        <v>172</v>
      </c>
      <c r="C86" s="1450" t="s">
        <v>914</v>
      </c>
      <c r="D86" s="1343"/>
      <c r="E86" s="1344"/>
      <c r="F86" s="1345"/>
      <c r="G86" s="1346"/>
      <c r="H86" s="1346"/>
      <c r="I86" s="1346"/>
      <c r="J86" s="1346">
        <f t="shared" si="15"/>
        <v>0</v>
      </c>
    </row>
    <row r="87" spans="1:10" ht="25.5" customHeight="1" x14ac:dyDescent="0.2">
      <c r="A87" s="1341"/>
      <c r="B87" s="1342" t="s">
        <v>173</v>
      </c>
      <c r="C87" s="1450" t="s">
        <v>913</v>
      </c>
      <c r="D87" s="1343"/>
      <c r="E87" s="1344"/>
      <c r="F87" s="1345"/>
      <c r="G87" s="1346"/>
      <c r="H87" s="1346"/>
      <c r="I87" s="1346"/>
      <c r="J87" s="1346">
        <f t="shared" si="15"/>
        <v>0</v>
      </c>
    </row>
    <row r="88" spans="1:10" ht="34.5" thickBot="1" x14ac:dyDescent="0.25">
      <c r="A88" s="1341"/>
      <c r="B88" s="1342" t="s">
        <v>174</v>
      </c>
      <c r="C88" s="1457" t="s">
        <v>918</v>
      </c>
      <c r="D88" s="1343"/>
      <c r="E88" s="1344"/>
      <c r="F88" s="1345"/>
      <c r="G88" s="1346"/>
      <c r="H88" s="1346"/>
      <c r="I88" s="1346"/>
      <c r="J88" s="1346">
        <f t="shared" si="15"/>
        <v>0</v>
      </c>
    </row>
    <row r="89" spans="1:10" ht="12" customHeight="1" thickBot="1" x14ac:dyDescent="0.25">
      <c r="A89" s="1458" t="s">
        <v>971</v>
      </c>
      <c r="B89" s="1459"/>
      <c r="C89" s="1460" t="s">
        <v>919</v>
      </c>
      <c r="D89" s="1305">
        <f>+D90+D91</f>
        <v>0</v>
      </c>
      <c r="E89" s="1306">
        <f>+E90+E91</f>
        <v>0</v>
      </c>
      <c r="F89" s="1307">
        <f>+F90+F91</f>
        <v>8630</v>
      </c>
      <c r="G89" s="1308">
        <f>+G90+G91</f>
        <v>7327</v>
      </c>
      <c r="H89" s="1308">
        <f t="shared" ref="H89:I89" si="18">+H90+H91</f>
        <v>-256</v>
      </c>
      <c r="I89" s="1308">
        <f t="shared" si="18"/>
        <v>-2444</v>
      </c>
      <c r="J89" s="1308">
        <f t="shared" si="15"/>
        <v>13257</v>
      </c>
    </row>
    <row r="90" spans="1:10" s="1386" customFormat="1" ht="12" customHeight="1" x14ac:dyDescent="0.2">
      <c r="A90" s="1283"/>
      <c r="B90" s="1309" t="s">
        <v>40</v>
      </c>
      <c r="C90" s="1461" t="s">
        <v>3</v>
      </c>
      <c r="D90" s="1286"/>
      <c r="E90" s="1287"/>
      <c r="F90" s="1288">
        <v>1955</v>
      </c>
      <c r="G90" s="1289">
        <v>11185</v>
      </c>
      <c r="H90" s="1289">
        <f>-500+6+238</f>
        <v>-256</v>
      </c>
      <c r="I90" s="1289">
        <f>-382-2062</f>
        <v>-2444</v>
      </c>
      <c r="J90" s="1289">
        <f t="shared" si="15"/>
        <v>10440</v>
      </c>
    </row>
    <row r="91" spans="1:10" s="1386" customFormat="1" ht="12" customHeight="1" thickBot="1" x14ac:dyDescent="0.25">
      <c r="A91" s="1462"/>
      <c r="B91" s="1311" t="s">
        <v>41</v>
      </c>
      <c r="C91" s="1463" t="s">
        <v>4</v>
      </c>
      <c r="D91" s="1464"/>
      <c r="E91" s="1418"/>
      <c r="F91" s="1419">
        <v>6675</v>
      </c>
      <c r="G91" s="1420">
        <v>-3858</v>
      </c>
      <c r="H91" s="1420"/>
      <c r="I91" s="1420"/>
      <c r="J91" s="1420">
        <f t="shared" si="15"/>
        <v>2817</v>
      </c>
    </row>
    <row r="92" spans="1:10" s="1386" customFormat="1" ht="12" customHeight="1" thickBot="1" x14ac:dyDescent="0.25">
      <c r="A92" s="1465" t="s">
        <v>972</v>
      </c>
      <c r="B92" s="1466"/>
      <c r="C92" s="1467" t="s">
        <v>289</v>
      </c>
      <c r="D92" s="1468"/>
      <c r="E92" s="1469"/>
      <c r="F92" s="1470"/>
      <c r="G92" s="1471"/>
      <c r="H92" s="1471"/>
      <c r="I92" s="1471"/>
      <c r="J92" s="1471">
        <f t="shared" si="15"/>
        <v>0</v>
      </c>
    </row>
    <row r="93" spans="1:10" s="1386" customFormat="1" ht="12" customHeight="1" thickBot="1" x14ac:dyDescent="0.25">
      <c r="A93" s="1281" t="s">
        <v>973</v>
      </c>
      <c r="B93" s="1472"/>
      <c r="C93" s="1473" t="s">
        <v>239</v>
      </c>
      <c r="D93" s="1297">
        <f>187383-16606-4741-79113</f>
        <v>86923</v>
      </c>
      <c r="E93" s="1298">
        <v>133271</v>
      </c>
      <c r="F93" s="1299">
        <v>155324</v>
      </c>
      <c r="G93" s="1300">
        <f>1146-9780+247</f>
        <v>-8387</v>
      </c>
      <c r="H93" s="1300">
        <f>800-763</f>
        <v>37</v>
      </c>
      <c r="I93" s="1300">
        <v>1510</v>
      </c>
      <c r="J93" s="1300">
        <f t="shared" si="15"/>
        <v>148484</v>
      </c>
    </row>
    <row r="94" spans="1:10" s="1386" customFormat="1" ht="12" customHeight="1" thickBot="1" x14ac:dyDescent="0.25">
      <c r="A94" s="1281" t="s">
        <v>974</v>
      </c>
      <c r="B94" s="999"/>
      <c r="C94" s="1474" t="s">
        <v>920</v>
      </c>
      <c r="D94" s="1475">
        <f>+D64+D78+D89+D92+D93</f>
        <v>482279</v>
      </c>
      <c r="E94" s="1476">
        <f>+E64+E78+E89+E92+E93</f>
        <v>265075</v>
      </c>
      <c r="F94" s="1477">
        <f>+F64+F78+F89+F92+F93</f>
        <v>280736</v>
      </c>
      <c r="G94" s="1478">
        <f>+G64+G78+G89+G92+G93</f>
        <v>24951</v>
      </c>
      <c r="H94" s="1478">
        <f t="shared" ref="H94:I94" si="19">+H64+H78+H89+H92+H93</f>
        <v>16341</v>
      </c>
      <c r="I94" s="1478">
        <f t="shared" si="19"/>
        <v>-440</v>
      </c>
      <c r="J94" s="1478">
        <f t="shared" si="15"/>
        <v>321588</v>
      </c>
    </row>
    <row r="95" spans="1:10" s="1386" customFormat="1" ht="12" customHeight="1" thickBot="1" x14ac:dyDescent="0.25">
      <c r="A95" s="1281" t="s">
        <v>975</v>
      </c>
      <c r="B95" s="999"/>
      <c r="C95" s="1474" t="s">
        <v>922</v>
      </c>
      <c r="D95" s="1249">
        <f>+D96+D97</f>
        <v>234161</v>
      </c>
      <c r="E95" s="1250">
        <f>+E96+E97</f>
        <v>0</v>
      </c>
      <c r="F95" s="1251">
        <f>+F96+F97</f>
        <v>0</v>
      </c>
      <c r="G95" s="1252">
        <f>+G96+G97</f>
        <v>0</v>
      </c>
      <c r="H95" s="1252"/>
      <c r="I95" s="1252">
        <v>5704</v>
      </c>
      <c r="J95" s="1252">
        <f t="shared" si="15"/>
        <v>5704</v>
      </c>
    </row>
    <row r="96" spans="1:10" ht="12.75" customHeight="1" x14ac:dyDescent="0.2">
      <c r="A96" s="1335"/>
      <c r="B96" s="1342" t="s">
        <v>238</v>
      </c>
      <c r="C96" s="1455" t="s">
        <v>1210</v>
      </c>
      <c r="D96" s="1448">
        <v>108404</v>
      </c>
      <c r="E96" s="1422"/>
      <c r="F96" s="1423"/>
      <c r="G96" s="1424"/>
      <c r="H96" s="1424"/>
      <c r="I96" s="1424">
        <v>5704</v>
      </c>
      <c r="J96" s="1424">
        <f t="shared" si="15"/>
        <v>5704</v>
      </c>
    </row>
    <row r="97" spans="1:11" ht="12" customHeight="1" thickBot="1" x14ac:dyDescent="0.25">
      <c r="A97" s="1453"/>
      <c r="B97" s="1372" t="s">
        <v>55</v>
      </c>
      <c r="C97" s="1479" t="s">
        <v>921</v>
      </c>
      <c r="D97" s="1276">
        <v>125757</v>
      </c>
      <c r="E97" s="1277"/>
      <c r="F97" s="1278"/>
      <c r="G97" s="1279"/>
      <c r="H97" s="1279"/>
      <c r="I97" s="1279"/>
      <c r="J97" s="1279">
        <f t="shared" si="15"/>
        <v>0</v>
      </c>
    </row>
    <row r="98" spans="1:11" ht="13.5" thickBot="1" x14ac:dyDescent="0.25">
      <c r="A98" s="1281" t="s">
        <v>976</v>
      </c>
      <c r="B98" s="1348"/>
      <c r="C98" s="1474" t="s">
        <v>300</v>
      </c>
      <c r="D98" s="1383">
        <f>-8629+42-33</f>
        <v>-8620</v>
      </c>
      <c r="E98" s="1384">
        <v>14866</v>
      </c>
      <c r="F98" s="1322"/>
      <c r="G98" s="1350"/>
      <c r="H98" s="1350"/>
      <c r="I98" s="1350"/>
      <c r="J98" s="1350">
        <f t="shared" si="15"/>
        <v>0</v>
      </c>
    </row>
    <row r="99" spans="1:11" ht="15" customHeight="1" thickBot="1" x14ac:dyDescent="0.25">
      <c r="A99" s="1281" t="s">
        <v>977</v>
      </c>
      <c r="B99" s="1348"/>
      <c r="C99" s="1474" t="s">
        <v>1021</v>
      </c>
      <c r="D99" s="1383">
        <f>+D94+D95+D98</f>
        <v>707820</v>
      </c>
      <c r="E99" s="1383">
        <f t="shared" ref="E99:F99" si="20">+E94+E95+E98</f>
        <v>279941</v>
      </c>
      <c r="F99" s="1322">
        <f t="shared" si="20"/>
        <v>280736</v>
      </c>
      <c r="G99" s="1383">
        <f t="shared" ref="G99:I99" si="21">+G94+G95+G98</f>
        <v>24951</v>
      </c>
      <c r="H99" s="1383">
        <f t="shared" si="21"/>
        <v>16341</v>
      </c>
      <c r="I99" s="1383">
        <f t="shared" si="21"/>
        <v>5264</v>
      </c>
      <c r="J99" s="1383">
        <f t="shared" si="15"/>
        <v>327292</v>
      </c>
      <c r="K99" s="1394"/>
    </row>
    <row r="100" spans="1:11" ht="15" hidden="1" customHeight="1" thickBot="1" x14ac:dyDescent="0.25">
      <c r="A100" s="1390" t="s">
        <v>211</v>
      </c>
      <c r="B100" s="1391"/>
      <c r="C100" s="1392"/>
      <c r="D100" s="1359"/>
      <c r="E100" s="1359"/>
      <c r="F100" s="1359"/>
      <c r="G100" s="1359"/>
      <c r="H100" s="1359"/>
      <c r="I100" s="1359"/>
      <c r="J100" s="1359">
        <f t="shared" si="15"/>
        <v>0</v>
      </c>
    </row>
    <row r="101" spans="1:11" ht="14.25" hidden="1" customHeight="1" thickBot="1" x14ac:dyDescent="0.25">
      <c r="A101" s="1390" t="s">
        <v>212</v>
      </c>
      <c r="B101" s="1391"/>
      <c r="C101" s="1392"/>
      <c r="D101" s="1359"/>
      <c r="E101" s="1359"/>
      <c r="F101" s="1359"/>
      <c r="G101" s="1359"/>
      <c r="H101" s="1359"/>
      <c r="I101" s="1359"/>
      <c r="J101" s="1359">
        <f t="shared" si="15"/>
        <v>0</v>
      </c>
    </row>
    <row r="102" spans="1:11" hidden="1" x14ac:dyDescent="0.2">
      <c r="J102" s="1354">
        <f t="shared" si="15"/>
        <v>0</v>
      </c>
    </row>
    <row r="104" spans="1:11" x14ac:dyDescent="0.2">
      <c r="F104" s="1482"/>
      <c r="G104" s="1482"/>
      <c r="H104" s="1482"/>
      <c r="I104" s="1482"/>
      <c r="J104" s="1482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verticalDpi="300" r:id="rId1"/>
  <headerFooter alignWithMargins="0">
    <oddHeader>&amp;R&amp;"Times New Roman CE,Félkövér"&amp;11 9. melléklet a 3/2015. (II.20.) önkormányzati rendelethez</oddHeader>
  </headerFooter>
  <rowBreaks count="1" manualBreakCount="1">
    <brk id="60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4" customWidth="1"/>
    <col min="2" max="2" width="9.6640625" style="265" customWidth="1"/>
    <col min="3" max="3" width="72" style="265" customWidth="1"/>
    <col min="4" max="4" width="25" style="265" customWidth="1"/>
    <col min="5" max="16384" width="9.33203125" style="4"/>
  </cols>
  <sheetData>
    <row r="1" spans="1:4" s="2" customFormat="1" ht="21" customHeight="1" thickBot="1" x14ac:dyDescent="0.25">
      <c r="A1" s="230"/>
      <c r="B1" s="231"/>
      <c r="C1" s="232"/>
      <c r="D1" s="271" t="s">
        <v>925</v>
      </c>
    </row>
    <row r="2" spans="1:4" s="107" customFormat="1" ht="25.5" customHeight="1" x14ac:dyDescent="0.2">
      <c r="A2" s="1553" t="s">
        <v>207</v>
      </c>
      <c r="B2" s="1554"/>
      <c r="C2" s="378" t="s">
        <v>214</v>
      </c>
      <c r="D2" s="396" t="s">
        <v>7</v>
      </c>
    </row>
    <row r="3" spans="1:4" s="107" customFormat="1" ht="16.5" hidden="1" thickBot="1" x14ac:dyDescent="0.25">
      <c r="A3" s="233" t="s">
        <v>206</v>
      </c>
      <c r="B3" s="234"/>
      <c r="C3" s="397" t="s">
        <v>216</v>
      </c>
      <c r="D3" s="398" t="s">
        <v>240</v>
      </c>
    </row>
    <row r="4" spans="1:4" s="108" customFormat="1" ht="15.95" customHeight="1" thickBot="1" x14ac:dyDescent="0.3">
      <c r="A4" s="235"/>
      <c r="B4" s="235"/>
      <c r="C4" s="235"/>
      <c r="D4" s="236" t="s">
        <v>1008</v>
      </c>
    </row>
    <row r="5" spans="1:4" ht="13.5" thickBot="1" x14ac:dyDescent="0.25">
      <c r="A5" s="1555" t="s">
        <v>208</v>
      </c>
      <c r="B5" s="1556"/>
      <c r="C5" s="237" t="s">
        <v>1009</v>
      </c>
      <c r="D5" s="238" t="s">
        <v>1010</v>
      </c>
    </row>
    <row r="6" spans="1:4" s="65" customFormat="1" ht="12.95" customHeight="1" thickBot="1" x14ac:dyDescent="0.25">
      <c r="A6" s="217">
        <v>1</v>
      </c>
      <c r="B6" s="218">
        <v>2</v>
      </c>
      <c r="C6" s="218">
        <v>3</v>
      </c>
      <c r="D6" s="219">
        <v>4</v>
      </c>
    </row>
    <row r="7" spans="1:4" s="65" customFormat="1" ht="15.95" customHeight="1" thickBot="1" x14ac:dyDescent="0.25">
      <c r="A7" s="239"/>
      <c r="B7" s="240"/>
      <c r="C7" s="240" t="s">
        <v>1011</v>
      </c>
      <c r="D7" s="241"/>
    </row>
    <row r="8" spans="1:4" s="109" customFormat="1" ht="12" customHeight="1" thickBot="1" x14ac:dyDescent="0.25">
      <c r="A8" s="217" t="s">
        <v>969</v>
      </c>
      <c r="B8" s="242"/>
      <c r="C8" s="243" t="s">
        <v>213</v>
      </c>
      <c r="D8" s="343">
        <f>SUM(D9:D16)</f>
        <v>0</v>
      </c>
    </row>
    <row r="9" spans="1:4" s="109" customFormat="1" ht="12" customHeight="1" x14ac:dyDescent="0.2">
      <c r="A9" s="246"/>
      <c r="B9" s="245" t="s">
        <v>60</v>
      </c>
      <c r="C9" s="12" t="s">
        <v>136</v>
      </c>
      <c r="D9" s="379"/>
    </row>
    <row r="10" spans="1:4" s="109" customFormat="1" ht="12" customHeight="1" x14ac:dyDescent="0.2">
      <c r="A10" s="244"/>
      <c r="B10" s="245" t="s">
        <v>61</v>
      </c>
      <c r="C10" s="9" t="s">
        <v>137</v>
      </c>
      <c r="D10" s="341"/>
    </row>
    <row r="11" spans="1:4" s="109" customFormat="1" ht="12" customHeight="1" x14ac:dyDescent="0.2">
      <c r="A11" s="244"/>
      <c r="B11" s="245" t="s">
        <v>62</v>
      </c>
      <c r="C11" s="9" t="s">
        <v>138</v>
      </c>
      <c r="D11" s="341"/>
    </row>
    <row r="12" spans="1:4" s="109" customFormat="1" ht="12" customHeight="1" x14ac:dyDescent="0.2">
      <c r="A12" s="244"/>
      <c r="B12" s="245" t="s">
        <v>63</v>
      </c>
      <c r="C12" s="9" t="s">
        <v>139</v>
      </c>
      <c r="D12" s="341"/>
    </row>
    <row r="13" spans="1:4" s="109" customFormat="1" ht="12" customHeight="1" x14ac:dyDescent="0.2">
      <c r="A13" s="244"/>
      <c r="B13" s="245" t="s">
        <v>94</v>
      </c>
      <c r="C13" s="8" t="s">
        <v>140</v>
      </c>
      <c r="D13" s="341"/>
    </row>
    <row r="14" spans="1:4" s="109" customFormat="1" ht="12" customHeight="1" x14ac:dyDescent="0.2">
      <c r="A14" s="247"/>
      <c r="B14" s="245" t="s">
        <v>64</v>
      </c>
      <c r="C14" s="9" t="s">
        <v>141</v>
      </c>
      <c r="D14" s="380"/>
    </row>
    <row r="15" spans="1:4" s="110" customFormat="1" ht="12" customHeight="1" x14ac:dyDescent="0.2">
      <c r="A15" s="244"/>
      <c r="B15" s="245" t="s">
        <v>65</v>
      </c>
      <c r="C15" s="9" t="s">
        <v>929</v>
      </c>
      <c r="D15" s="341"/>
    </row>
    <row r="16" spans="1:4" s="110" customFormat="1" ht="12" customHeight="1" thickBot="1" x14ac:dyDescent="0.25">
      <c r="A16" s="248"/>
      <c r="B16" s="249" t="s">
        <v>75</v>
      </c>
      <c r="C16" s="8" t="s">
        <v>200</v>
      </c>
      <c r="D16" s="342"/>
    </row>
    <row r="17" spans="1:4" s="109" customFormat="1" ht="12" customHeight="1" thickBot="1" x14ac:dyDescent="0.25">
      <c r="A17" s="217" t="s">
        <v>970</v>
      </c>
      <c r="B17" s="242"/>
      <c r="C17" s="243" t="s">
        <v>930</v>
      </c>
      <c r="D17" s="343">
        <f>SUM(D18:D21)</f>
        <v>0</v>
      </c>
    </row>
    <row r="18" spans="1:4" s="110" customFormat="1" ht="12" customHeight="1" x14ac:dyDescent="0.2">
      <c r="A18" s="244"/>
      <c r="B18" s="245" t="s">
        <v>66</v>
      </c>
      <c r="C18" s="11" t="s">
        <v>926</v>
      </c>
      <c r="D18" s="341"/>
    </row>
    <row r="19" spans="1:4" s="110" customFormat="1" ht="12" customHeight="1" x14ac:dyDescent="0.2">
      <c r="A19" s="244"/>
      <c r="B19" s="245" t="s">
        <v>67</v>
      </c>
      <c r="C19" s="9" t="s">
        <v>927</v>
      </c>
      <c r="D19" s="341"/>
    </row>
    <row r="20" spans="1:4" s="110" customFormat="1" ht="12" customHeight="1" x14ac:dyDescent="0.2">
      <c r="A20" s="244"/>
      <c r="B20" s="245" t="s">
        <v>68</v>
      </c>
      <c r="C20" s="9" t="s">
        <v>928</v>
      </c>
      <c r="D20" s="341"/>
    </row>
    <row r="21" spans="1:4" s="110" customFormat="1" ht="12" customHeight="1" thickBot="1" x14ac:dyDescent="0.25">
      <c r="A21" s="244"/>
      <c r="B21" s="245" t="s">
        <v>69</v>
      </c>
      <c r="C21" s="9" t="s">
        <v>927</v>
      </c>
      <c r="D21" s="341"/>
    </row>
    <row r="22" spans="1:4" s="110" customFormat="1" ht="12" customHeight="1" thickBot="1" x14ac:dyDescent="0.25">
      <c r="A22" s="225" t="s">
        <v>971</v>
      </c>
      <c r="B22" s="140"/>
      <c r="C22" s="140" t="s">
        <v>931</v>
      </c>
      <c r="D22" s="343">
        <f>+D23+D24</f>
        <v>0</v>
      </c>
    </row>
    <row r="23" spans="1:4" s="110" customFormat="1" ht="12" customHeight="1" x14ac:dyDescent="0.2">
      <c r="A23" s="377"/>
      <c r="B23" s="395" t="s">
        <v>40</v>
      </c>
      <c r="C23" s="157" t="s">
        <v>251</v>
      </c>
      <c r="D23" s="401"/>
    </row>
    <row r="24" spans="1:4" s="110" customFormat="1" ht="12" customHeight="1" thickBot="1" x14ac:dyDescent="0.25">
      <c r="A24" s="393"/>
      <c r="B24" s="394" t="s">
        <v>41</v>
      </c>
      <c r="C24" s="158" t="s">
        <v>255</v>
      </c>
      <c r="D24" s="402"/>
    </row>
    <row r="25" spans="1:4" s="110" customFormat="1" ht="12" customHeight="1" thickBot="1" x14ac:dyDescent="0.25">
      <c r="A25" s="225" t="s">
        <v>972</v>
      </c>
      <c r="B25" s="140"/>
      <c r="C25" s="140" t="s">
        <v>241</v>
      </c>
      <c r="D25" s="364"/>
    </row>
    <row r="26" spans="1:4" s="109" customFormat="1" ht="12" customHeight="1" thickBot="1" x14ac:dyDescent="0.25">
      <c r="A26" s="225" t="s">
        <v>973</v>
      </c>
      <c r="B26" s="242"/>
      <c r="C26" s="140" t="s">
        <v>932</v>
      </c>
      <c r="D26" s="364"/>
    </row>
    <row r="27" spans="1:4" s="109" customFormat="1" ht="12" customHeight="1" thickBot="1" x14ac:dyDescent="0.25">
      <c r="A27" s="217" t="s">
        <v>974</v>
      </c>
      <c r="B27" s="185"/>
      <c r="C27" s="140" t="s">
        <v>937</v>
      </c>
      <c r="D27" s="382">
        <f>+D8+D17+D22+D25+D26</f>
        <v>0</v>
      </c>
    </row>
    <row r="28" spans="1:4" s="109" customFormat="1" ht="12" customHeight="1" thickBot="1" x14ac:dyDescent="0.25">
      <c r="A28" s="390" t="s">
        <v>975</v>
      </c>
      <c r="B28" s="399"/>
      <c r="C28" s="392" t="s">
        <v>933</v>
      </c>
      <c r="D28" s="403">
        <f>+D29+D30</f>
        <v>0</v>
      </c>
    </row>
    <row r="29" spans="1:4" s="109" customFormat="1" ht="12" customHeight="1" x14ac:dyDescent="0.2">
      <c r="A29" s="246"/>
      <c r="B29" s="183" t="s">
        <v>54</v>
      </c>
      <c r="C29" s="157" t="s">
        <v>359</v>
      </c>
      <c r="D29" s="401"/>
    </row>
    <row r="30" spans="1:4" s="110" customFormat="1" ht="12" customHeight="1" thickBot="1" x14ac:dyDescent="0.25">
      <c r="A30" s="400"/>
      <c r="B30" s="184" t="s">
        <v>55</v>
      </c>
      <c r="C30" s="391" t="s">
        <v>934</v>
      </c>
      <c r="D30" s="103"/>
    </row>
    <row r="31" spans="1:4" s="110" customFormat="1" ht="12" customHeight="1" thickBot="1" x14ac:dyDescent="0.25">
      <c r="A31" s="251" t="s">
        <v>976</v>
      </c>
      <c r="B31" s="388"/>
      <c r="C31" s="389" t="s">
        <v>935</v>
      </c>
      <c r="D31" s="381"/>
    </row>
    <row r="32" spans="1:4" s="110" customFormat="1" ht="15" customHeight="1" thickBot="1" x14ac:dyDescent="0.25">
      <c r="A32" s="251" t="s">
        <v>977</v>
      </c>
      <c r="B32" s="252"/>
      <c r="C32" s="253" t="s">
        <v>936</v>
      </c>
      <c r="D32" s="385">
        <f>+D27+D28+D31</f>
        <v>0</v>
      </c>
    </row>
    <row r="33" spans="1:4" s="110" customFormat="1" ht="15" customHeight="1" x14ac:dyDescent="0.2">
      <c r="A33" s="254"/>
      <c r="B33" s="254"/>
      <c r="C33" s="255"/>
      <c r="D33" s="383"/>
    </row>
    <row r="34" spans="1:4" ht="13.5" thickBot="1" x14ac:dyDescent="0.25">
      <c r="A34" s="256"/>
      <c r="B34" s="257"/>
      <c r="C34" s="257"/>
      <c r="D34" s="384"/>
    </row>
    <row r="35" spans="1:4" s="65" customFormat="1" ht="16.5" customHeight="1" thickBot="1" x14ac:dyDescent="0.25">
      <c r="A35" s="258"/>
      <c r="B35" s="259"/>
      <c r="C35" s="260" t="s">
        <v>1</v>
      </c>
      <c r="D35" s="385"/>
    </row>
    <row r="36" spans="1:4" s="111" customFormat="1" ht="12" customHeight="1" thickBot="1" x14ac:dyDescent="0.25">
      <c r="A36" s="225" t="s">
        <v>969</v>
      </c>
      <c r="B36" s="24"/>
      <c r="C36" s="140" t="s">
        <v>924</v>
      </c>
      <c r="D36" s="343">
        <f>SUM(D37:D41)</f>
        <v>0</v>
      </c>
    </row>
    <row r="37" spans="1:4" ht="12" customHeight="1" x14ac:dyDescent="0.2">
      <c r="A37" s="261"/>
      <c r="B37" s="182" t="s">
        <v>60</v>
      </c>
      <c r="C37" s="11" t="s">
        <v>1000</v>
      </c>
      <c r="D37" s="96"/>
    </row>
    <row r="38" spans="1:4" ht="12" customHeight="1" x14ac:dyDescent="0.2">
      <c r="A38" s="262"/>
      <c r="B38" s="165" t="s">
        <v>61</v>
      </c>
      <c r="C38" s="9" t="s">
        <v>167</v>
      </c>
      <c r="D38" s="99"/>
    </row>
    <row r="39" spans="1:4" ht="12" customHeight="1" x14ac:dyDescent="0.2">
      <c r="A39" s="262"/>
      <c r="B39" s="165" t="s">
        <v>62</v>
      </c>
      <c r="C39" s="9" t="s">
        <v>91</v>
      </c>
      <c r="D39" s="99"/>
    </row>
    <row r="40" spans="1:4" ht="12" customHeight="1" x14ac:dyDescent="0.2">
      <c r="A40" s="262"/>
      <c r="B40" s="165" t="s">
        <v>63</v>
      </c>
      <c r="C40" s="9" t="s">
        <v>168</v>
      </c>
      <c r="D40" s="99"/>
    </row>
    <row r="41" spans="1:4" ht="12" customHeight="1" thickBot="1" x14ac:dyDescent="0.25">
      <c r="A41" s="262"/>
      <c r="B41" s="165" t="s">
        <v>74</v>
      </c>
      <c r="C41" s="9" t="s">
        <v>169</v>
      </c>
      <c r="D41" s="99"/>
    </row>
    <row r="42" spans="1:4" ht="12" customHeight="1" thickBot="1" x14ac:dyDescent="0.25">
      <c r="A42" s="225" t="s">
        <v>970</v>
      </c>
      <c r="B42" s="24"/>
      <c r="C42" s="140" t="s">
        <v>941</v>
      </c>
      <c r="D42" s="343">
        <f>SUM(D43:D46)</f>
        <v>0</v>
      </c>
    </row>
    <row r="43" spans="1:4" s="111" customFormat="1" ht="12" customHeight="1" x14ac:dyDescent="0.2">
      <c r="A43" s="261"/>
      <c r="B43" s="182" t="s">
        <v>66</v>
      </c>
      <c r="C43" s="11" t="s">
        <v>283</v>
      </c>
      <c r="D43" s="96"/>
    </row>
    <row r="44" spans="1:4" ht="12" customHeight="1" x14ac:dyDescent="0.2">
      <c r="A44" s="262"/>
      <c r="B44" s="165" t="s">
        <v>67</v>
      </c>
      <c r="C44" s="9" t="s">
        <v>171</v>
      </c>
      <c r="D44" s="99"/>
    </row>
    <row r="45" spans="1:4" ht="12" customHeight="1" x14ac:dyDescent="0.2">
      <c r="A45" s="262"/>
      <c r="B45" s="165" t="s">
        <v>70</v>
      </c>
      <c r="C45" s="9" t="s">
        <v>2</v>
      </c>
      <c r="D45" s="99"/>
    </row>
    <row r="46" spans="1:4" ht="12" customHeight="1" thickBot="1" x14ac:dyDescent="0.25">
      <c r="A46" s="262"/>
      <c r="B46" s="165" t="s">
        <v>81</v>
      </c>
      <c r="C46" s="9" t="s">
        <v>938</v>
      </c>
      <c r="D46" s="99"/>
    </row>
    <row r="47" spans="1:4" ht="12" customHeight="1" thickBot="1" x14ac:dyDescent="0.25">
      <c r="A47" s="225" t="s">
        <v>971</v>
      </c>
      <c r="B47" s="24"/>
      <c r="C47" s="24" t="s">
        <v>939</v>
      </c>
      <c r="D47" s="364"/>
    </row>
    <row r="48" spans="1:4" s="110" customFormat="1" ht="12" customHeight="1" thickBot="1" x14ac:dyDescent="0.25">
      <c r="A48" s="251" t="s">
        <v>972</v>
      </c>
      <c r="B48" s="388"/>
      <c r="C48" s="389" t="s">
        <v>942</v>
      </c>
      <c r="D48" s="381"/>
    </row>
    <row r="49" spans="1:4" ht="15" customHeight="1" thickBot="1" x14ac:dyDescent="0.25">
      <c r="A49" s="225" t="s">
        <v>973</v>
      </c>
      <c r="B49" s="250"/>
      <c r="C49" s="263" t="s">
        <v>940</v>
      </c>
      <c r="D49" s="386">
        <f>+D36+D42+D47+D48</f>
        <v>0</v>
      </c>
    </row>
    <row r="50" spans="1:4" ht="13.5" thickBot="1" x14ac:dyDescent="0.25">
      <c r="D50" s="387"/>
    </row>
    <row r="51" spans="1:4" ht="15" customHeight="1" thickBot="1" x14ac:dyDescent="0.25">
      <c r="A51" s="266" t="s">
        <v>211</v>
      </c>
      <c r="B51" s="267"/>
      <c r="C51" s="268"/>
      <c r="D51" s="138"/>
    </row>
    <row r="52" spans="1:4" ht="14.25" customHeight="1" thickBot="1" x14ac:dyDescent="0.25">
      <c r="A52" s="266" t="s">
        <v>212</v>
      </c>
      <c r="B52" s="267"/>
      <c r="C52" s="268"/>
      <c r="D52" s="138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0"/>
      <c r="B1" s="231"/>
      <c r="C1" s="272"/>
      <c r="D1" s="271" t="s">
        <v>434</v>
      </c>
    </row>
    <row r="2" spans="1:4" s="107" customFormat="1" ht="25.5" customHeight="1" x14ac:dyDescent="0.2">
      <c r="A2" s="1553" t="s">
        <v>207</v>
      </c>
      <c r="B2" s="1554"/>
      <c r="C2" s="269" t="s">
        <v>214</v>
      </c>
      <c r="D2" s="273" t="s">
        <v>7</v>
      </c>
    </row>
    <row r="3" spans="1:4" s="107" customFormat="1" ht="16.5" thickBot="1" x14ac:dyDescent="0.25">
      <c r="A3" s="233" t="s">
        <v>206</v>
      </c>
      <c r="B3" s="234"/>
      <c r="C3" s="270" t="s">
        <v>5</v>
      </c>
      <c r="D3" s="274" t="s">
        <v>1005</v>
      </c>
    </row>
    <row r="4" spans="1:4" s="108" customFormat="1" ht="15.95" customHeight="1" thickBot="1" x14ac:dyDescent="0.3">
      <c r="A4" s="235"/>
      <c r="B4" s="235"/>
      <c r="C4" s="235"/>
      <c r="D4" s="236" t="s">
        <v>1008</v>
      </c>
    </row>
    <row r="5" spans="1:4" ht="13.5" thickBot="1" x14ac:dyDescent="0.25">
      <c r="A5" s="1555" t="s">
        <v>208</v>
      </c>
      <c r="B5" s="1556"/>
      <c r="C5" s="237" t="s">
        <v>1009</v>
      </c>
      <c r="D5" s="238" t="s">
        <v>1010</v>
      </c>
    </row>
    <row r="6" spans="1:4" s="65" customFormat="1" ht="12.95" customHeight="1" thickBot="1" x14ac:dyDescent="0.25">
      <c r="A6" s="217">
        <v>1</v>
      </c>
      <c r="B6" s="218">
        <v>2</v>
      </c>
      <c r="C6" s="218">
        <v>3</v>
      </c>
      <c r="D6" s="219">
        <v>4</v>
      </c>
    </row>
    <row r="7" spans="1:4" s="65" customFormat="1" ht="15.95" customHeight="1" thickBot="1" x14ac:dyDescent="0.25">
      <c r="A7" s="239"/>
      <c r="B7" s="240"/>
      <c r="C7" s="240" t="s">
        <v>1011</v>
      </c>
      <c r="D7" s="241"/>
    </row>
    <row r="8" spans="1:4" s="109" customFormat="1" ht="12" customHeight="1" thickBot="1" x14ac:dyDescent="0.25">
      <c r="A8" s="217" t="s">
        <v>969</v>
      </c>
      <c r="B8" s="242"/>
      <c r="C8" s="243" t="s">
        <v>213</v>
      </c>
      <c r="D8" s="343">
        <f>SUM(D9:D16)</f>
        <v>0</v>
      </c>
    </row>
    <row r="9" spans="1:4" s="109" customFormat="1" ht="12" customHeight="1" x14ac:dyDescent="0.2">
      <c r="A9" s="246"/>
      <c r="B9" s="245" t="s">
        <v>60</v>
      </c>
      <c r="C9" s="12" t="s">
        <v>136</v>
      </c>
      <c r="D9" s="379"/>
    </row>
    <row r="10" spans="1:4" s="109" customFormat="1" ht="12" customHeight="1" x14ac:dyDescent="0.2">
      <c r="A10" s="244"/>
      <c r="B10" s="245" t="s">
        <v>61</v>
      </c>
      <c r="C10" s="9" t="s">
        <v>137</v>
      </c>
      <c r="D10" s="341"/>
    </row>
    <row r="11" spans="1:4" s="109" customFormat="1" ht="12" customHeight="1" x14ac:dyDescent="0.2">
      <c r="A11" s="244"/>
      <c r="B11" s="245" t="s">
        <v>62</v>
      </c>
      <c r="C11" s="9" t="s">
        <v>138</v>
      </c>
      <c r="D11" s="341"/>
    </row>
    <row r="12" spans="1:4" s="109" customFormat="1" ht="12" customHeight="1" x14ac:dyDescent="0.2">
      <c r="A12" s="244"/>
      <c r="B12" s="245" t="s">
        <v>63</v>
      </c>
      <c r="C12" s="9" t="s">
        <v>139</v>
      </c>
      <c r="D12" s="341"/>
    </row>
    <row r="13" spans="1:4" s="109" customFormat="1" ht="12" customHeight="1" x14ac:dyDescent="0.2">
      <c r="A13" s="244"/>
      <c r="B13" s="245" t="s">
        <v>94</v>
      </c>
      <c r="C13" s="8" t="s">
        <v>140</v>
      </c>
      <c r="D13" s="341"/>
    </row>
    <row r="14" spans="1:4" s="109" customFormat="1" ht="12" customHeight="1" x14ac:dyDescent="0.2">
      <c r="A14" s="247"/>
      <c r="B14" s="245" t="s">
        <v>64</v>
      </c>
      <c r="C14" s="9" t="s">
        <v>141</v>
      </c>
      <c r="D14" s="380"/>
    </row>
    <row r="15" spans="1:4" s="110" customFormat="1" ht="12" customHeight="1" x14ac:dyDescent="0.2">
      <c r="A15" s="244"/>
      <c r="B15" s="245" t="s">
        <v>65</v>
      </c>
      <c r="C15" s="9" t="s">
        <v>929</v>
      </c>
      <c r="D15" s="341"/>
    </row>
    <row r="16" spans="1:4" s="110" customFormat="1" ht="12" customHeight="1" thickBot="1" x14ac:dyDescent="0.25">
      <c r="A16" s="248"/>
      <c r="B16" s="249" t="s">
        <v>75</v>
      </c>
      <c r="C16" s="8" t="s">
        <v>200</v>
      </c>
      <c r="D16" s="342"/>
    </row>
    <row r="17" spans="1:4" s="109" customFormat="1" ht="12" customHeight="1" thickBot="1" x14ac:dyDescent="0.25">
      <c r="A17" s="217" t="s">
        <v>970</v>
      </c>
      <c r="B17" s="242"/>
      <c r="C17" s="243" t="s">
        <v>930</v>
      </c>
      <c r="D17" s="343">
        <f>SUM(D18:D21)</f>
        <v>0</v>
      </c>
    </row>
    <row r="18" spans="1:4" s="110" customFormat="1" ht="12" customHeight="1" x14ac:dyDescent="0.2">
      <c r="A18" s="244"/>
      <c r="B18" s="245" t="s">
        <v>66</v>
      </c>
      <c r="C18" s="11" t="s">
        <v>926</v>
      </c>
      <c r="D18" s="341"/>
    </row>
    <row r="19" spans="1:4" s="110" customFormat="1" ht="12" customHeight="1" x14ac:dyDescent="0.2">
      <c r="A19" s="244"/>
      <c r="B19" s="245" t="s">
        <v>67</v>
      </c>
      <c r="C19" s="9" t="s">
        <v>927</v>
      </c>
      <c r="D19" s="341"/>
    </row>
    <row r="20" spans="1:4" s="110" customFormat="1" ht="12" customHeight="1" x14ac:dyDescent="0.2">
      <c r="A20" s="244"/>
      <c r="B20" s="245" t="s">
        <v>68</v>
      </c>
      <c r="C20" s="9" t="s">
        <v>928</v>
      </c>
      <c r="D20" s="341"/>
    </row>
    <row r="21" spans="1:4" s="110" customFormat="1" ht="12" customHeight="1" thickBot="1" x14ac:dyDescent="0.25">
      <c r="A21" s="244"/>
      <c r="B21" s="245" t="s">
        <v>69</v>
      </c>
      <c r="C21" s="9" t="s">
        <v>927</v>
      </c>
      <c r="D21" s="341"/>
    </row>
    <row r="22" spans="1:4" s="110" customFormat="1" ht="12" customHeight="1" thickBot="1" x14ac:dyDescent="0.25">
      <c r="A22" s="225" t="s">
        <v>971</v>
      </c>
      <c r="B22" s="140"/>
      <c r="C22" s="140" t="s">
        <v>931</v>
      </c>
      <c r="D22" s="343">
        <f>+D23+D24</f>
        <v>0</v>
      </c>
    </row>
    <row r="23" spans="1:4" s="109" customFormat="1" ht="12" customHeight="1" x14ac:dyDescent="0.2">
      <c r="A23" s="377"/>
      <c r="B23" s="395" t="s">
        <v>40</v>
      </c>
      <c r="C23" s="157" t="s">
        <v>251</v>
      </c>
      <c r="D23" s="401"/>
    </row>
    <row r="24" spans="1:4" s="109" customFormat="1" ht="12" customHeight="1" thickBot="1" x14ac:dyDescent="0.25">
      <c r="A24" s="393"/>
      <c r="B24" s="394" t="s">
        <v>41</v>
      </c>
      <c r="C24" s="158" t="s">
        <v>255</v>
      </c>
      <c r="D24" s="402"/>
    </row>
    <row r="25" spans="1:4" s="109" customFormat="1" ht="12" customHeight="1" thickBot="1" x14ac:dyDescent="0.25">
      <c r="A25" s="225" t="s">
        <v>972</v>
      </c>
      <c r="B25" s="242"/>
      <c r="C25" s="140" t="s">
        <v>948</v>
      </c>
      <c r="D25" s="364"/>
    </row>
    <row r="26" spans="1:4" s="110" customFormat="1" ht="12" customHeight="1" thickBot="1" x14ac:dyDescent="0.25">
      <c r="A26" s="217" t="s">
        <v>973</v>
      </c>
      <c r="B26" s="185"/>
      <c r="C26" s="140" t="s">
        <v>944</v>
      </c>
      <c r="D26" s="382"/>
    </row>
    <row r="27" spans="1:4" s="110" customFormat="1" ht="15" customHeight="1" thickBot="1" x14ac:dyDescent="0.25">
      <c r="A27" s="390" t="s">
        <v>974</v>
      </c>
      <c r="B27" s="399"/>
      <c r="C27" s="392" t="s">
        <v>946</v>
      </c>
      <c r="D27" s="403">
        <f>+D28+D29</f>
        <v>0</v>
      </c>
    </row>
    <row r="28" spans="1:4" s="110" customFormat="1" ht="15" customHeight="1" x14ac:dyDescent="0.2">
      <c r="A28" s="246"/>
      <c r="B28" s="183" t="s">
        <v>47</v>
      </c>
      <c r="C28" s="157" t="s">
        <v>359</v>
      </c>
      <c r="D28" s="401"/>
    </row>
    <row r="29" spans="1:4" ht="15.75" thickBot="1" x14ac:dyDescent="0.25">
      <c r="A29" s="400"/>
      <c r="B29" s="184" t="s">
        <v>48</v>
      </c>
      <c r="C29" s="391" t="s">
        <v>934</v>
      </c>
      <c r="D29" s="103"/>
    </row>
    <row r="30" spans="1:4" s="65" customFormat="1" ht="16.5" customHeight="1" thickBot="1" x14ac:dyDescent="0.25">
      <c r="A30" s="251" t="s">
        <v>975</v>
      </c>
      <c r="B30" s="388"/>
      <c r="C30" s="389" t="s">
        <v>947</v>
      </c>
      <c r="D30" s="381"/>
    </row>
    <row r="31" spans="1:4" s="111" customFormat="1" ht="12" customHeight="1" thickBot="1" x14ac:dyDescent="0.25">
      <c r="A31" s="251" t="s">
        <v>976</v>
      </c>
      <c r="B31" s="252"/>
      <c r="C31" s="253" t="s">
        <v>945</v>
      </c>
      <c r="D31" s="385">
        <f>+D26+D27+D30</f>
        <v>0</v>
      </c>
    </row>
    <row r="32" spans="1:4" ht="12" customHeight="1" x14ac:dyDescent="0.2">
      <c r="A32" s="254"/>
      <c r="B32" s="254"/>
      <c r="C32" s="255"/>
      <c r="D32" s="383"/>
    </row>
    <row r="33" spans="1:4" ht="12" customHeight="1" thickBot="1" x14ac:dyDescent="0.25">
      <c r="A33" s="256"/>
      <c r="B33" s="257"/>
      <c r="C33" s="257"/>
      <c r="D33" s="384"/>
    </row>
    <row r="34" spans="1:4" ht="12" customHeight="1" thickBot="1" x14ac:dyDescent="0.25">
      <c r="A34" s="258"/>
      <c r="B34" s="259"/>
      <c r="C34" s="260" t="s">
        <v>1</v>
      </c>
      <c r="D34" s="385"/>
    </row>
    <row r="35" spans="1:4" ht="12" customHeight="1" thickBot="1" x14ac:dyDescent="0.25">
      <c r="A35" s="225" t="s">
        <v>969</v>
      </c>
      <c r="B35" s="24"/>
      <c r="C35" s="140" t="s">
        <v>924</v>
      </c>
      <c r="D35" s="343">
        <f>SUM(D36:D40)</f>
        <v>0</v>
      </c>
    </row>
    <row r="36" spans="1:4" ht="12" customHeight="1" x14ac:dyDescent="0.2">
      <c r="A36" s="261"/>
      <c r="B36" s="182" t="s">
        <v>60</v>
      </c>
      <c r="C36" s="11" t="s">
        <v>1000</v>
      </c>
      <c r="D36" s="96"/>
    </row>
    <row r="37" spans="1:4" ht="12" customHeight="1" x14ac:dyDescent="0.2">
      <c r="A37" s="262"/>
      <c r="B37" s="165" t="s">
        <v>61</v>
      </c>
      <c r="C37" s="9" t="s">
        <v>167</v>
      </c>
      <c r="D37" s="99"/>
    </row>
    <row r="38" spans="1:4" s="111" customFormat="1" ht="12" customHeight="1" x14ac:dyDescent="0.2">
      <c r="A38" s="262"/>
      <c r="B38" s="165" t="s">
        <v>62</v>
      </c>
      <c r="C38" s="9" t="s">
        <v>91</v>
      </c>
      <c r="D38" s="99"/>
    </row>
    <row r="39" spans="1:4" ht="12" customHeight="1" x14ac:dyDescent="0.2">
      <c r="A39" s="262"/>
      <c r="B39" s="165" t="s">
        <v>63</v>
      </c>
      <c r="C39" s="9" t="s">
        <v>168</v>
      </c>
      <c r="D39" s="99"/>
    </row>
    <row r="40" spans="1:4" ht="12" customHeight="1" thickBot="1" x14ac:dyDescent="0.25">
      <c r="A40" s="262"/>
      <c r="B40" s="165" t="s">
        <v>74</v>
      </c>
      <c r="C40" s="9" t="s">
        <v>169</v>
      </c>
      <c r="D40" s="99"/>
    </row>
    <row r="41" spans="1:4" ht="12" customHeight="1" thickBot="1" x14ac:dyDescent="0.25">
      <c r="A41" s="225" t="s">
        <v>970</v>
      </c>
      <c r="B41" s="24"/>
      <c r="C41" s="140" t="s">
        <v>941</v>
      </c>
      <c r="D41" s="343">
        <f>SUM(D42:D45)</f>
        <v>0</v>
      </c>
    </row>
    <row r="42" spans="1:4" ht="12" customHeight="1" x14ac:dyDescent="0.2">
      <c r="A42" s="261"/>
      <c r="B42" s="182" t="s">
        <v>66</v>
      </c>
      <c r="C42" s="11" t="s">
        <v>283</v>
      </c>
      <c r="D42" s="96"/>
    </row>
    <row r="43" spans="1:4" ht="15" customHeight="1" x14ac:dyDescent="0.2">
      <c r="A43" s="262"/>
      <c r="B43" s="165" t="s">
        <v>67</v>
      </c>
      <c r="C43" s="9" t="s">
        <v>171</v>
      </c>
      <c r="D43" s="99"/>
    </row>
    <row r="44" spans="1:4" x14ac:dyDescent="0.2">
      <c r="A44" s="262"/>
      <c r="B44" s="165" t="s">
        <v>70</v>
      </c>
      <c r="C44" s="9" t="s">
        <v>2</v>
      </c>
      <c r="D44" s="99"/>
    </row>
    <row r="45" spans="1:4" ht="15" customHeight="1" thickBot="1" x14ac:dyDescent="0.25">
      <c r="A45" s="262"/>
      <c r="B45" s="165" t="s">
        <v>81</v>
      </c>
      <c r="C45" s="9" t="s">
        <v>938</v>
      </c>
      <c r="D45" s="99"/>
    </row>
    <row r="46" spans="1:4" ht="14.25" customHeight="1" thickBot="1" x14ac:dyDescent="0.25">
      <c r="A46" s="225" t="s">
        <v>971</v>
      </c>
      <c r="B46" s="24"/>
      <c r="C46" s="24" t="s">
        <v>939</v>
      </c>
      <c r="D46" s="364"/>
    </row>
    <row r="47" spans="1:4" ht="13.5" thickBot="1" x14ac:dyDescent="0.25">
      <c r="A47" s="251" t="s">
        <v>972</v>
      </c>
      <c r="B47" s="388"/>
      <c r="C47" s="389" t="s">
        <v>942</v>
      </c>
      <c r="D47" s="381"/>
    </row>
    <row r="48" spans="1:4" ht="13.5" thickBot="1" x14ac:dyDescent="0.25">
      <c r="A48" s="225" t="s">
        <v>973</v>
      </c>
      <c r="B48" s="250"/>
      <c r="C48" s="263" t="s">
        <v>940</v>
      </c>
      <c r="D48" s="386">
        <f>+D35+D41+D46+D47</f>
        <v>0</v>
      </c>
    </row>
    <row r="49" spans="1:4" ht="13.5" thickBot="1" x14ac:dyDescent="0.25">
      <c r="A49" s="264"/>
      <c r="B49" s="265"/>
      <c r="C49" s="265"/>
      <c r="D49" s="387"/>
    </row>
    <row r="50" spans="1:4" ht="13.5" thickBot="1" x14ac:dyDescent="0.25">
      <c r="A50" s="266" t="s">
        <v>211</v>
      </c>
      <c r="B50" s="267"/>
      <c r="C50" s="268"/>
      <c r="D50" s="138"/>
    </row>
    <row r="51" spans="1:4" ht="13.5" thickBot="1" x14ac:dyDescent="0.25">
      <c r="A51" s="266" t="s">
        <v>212</v>
      </c>
      <c r="B51" s="267"/>
      <c r="C51" s="268"/>
      <c r="D51" s="138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99</v>
      </c>
    </row>
    <row r="4" spans="1:2" x14ac:dyDescent="0.2">
      <c r="A4" s="152"/>
      <c r="B4" s="152"/>
    </row>
    <row r="5" spans="1:2" s="164" customFormat="1" ht="15.75" x14ac:dyDescent="0.25">
      <c r="A5" s="106" t="s">
        <v>429</v>
      </c>
      <c r="B5" s="163"/>
    </row>
    <row r="6" spans="1:2" x14ac:dyDescent="0.2">
      <c r="A6" s="152"/>
      <c r="B6" s="152"/>
    </row>
    <row r="7" spans="1:2" x14ac:dyDescent="0.2">
      <c r="A7" s="152" t="s">
        <v>197</v>
      </c>
      <c r="B7" s="152" t="s">
        <v>436</v>
      </c>
    </row>
    <row r="8" spans="1:2" x14ac:dyDescent="0.2">
      <c r="A8" s="152" t="s">
        <v>100</v>
      </c>
      <c r="B8" s="152" t="s">
        <v>437</v>
      </c>
    </row>
    <row r="9" spans="1:2" x14ac:dyDescent="0.2">
      <c r="A9" s="152" t="s">
        <v>427</v>
      </c>
      <c r="B9" s="152" t="s">
        <v>438</v>
      </c>
    </row>
    <row r="10" spans="1:2" x14ac:dyDescent="0.2">
      <c r="A10" s="152"/>
      <c r="B10" s="152"/>
    </row>
    <row r="11" spans="1:2" x14ac:dyDescent="0.2">
      <c r="A11" s="152"/>
      <c r="B11" s="152"/>
    </row>
    <row r="12" spans="1:2" s="164" customFormat="1" ht="15.75" x14ac:dyDescent="0.25">
      <c r="A12" s="106" t="s">
        <v>430</v>
      </c>
      <c r="B12" s="163"/>
    </row>
    <row r="13" spans="1:2" x14ac:dyDescent="0.2">
      <c r="A13" s="152"/>
      <c r="B13" s="152"/>
    </row>
    <row r="14" spans="1:2" x14ac:dyDescent="0.2">
      <c r="A14" s="152" t="s">
        <v>124</v>
      </c>
      <c r="B14" s="152" t="s">
        <v>439</v>
      </c>
    </row>
    <row r="15" spans="1:2" x14ac:dyDescent="0.2">
      <c r="A15" s="152" t="s">
        <v>101</v>
      </c>
      <c r="B15" s="152" t="s">
        <v>440</v>
      </c>
    </row>
    <row r="16" spans="1:2" x14ac:dyDescent="0.2">
      <c r="A16" s="152" t="s">
        <v>428</v>
      </c>
      <c r="B16" s="152" t="s">
        <v>441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0"/>
      <c r="B1" s="231"/>
      <c r="C1" s="272"/>
      <c r="D1" s="271" t="s">
        <v>433</v>
      </c>
    </row>
    <row r="2" spans="1:4" s="107" customFormat="1" ht="25.5" customHeight="1" x14ac:dyDescent="0.2">
      <c r="A2" s="1553" t="s">
        <v>207</v>
      </c>
      <c r="B2" s="1554"/>
      <c r="C2" s="269" t="s">
        <v>214</v>
      </c>
      <c r="D2" s="273" t="s">
        <v>7</v>
      </c>
    </row>
    <row r="3" spans="1:4" s="107" customFormat="1" ht="16.5" thickBot="1" x14ac:dyDescent="0.25">
      <c r="A3" s="233" t="s">
        <v>206</v>
      </c>
      <c r="B3" s="234"/>
      <c r="C3" s="270" t="s">
        <v>6</v>
      </c>
      <c r="D3" s="274" t="s">
        <v>7</v>
      </c>
    </row>
    <row r="4" spans="1:4" s="108" customFormat="1" ht="15.95" customHeight="1" thickBot="1" x14ac:dyDescent="0.3">
      <c r="A4" s="235"/>
      <c r="B4" s="235"/>
      <c r="C4" s="235"/>
      <c r="D4" s="236" t="s">
        <v>1008</v>
      </c>
    </row>
    <row r="5" spans="1:4" ht="13.5" thickBot="1" x14ac:dyDescent="0.25">
      <c r="A5" s="1555" t="s">
        <v>208</v>
      </c>
      <c r="B5" s="1556"/>
      <c r="C5" s="237" t="s">
        <v>1009</v>
      </c>
      <c r="D5" s="238" t="s">
        <v>1010</v>
      </c>
    </row>
    <row r="6" spans="1:4" s="65" customFormat="1" ht="12.95" customHeight="1" thickBot="1" x14ac:dyDescent="0.25">
      <c r="A6" s="217">
        <v>1</v>
      </c>
      <c r="B6" s="218">
        <v>2</v>
      </c>
      <c r="C6" s="218">
        <v>3</v>
      </c>
      <c r="D6" s="219">
        <v>4</v>
      </c>
    </row>
    <row r="7" spans="1:4" s="65" customFormat="1" ht="15.95" customHeight="1" thickBot="1" x14ac:dyDescent="0.25">
      <c r="A7" s="239"/>
      <c r="B7" s="240"/>
      <c r="C7" s="240" t="s">
        <v>1011</v>
      </c>
      <c r="D7" s="241"/>
    </row>
    <row r="8" spans="1:4" s="109" customFormat="1" ht="12" customHeight="1" thickBot="1" x14ac:dyDescent="0.25">
      <c r="A8" s="217" t="s">
        <v>969</v>
      </c>
      <c r="B8" s="242"/>
      <c r="C8" s="243" t="s">
        <v>213</v>
      </c>
      <c r="D8" s="343">
        <f>SUM(D9:D16)</f>
        <v>0</v>
      </c>
    </row>
    <row r="9" spans="1:4" s="109" customFormat="1" ht="12" customHeight="1" x14ac:dyDescent="0.2">
      <c r="A9" s="246"/>
      <c r="B9" s="245" t="s">
        <v>60</v>
      </c>
      <c r="C9" s="12" t="s">
        <v>136</v>
      </c>
      <c r="D9" s="379"/>
    </row>
    <row r="10" spans="1:4" s="109" customFormat="1" ht="12" customHeight="1" x14ac:dyDescent="0.2">
      <c r="A10" s="244"/>
      <c r="B10" s="245" t="s">
        <v>61</v>
      </c>
      <c r="C10" s="9" t="s">
        <v>137</v>
      </c>
      <c r="D10" s="341"/>
    </row>
    <row r="11" spans="1:4" s="109" customFormat="1" ht="12" customHeight="1" x14ac:dyDescent="0.2">
      <c r="A11" s="244"/>
      <c r="B11" s="245" t="s">
        <v>62</v>
      </c>
      <c r="C11" s="9" t="s">
        <v>138</v>
      </c>
      <c r="D11" s="341"/>
    </row>
    <row r="12" spans="1:4" s="109" customFormat="1" ht="12" customHeight="1" x14ac:dyDescent="0.2">
      <c r="A12" s="244"/>
      <c r="B12" s="245" t="s">
        <v>63</v>
      </c>
      <c r="C12" s="9" t="s">
        <v>139</v>
      </c>
      <c r="D12" s="341"/>
    </row>
    <row r="13" spans="1:4" s="109" customFormat="1" ht="12" customHeight="1" x14ac:dyDescent="0.2">
      <c r="A13" s="244"/>
      <c r="B13" s="245" t="s">
        <v>94</v>
      </c>
      <c r="C13" s="8" t="s">
        <v>140</v>
      </c>
      <c r="D13" s="341"/>
    </row>
    <row r="14" spans="1:4" s="109" customFormat="1" ht="12" customHeight="1" x14ac:dyDescent="0.2">
      <c r="A14" s="247"/>
      <c r="B14" s="245" t="s">
        <v>64</v>
      </c>
      <c r="C14" s="9" t="s">
        <v>141</v>
      </c>
      <c r="D14" s="380"/>
    </row>
    <row r="15" spans="1:4" s="110" customFormat="1" ht="12" customHeight="1" x14ac:dyDescent="0.2">
      <c r="A15" s="244"/>
      <c r="B15" s="245" t="s">
        <v>65</v>
      </c>
      <c r="C15" s="9" t="s">
        <v>929</v>
      </c>
      <c r="D15" s="341"/>
    </row>
    <row r="16" spans="1:4" s="110" customFormat="1" ht="12" customHeight="1" thickBot="1" x14ac:dyDescent="0.25">
      <c r="A16" s="248"/>
      <c r="B16" s="249" t="s">
        <v>75</v>
      </c>
      <c r="C16" s="8" t="s">
        <v>200</v>
      </c>
      <c r="D16" s="342"/>
    </row>
    <row r="17" spans="1:4" s="109" customFormat="1" ht="12" customHeight="1" thickBot="1" x14ac:dyDescent="0.25">
      <c r="A17" s="217" t="s">
        <v>970</v>
      </c>
      <c r="B17" s="242"/>
      <c r="C17" s="243" t="s">
        <v>930</v>
      </c>
      <c r="D17" s="343">
        <f>SUM(D18:D21)</f>
        <v>0</v>
      </c>
    </row>
    <row r="18" spans="1:4" s="110" customFormat="1" ht="12" customHeight="1" x14ac:dyDescent="0.2">
      <c r="A18" s="244"/>
      <c r="B18" s="245" t="s">
        <v>66</v>
      </c>
      <c r="C18" s="11" t="s">
        <v>926</v>
      </c>
      <c r="D18" s="341"/>
    </row>
    <row r="19" spans="1:4" s="110" customFormat="1" ht="12" customHeight="1" x14ac:dyDescent="0.2">
      <c r="A19" s="244"/>
      <c r="B19" s="245" t="s">
        <v>67</v>
      </c>
      <c r="C19" s="9" t="s">
        <v>927</v>
      </c>
      <c r="D19" s="341"/>
    </row>
    <row r="20" spans="1:4" s="110" customFormat="1" ht="12" customHeight="1" x14ac:dyDescent="0.2">
      <c r="A20" s="244"/>
      <c r="B20" s="245" t="s">
        <v>68</v>
      </c>
      <c r="C20" s="9" t="s">
        <v>928</v>
      </c>
      <c r="D20" s="341"/>
    </row>
    <row r="21" spans="1:4" s="110" customFormat="1" ht="12" customHeight="1" thickBot="1" x14ac:dyDescent="0.25">
      <c r="A21" s="244"/>
      <c r="B21" s="245" t="s">
        <v>69</v>
      </c>
      <c r="C21" s="9" t="s">
        <v>927</v>
      </c>
      <c r="D21" s="341"/>
    </row>
    <row r="22" spans="1:4" s="110" customFormat="1" ht="12" customHeight="1" thickBot="1" x14ac:dyDescent="0.25">
      <c r="A22" s="225" t="s">
        <v>971</v>
      </c>
      <c r="B22" s="140"/>
      <c r="C22" s="140" t="s">
        <v>931</v>
      </c>
      <c r="D22" s="343">
        <f>+D23+D24</f>
        <v>0</v>
      </c>
    </row>
    <row r="23" spans="1:4" s="109" customFormat="1" ht="12" customHeight="1" x14ac:dyDescent="0.2">
      <c r="A23" s="377"/>
      <c r="B23" s="395" t="s">
        <v>40</v>
      </c>
      <c r="C23" s="157" t="s">
        <v>251</v>
      </c>
      <c r="D23" s="401"/>
    </row>
    <row r="24" spans="1:4" s="109" customFormat="1" ht="12" customHeight="1" thickBot="1" x14ac:dyDescent="0.25">
      <c r="A24" s="393"/>
      <c r="B24" s="394" t="s">
        <v>41</v>
      </c>
      <c r="C24" s="158" t="s">
        <v>255</v>
      </c>
      <c r="D24" s="402"/>
    </row>
    <row r="25" spans="1:4" s="109" customFormat="1" ht="12" customHeight="1" thickBot="1" x14ac:dyDescent="0.25">
      <c r="A25" s="225" t="s">
        <v>972</v>
      </c>
      <c r="B25" s="242"/>
      <c r="C25" s="140" t="s">
        <v>948</v>
      </c>
      <c r="D25" s="364"/>
    </row>
    <row r="26" spans="1:4" s="109" customFormat="1" ht="12" customHeight="1" thickBot="1" x14ac:dyDescent="0.25">
      <c r="A26" s="217" t="s">
        <v>973</v>
      </c>
      <c r="B26" s="185"/>
      <c r="C26" s="140" t="s">
        <v>944</v>
      </c>
      <c r="D26" s="382"/>
    </row>
    <row r="27" spans="1:4" s="110" customFormat="1" ht="12" customHeight="1" thickBot="1" x14ac:dyDescent="0.25">
      <c r="A27" s="390" t="s">
        <v>974</v>
      </c>
      <c r="B27" s="399"/>
      <c r="C27" s="392" t="s">
        <v>946</v>
      </c>
      <c r="D27" s="403">
        <f>+D28+D29</f>
        <v>0</v>
      </c>
    </row>
    <row r="28" spans="1:4" s="110" customFormat="1" ht="15" customHeight="1" x14ac:dyDescent="0.2">
      <c r="A28" s="246"/>
      <c r="B28" s="183" t="s">
        <v>47</v>
      </c>
      <c r="C28" s="157" t="s">
        <v>359</v>
      </c>
      <c r="D28" s="401"/>
    </row>
    <row r="29" spans="1:4" s="110" customFormat="1" ht="15" customHeight="1" thickBot="1" x14ac:dyDescent="0.25">
      <c r="A29" s="400"/>
      <c r="B29" s="184" t="s">
        <v>48</v>
      </c>
      <c r="C29" s="391" t="s">
        <v>934</v>
      </c>
      <c r="D29" s="103"/>
    </row>
    <row r="30" spans="1:4" ht="13.5" thickBot="1" x14ac:dyDescent="0.25">
      <c r="A30" s="251" t="s">
        <v>975</v>
      </c>
      <c r="B30" s="388"/>
      <c r="C30" s="389" t="s">
        <v>947</v>
      </c>
      <c r="D30" s="381"/>
    </row>
    <row r="31" spans="1:4" s="65" customFormat="1" ht="16.5" customHeight="1" thickBot="1" x14ac:dyDescent="0.25">
      <c r="A31" s="251" t="s">
        <v>976</v>
      </c>
      <c r="B31" s="252"/>
      <c r="C31" s="253" t="s">
        <v>945</v>
      </c>
      <c r="D31" s="385">
        <f>+D26+D27+D30</f>
        <v>0</v>
      </c>
    </row>
    <row r="32" spans="1:4" s="111" customFormat="1" ht="12" customHeight="1" x14ac:dyDescent="0.2">
      <c r="A32" s="254"/>
      <c r="B32" s="254"/>
      <c r="C32" s="255"/>
      <c r="D32" s="383"/>
    </row>
    <row r="33" spans="1:4" ht="12" customHeight="1" thickBot="1" x14ac:dyDescent="0.25">
      <c r="A33" s="256"/>
      <c r="B33" s="257"/>
      <c r="C33" s="257"/>
      <c r="D33" s="384"/>
    </row>
    <row r="34" spans="1:4" ht="12" customHeight="1" thickBot="1" x14ac:dyDescent="0.25">
      <c r="A34" s="258"/>
      <c r="B34" s="259"/>
      <c r="C34" s="260" t="s">
        <v>1</v>
      </c>
      <c r="D34" s="385"/>
    </row>
    <row r="35" spans="1:4" ht="12" customHeight="1" thickBot="1" x14ac:dyDescent="0.25">
      <c r="A35" s="225" t="s">
        <v>969</v>
      </c>
      <c r="B35" s="24"/>
      <c r="C35" s="140" t="s">
        <v>924</v>
      </c>
      <c r="D35" s="343">
        <f>SUM(D36:D40)</f>
        <v>0</v>
      </c>
    </row>
    <row r="36" spans="1:4" ht="12" customHeight="1" x14ac:dyDescent="0.2">
      <c r="A36" s="261"/>
      <c r="B36" s="182" t="s">
        <v>60</v>
      </c>
      <c r="C36" s="11" t="s">
        <v>1000</v>
      </c>
      <c r="D36" s="96"/>
    </row>
    <row r="37" spans="1:4" ht="12" customHeight="1" x14ac:dyDescent="0.2">
      <c r="A37" s="262"/>
      <c r="B37" s="165" t="s">
        <v>61</v>
      </c>
      <c r="C37" s="9" t="s">
        <v>167</v>
      </c>
      <c r="D37" s="99"/>
    </row>
    <row r="38" spans="1:4" ht="12" customHeight="1" x14ac:dyDescent="0.2">
      <c r="A38" s="262"/>
      <c r="B38" s="165" t="s">
        <v>62</v>
      </c>
      <c r="C38" s="9" t="s">
        <v>91</v>
      </c>
      <c r="D38" s="99"/>
    </row>
    <row r="39" spans="1:4" s="111" customFormat="1" ht="12" customHeight="1" x14ac:dyDescent="0.2">
      <c r="A39" s="262"/>
      <c r="B39" s="165" t="s">
        <v>63</v>
      </c>
      <c r="C39" s="9" t="s">
        <v>168</v>
      </c>
      <c r="D39" s="99"/>
    </row>
    <row r="40" spans="1:4" ht="12" customHeight="1" thickBot="1" x14ac:dyDescent="0.25">
      <c r="A40" s="262"/>
      <c r="B40" s="165" t="s">
        <v>74</v>
      </c>
      <c r="C40" s="9" t="s">
        <v>169</v>
      </c>
      <c r="D40" s="99"/>
    </row>
    <row r="41" spans="1:4" ht="12" customHeight="1" thickBot="1" x14ac:dyDescent="0.25">
      <c r="A41" s="225" t="s">
        <v>970</v>
      </c>
      <c r="B41" s="24"/>
      <c r="C41" s="140" t="s">
        <v>941</v>
      </c>
      <c r="D41" s="343">
        <f>SUM(D42:D45)</f>
        <v>0</v>
      </c>
    </row>
    <row r="42" spans="1:4" ht="12" customHeight="1" x14ac:dyDescent="0.2">
      <c r="A42" s="261"/>
      <c r="B42" s="182" t="s">
        <v>66</v>
      </c>
      <c r="C42" s="11" t="s">
        <v>283</v>
      </c>
      <c r="D42" s="96"/>
    </row>
    <row r="43" spans="1:4" ht="12" customHeight="1" x14ac:dyDescent="0.2">
      <c r="A43" s="262"/>
      <c r="B43" s="165" t="s">
        <v>67</v>
      </c>
      <c r="C43" s="9" t="s">
        <v>171</v>
      </c>
      <c r="D43" s="99"/>
    </row>
    <row r="44" spans="1:4" ht="15" customHeight="1" x14ac:dyDescent="0.2">
      <c r="A44" s="262"/>
      <c r="B44" s="165" t="s">
        <v>70</v>
      </c>
      <c r="C44" s="9" t="s">
        <v>2</v>
      </c>
      <c r="D44" s="99"/>
    </row>
    <row r="45" spans="1:4" ht="13.5" thickBot="1" x14ac:dyDescent="0.25">
      <c r="A45" s="262"/>
      <c r="B45" s="165" t="s">
        <v>81</v>
      </c>
      <c r="C45" s="9" t="s">
        <v>938</v>
      </c>
      <c r="D45" s="99"/>
    </row>
    <row r="46" spans="1:4" ht="15" customHeight="1" thickBot="1" x14ac:dyDescent="0.25">
      <c r="A46" s="225" t="s">
        <v>971</v>
      </c>
      <c r="B46" s="24"/>
      <c r="C46" s="24" t="s">
        <v>939</v>
      </c>
      <c r="D46" s="364"/>
    </row>
    <row r="47" spans="1:4" ht="14.25" customHeight="1" thickBot="1" x14ac:dyDescent="0.25">
      <c r="A47" s="251" t="s">
        <v>972</v>
      </c>
      <c r="B47" s="388"/>
      <c r="C47" s="389" t="s">
        <v>942</v>
      </c>
      <c r="D47" s="381"/>
    </row>
    <row r="48" spans="1:4" ht="13.5" thickBot="1" x14ac:dyDescent="0.25">
      <c r="A48" s="225" t="s">
        <v>973</v>
      </c>
      <c r="B48" s="250"/>
      <c r="C48" s="263" t="s">
        <v>940</v>
      </c>
      <c r="D48" s="386">
        <f>+D35+D41+D46+D47</f>
        <v>0</v>
      </c>
    </row>
    <row r="49" spans="1:4" ht="13.5" thickBot="1" x14ac:dyDescent="0.25">
      <c r="A49" s="264"/>
      <c r="B49" s="265"/>
      <c r="C49" s="265"/>
      <c r="D49" s="387"/>
    </row>
    <row r="50" spans="1:4" ht="13.5" thickBot="1" x14ac:dyDescent="0.25">
      <c r="A50" s="266" t="s">
        <v>211</v>
      </c>
      <c r="B50" s="267"/>
      <c r="C50" s="268"/>
      <c r="D50" s="138"/>
    </row>
    <row r="51" spans="1:4" ht="13.5" thickBot="1" x14ac:dyDescent="0.25">
      <c r="A51" s="266" t="s">
        <v>212</v>
      </c>
      <c r="B51" s="267"/>
      <c r="C51" s="268"/>
      <c r="D51" s="138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0"/>
      <c r="B1" s="231"/>
      <c r="C1" s="272"/>
      <c r="D1" s="271" t="s">
        <v>432</v>
      </c>
    </row>
    <row r="2" spans="1:4" s="107" customFormat="1" ht="25.5" customHeight="1" x14ac:dyDescent="0.2">
      <c r="A2" s="1553" t="s">
        <v>207</v>
      </c>
      <c r="B2" s="1554"/>
      <c r="C2" s="269" t="s">
        <v>214</v>
      </c>
      <c r="D2" s="273" t="s">
        <v>7</v>
      </c>
    </row>
    <row r="3" spans="1:4" s="107" customFormat="1" ht="16.5" thickBot="1" x14ac:dyDescent="0.25">
      <c r="A3" s="233" t="s">
        <v>206</v>
      </c>
      <c r="B3" s="234"/>
      <c r="C3" s="270" t="s">
        <v>9</v>
      </c>
      <c r="D3" s="274" t="s">
        <v>8</v>
      </c>
    </row>
    <row r="4" spans="1:4" s="108" customFormat="1" ht="15.95" customHeight="1" thickBot="1" x14ac:dyDescent="0.3">
      <c r="A4" s="235"/>
      <c r="B4" s="235"/>
      <c r="C4" s="235"/>
      <c r="D4" s="236" t="s">
        <v>1008</v>
      </c>
    </row>
    <row r="5" spans="1:4" ht="13.5" thickBot="1" x14ac:dyDescent="0.25">
      <c r="A5" s="1555" t="s">
        <v>208</v>
      </c>
      <c r="B5" s="1556"/>
      <c r="C5" s="237" t="s">
        <v>1009</v>
      </c>
      <c r="D5" s="238" t="s">
        <v>1010</v>
      </c>
    </row>
    <row r="6" spans="1:4" s="65" customFormat="1" ht="12.95" customHeight="1" thickBot="1" x14ac:dyDescent="0.25">
      <c r="A6" s="217">
        <v>1</v>
      </c>
      <c r="B6" s="218">
        <v>2</v>
      </c>
      <c r="C6" s="218">
        <v>3</v>
      </c>
      <c r="D6" s="219">
        <v>4</v>
      </c>
    </row>
    <row r="7" spans="1:4" s="65" customFormat="1" ht="15.95" customHeight="1" thickBot="1" x14ac:dyDescent="0.25">
      <c r="A7" s="239"/>
      <c r="B7" s="240"/>
      <c r="C7" s="240" t="s">
        <v>1011</v>
      </c>
      <c r="D7" s="241"/>
    </row>
    <row r="8" spans="1:4" s="109" customFormat="1" ht="12" customHeight="1" thickBot="1" x14ac:dyDescent="0.25">
      <c r="A8" s="217" t="s">
        <v>969</v>
      </c>
      <c r="B8" s="242"/>
      <c r="C8" s="243" t="s">
        <v>213</v>
      </c>
      <c r="D8" s="343">
        <f>SUM(D9:D16)</f>
        <v>0</v>
      </c>
    </row>
    <row r="9" spans="1:4" s="109" customFormat="1" ht="12" customHeight="1" x14ac:dyDescent="0.2">
      <c r="A9" s="246"/>
      <c r="B9" s="245" t="s">
        <v>60</v>
      </c>
      <c r="C9" s="12" t="s">
        <v>136</v>
      </c>
      <c r="D9" s="379"/>
    </row>
    <row r="10" spans="1:4" s="109" customFormat="1" ht="12" customHeight="1" x14ac:dyDescent="0.2">
      <c r="A10" s="244"/>
      <c r="B10" s="245" t="s">
        <v>61</v>
      </c>
      <c r="C10" s="9" t="s">
        <v>137</v>
      </c>
      <c r="D10" s="341"/>
    </row>
    <row r="11" spans="1:4" s="109" customFormat="1" ht="12" customHeight="1" x14ac:dyDescent="0.2">
      <c r="A11" s="244"/>
      <c r="B11" s="245" t="s">
        <v>62</v>
      </c>
      <c r="C11" s="9" t="s">
        <v>138</v>
      </c>
      <c r="D11" s="341"/>
    </row>
    <row r="12" spans="1:4" s="109" customFormat="1" ht="12" customHeight="1" x14ac:dyDescent="0.2">
      <c r="A12" s="244"/>
      <c r="B12" s="245" t="s">
        <v>63</v>
      </c>
      <c r="C12" s="9" t="s">
        <v>139</v>
      </c>
      <c r="D12" s="341"/>
    </row>
    <row r="13" spans="1:4" s="109" customFormat="1" ht="12" customHeight="1" x14ac:dyDescent="0.2">
      <c r="A13" s="244"/>
      <c r="B13" s="245" t="s">
        <v>94</v>
      </c>
      <c r="C13" s="8" t="s">
        <v>140</v>
      </c>
      <c r="D13" s="341"/>
    </row>
    <row r="14" spans="1:4" s="109" customFormat="1" ht="12" customHeight="1" x14ac:dyDescent="0.2">
      <c r="A14" s="247"/>
      <c r="B14" s="245" t="s">
        <v>64</v>
      </c>
      <c r="C14" s="9" t="s">
        <v>141</v>
      </c>
      <c r="D14" s="380"/>
    </row>
    <row r="15" spans="1:4" s="110" customFormat="1" ht="12" customHeight="1" x14ac:dyDescent="0.2">
      <c r="A15" s="244"/>
      <c r="B15" s="245" t="s">
        <v>65</v>
      </c>
      <c r="C15" s="9" t="s">
        <v>929</v>
      </c>
      <c r="D15" s="341"/>
    </row>
    <row r="16" spans="1:4" s="110" customFormat="1" ht="12" customHeight="1" thickBot="1" x14ac:dyDescent="0.25">
      <c r="A16" s="248"/>
      <c r="B16" s="249" t="s">
        <v>75</v>
      </c>
      <c r="C16" s="8" t="s">
        <v>200</v>
      </c>
      <c r="D16" s="342"/>
    </row>
    <row r="17" spans="1:4" s="109" customFormat="1" ht="12" customHeight="1" thickBot="1" x14ac:dyDescent="0.25">
      <c r="A17" s="217" t="s">
        <v>970</v>
      </c>
      <c r="B17" s="242"/>
      <c r="C17" s="243" t="s">
        <v>930</v>
      </c>
      <c r="D17" s="343">
        <f>SUM(D18:D21)</f>
        <v>0</v>
      </c>
    </row>
    <row r="18" spans="1:4" s="110" customFormat="1" ht="12" customHeight="1" x14ac:dyDescent="0.2">
      <c r="A18" s="244"/>
      <c r="B18" s="245" t="s">
        <v>66</v>
      </c>
      <c r="C18" s="11" t="s">
        <v>926</v>
      </c>
      <c r="D18" s="341"/>
    </row>
    <row r="19" spans="1:4" s="110" customFormat="1" ht="12" customHeight="1" x14ac:dyDescent="0.2">
      <c r="A19" s="244"/>
      <c r="B19" s="245" t="s">
        <v>67</v>
      </c>
      <c r="C19" s="9" t="s">
        <v>927</v>
      </c>
      <c r="D19" s="341"/>
    </row>
    <row r="20" spans="1:4" s="110" customFormat="1" ht="12" customHeight="1" x14ac:dyDescent="0.2">
      <c r="A20" s="244"/>
      <c r="B20" s="245" t="s">
        <v>68</v>
      </c>
      <c r="C20" s="9" t="s">
        <v>928</v>
      </c>
      <c r="D20" s="341"/>
    </row>
    <row r="21" spans="1:4" s="110" customFormat="1" ht="12" customHeight="1" thickBot="1" x14ac:dyDescent="0.25">
      <c r="A21" s="244"/>
      <c r="B21" s="245" t="s">
        <v>69</v>
      </c>
      <c r="C21" s="9" t="s">
        <v>927</v>
      </c>
      <c r="D21" s="341"/>
    </row>
    <row r="22" spans="1:4" s="110" customFormat="1" ht="12" customHeight="1" thickBot="1" x14ac:dyDescent="0.25">
      <c r="A22" s="225" t="s">
        <v>971</v>
      </c>
      <c r="B22" s="140"/>
      <c r="C22" s="140" t="s">
        <v>931</v>
      </c>
      <c r="D22" s="343">
        <f>+D23+D24</f>
        <v>0</v>
      </c>
    </row>
    <row r="23" spans="1:4" s="109" customFormat="1" ht="12" customHeight="1" x14ac:dyDescent="0.2">
      <c r="A23" s="377"/>
      <c r="B23" s="395" t="s">
        <v>40</v>
      </c>
      <c r="C23" s="157" t="s">
        <v>251</v>
      </c>
      <c r="D23" s="401"/>
    </row>
    <row r="24" spans="1:4" s="109" customFormat="1" ht="12" customHeight="1" thickBot="1" x14ac:dyDescent="0.25">
      <c r="A24" s="393"/>
      <c r="B24" s="394" t="s">
        <v>41</v>
      </c>
      <c r="C24" s="158" t="s">
        <v>255</v>
      </c>
      <c r="D24" s="402"/>
    </row>
    <row r="25" spans="1:4" s="109" customFormat="1" ht="12" customHeight="1" thickBot="1" x14ac:dyDescent="0.25">
      <c r="A25" s="225" t="s">
        <v>972</v>
      </c>
      <c r="B25" s="242"/>
      <c r="C25" s="140" t="s">
        <v>948</v>
      </c>
      <c r="D25" s="364"/>
    </row>
    <row r="26" spans="1:4" s="109" customFormat="1" ht="12" customHeight="1" thickBot="1" x14ac:dyDescent="0.25">
      <c r="A26" s="217" t="s">
        <v>973</v>
      </c>
      <c r="B26" s="185"/>
      <c r="C26" s="140" t="s">
        <v>944</v>
      </c>
      <c r="D26" s="382"/>
    </row>
    <row r="27" spans="1:4" s="110" customFormat="1" ht="12" customHeight="1" thickBot="1" x14ac:dyDescent="0.25">
      <c r="A27" s="390" t="s">
        <v>974</v>
      </c>
      <c r="B27" s="399"/>
      <c r="C27" s="392" t="s">
        <v>946</v>
      </c>
      <c r="D27" s="403">
        <f>+D28+D29</f>
        <v>0</v>
      </c>
    </row>
    <row r="28" spans="1:4" s="110" customFormat="1" ht="15" customHeight="1" x14ac:dyDescent="0.2">
      <c r="A28" s="246"/>
      <c r="B28" s="183" t="s">
        <v>47</v>
      </c>
      <c r="C28" s="157" t="s">
        <v>359</v>
      </c>
      <c r="D28" s="401"/>
    </row>
    <row r="29" spans="1:4" s="110" customFormat="1" ht="15" customHeight="1" thickBot="1" x14ac:dyDescent="0.25">
      <c r="A29" s="400"/>
      <c r="B29" s="184" t="s">
        <v>48</v>
      </c>
      <c r="C29" s="391" t="s">
        <v>934</v>
      </c>
      <c r="D29" s="103"/>
    </row>
    <row r="30" spans="1:4" ht="13.5" thickBot="1" x14ac:dyDescent="0.25">
      <c r="A30" s="251" t="s">
        <v>975</v>
      </c>
      <c r="B30" s="388"/>
      <c r="C30" s="389" t="s">
        <v>947</v>
      </c>
      <c r="D30" s="381"/>
    </row>
    <row r="31" spans="1:4" s="65" customFormat="1" ht="16.5" customHeight="1" thickBot="1" x14ac:dyDescent="0.25">
      <c r="A31" s="251" t="s">
        <v>976</v>
      </c>
      <c r="B31" s="252"/>
      <c r="C31" s="253" t="s">
        <v>945</v>
      </c>
      <c r="D31" s="385">
        <f>+D26+D27+D30</f>
        <v>0</v>
      </c>
    </row>
    <row r="32" spans="1:4" s="111" customFormat="1" ht="12" customHeight="1" x14ac:dyDescent="0.2">
      <c r="A32" s="254"/>
      <c r="B32" s="254"/>
      <c r="C32" s="255"/>
      <c r="D32" s="383"/>
    </row>
    <row r="33" spans="1:4" ht="12" customHeight="1" thickBot="1" x14ac:dyDescent="0.25">
      <c r="A33" s="256"/>
      <c r="B33" s="257"/>
      <c r="C33" s="257"/>
      <c r="D33" s="384"/>
    </row>
    <row r="34" spans="1:4" ht="12" customHeight="1" thickBot="1" x14ac:dyDescent="0.25">
      <c r="A34" s="258"/>
      <c r="B34" s="259"/>
      <c r="C34" s="260" t="s">
        <v>1</v>
      </c>
      <c r="D34" s="385"/>
    </row>
    <row r="35" spans="1:4" ht="12" customHeight="1" thickBot="1" x14ac:dyDescent="0.25">
      <c r="A35" s="225" t="s">
        <v>969</v>
      </c>
      <c r="B35" s="24"/>
      <c r="C35" s="140" t="s">
        <v>924</v>
      </c>
      <c r="D35" s="343">
        <f>SUM(D36:D40)</f>
        <v>0</v>
      </c>
    </row>
    <row r="36" spans="1:4" ht="12" customHeight="1" x14ac:dyDescent="0.2">
      <c r="A36" s="261"/>
      <c r="B36" s="182" t="s">
        <v>60</v>
      </c>
      <c r="C36" s="11" t="s">
        <v>1000</v>
      </c>
      <c r="D36" s="96"/>
    </row>
    <row r="37" spans="1:4" ht="12" customHeight="1" x14ac:dyDescent="0.2">
      <c r="A37" s="262"/>
      <c r="B37" s="165" t="s">
        <v>61</v>
      </c>
      <c r="C37" s="9" t="s">
        <v>167</v>
      </c>
      <c r="D37" s="99"/>
    </row>
    <row r="38" spans="1:4" ht="12" customHeight="1" x14ac:dyDescent="0.2">
      <c r="A38" s="262"/>
      <c r="B38" s="165" t="s">
        <v>62</v>
      </c>
      <c r="C38" s="9" t="s">
        <v>91</v>
      </c>
      <c r="D38" s="99"/>
    </row>
    <row r="39" spans="1:4" s="111" customFormat="1" ht="12" customHeight="1" x14ac:dyDescent="0.2">
      <c r="A39" s="262"/>
      <c r="B39" s="165" t="s">
        <v>63</v>
      </c>
      <c r="C39" s="9" t="s">
        <v>168</v>
      </c>
      <c r="D39" s="99"/>
    </row>
    <row r="40" spans="1:4" ht="12" customHeight="1" thickBot="1" x14ac:dyDescent="0.25">
      <c r="A40" s="262"/>
      <c r="B40" s="165" t="s">
        <v>74</v>
      </c>
      <c r="C40" s="9" t="s">
        <v>169</v>
      </c>
      <c r="D40" s="99"/>
    </row>
    <row r="41" spans="1:4" ht="12" customHeight="1" thickBot="1" x14ac:dyDescent="0.25">
      <c r="A41" s="225" t="s">
        <v>970</v>
      </c>
      <c r="B41" s="24"/>
      <c r="C41" s="140" t="s">
        <v>941</v>
      </c>
      <c r="D41" s="343">
        <f>SUM(D42:D45)</f>
        <v>0</v>
      </c>
    </row>
    <row r="42" spans="1:4" ht="12" customHeight="1" x14ac:dyDescent="0.2">
      <c r="A42" s="261"/>
      <c r="B42" s="182" t="s">
        <v>66</v>
      </c>
      <c r="C42" s="11" t="s">
        <v>283</v>
      </c>
      <c r="D42" s="96"/>
    </row>
    <row r="43" spans="1:4" ht="12" customHeight="1" x14ac:dyDescent="0.2">
      <c r="A43" s="262"/>
      <c r="B43" s="165" t="s">
        <v>67</v>
      </c>
      <c r="C43" s="9" t="s">
        <v>171</v>
      </c>
      <c r="D43" s="99"/>
    </row>
    <row r="44" spans="1:4" ht="15" customHeight="1" x14ac:dyDescent="0.2">
      <c r="A44" s="262"/>
      <c r="B44" s="165" t="s">
        <v>70</v>
      </c>
      <c r="C44" s="9" t="s">
        <v>2</v>
      </c>
      <c r="D44" s="99"/>
    </row>
    <row r="45" spans="1:4" ht="13.5" thickBot="1" x14ac:dyDescent="0.25">
      <c r="A45" s="262"/>
      <c r="B45" s="165" t="s">
        <v>81</v>
      </c>
      <c r="C45" s="9" t="s">
        <v>938</v>
      </c>
      <c r="D45" s="99"/>
    </row>
    <row r="46" spans="1:4" ht="15" customHeight="1" thickBot="1" x14ac:dyDescent="0.25">
      <c r="A46" s="225" t="s">
        <v>971</v>
      </c>
      <c r="B46" s="24"/>
      <c r="C46" s="24" t="s">
        <v>939</v>
      </c>
      <c r="D46" s="364"/>
    </row>
    <row r="47" spans="1:4" ht="14.25" customHeight="1" thickBot="1" x14ac:dyDescent="0.25">
      <c r="A47" s="251" t="s">
        <v>972</v>
      </c>
      <c r="B47" s="388"/>
      <c r="C47" s="389" t="s">
        <v>942</v>
      </c>
      <c r="D47" s="381"/>
    </row>
    <row r="48" spans="1:4" ht="13.5" thickBot="1" x14ac:dyDescent="0.25">
      <c r="A48" s="225" t="s">
        <v>973</v>
      </c>
      <c r="B48" s="250"/>
      <c r="C48" s="263" t="s">
        <v>940</v>
      </c>
      <c r="D48" s="386">
        <f>+D35+D41+D46+D47</f>
        <v>0</v>
      </c>
    </row>
    <row r="49" spans="1:4" ht="13.5" thickBot="1" x14ac:dyDescent="0.25">
      <c r="A49" s="264"/>
      <c r="B49" s="265"/>
      <c r="C49" s="265"/>
      <c r="D49" s="387"/>
    </row>
    <row r="50" spans="1:4" ht="13.5" thickBot="1" x14ac:dyDescent="0.25">
      <c r="A50" s="266" t="s">
        <v>211</v>
      </c>
      <c r="B50" s="267"/>
      <c r="C50" s="268"/>
      <c r="D50" s="138"/>
    </row>
    <row r="51" spans="1:4" ht="13.5" thickBot="1" x14ac:dyDescent="0.25">
      <c r="A51" s="266" t="s">
        <v>212</v>
      </c>
      <c r="B51" s="267"/>
      <c r="C51" s="268"/>
      <c r="D51" s="138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0"/>
      <c r="B1" s="231"/>
      <c r="C1" s="272"/>
      <c r="D1" s="271" t="s">
        <v>943</v>
      </c>
    </row>
    <row r="2" spans="1:4" s="107" customFormat="1" ht="25.5" customHeight="1" x14ac:dyDescent="0.2">
      <c r="A2" s="1553" t="s">
        <v>207</v>
      </c>
      <c r="B2" s="1554"/>
      <c r="C2" s="269" t="s">
        <v>214</v>
      </c>
      <c r="D2" s="273" t="s">
        <v>7</v>
      </c>
    </row>
    <row r="3" spans="1:4" s="107" customFormat="1" ht="16.5" thickBot="1" x14ac:dyDescent="0.25">
      <c r="A3" s="233" t="s">
        <v>206</v>
      </c>
      <c r="B3" s="234"/>
      <c r="C3" s="270" t="s">
        <v>215</v>
      </c>
      <c r="D3" s="274" t="s">
        <v>10</v>
      </c>
    </row>
    <row r="4" spans="1:4" s="108" customFormat="1" ht="15.95" customHeight="1" thickBot="1" x14ac:dyDescent="0.3">
      <c r="A4" s="235"/>
      <c r="B4" s="235"/>
      <c r="C4" s="235"/>
      <c r="D4" s="236" t="s">
        <v>1008</v>
      </c>
    </row>
    <row r="5" spans="1:4" ht="13.5" thickBot="1" x14ac:dyDescent="0.25">
      <c r="A5" s="1555" t="s">
        <v>208</v>
      </c>
      <c r="B5" s="1556"/>
      <c r="C5" s="237" t="s">
        <v>1009</v>
      </c>
      <c r="D5" s="238" t="s">
        <v>1010</v>
      </c>
    </row>
    <row r="6" spans="1:4" s="65" customFormat="1" ht="12.95" customHeight="1" thickBot="1" x14ac:dyDescent="0.25">
      <c r="A6" s="217">
        <v>1</v>
      </c>
      <c r="B6" s="218">
        <v>2</v>
      </c>
      <c r="C6" s="218">
        <v>3</v>
      </c>
      <c r="D6" s="219">
        <v>4</v>
      </c>
    </row>
    <row r="7" spans="1:4" s="65" customFormat="1" ht="15.95" customHeight="1" thickBot="1" x14ac:dyDescent="0.25">
      <c r="A7" s="239"/>
      <c r="B7" s="240"/>
      <c r="C7" s="240" t="s">
        <v>1011</v>
      </c>
      <c r="D7" s="241"/>
    </row>
    <row r="8" spans="1:4" s="109" customFormat="1" ht="12" customHeight="1" thickBot="1" x14ac:dyDescent="0.25">
      <c r="A8" s="217" t="s">
        <v>969</v>
      </c>
      <c r="B8" s="242"/>
      <c r="C8" s="243" t="s">
        <v>213</v>
      </c>
      <c r="D8" s="343">
        <f>SUM(D9:D16)</f>
        <v>0</v>
      </c>
    </row>
    <row r="9" spans="1:4" s="109" customFormat="1" ht="12" customHeight="1" x14ac:dyDescent="0.2">
      <c r="A9" s="246"/>
      <c r="B9" s="245" t="s">
        <v>60</v>
      </c>
      <c r="C9" s="12" t="s">
        <v>136</v>
      </c>
      <c r="D9" s="379"/>
    </row>
    <row r="10" spans="1:4" s="109" customFormat="1" ht="12" customHeight="1" x14ac:dyDescent="0.2">
      <c r="A10" s="244"/>
      <c r="B10" s="245" t="s">
        <v>61</v>
      </c>
      <c r="C10" s="9" t="s">
        <v>137</v>
      </c>
      <c r="D10" s="341"/>
    </row>
    <row r="11" spans="1:4" s="109" customFormat="1" ht="12" customHeight="1" x14ac:dyDescent="0.2">
      <c r="A11" s="244"/>
      <c r="B11" s="245" t="s">
        <v>62</v>
      </c>
      <c r="C11" s="9" t="s">
        <v>138</v>
      </c>
      <c r="D11" s="341"/>
    </row>
    <row r="12" spans="1:4" s="109" customFormat="1" ht="12" customHeight="1" x14ac:dyDescent="0.2">
      <c r="A12" s="244"/>
      <c r="B12" s="245" t="s">
        <v>63</v>
      </c>
      <c r="C12" s="9" t="s">
        <v>139</v>
      </c>
      <c r="D12" s="341"/>
    </row>
    <row r="13" spans="1:4" s="109" customFormat="1" ht="12" customHeight="1" x14ac:dyDescent="0.2">
      <c r="A13" s="244"/>
      <c r="B13" s="245" t="s">
        <v>94</v>
      </c>
      <c r="C13" s="8" t="s">
        <v>140</v>
      </c>
      <c r="D13" s="341"/>
    </row>
    <row r="14" spans="1:4" s="109" customFormat="1" ht="12" customHeight="1" x14ac:dyDescent="0.2">
      <c r="A14" s="247"/>
      <c r="B14" s="245" t="s">
        <v>64</v>
      </c>
      <c r="C14" s="9" t="s">
        <v>141</v>
      </c>
      <c r="D14" s="380"/>
    </row>
    <row r="15" spans="1:4" s="110" customFormat="1" ht="12" customHeight="1" x14ac:dyDescent="0.2">
      <c r="A15" s="244"/>
      <c r="B15" s="245" t="s">
        <v>65</v>
      </c>
      <c r="C15" s="9" t="s">
        <v>929</v>
      </c>
      <c r="D15" s="341"/>
    </row>
    <row r="16" spans="1:4" s="110" customFormat="1" ht="12" customHeight="1" thickBot="1" x14ac:dyDescent="0.25">
      <c r="A16" s="248"/>
      <c r="B16" s="249" t="s">
        <v>75</v>
      </c>
      <c r="C16" s="8" t="s">
        <v>200</v>
      </c>
      <c r="D16" s="342"/>
    </row>
    <row r="17" spans="1:4" s="109" customFormat="1" ht="12" customHeight="1" thickBot="1" x14ac:dyDescent="0.25">
      <c r="A17" s="217" t="s">
        <v>970</v>
      </c>
      <c r="B17" s="242"/>
      <c r="C17" s="243" t="s">
        <v>930</v>
      </c>
      <c r="D17" s="343">
        <f>SUM(D18:D21)</f>
        <v>0</v>
      </c>
    </row>
    <row r="18" spans="1:4" s="110" customFormat="1" ht="12" customHeight="1" x14ac:dyDescent="0.2">
      <c r="A18" s="244"/>
      <c r="B18" s="245" t="s">
        <v>66</v>
      </c>
      <c r="C18" s="11" t="s">
        <v>926</v>
      </c>
      <c r="D18" s="341"/>
    </row>
    <row r="19" spans="1:4" s="110" customFormat="1" ht="12" customHeight="1" x14ac:dyDescent="0.2">
      <c r="A19" s="244"/>
      <c r="B19" s="245" t="s">
        <v>67</v>
      </c>
      <c r="C19" s="9" t="s">
        <v>927</v>
      </c>
      <c r="D19" s="341"/>
    </row>
    <row r="20" spans="1:4" s="110" customFormat="1" ht="12" customHeight="1" x14ac:dyDescent="0.2">
      <c r="A20" s="244"/>
      <c r="B20" s="245" t="s">
        <v>68</v>
      </c>
      <c r="C20" s="9" t="s">
        <v>928</v>
      </c>
      <c r="D20" s="341"/>
    </row>
    <row r="21" spans="1:4" s="110" customFormat="1" ht="12" customHeight="1" thickBot="1" x14ac:dyDescent="0.25">
      <c r="A21" s="244"/>
      <c r="B21" s="245" t="s">
        <v>69</v>
      </c>
      <c r="C21" s="9" t="s">
        <v>927</v>
      </c>
      <c r="D21" s="341"/>
    </row>
    <row r="22" spans="1:4" s="110" customFormat="1" ht="12" customHeight="1" thickBot="1" x14ac:dyDescent="0.25">
      <c r="A22" s="225" t="s">
        <v>971</v>
      </c>
      <c r="B22" s="140"/>
      <c r="C22" s="140" t="s">
        <v>931</v>
      </c>
      <c r="D22" s="343">
        <f>+D23+D24</f>
        <v>0</v>
      </c>
    </row>
    <row r="23" spans="1:4" s="109" customFormat="1" ht="12" customHeight="1" x14ac:dyDescent="0.2">
      <c r="A23" s="377"/>
      <c r="B23" s="395" t="s">
        <v>40</v>
      </c>
      <c r="C23" s="157" t="s">
        <v>251</v>
      </c>
      <c r="D23" s="401"/>
    </row>
    <row r="24" spans="1:4" s="109" customFormat="1" ht="12" customHeight="1" thickBot="1" x14ac:dyDescent="0.25">
      <c r="A24" s="393"/>
      <c r="B24" s="394" t="s">
        <v>41</v>
      </c>
      <c r="C24" s="158" t="s">
        <v>255</v>
      </c>
      <c r="D24" s="402"/>
    </row>
    <row r="25" spans="1:4" s="109" customFormat="1" ht="12" customHeight="1" thickBot="1" x14ac:dyDescent="0.25">
      <c r="A25" s="225" t="s">
        <v>972</v>
      </c>
      <c r="B25" s="242"/>
      <c r="C25" s="140" t="s">
        <v>948</v>
      </c>
      <c r="D25" s="364"/>
    </row>
    <row r="26" spans="1:4" s="109" customFormat="1" ht="12" customHeight="1" thickBot="1" x14ac:dyDescent="0.25">
      <c r="A26" s="217" t="s">
        <v>973</v>
      </c>
      <c r="B26" s="185"/>
      <c r="C26" s="140" t="s">
        <v>944</v>
      </c>
      <c r="D26" s="382"/>
    </row>
    <row r="27" spans="1:4" s="110" customFormat="1" ht="12" customHeight="1" thickBot="1" x14ac:dyDescent="0.25">
      <c r="A27" s="390" t="s">
        <v>974</v>
      </c>
      <c r="B27" s="399"/>
      <c r="C27" s="392" t="s">
        <v>946</v>
      </c>
      <c r="D27" s="403">
        <f>+D28+D29</f>
        <v>0</v>
      </c>
    </row>
    <row r="28" spans="1:4" s="110" customFormat="1" ht="15" customHeight="1" x14ac:dyDescent="0.2">
      <c r="A28" s="246"/>
      <c r="B28" s="183" t="s">
        <v>47</v>
      </c>
      <c r="C28" s="157" t="s">
        <v>359</v>
      </c>
      <c r="D28" s="401"/>
    </row>
    <row r="29" spans="1:4" s="110" customFormat="1" ht="15" customHeight="1" thickBot="1" x14ac:dyDescent="0.25">
      <c r="A29" s="400"/>
      <c r="B29" s="184" t="s">
        <v>48</v>
      </c>
      <c r="C29" s="391" t="s">
        <v>934</v>
      </c>
      <c r="D29" s="103"/>
    </row>
    <row r="30" spans="1:4" ht="13.5" thickBot="1" x14ac:dyDescent="0.25">
      <c r="A30" s="251" t="s">
        <v>975</v>
      </c>
      <c r="B30" s="388"/>
      <c r="C30" s="389" t="s">
        <v>947</v>
      </c>
      <c r="D30" s="381"/>
    </row>
    <row r="31" spans="1:4" s="65" customFormat="1" ht="16.5" customHeight="1" thickBot="1" x14ac:dyDescent="0.25">
      <c r="A31" s="251" t="s">
        <v>976</v>
      </c>
      <c r="B31" s="252"/>
      <c r="C31" s="253" t="s">
        <v>945</v>
      </c>
      <c r="D31" s="385">
        <f>+D26+D27+D30</f>
        <v>0</v>
      </c>
    </row>
    <row r="32" spans="1:4" s="111" customFormat="1" ht="12" customHeight="1" x14ac:dyDescent="0.2">
      <c r="A32" s="254"/>
      <c r="B32" s="254"/>
      <c r="C32" s="255"/>
      <c r="D32" s="383"/>
    </row>
    <row r="33" spans="1:4" ht="12" customHeight="1" thickBot="1" x14ac:dyDescent="0.25">
      <c r="A33" s="256"/>
      <c r="B33" s="257"/>
      <c r="C33" s="257"/>
      <c r="D33" s="384"/>
    </row>
    <row r="34" spans="1:4" ht="12" customHeight="1" thickBot="1" x14ac:dyDescent="0.25">
      <c r="A34" s="258"/>
      <c r="B34" s="259"/>
      <c r="C34" s="260" t="s">
        <v>1</v>
      </c>
      <c r="D34" s="385"/>
    </row>
    <row r="35" spans="1:4" ht="12" customHeight="1" thickBot="1" x14ac:dyDescent="0.25">
      <c r="A35" s="225" t="s">
        <v>969</v>
      </c>
      <c r="B35" s="24"/>
      <c r="C35" s="140" t="s">
        <v>924</v>
      </c>
      <c r="D35" s="343">
        <f>SUM(D36:D40)</f>
        <v>0</v>
      </c>
    </row>
    <row r="36" spans="1:4" ht="12" customHeight="1" x14ac:dyDescent="0.2">
      <c r="A36" s="261"/>
      <c r="B36" s="182" t="s">
        <v>60</v>
      </c>
      <c r="C36" s="11" t="s">
        <v>1000</v>
      </c>
      <c r="D36" s="96"/>
    </row>
    <row r="37" spans="1:4" ht="12" customHeight="1" x14ac:dyDescent="0.2">
      <c r="A37" s="262"/>
      <c r="B37" s="165" t="s">
        <v>61</v>
      </c>
      <c r="C37" s="9" t="s">
        <v>167</v>
      </c>
      <c r="D37" s="99"/>
    </row>
    <row r="38" spans="1:4" ht="12" customHeight="1" x14ac:dyDescent="0.2">
      <c r="A38" s="262"/>
      <c r="B38" s="165" t="s">
        <v>62</v>
      </c>
      <c r="C38" s="9" t="s">
        <v>91</v>
      </c>
      <c r="D38" s="99"/>
    </row>
    <row r="39" spans="1:4" s="111" customFormat="1" ht="12" customHeight="1" x14ac:dyDescent="0.2">
      <c r="A39" s="262"/>
      <c r="B39" s="165" t="s">
        <v>63</v>
      </c>
      <c r="C39" s="9" t="s">
        <v>168</v>
      </c>
      <c r="D39" s="99"/>
    </row>
    <row r="40" spans="1:4" ht="12" customHeight="1" thickBot="1" x14ac:dyDescent="0.25">
      <c r="A40" s="262"/>
      <c r="B40" s="165" t="s">
        <v>74</v>
      </c>
      <c r="C40" s="9" t="s">
        <v>169</v>
      </c>
      <c r="D40" s="99"/>
    </row>
    <row r="41" spans="1:4" ht="12" customHeight="1" thickBot="1" x14ac:dyDescent="0.25">
      <c r="A41" s="225" t="s">
        <v>970</v>
      </c>
      <c r="B41" s="24"/>
      <c r="C41" s="140" t="s">
        <v>941</v>
      </c>
      <c r="D41" s="343">
        <f>SUM(D42:D45)</f>
        <v>0</v>
      </c>
    </row>
    <row r="42" spans="1:4" ht="12" customHeight="1" x14ac:dyDescent="0.2">
      <c r="A42" s="261"/>
      <c r="B42" s="182" t="s">
        <v>66</v>
      </c>
      <c r="C42" s="11" t="s">
        <v>283</v>
      </c>
      <c r="D42" s="96"/>
    </row>
    <row r="43" spans="1:4" ht="12" customHeight="1" x14ac:dyDescent="0.2">
      <c r="A43" s="262"/>
      <c r="B43" s="165" t="s">
        <v>67</v>
      </c>
      <c r="C43" s="9" t="s">
        <v>171</v>
      </c>
      <c r="D43" s="99"/>
    </row>
    <row r="44" spans="1:4" ht="15" customHeight="1" x14ac:dyDescent="0.2">
      <c r="A44" s="262"/>
      <c r="B44" s="165" t="s">
        <v>70</v>
      </c>
      <c r="C44" s="9" t="s">
        <v>2</v>
      </c>
      <c r="D44" s="99"/>
    </row>
    <row r="45" spans="1:4" ht="13.5" thickBot="1" x14ac:dyDescent="0.25">
      <c r="A45" s="262"/>
      <c r="B45" s="165" t="s">
        <v>81</v>
      </c>
      <c r="C45" s="9" t="s">
        <v>938</v>
      </c>
      <c r="D45" s="99"/>
    </row>
    <row r="46" spans="1:4" ht="15" customHeight="1" thickBot="1" x14ac:dyDescent="0.25">
      <c r="A46" s="225" t="s">
        <v>971</v>
      </c>
      <c r="B46" s="24"/>
      <c r="C46" s="24" t="s">
        <v>939</v>
      </c>
      <c r="D46" s="364"/>
    </row>
    <row r="47" spans="1:4" ht="14.25" customHeight="1" thickBot="1" x14ac:dyDescent="0.25">
      <c r="A47" s="251" t="s">
        <v>972</v>
      </c>
      <c r="B47" s="388"/>
      <c r="C47" s="389" t="s">
        <v>942</v>
      </c>
      <c r="D47" s="381"/>
    </row>
    <row r="48" spans="1:4" ht="13.5" thickBot="1" x14ac:dyDescent="0.25">
      <c r="A48" s="225" t="s">
        <v>973</v>
      </c>
      <c r="B48" s="250"/>
      <c r="C48" s="263" t="s">
        <v>940</v>
      </c>
      <c r="D48" s="386">
        <f>+D35+D41+D46+D47</f>
        <v>0</v>
      </c>
    </row>
    <row r="49" spans="1:4" ht="13.5" thickBot="1" x14ac:dyDescent="0.25">
      <c r="A49" s="264"/>
      <c r="B49" s="265"/>
      <c r="C49" s="265"/>
      <c r="D49" s="387"/>
    </row>
    <row r="50" spans="1:4" ht="13.5" thickBot="1" x14ac:dyDescent="0.25">
      <c r="A50" s="266" t="s">
        <v>211</v>
      </c>
      <c r="B50" s="267"/>
      <c r="C50" s="268"/>
      <c r="D50" s="138"/>
    </row>
    <row r="51" spans="1:4" ht="13.5" thickBot="1" x14ac:dyDescent="0.25">
      <c r="A51" s="266" t="s">
        <v>212</v>
      </c>
      <c r="B51" s="267"/>
      <c r="C51" s="268"/>
      <c r="D51" s="138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54"/>
  <sheetViews>
    <sheetView view="pageLayout" topLeftCell="F1" zoomScaleNormal="100" zoomScaleSheetLayoutView="100" workbookViewId="0">
      <selection activeCell="N49" sqref="N49"/>
    </sheetView>
  </sheetViews>
  <sheetFormatPr defaultColWidth="9.33203125" defaultRowHeight="12.75" x14ac:dyDescent="0.2"/>
  <cols>
    <col min="1" max="1" width="4.83203125" style="1393" customWidth="1"/>
    <col min="2" max="2" width="9.6640625" style="1367" customWidth="1"/>
    <col min="3" max="3" width="71.83203125" style="1367" customWidth="1"/>
    <col min="4" max="5" width="11.33203125" style="1361" hidden="1" customWidth="1"/>
    <col min="6" max="10" width="11.33203125" style="1361" customWidth="1"/>
    <col min="11" max="16384" width="9.33203125" style="1367"/>
  </cols>
  <sheetData>
    <row r="1" spans="1:10" s="1364" customFormat="1" ht="21" customHeight="1" thickBot="1" x14ac:dyDescent="0.25">
      <c r="A1" s="1212"/>
      <c r="B1" s="1213"/>
      <c r="C1" s="1362"/>
      <c r="D1" s="1363"/>
      <c r="E1" s="1363"/>
      <c r="F1" s="1363"/>
      <c r="G1" s="1363"/>
      <c r="H1" s="1363"/>
      <c r="I1" s="1363"/>
      <c r="J1" s="1363"/>
    </row>
    <row r="2" spans="1:10" s="1365" customFormat="1" ht="39" customHeight="1" thickBot="1" x14ac:dyDescent="0.25">
      <c r="A2" s="1549" t="s">
        <v>207</v>
      </c>
      <c r="B2" s="1550"/>
      <c r="C2" s="1216" t="s">
        <v>726</v>
      </c>
      <c r="D2" s="1217"/>
      <c r="E2" s="1218" t="s">
        <v>7</v>
      </c>
      <c r="F2" s="1218"/>
      <c r="G2" s="1218"/>
      <c r="H2" s="1218"/>
      <c r="I2" s="1218"/>
      <c r="J2" s="1219" t="s">
        <v>7</v>
      </c>
    </row>
    <row r="3" spans="1:10" s="1365" customFormat="1" ht="16.5" hidden="1" thickBot="1" x14ac:dyDescent="0.25">
      <c r="A3" s="1221" t="s">
        <v>206</v>
      </c>
      <c r="B3" s="1222"/>
      <c r="C3" s="1223" t="s">
        <v>216</v>
      </c>
      <c r="D3" s="1224" t="s">
        <v>1007</v>
      </c>
      <c r="E3" s="1224" t="s">
        <v>1007</v>
      </c>
      <c r="F3" s="1224" t="s">
        <v>1007</v>
      </c>
      <c r="G3" s="1224" t="s">
        <v>1007</v>
      </c>
      <c r="H3" s="1224"/>
      <c r="I3" s="1224"/>
      <c r="J3" s="1224" t="s">
        <v>1007</v>
      </c>
    </row>
    <row r="4" spans="1:10" s="1366" customFormat="1" ht="15.95" customHeight="1" thickBot="1" x14ac:dyDescent="0.3">
      <c r="A4" s="1225"/>
      <c r="B4" s="1225"/>
      <c r="C4" s="1225"/>
      <c r="D4" s="1226"/>
      <c r="E4" s="1226" t="s">
        <v>1008</v>
      </c>
      <c r="F4" s="1226"/>
      <c r="G4" s="1226"/>
      <c r="H4" s="1226"/>
      <c r="I4" s="1226"/>
      <c r="J4" s="1226" t="s">
        <v>1008</v>
      </c>
    </row>
    <row r="5" spans="1:10" ht="39" thickBot="1" x14ac:dyDescent="0.25">
      <c r="A5" s="1549" t="s">
        <v>208</v>
      </c>
      <c r="B5" s="1550"/>
      <c r="C5" s="1228" t="s">
        <v>1009</v>
      </c>
      <c r="D5" s="1229" t="s">
        <v>1037</v>
      </c>
      <c r="E5" s="1230" t="s">
        <v>1038</v>
      </c>
      <c r="F5" s="1231" t="s">
        <v>1039</v>
      </c>
      <c r="G5" s="933" t="s">
        <v>1148</v>
      </c>
      <c r="H5" s="933" t="s">
        <v>1189</v>
      </c>
      <c r="I5" s="933" t="s">
        <v>1190</v>
      </c>
      <c r="J5" s="933" t="s">
        <v>1147</v>
      </c>
    </row>
    <row r="6" spans="1:10" s="1368" customFormat="1" ht="12.95" customHeight="1" thickBot="1" x14ac:dyDescent="0.25">
      <c r="A6" s="1233">
        <v>1</v>
      </c>
      <c r="B6" s="1234">
        <v>2</v>
      </c>
      <c r="C6" s="1235">
        <v>3</v>
      </c>
      <c r="D6" s="1236">
        <v>4</v>
      </c>
      <c r="E6" s="1237">
        <v>5</v>
      </c>
      <c r="F6" s="1238">
        <v>4</v>
      </c>
      <c r="G6" s="1239">
        <v>5</v>
      </c>
      <c r="H6" s="1239">
        <v>6</v>
      </c>
      <c r="I6" s="1239"/>
      <c r="J6" s="1239">
        <v>7</v>
      </c>
    </row>
    <row r="7" spans="1:10" s="1368" customFormat="1" ht="15.95" customHeight="1" thickBot="1" x14ac:dyDescent="0.25">
      <c r="A7" s="1241"/>
      <c r="B7" s="1242"/>
      <c r="C7" s="1242" t="s">
        <v>1011</v>
      </c>
      <c r="D7" s="1243"/>
      <c r="E7" s="1244"/>
      <c r="F7" s="1245"/>
      <c r="G7" s="1246"/>
      <c r="H7" s="1246"/>
      <c r="I7" s="1246"/>
      <c r="J7" s="1246"/>
    </row>
    <row r="8" spans="1:10" s="1369" customFormat="1" ht="12" customHeight="1" thickBot="1" x14ac:dyDescent="0.25">
      <c r="A8" s="1233" t="s">
        <v>969</v>
      </c>
      <c r="B8" s="1247"/>
      <c r="C8" s="1248" t="s">
        <v>213</v>
      </c>
      <c r="D8" s="1249">
        <f>SUM(D9:D16)</f>
        <v>1</v>
      </c>
      <c r="E8" s="1250">
        <f>SUM(E9:E16)</f>
        <v>0</v>
      </c>
      <c r="F8" s="1251">
        <f>SUM(F9:F16)</f>
        <v>50</v>
      </c>
      <c r="G8" s="1251">
        <f t="shared" ref="G8:I8" si="0">SUM(G9:G16)</f>
        <v>0</v>
      </c>
      <c r="H8" s="1251">
        <f t="shared" si="0"/>
        <v>0</v>
      </c>
      <c r="I8" s="1251">
        <f t="shared" si="0"/>
        <v>54</v>
      </c>
      <c r="J8" s="1251">
        <f>F8+G8+H8+I8</f>
        <v>104</v>
      </c>
    </row>
    <row r="9" spans="1:10" s="1369" customFormat="1" ht="12" customHeight="1" x14ac:dyDescent="0.2">
      <c r="A9" s="1254"/>
      <c r="B9" s="1255" t="s">
        <v>60</v>
      </c>
      <c r="C9" s="1256" t="s">
        <v>136</v>
      </c>
      <c r="D9" s="1257"/>
      <c r="E9" s="1258"/>
      <c r="F9" s="1259"/>
      <c r="G9" s="1260"/>
      <c r="H9" s="1260"/>
      <c r="I9" s="1260"/>
      <c r="J9" s="1260">
        <f t="shared" ref="J9:J32" si="1">F9+G9+H9+I9</f>
        <v>0</v>
      </c>
    </row>
    <row r="10" spans="1:10" s="1369" customFormat="1" ht="12" customHeight="1" x14ac:dyDescent="0.2">
      <c r="A10" s="1261"/>
      <c r="B10" s="1255" t="s">
        <v>61</v>
      </c>
      <c r="C10" s="1262" t="s">
        <v>137</v>
      </c>
      <c r="D10" s="1263"/>
      <c r="E10" s="1264"/>
      <c r="F10" s="1265">
        <v>50</v>
      </c>
      <c r="G10" s="1266"/>
      <c r="H10" s="1266"/>
      <c r="I10" s="1266">
        <v>54</v>
      </c>
      <c r="J10" s="1266">
        <f t="shared" si="1"/>
        <v>104</v>
      </c>
    </row>
    <row r="11" spans="1:10" s="1369" customFormat="1" ht="12" customHeight="1" x14ac:dyDescent="0.2">
      <c r="A11" s="1261"/>
      <c r="B11" s="1255" t="s">
        <v>62</v>
      </c>
      <c r="C11" s="1262" t="s">
        <v>138</v>
      </c>
      <c r="D11" s="1263"/>
      <c r="E11" s="1264"/>
      <c r="F11" s="1265"/>
      <c r="G11" s="1266"/>
      <c r="H11" s="1266"/>
      <c r="I11" s="1266"/>
      <c r="J11" s="1266">
        <f t="shared" si="1"/>
        <v>0</v>
      </c>
    </row>
    <row r="12" spans="1:10" s="1369" customFormat="1" ht="12" customHeight="1" x14ac:dyDescent="0.2">
      <c r="A12" s="1261"/>
      <c r="B12" s="1255" t="s">
        <v>63</v>
      </c>
      <c r="C12" s="1262" t="s">
        <v>139</v>
      </c>
      <c r="D12" s="1263"/>
      <c r="E12" s="1264"/>
      <c r="F12" s="1265"/>
      <c r="G12" s="1266"/>
      <c r="H12" s="1266"/>
      <c r="I12" s="1266"/>
      <c r="J12" s="1266">
        <f t="shared" si="1"/>
        <v>0</v>
      </c>
    </row>
    <row r="13" spans="1:10" s="1369" customFormat="1" ht="12" customHeight="1" x14ac:dyDescent="0.2">
      <c r="A13" s="1261"/>
      <c r="B13" s="1255" t="s">
        <v>94</v>
      </c>
      <c r="C13" s="1267" t="s">
        <v>140</v>
      </c>
      <c r="D13" s="1263"/>
      <c r="E13" s="1264"/>
      <c r="F13" s="1265"/>
      <c r="G13" s="1266"/>
      <c r="H13" s="1266"/>
      <c r="I13" s="1266"/>
      <c r="J13" s="1266">
        <f t="shared" si="1"/>
        <v>0</v>
      </c>
    </row>
    <row r="14" spans="1:10" s="1369" customFormat="1" ht="12" customHeight="1" x14ac:dyDescent="0.2">
      <c r="A14" s="1268"/>
      <c r="B14" s="1255" t="s">
        <v>64</v>
      </c>
      <c r="C14" s="1262" t="s">
        <v>141</v>
      </c>
      <c r="D14" s="1269"/>
      <c r="E14" s="1270"/>
      <c r="F14" s="1271"/>
      <c r="G14" s="1272"/>
      <c r="H14" s="1272"/>
      <c r="I14" s="1272"/>
      <c r="J14" s="1272">
        <f t="shared" si="1"/>
        <v>0</v>
      </c>
    </row>
    <row r="15" spans="1:10" s="1370" customFormat="1" ht="12" customHeight="1" x14ac:dyDescent="0.2">
      <c r="A15" s="1261"/>
      <c r="B15" s="1255" t="s">
        <v>65</v>
      </c>
      <c r="C15" s="1262" t="s">
        <v>929</v>
      </c>
      <c r="D15" s="1263"/>
      <c r="E15" s="1264"/>
      <c r="F15" s="1265"/>
      <c r="G15" s="1266"/>
      <c r="H15" s="1266"/>
      <c r="I15" s="1266"/>
      <c r="J15" s="1266">
        <f t="shared" si="1"/>
        <v>0</v>
      </c>
    </row>
    <row r="16" spans="1:10" s="1370" customFormat="1" ht="12" customHeight="1" thickBot="1" x14ac:dyDescent="0.25">
      <c r="A16" s="1274"/>
      <c r="B16" s="1275" t="s">
        <v>75</v>
      </c>
      <c r="C16" s="1267" t="s">
        <v>200</v>
      </c>
      <c r="D16" s="1276">
        <v>1</v>
      </c>
      <c r="E16" s="1277"/>
      <c r="F16" s="1278"/>
      <c r="G16" s="1279"/>
      <c r="H16" s="1279"/>
      <c r="I16" s="1279"/>
      <c r="J16" s="1279">
        <f t="shared" si="1"/>
        <v>0</v>
      </c>
    </row>
    <row r="17" spans="1:11" s="1369" customFormat="1" ht="12" customHeight="1" thickBot="1" x14ac:dyDescent="0.25">
      <c r="A17" s="1233" t="s">
        <v>970</v>
      </c>
      <c r="B17" s="1247"/>
      <c r="C17" s="1248" t="s">
        <v>930</v>
      </c>
      <c r="D17" s="1249">
        <f>SUM(D18:D21)</f>
        <v>0</v>
      </c>
      <c r="E17" s="1250">
        <f>SUM(E18:E21)</f>
        <v>0</v>
      </c>
      <c r="F17" s="1251">
        <f>SUM(F18:F21)</f>
        <v>0</v>
      </c>
      <c r="G17" s="1252">
        <f>SUM(G18:G21)</f>
        <v>0</v>
      </c>
      <c r="H17" s="1252">
        <f t="shared" ref="H17:I17" si="2">SUM(H18:H21)</f>
        <v>0</v>
      </c>
      <c r="I17" s="1252">
        <f t="shared" si="2"/>
        <v>0</v>
      </c>
      <c r="J17" s="1252">
        <f t="shared" si="1"/>
        <v>0</v>
      </c>
    </row>
    <row r="18" spans="1:11" s="1370" customFormat="1" ht="12" customHeight="1" x14ac:dyDescent="0.2">
      <c r="A18" s="1261"/>
      <c r="B18" s="1255" t="s">
        <v>66</v>
      </c>
      <c r="C18" s="1280" t="s">
        <v>926</v>
      </c>
      <c r="D18" s="1263"/>
      <c r="E18" s="1264"/>
      <c r="F18" s="1265"/>
      <c r="G18" s="1266"/>
      <c r="H18" s="1266"/>
      <c r="I18" s="1266"/>
      <c r="J18" s="1266">
        <f t="shared" si="1"/>
        <v>0</v>
      </c>
    </row>
    <row r="19" spans="1:11" s="1370" customFormat="1" ht="12" customHeight="1" x14ac:dyDescent="0.2">
      <c r="A19" s="1261"/>
      <c r="B19" s="1255" t="s">
        <v>67</v>
      </c>
      <c r="C19" s="1262" t="s">
        <v>927</v>
      </c>
      <c r="D19" s="1263"/>
      <c r="E19" s="1264"/>
      <c r="F19" s="1265"/>
      <c r="G19" s="1266"/>
      <c r="H19" s="1266"/>
      <c r="I19" s="1266"/>
      <c r="J19" s="1266">
        <f t="shared" si="1"/>
        <v>0</v>
      </c>
    </row>
    <row r="20" spans="1:11" s="1370" customFormat="1" ht="12" customHeight="1" x14ac:dyDescent="0.2">
      <c r="A20" s="1261"/>
      <c r="B20" s="1255" t="s">
        <v>68</v>
      </c>
      <c r="C20" s="1262" t="s">
        <v>928</v>
      </c>
      <c r="D20" s="1263"/>
      <c r="E20" s="1264"/>
      <c r="F20" s="1265"/>
      <c r="G20" s="1266"/>
      <c r="H20" s="1266"/>
      <c r="I20" s="1266"/>
      <c r="J20" s="1266">
        <f t="shared" si="1"/>
        <v>0</v>
      </c>
    </row>
    <row r="21" spans="1:11" s="1370" customFormat="1" ht="12" customHeight="1" thickBot="1" x14ac:dyDescent="0.25">
      <c r="A21" s="1261"/>
      <c r="B21" s="1255" t="s">
        <v>69</v>
      </c>
      <c r="C21" s="1262" t="s">
        <v>927</v>
      </c>
      <c r="D21" s="1263"/>
      <c r="E21" s="1264"/>
      <c r="F21" s="1265"/>
      <c r="G21" s="1266"/>
      <c r="H21" s="1266"/>
      <c r="I21" s="1266"/>
      <c r="J21" s="1266">
        <f t="shared" si="1"/>
        <v>0</v>
      </c>
    </row>
    <row r="22" spans="1:11" s="1370" customFormat="1" ht="12" customHeight="1" thickBot="1" x14ac:dyDescent="0.25">
      <c r="A22" s="1281" t="s">
        <v>971</v>
      </c>
      <c r="B22" s="1098"/>
      <c r="C22" s="1282" t="s">
        <v>931</v>
      </c>
      <c r="D22" s="1249">
        <f>+D23+D24</f>
        <v>0</v>
      </c>
      <c r="E22" s="1250">
        <f>+E23+E24</f>
        <v>0</v>
      </c>
      <c r="F22" s="1251">
        <f>+F23+F24</f>
        <v>0</v>
      </c>
      <c r="G22" s="1252">
        <f>+G23+G24</f>
        <v>0</v>
      </c>
      <c r="H22" s="1252">
        <f>+H23+H24</f>
        <v>0</v>
      </c>
      <c r="I22" s="1252"/>
      <c r="J22" s="1252">
        <f t="shared" si="1"/>
        <v>0</v>
      </c>
    </row>
    <row r="23" spans="1:11" s="1369" customFormat="1" ht="12" customHeight="1" x14ac:dyDescent="0.2">
      <c r="A23" s="1283"/>
      <c r="B23" s="1284" t="s">
        <v>40</v>
      </c>
      <c r="C23" s="1285" t="s">
        <v>251</v>
      </c>
      <c r="D23" s="1286"/>
      <c r="E23" s="1287"/>
      <c r="F23" s="1288"/>
      <c r="G23" s="1289"/>
      <c r="H23" s="1289"/>
      <c r="I23" s="1289"/>
      <c r="J23" s="1289">
        <f t="shared" si="1"/>
        <v>0</v>
      </c>
    </row>
    <row r="24" spans="1:11" s="1369" customFormat="1" ht="12" customHeight="1" thickBot="1" x14ac:dyDescent="0.25">
      <c r="A24" s="1290"/>
      <c r="B24" s="1291" t="s">
        <v>41</v>
      </c>
      <c r="C24" s="1292" t="s">
        <v>255</v>
      </c>
      <c r="D24" s="1293"/>
      <c r="E24" s="1294"/>
      <c r="F24" s="1295"/>
      <c r="G24" s="1296"/>
      <c r="H24" s="1296"/>
      <c r="I24" s="1296"/>
      <c r="J24" s="1296">
        <f t="shared" si="1"/>
        <v>0</v>
      </c>
    </row>
    <row r="25" spans="1:11" s="1369" customFormat="1" ht="12" customHeight="1" thickBot="1" x14ac:dyDescent="0.25">
      <c r="A25" s="1281" t="s">
        <v>972</v>
      </c>
      <c r="B25" s="1247"/>
      <c r="C25" s="1282" t="s">
        <v>948</v>
      </c>
      <c r="D25" s="1297">
        <v>66695</v>
      </c>
      <c r="E25" s="1298">
        <v>71346</v>
      </c>
      <c r="F25" s="1299">
        <v>73506</v>
      </c>
      <c r="G25" s="1300">
        <v>-1650</v>
      </c>
      <c r="H25" s="1300">
        <v>800</v>
      </c>
      <c r="I25" s="1300">
        <v>1510</v>
      </c>
      <c r="J25" s="1300">
        <f t="shared" si="1"/>
        <v>74166</v>
      </c>
    </row>
    <row r="26" spans="1:11" s="1369" customFormat="1" ht="12" customHeight="1" thickBot="1" x14ac:dyDescent="0.25">
      <c r="A26" s="1233" t="s">
        <v>973</v>
      </c>
      <c r="B26" s="1301"/>
      <c r="C26" s="1282" t="s">
        <v>944</v>
      </c>
      <c r="D26" s="1249">
        <f>+D8+D17+D22+D25</f>
        <v>66696</v>
      </c>
      <c r="E26" s="1250">
        <f>+E8+E17+E22+E25</f>
        <v>71346</v>
      </c>
      <c r="F26" s="1251">
        <f>+F8+F17+F22+F25</f>
        <v>73556</v>
      </c>
      <c r="G26" s="1252">
        <f>+G8+G17+G22+G25</f>
        <v>-1650</v>
      </c>
      <c r="H26" s="1252">
        <f t="shared" ref="H26:I26" si="3">+H8+H17+H22+H25</f>
        <v>800</v>
      </c>
      <c r="I26" s="1252">
        <f t="shared" si="3"/>
        <v>1564</v>
      </c>
      <c r="J26" s="1252">
        <f t="shared" si="1"/>
        <v>74270</v>
      </c>
    </row>
    <row r="27" spans="1:11" s="1370" customFormat="1" ht="12" customHeight="1" thickBot="1" x14ac:dyDescent="0.25">
      <c r="A27" s="1302" t="s">
        <v>974</v>
      </c>
      <c r="B27" s="1303"/>
      <c r="C27" s="1304" t="s">
        <v>946</v>
      </c>
      <c r="D27" s="1305">
        <f>+D28+D29</f>
        <v>0</v>
      </c>
      <c r="E27" s="1306">
        <f>+E28+E29+E30</f>
        <v>414</v>
      </c>
      <c r="F27" s="1307">
        <f>+F28+F29+F30</f>
        <v>0</v>
      </c>
      <c r="G27" s="1308">
        <f>+G28+G29+G30</f>
        <v>4312</v>
      </c>
      <c r="H27" s="1308">
        <f t="shared" ref="H27:I27" si="4">+H28+H29+H30</f>
        <v>0</v>
      </c>
      <c r="I27" s="1308">
        <f t="shared" si="4"/>
        <v>0</v>
      </c>
      <c r="J27" s="1308">
        <f t="shared" si="1"/>
        <v>4312</v>
      </c>
    </row>
    <row r="28" spans="1:11" s="1370" customFormat="1" ht="15" customHeight="1" x14ac:dyDescent="0.2">
      <c r="A28" s="1254"/>
      <c r="B28" s="1309" t="s">
        <v>47</v>
      </c>
      <c r="C28" s="1285" t="s">
        <v>359</v>
      </c>
      <c r="D28" s="1286"/>
      <c r="E28" s="1287">
        <v>414</v>
      </c>
      <c r="F28" s="1288"/>
      <c r="G28" s="1289">
        <v>4312</v>
      </c>
      <c r="H28" s="1289"/>
      <c r="I28" s="1289"/>
      <c r="J28" s="1289">
        <f t="shared" si="1"/>
        <v>4312</v>
      </c>
    </row>
    <row r="29" spans="1:11" s="1370" customFormat="1" ht="15" customHeight="1" x14ac:dyDescent="0.2">
      <c r="A29" s="1371"/>
      <c r="B29" s="1372" t="s">
        <v>48</v>
      </c>
      <c r="C29" s="1373" t="s">
        <v>934</v>
      </c>
      <c r="D29" s="1374"/>
      <c r="E29" s="1375"/>
      <c r="F29" s="1376"/>
      <c r="G29" s="1377"/>
      <c r="H29" s="1377"/>
      <c r="I29" s="1377"/>
      <c r="J29" s="1377">
        <f t="shared" si="1"/>
        <v>0</v>
      </c>
    </row>
    <row r="30" spans="1:11" s="1370" customFormat="1" ht="15" customHeight="1" thickBot="1" x14ac:dyDescent="0.25">
      <c r="A30" s="1310"/>
      <c r="B30" s="1378" t="s">
        <v>1018</v>
      </c>
      <c r="C30" s="1379" t="s">
        <v>1019</v>
      </c>
      <c r="D30" s="1313"/>
      <c r="E30" s="1314"/>
      <c r="F30" s="1315"/>
      <c r="G30" s="1316"/>
      <c r="H30" s="1316"/>
      <c r="I30" s="1316"/>
      <c r="J30" s="1316">
        <f t="shared" si="1"/>
        <v>0</v>
      </c>
    </row>
    <row r="31" spans="1:11" ht="13.5" thickBot="1" x14ac:dyDescent="0.25">
      <c r="A31" s="1317" t="s">
        <v>975</v>
      </c>
      <c r="B31" s="1380"/>
      <c r="C31" s="1319" t="s">
        <v>947</v>
      </c>
      <c r="D31" s="1297"/>
      <c r="E31" s="1298">
        <v>50</v>
      </c>
      <c r="F31" s="1299"/>
      <c r="G31" s="1300"/>
      <c r="H31" s="1300"/>
      <c r="I31" s="1300"/>
      <c r="J31" s="1300">
        <f t="shared" si="1"/>
        <v>0</v>
      </c>
    </row>
    <row r="32" spans="1:11" s="1368" customFormat="1" ht="16.5" customHeight="1" thickBot="1" x14ac:dyDescent="0.25">
      <c r="A32" s="1317" t="s">
        <v>976</v>
      </c>
      <c r="B32" s="1381"/>
      <c r="C32" s="1382" t="s">
        <v>945</v>
      </c>
      <c r="D32" s="1383">
        <f>+D26+D27+D31</f>
        <v>66696</v>
      </c>
      <c r="E32" s="1384">
        <f>+E26+E27+E31</f>
        <v>71810</v>
      </c>
      <c r="F32" s="1322">
        <f>+F26+F27+F31</f>
        <v>73556</v>
      </c>
      <c r="G32" s="1350">
        <f>+G26+G27+G31</f>
        <v>2662</v>
      </c>
      <c r="H32" s="1350">
        <f t="shared" ref="H32:I32" si="5">+H26+H27+H31</f>
        <v>800</v>
      </c>
      <c r="I32" s="1350">
        <f t="shared" si="5"/>
        <v>1564</v>
      </c>
      <c r="J32" s="1350">
        <f t="shared" si="1"/>
        <v>78582</v>
      </c>
      <c r="K32" s="1385"/>
    </row>
    <row r="33" spans="1:10" s="1386" customFormat="1" ht="12" customHeight="1" x14ac:dyDescent="0.2">
      <c r="A33" s="1325"/>
      <c r="B33" s="1325"/>
      <c r="C33" s="1326"/>
      <c r="D33" s="1327"/>
      <c r="E33" s="1327"/>
      <c r="F33" s="1327"/>
      <c r="G33" s="1327"/>
      <c r="H33" s="1327"/>
      <c r="I33" s="1327"/>
      <c r="J33" s="1327"/>
    </row>
    <row r="34" spans="1:10" ht="12" customHeight="1" thickBot="1" x14ac:dyDescent="0.25">
      <c r="A34" s="1329"/>
      <c r="B34" s="1330"/>
      <c r="C34" s="1330"/>
      <c r="D34" s="1331"/>
      <c r="E34" s="1331"/>
      <c r="F34" s="1331"/>
      <c r="G34" s="1331"/>
      <c r="H34" s="1331"/>
      <c r="I34" s="1331"/>
      <c r="J34" s="1331"/>
    </row>
    <row r="35" spans="1:10" ht="39" thickBot="1" x14ac:dyDescent="0.25">
      <c r="A35" s="1332"/>
      <c r="B35" s="1333"/>
      <c r="C35" s="1334" t="s">
        <v>1</v>
      </c>
      <c r="D35" s="1229" t="s">
        <v>1037</v>
      </c>
      <c r="E35" s="1230" t="s">
        <v>1038</v>
      </c>
      <c r="F35" s="1231" t="s">
        <v>1039</v>
      </c>
      <c r="G35" s="933" t="s">
        <v>1148</v>
      </c>
      <c r="H35" s="933" t="s">
        <v>1189</v>
      </c>
      <c r="I35" s="933" t="s">
        <v>1190</v>
      </c>
      <c r="J35" s="933" t="s">
        <v>1147</v>
      </c>
    </row>
    <row r="36" spans="1:10" ht="12" customHeight="1" thickBot="1" x14ac:dyDescent="0.25">
      <c r="A36" s="1281" t="s">
        <v>969</v>
      </c>
      <c r="B36" s="999"/>
      <c r="C36" s="1282" t="s">
        <v>924</v>
      </c>
      <c r="D36" s="1249">
        <f>SUM(D37:D41)</f>
        <v>66199</v>
      </c>
      <c r="E36" s="1250">
        <f>SUM(E37:E41)</f>
        <v>71764</v>
      </c>
      <c r="F36" s="1251">
        <f>SUM(F37:F41)</f>
        <v>73556</v>
      </c>
      <c r="G36" s="1252">
        <f>SUM(G37:G41)</f>
        <v>2662</v>
      </c>
      <c r="H36" s="1252">
        <f t="shared" ref="H36:I36" si="6">SUM(H37:H41)</f>
        <v>800</v>
      </c>
      <c r="I36" s="1252">
        <f t="shared" si="6"/>
        <v>1090</v>
      </c>
      <c r="J36" s="1252">
        <f>F36+G36+H36+I36</f>
        <v>78108</v>
      </c>
    </row>
    <row r="37" spans="1:10" ht="12" customHeight="1" x14ac:dyDescent="0.2">
      <c r="A37" s="1335"/>
      <c r="B37" s="1336" t="s">
        <v>60</v>
      </c>
      <c r="C37" s="1280" t="s">
        <v>1000</v>
      </c>
      <c r="D37" s="1337">
        <v>44409</v>
      </c>
      <c r="E37" s="1338">
        <v>39979</v>
      </c>
      <c r="F37" s="1339">
        <v>40195</v>
      </c>
      <c r="G37" s="1340">
        <v>1615</v>
      </c>
      <c r="H37" s="1340">
        <f>142+536</f>
        <v>678</v>
      </c>
      <c r="I37" s="1340"/>
      <c r="J37" s="1340">
        <f t="shared" ref="J37:J49" si="7">F37+G37+H37+I37</f>
        <v>42488</v>
      </c>
    </row>
    <row r="38" spans="1:10" ht="12" customHeight="1" x14ac:dyDescent="0.2">
      <c r="A38" s="1341"/>
      <c r="B38" s="1342" t="s">
        <v>61</v>
      </c>
      <c r="C38" s="1262" t="s">
        <v>167</v>
      </c>
      <c r="D38" s="1343">
        <v>11635</v>
      </c>
      <c r="E38" s="1344">
        <v>9939</v>
      </c>
      <c r="F38" s="1345">
        <v>10346</v>
      </c>
      <c r="G38" s="1346">
        <v>458</v>
      </c>
      <c r="H38" s="1346">
        <f>40+153</f>
        <v>193</v>
      </c>
      <c r="I38" s="1346"/>
      <c r="J38" s="1346">
        <f t="shared" si="7"/>
        <v>10997</v>
      </c>
    </row>
    <row r="39" spans="1:10" ht="12" customHeight="1" x14ac:dyDescent="0.2">
      <c r="A39" s="1341"/>
      <c r="B39" s="1342" t="s">
        <v>62</v>
      </c>
      <c r="C39" s="1262" t="s">
        <v>91</v>
      </c>
      <c r="D39" s="1343">
        <f>9324+531</f>
        <v>9855</v>
      </c>
      <c r="E39" s="1344">
        <v>9880</v>
      </c>
      <c r="F39" s="1345">
        <v>11322</v>
      </c>
      <c r="G39" s="1346">
        <v>589</v>
      </c>
      <c r="H39" s="1346">
        <v>50</v>
      </c>
      <c r="I39" s="1346">
        <v>-474</v>
      </c>
      <c r="J39" s="1346">
        <f t="shared" si="7"/>
        <v>11487</v>
      </c>
    </row>
    <row r="40" spans="1:10" s="1386" customFormat="1" ht="12" customHeight="1" x14ac:dyDescent="0.2">
      <c r="A40" s="1341"/>
      <c r="B40" s="1342" t="s">
        <v>63</v>
      </c>
      <c r="C40" s="1262" t="s">
        <v>168</v>
      </c>
      <c r="D40" s="1343"/>
      <c r="E40" s="1344">
        <v>11966</v>
      </c>
      <c r="F40" s="1345">
        <v>11663</v>
      </c>
      <c r="G40" s="1346"/>
      <c r="H40" s="1346">
        <f>739-2970-17+190+1937</f>
        <v>-121</v>
      </c>
      <c r="I40" s="1346">
        <v>1564</v>
      </c>
      <c r="J40" s="1346">
        <f t="shared" si="7"/>
        <v>13106</v>
      </c>
    </row>
    <row r="41" spans="1:10" ht="12" customHeight="1" thickBot="1" x14ac:dyDescent="0.25">
      <c r="A41" s="1341"/>
      <c r="B41" s="1342" t="s">
        <v>74</v>
      </c>
      <c r="C41" s="1262" t="s">
        <v>169</v>
      </c>
      <c r="D41" s="1343">
        <v>300</v>
      </c>
      <c r="E41" s="1344"/>
      <c r="F41" s="1345">
        <v>30</v>
      </c>
      <c r="G41" s="1346"/>
      <c r="H41" s="1346"/>
      <c r="I41" s="1346"/>
      <c r="J41" s="1346">
        <f t="shared" si="7"/>
        <v>30</v>
      </c>
    </row>
    <row r="42" spans="1:10" ht="12" customHeight="1" thickBot="1" x14ac:dyDescent="0.25">
      <c r="A42" s="1281" t="s">
        <v>970</v>
      </c>
      <c r="B42" s="999"/>
      <c r="C42" s="1282" t="s">
        <v>941</v>
      </c>
      <c r="D42" s="1249">
        <f>SUM(D43:D46)</f>
        <v>83</v>
      </c>
      <c r="E42" s="1250">
        <f>SUM(E43:E46)</f>
        <v>0</v>
      </c>
      <c r="F42" s="1251">
        <f>SUM(F43:F46)</f>
        <v>0</v>
      </c>
      <c r="G42" s="1252">
        <f>SUM(G43:G46)</f>
        <v>0</v>
      </c>
      <c r="H42" s="1252">
        <f t="shared" ref="H42:I42" si="8">SUM(H43:H46)</f>
        <v>0</v>
      </c>
      <c r="I42" s="1252">
        <f t="shared" si="8"/>
        <v>474</v>
      </c>
      <c r="J42" s="1252">
        <f t="shared" si="7"/>
        <v>474</v>
      </c>
    </row>
    <row r="43" spans="1:10" ht="12" customHeight="1" x14ac:dyDescent="0.2">
      <c r="A43" s="1335"/>
      <c r="B43" s="1336" t="s">
        <v>66</v>
      </c>
      <c r="C43" s="1280" t="s">
        <v>283</v>
      </c>
      <c r="D43" s="1337">
        <v>83</v>
      </c>
      <c r="E43" s="1338"/>
      <c r="F43" s="1339"/>
      <c r="G43" s="1340"/>
      <c r="H43" s="1340"/>
      <c r="I43" s="1340">
        <v>474</v>
      </c>
      <c r="J43" s="1340">
        <f t="shared" si="7"/>
        <v>474</v>
      </c>
    </row>
    <row r="44" spans="1:10" ht="12" customHeight="1" x14ac:dyDescent="0.2">
      <c r="A44" s="1341"/>
      <c r="B44" s="1342" t="s">
        <v>67</v>
      </c>
      <c r="C44" s="1262" t="s">
        <v>171</v>
      </c>
      <c r="D44" s="1343"/>
      <c r="E44" s="1344"/>
      <c r="F44" s="1345"/>
      <c r="G44" s="1346"/>
      <c r="H44" s="1346"/>
      <c r="I44" s="1346"/>
      <c r="J44" s="1346">
        <f t="shared" si="7"/>
        <v>0</v>
      </c>
    </row>
    <row r="45" spans="1:10" ht="15" customHeight="1" x14ac:dyDescent="0.2">
      <c r="A45" s="1341"/>
      <c r="B45" s="1342" t="s">
        <v>70</v>
      </c>
      <c r="C45" s="1262" t="s">
        <v>2</v>
      </c>
      <c r="D45" s="1343"/>
      <c r="E45" s="1344"/>
      <c r="F45" s="1345"/>
      <c r="G45" s="1346"/>
      <c r="H45" s="1346"/>
      <c r="I45" s="1346"/>
      <c r="J45" s="1346">
        <f t="shared" si="7"/>
        <v>0</v>
      </c>
    </row>
    <row r="46" spans="1:10" ht="13.5" thickBot="1" x14ac:dyDescent="0.25">
      <c r="A46" s="1341"/>
      <c r="B46" s="1342" t="s">
        <v>81</v>
      </c>
      <c r="C46" s="1262" t="s">
        <v>938</v>
      </c>
      <c r="D46" s="1343"/>
      <c r="E46" s="1344"/>
      <c r="F46" s="1345"/>
      <c r="G46" s="1346"/>
      <c r="H46" s="1346"/>
      <c r="I46" s="1346"/>
      <c r="J46" s="1346">
        <f t="shared" si="7"/>
        <v>0</v>
      </c>
    </row>
    <row r="47" spans="1:10" ht="15" customHeight="1" thickBot="1" x14ac:dyDescent="0.25">
      <c r="A47" s="1281" t="s">
        <v>971</v>
      </c>
      <c r="B47" s="999"/>
      <c r="C47" s="1347" t="s">
        <v>939</v>
      </c>
      <c r="D47" s="1297"/>
      <c r="E47" s="1298"/>
      <c r="F47" s="1299"/>
      <c r="G47" s="1300"/>
      <c r="H47" s="1300"/>
      <c r="I47" s="1300"/>
      <c r="J47" s="1300">
        <f t="shared" si="7"/>
        <v>0</v>
      </c>
    </row>
    <row r="48" spans="1:10" ht="14.25" customHeight="1" thickBot="1" x14ac:dyDescent="0.25">
      <c r="A48" s="1317" t="s">
        <v>972</v>
      </c>
      <c r="B48" s="1380"/>
      <c r="C48" s="1319" t="s">
        <v>942</v>
      </c>
      <c r="D48" s="1297">
        <v>390</v>
      </c>
      <c r="E48" s="1298">
        <v>-295</v>
      </c>
      <c r="F48" s="1299"/>
      <c r="G48" s="1300"/>
      <c r="H48" s="1300"/>
      <c r="I48" s="1300"/>
      <c r="J48" s="1300">
        <f t="shared" si="7"/>
        <v>0</v>
      </c>
    </row>
    <row r="49" spans="1:11" ht="13.5" thickBot="1" x14ac:dyDescent="0.25">
      <c r="A49" s="1281" t="s">
        <v>973</v>
      </c>
      <c r="B49" s="1348"/>
      <c r="C49" s="1349" t="s">
        <v>940</v>
      </c>
      <c r="D49" s="1322">
        <f>+D36+D42+D47+D48</f>
        <v>66672</v>
      </c>
      <c r="E49" s="1384">
        <f>+E36+E42+E47+E48</f>
        <v>71469</v>
      </c>
      <c r="F49" s="1322">
        <f>+F36+F42+F47+F48</f>
        <v>73556</v>
      </c>
      <c r="G49" s="1324">
        <f>+G36+G42+G47+G48</f>
        <v>2662</v>
      </c>
      <c r="H49" s="1324">
        <f t="shared" ref="H49:I49" si="9">+H36+H42+H47+H48</f>
        <v>800</v>
      </c>
      <c r="I49" s="1324">
        <f t="shared" si="9"/>
        <v>1564</v>
      </c>
      <c r="J49" s="1324">
        <f t="shared" si="7"/>
        <v>78582</v>
      </c>
      <c r="K49" s="1387"/>
    </row>
    <row r="50" spans="1:11" x14ac:dyDescent="0.2">
      <c r="A50" s="1388"/>
      <c r="B50" s="1389"/>
      <c r="C50" s="1389"/>
      <c r="D50" s="1354"/>
      <c r="E50" s="1354"/>
      <c r="F50" s="1354"/>
      <c r="G50" s="1354"/>
      <c r="H50" s="1354"/>
      <c r="I50" s="1354"/>
      <c r="J50" s="1354"/>
    </row>
    <row r="51" spans="1:11" ht="13.5" hidden="1" thickBot="1" x14ac:dyDescent="0.25">
      <c r="A51" s="1390" t="s">
        <v>211</v>
      </c>
      <c r="B51" s="1391"/>
      <c r="C51" s="1392"/>
      <c r="D51" s="1359"/>
      <c r="E51" s="1359"/>
      <c r="F51" s="1359"/>
      <c r="G51" s="1359"/>
      <c r="H51" s="1359"/>
      <c r="I51" s="1359"/>
      <c r="J51" s="1359"/>
    </row>
    <row r="52" spans="1:11" ht="13.5" hidden="1" thickBot="1" x14ac:dyDescent="0.25">
      <c r="A52" s="1390" t="s">
        <v>212</v>
      </c>
      <c r="B52" s="1391"/>
      <c r="C52" s="1392"/>
      <c r="D52" s="1359"/>
      <c r="E52" s="1359"/>
      <c r="F52" s="1359"/>
      <c r="G52" s="1359"/>
      <c r="H52" s="1359"/>
      <c r="I52" s="1359"/>
      <c r="J52" s="1359"/>
    </row>
    <row r="54" spans="1:11" x14ac:dyDescent="0.2">
      <c r="E54" s="1394"/>
    </row>
  </sheetData>
  <mergeCells count="2">
    <mergeCell ref="A2:B2"/>
    <mergeCell ref="A5:B5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&amp;R&amp;"Times New Roman CE,Félkövér"&amp;11 10. melléklet a 3/2015. (II.20.)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51"/>
  <sheetViews>
    <sheetView tabSelected="1" view="pageLayout" topLeftCell="F1" zoomScaleNormal="100" zoomScaleSheetLayoutView="100" workbookViewId="0">
      <selection activeCell="O39" sqref="O39"/>
    </sheetView>
  </sheetViews>
  <sheetFormatPr defaultColWidth="9.33203125" defaultRowHeight="12.75" x14ac:dyDescent="0.2"/>
  <cols>
    <col min="1" max="1" width="4.83203125" style="1360" customWidth="1"/>
    <col min="2" max="2" width="8.83203125" style="1232" customWidth="1"/>
    <col min="3" max="3" width="71.83203125" style="1232" customWidth="1"/>
    <col min="4" max="4" width="11.33203125" style="1232" hidden="1" customWidth="1"/>
    <col min="5" max="5" width="11.33203125" style="1361" hidden="1" customWidth="1"/>
    <col min="6" max="8" width="11.33203125" style="1232" customWidth="1"/>
    <col min="9" max="9" width="9.83203125" style="1232" customWidth="1"/>
    <col min="10" max="10" width="11.33203125" style="1232" customWidth="1"/>
    <col min="11" max="16384" width="9.33203125" style="1232"/>
  </cols>
  <sheetData>
    <row r="1" spans="1:10" s="1215" customFormat="1" ht="21" customHeight="1" thickBot="1" x14ac:dyDescent="0.25">
      <c r="A1" s="1212"/>
      <c r="B1" s="1213"/>
      <c r="C1" s="1557"/>
      <c r="D1" s="1557"/>
      <c r="E1" s="1557"/>
      <c r="F1" s="1214"/>
      <c r="G1" s="1214"/>
      <c r="H1" s="1214"/>
      <c r="I1" s="1214"/>
      <c r="J1" s="1214"/>
    </row>
    <row r="2" spans="1:10" s="1220" customFormat="1" ht="36" customHeight="1" thickBot="1" x14ac:dyDescent="0.25">
      <c r="A2" s="1549" t="s">
        <v>207</v>
      </c>
      <c r="B2" s="1550"/>
      <c r="C2" s="1216" t="s">
        <v>510</v>
      </c>
      <c r="D2" s="1217"/>
      <c r="E2" s="1218" t="s">
        <v>8</v>
      </c>
      <c r="F2" s="1218"/>
      <c r="G2" s="1218"/>
      <c r="H2" s="1218"/>
      <c r="I2" s="1218"/>
      <c r="J2" s="1219" t="s">
        <v>8</v>
      </c>
    </row>
    <row r="3" spans="1:10" s="1220" customFormat="1" ht="16.5" hidden="1" thickBot="1" x14ac:dyDescent="0.25">
      <c r="A3" s="1221" t="s">
        <v>206</v>
      </c>
      <c r="B3" s="1222"/>
      <c r="C3" s="1223" t="s">
        <v>216</v>
      </c>
      <c r="D3" s="1224" t="s">
        <v>1007</v>
      </c>
      <c r="E3" s="1224" t="s">
        <v>1007</v>
      </c>
      <c r="F3" s="1224" t="s">
        <v>1007</v>
      </c>
      <c r="G3" s="1224" t="s">
        <v>1007</v>
      </c>
      <c r="H3" s="1224"/>
      <c r="I3" s="1224"/>
      <c r="J3" s="1224" t="s">
        <v>1007</v>
      </c>
    </row>
    <row r="4" spans="1:10" s="1227" customFormat="1" ht="15.95" customHeight="1" thickBot="1" x14ac:dyDescent="0.3">
      <c r="A4" s="1225"/>
      <c r="B4" s="1225"/>
      <c r="C4" s="1225"/>
      <c r="D4" s="1226"/>
      <c r="E4" s="1226" t="s">
        <v>1008</v>
      </c>
      <c r="F4" s="1226"/>
      <c r="G4" s="1226"/>
      <c r="H4" s="1226"/>
      <c r="I4" s="1226"/>
      <c r="J4" s="1226" t="s">
        <v>1008</v>
      </c>
    </row>
    <row r="5" spans="1:10" ht="39" thickBot="1" x14ac:dyDescent="0.25">
      <c r="A5" s="1549" t="s">
        <v>208</v>
      </c>
      <c r="B5" s="1550"/>
      <c r="C5" s="1228" t="s">
        <v>1009</v>
      </c>
      <c r="D5" s="1229" t="s">
        <v>1037</v>
      </c>
      <c r="E5" s="1230" t="s">
        <v>1038</v>
      </c>
      <c r="F5" s="1231" t="s">
        <v>1039</v>
      </c>
      <c r="G5" s="933" t="s">
        <v>1148</v>
      </c>
      <c r="H5" s="933" t="s">
        <v>1189</v>
      </c>
      <c r="I5" s="933" t="s">
        <v>1190</v>
      </c>
      <c r="J5" s="933" t="s">
        <v>1147</v>
      </c>
    </row>
    <row r="6" spans="1:10" s="1240" customFormat="1" ht="12.95" customHeight="1" thickBot="1" x14ac:dyDescent="0.25">
      <c r="A6" s="1233">
        <v>1</v>
      </c>
      <c r="B6" s="1234">
        <v>2</v>
      </c>
      <c r="C6" s="1235">
        <v>3</v>
      </c>
      <c r="D6" s="1236">
        <v>4</v>
      </c>
      <c r="E6" s="1237">
        <v>5</v>
      </c>
      <c r="F6" s="1238">
        <v>4</v>
      </c>
      <c r="G6" s="1239">
        <v>5</v>
      </c>
      <c r="H6" s="1239">
        <v>6</v>
      </c>
      <c r="I6" s="1239"/>
      <c r="J6" s="1239">
        <v>7</v>
      </c>
    </row>
    <row r="7" spans="1:10" s="1240" customFormat="1" ht="15.95" customHeight="1" thickBot="1" x14ac:dyDescent="0.25">
      <c r="A7" s="1241"/>
      <c r="B7" s="1242"/>
      <c r="C7" s="1242" t="s">
        <v>1011</v>
      </c>
      <c r="D7" s="1243"/>
      <c r="E7" s="1244"/>
      <c r="F7" s="1245"/>
      <c r="G7" s="1246"/>
      <c r="H7" s="1246"/>
      <c r="I7" s="1246"/>
      <c r="J7" s="1246"/>
    </row>
    <row r="8" spans="1:10" s="1253" customFormat="1" ht="12" customHeight="1" thickBot="1" x14ac:dyDescent="0.25">
      <c r="A8" s="1233" t="s">
        <v>969</v>
      </c>
      <c r="B8" s="1247"/>
      <c r="C8" s="1248" t="s">
        <v>213</v>
      </c>
      <c r="D8" s="1249">
        <f>SUM(D9:D16)</f>
        <v>2412</v>
      </c>
      <c r="E8" s="1250">
        <f>SUM(E9:E16)</f>
        <v>5904</v>
      </c>
      <c r="F8" s="1251">
        <f>SUM(F9:F16)</f>
        <v>5995</v>
      </c>
      <c r="G8" s="1252">
        <f>SUM(G9:G16)</f>
        <v>0</v>
      </c>
      <c r="H8" s="1252">
        <f t="shared" ref="H8:I8" si="0">SUM(H9:H16)</f>
        <v>0</v>
      </c>
      <c r="I8" s="1252">
        <f t="shared" si="0"/>
        <v>0</v>
      </c>
      <c r="J8" s="1252">
        <f>G8+F8+H8+I8</f>
        <v>5995</v>
      </c>
    </row>
    <row r="9" spans="1:10" s="1253" customFormat="1" ht="12" customHeight="1" x14ac:dyDescent="0.2">
      <c r="A9" s="1254"/>
      <c r="B9" s="1255" t="s">
        <v>60</v>
      </c>
      <c r="C9" s="1256" t="s">
        <v>136</v>
      </c>
      <c r="D9" s="1257"/>
      <c r="E9" s="1258"/>
      <c r="F9" s="1259"/>
      <c r="G9" s="1260"/>
      <c r="H9" s="1260"/>
      <c r="I9" s="1260"/>
      <c r="J9" s="1260">
        <f t="shared" ref="J9:J31" si="1">G9+F9+H9+I9</f>
        <v>0</v>
      </c>
    </row>
    <row r="10" spans="1:10" s="1253" customFormat="1" ht="12" customHeight="1" x14ac:dyDescent="0.2">
      <c r="A10" s="1261"/>
      <c r="B10" s="1255" t="s">
        <v>61</v>
      </c>
      <c r="C10" s="1262" t="s">
        <v>137</v>
      </c>
      <c r="D10" s="1263"/>
      <c r="E10" s="1264"/>
      <c r="F10" s="1265"/>
      <c r="G10" s="1266"/>
      <c r="H10" s="1266"/>
      <c r="I10" s="1266"/>
      <c r="J10" s="1266">
        <f t="shared" si="1"/>
        <v>0</v>
      </c>
    </row>
    <row r="11" spans="1:10" s="1253" customFormat="1" ht="12" customHeight="1" x14ac:dyDescent="0.2">
      <c r="A11" s="1261"/>
      <c r="B11" s="1255" t="s">
        <v>62</v>
      </c>
      <c r="C11" s="1262" t="s">
        <v>138</v>
      </c>
      <c r="D11" s="1263"/>
      <c r="E11" s="1264"/>
      <c r="F11" s="1265"/>
      <c r="G11" s="1266"/>
      <c r="H11" s="1266"/>
      <c r="I11" s="1266"/>
      <c r="J11" s="1266">
        <f t="shared" si="1"/>
        <v>0</v>
      </c>
    </row>
    <row r="12" spans="1:10" s="1253" customFormat="1" ht="12" customHeight="1" x14ac:dyDescent="0.2">
      <c r="A12" s="1261"/>
      <c r="B12" s="1255" t="s">
        <v>63</v>
      </c>
      <c r="C12" s="1262" t="s">
        <v>139</v>
      </c>
      <c r="D12" s="1263">
        <f>1050+848</f>
        <v>1898</v>
      </c>
      <c r="E12" s="1264">
        <f>4643+6</f>
        <v>4649</v>
      </c>
      <c r="F12" s="1265">
        <v>4781</v>
      </c>
      <c r="G12" s="1266"/>
      <c r="H12" s="1266"/>
      <c r="I12" s="1266"/>
      <c r="J12" s="1266">
        <f t="shared" si="1"/>
        <v>4781</v>
      </c>
    </row>
    <row r="13" spans="1:10" s="1253" customFormat="1" ht="12" customHeight="1" x14ac:dyDescent="0.2">
      <c r="A13" s="1261"/>
      <c r="B13" s="1255" t="s">
        <v>94</v>
      </c>
      <c r="C13" s="1267" t="s">
        <v>140</v>
      </c>
      <c r="D13" s="1263"/>
      <c r="E13" s="1264"/>
      <c r="F13" s="1265"/>
      <c r="G13" s="1266"/>
      <c r="H13" s="1266"/>
      <c r="I13" s="1266"/>
      <c r="J13" s="1266">
        <f t="shared" si="1"/>
        <v>0</v>
      </c>
    </row>
    <row r="14" spans="1:10" s="1253" customFormat="1" ht="12" customHeight="1" x14ac:dyDescent="0.2">
      <c r="A14" s="1268"/>
      <c r="B14" s="1255" t="s">
        <v>64</v>
      </c>
      <c r="C14" s="1262" t="s">
        <v>141</v>
      </c>
      <c r="D14" s="1269">
        <v>514</v>
      </c>
      <c r="E14" s="1270">
        <v>1254</v>
      </c>
      <c r="F14" s="1271">
        <v>1214</v>
      </c>
      <c r="G14" s="1272"/>
      <c r="H14" s="1272"/>
      <c r="I14" s="1272"/>
      <c r="J14" s="1272">
        <f t="shared" si="1"/>
        <v>1214</v>
      </c>
    </row>
    <row r="15" spans="1:10" s="1273" customFormat="1" ht="12" customHeight="1" x14ac:dyDescent="0.2">
      <c r="A15" s="1261"/>
      <c r="B15" s="1255" t="s">
        <v>65</v>
      </c>
      <c r="C15" s="1262" t="s">
        <v>929</v>
      </c>
      <c r="D15" s="1263"/>
      <c r="E15" s="1264"/>
      <c r="F15" s="1265"/>
      <c r="G15" s="1266"/>
      <c r="H15" s="1266"/>
      <c r="I15" s="1266"/>
      <c r="J15" s="1266">
        <f t="shared" si="1"/>
        <v>0</v>
      </c>
    </row>
    <row r="16" spans="1:10" s="1273" customFormat="1" ht="12" customHeight="1" thickBot="1" x14ac:dyDescent="0.25">
      <c r="A16" s="1274"/>
      <c r="B16" s="1275" t="s">
        <v>75</v>
      </c>
      <c r="C16" s="1267" t="s">
        <v>200</v>
      </c>
      <c r="D16" s="1276"/>
      <c r="E16" s="1277">
        <v>1</v>
      </c>
      <c r="F16" s="1278"/>
      <c r="G16" s="1279"/>
      <c r="H16" s="1279"/>
      <c r="I16" s="1279"/>
      <c r="J16" s="1279">
        <f t="shared" si="1"/>
        <v>0</v>
      </c>
    </row>
    <row r="17" spans="1:10" s="1253" customFormat="1" ht="12" customHeight="1" thickBot="1" x14ac:dyDescent="0.25">
      <c r="A17" s="1233" t="s">
        <v>970</v>
      </c>
      <c r="B17" s="1247"/>
      <c r="C17" s="1248" t="s">
        <v>930</v>
      </c>
      <c r="D17" s="1249">
        <f>SUM(D18:D21)</f>
        <v>0</v>
      </c>
      <c r="E17" s="1250">
        <f>SUM(E18:E21)</f>
        <v>0</v>
      </c>
      <c r="F17" s="1251">
        <f>SUM(F18:F21)</f>
        <v>0</v>
      </c>
      <c r="G17" s="1252">
        <f>SUM(G18:G21)</f>
        <v>0</v>
      </c>
      <c r="H17" s="1252">
        <f t="shared" ref="H17:I17" si="2">SUM(H18:H21)</f>
        <v>0</v>
      </c>
      <c r="I17" s="1252">
        <f t="shared" si="2"/>
        <v>0</v>
      </c>
      <c r="J17" s="1252">
        <f t="shared" si="1"/>
        <v>0</v>
      </c>
    </row>
    <row r="18" spans="1:10" s="1273" customFormat="1" ht="12" customHeight="1" x14ac:dyDescent="0.2">
      <c r="A18" s="1261"/>
      <c r="B18" s="1255" t="s">
        <v>66</v>
      </c>
      <c r="C18" s="1280" t="s">
        <v>926</v>
      </c>
      <c r="D18" s="1263"/>
      <c r="E18" s="1264"/>
      <c r="F18" s="1265"/>
      <c r="G18" s="1266"/>
      <c r="H18" s="1266"/>
      <c r="I18" s="1266"/>
      <c r="J18" s="1266">
        <f t="shared" si="1"/>
        <v>0</v>
      </c>
    </row>
    <row r="19" spans="1:10" s="1273" customFormat="1" ht="12" customHeight="1" x14ac:dyDescent="0.2">
      <c r="A19" s="1261"/>
      <c r="B19" s="1255" t="s">
        <v>67</v>
      </c>
      <c r="C19" s="1262" t="s">
        <v>927</v>
      </c>
      <c r="D19" s="1263"/>
      <c r="E19" s="1264"/>
      <c r="F19" s="1265"/>
      <c r="G19" s="1266"/>
      <c r="H19" s="1266"/>
      <c r="I19" s="1266"/>
      <c r="J19" s="1266">
        <f t="shared" si="1"/>
        <v>0</v>
      </c>
    </row>
    <row r="20" spans="1:10" s="1273" customFormat="1" ht="12" customHeight="1" x14ac:dyDescent="0.2">
      <c r="A20" s="1261"/>
      <c r="B20" s="1255" t="s">
        <v>68</v>
      </c>
      <c r="C20" s="1262" t="s">
        <v>928</v>
      </c>
      <c r="D20" s="1263"/>
      <c r="E20" s="1264"/>
      <c r="F20" s="1265"/>
      <c r="G20" s="1266"/>
      <c r="H20" s="1266"/>
      <c r="I20" s="1266"/>
      <c r="J20" s="1266">
        <f t="shared" si="1"/>
        <v>0</v>
      </c>
    </row>
    <row r="21" spans="1:10" s="1273" customFormat="1" ht="12" customHeight="1" thickBot="1" x14ac:dyDescent="0.25">
      <c r="A21" s="1261"/>
      <c r="B21" s="1255" t="s">
        <v>69</v>
      </c>
      <c r="C21" s="1262" t="s">
        <v>927</v>
      </c>
      <c r="D21" s="1263"/>
      <c r="E21" s="1264"/>
      <c r="F21" s="1265"/>
      <c r="G21" s="1266"/>
      <c r="H21" s="1266"/>
      <c r="I21" s="1266"/>
      <c r="J21" s="1266">
        <f t="shared" si="1"/>
        <v>0</v>
      </c>
    </row>
    <row r="22" spans="1:10" s="1273" customFormat="1" ht="12" customHeight="1" thickBot="1" x14ac:dyDescent="0.25">
      <c r="A22" s="1281" t="s">
        <v>971</v>
      </c>
      <c r="B22" s="1098"/>
      <c r="C22" s="1282" t="s">
        <v>931</v>
      </c>
      <c r="D22" s="1249">
        <f>+D23+D24</f>
        <v>0</v>
      </c>
      <c r="E22" s="1250">
        <f>+E23+E24</f>
        <v>0</v>
      </c>
      <c r="F22" s="1251">
        <f>+F23+F24</f>
        <v>0</v>
      </c>
      <c r="G22" s="1252">
        <f>+G23+G24</f>
        <v>0</v>
      </c>
      <c r="H22" s="1252">
        <f t="shared" ref="H22:I22" si="3">+H23+H24</f>
        <v>0</v>
      </c>
      <c r="I22" s="1252">
        <f t="shared" si="3"/>
        <v>0</v>
      </c>
      <c r="J22" s="1252">
        <f t="shared" si="1"/>
        <v>0</v>
      </c>
    </row>
    <row r="23" spans="1:10" s="1253" customFormat="1" ht="12" customHeight="1" x14ac:dyDescent="0.2">
      <c r="A23" s="1283"/>
      <c r="B23" s="1284" t="s">
        <v>40</v>
      </c>
      <c r="C23" s="1285" t="s">
        <v>251</v>
      </c>
      <c r="D23" s="1286"/>
      <c r="E23" s="1287"/>
      <c r="F23" s="1288"/>
      <c r="G23" s="1289"/>
      <c r="H23" s="1289"/>
      <c r="I23" s="1289"/>
      <c r="J23" s="1289">
        <f t="shared" si="1"/>
        <v>0</v>
      </c>
    </row>
    <row r="24" spans="1:10" s="1253" customFormat="1" ht="12" customHeight="1" thickBot="1" x14ac:dyDescent="0.25">
      <c r="A24" s="1290"/>
      <c r="B24" s="1291" t="s">
        <v>41</v>
      </c>
      <c r="C24" s="1292" t="s">
        <v>255</v>
      </c>
      <c r="D24" s="1293"/>
      <c r="E24" s="1294"/>
      <c r="F24" s="1295"/>
      <c r="G24" s="1296"/>
      <c r="H24" s="1296"/>
      <c r="I24" s="1296"/>
      <c r="J24" s="1296">
        <f t="shared" si="1"/>
        <v>0</v>
      </c>
    </row>
    <row r="25" spans="1:10" s="1253" customFormat="1" ht="12" customHeight="1" thickBot="1" x14ac:dyDescent="0.25">
      <c r="A25" s="1281" t="s">
        <v>972</v>
      </c>
      <c r="B25" s="1247"/>
      <c r="C25" s="1282" t="s">
        <v>948</v>
      </c>
      <c r="D25" s="1297">
        <v>20759</v>
      </c>
      <c r="E25" s="1298">
        <v>61925</v>
      </c>
      <c r="F25" s="1299">
        <v>81818</v>
      </c>
      <c r="G25" s="1300">
        <v>-6737</v>
      </c>
      <c r="H25" s="1300">
        <v>-763</v>
      </c>
      <c r="I25" s="1300"/>
      <c r="J25" s="1300">
        <f t="shared" si="1"/>
        <v>74318</v>
      </c>
    </row>
    <row r="26" spans="1:10" s="1253" customFormat="1" ht="12" customHeight="1" thickBot="1" x14ac:dyDescent="0.25">
      <c r="A26" s="1233" t="s">
        <v>973</v>
      </c>
      <c r="B26" s="1301"/>
      <c r="C26" s="1282" t="s">
        <v>944</v>
      </c>
      <c r="D26" s="1249">
        <f>+D8+D17+D22+D25</f>
        <v>23171</v>
      </c>
      <c r="E26" s="1250">
        <f>+E8+E17+E22+E25</f>
        <v>67829</v>
      </c>
      <c r="F26" s="1251">
        <f>+F8+F17+F22+F25</f>
        <v>87813</v>
      </c>
      <c r="G26" s="1252">
        <f>+G8+G17+G22+G25</f>
        <v>-6737</v>
      </c>
      <c r="H26" s="1252">
        <f t="shared" ref="H26:I26" si="4">+H8+H17+H22+H25</f>
        <v>-763</v>
      </c>
      <c r="I26" s="1252">
        <f t="shared" si="4"/>
        <v>0</v>
      </c>
      <c r="J26" s="1252">
        <f t="shared" si="1"/>
        <v>80313</v>
      </c>
    </row>
    <row r="27" spans="1:10" s="1273" customFormat="1" ht="12" customHeight="1" thickBot="1" x14ac:dyDescent="0.25">
      <c r="A27" s="1302" t="s">
        <v>974</v>
      </c>
      <c r="B27" s="1303"/>
      <c r="C27" s="1304" t="s">
        <v>946</v>
      </c>
      <c r="D27" s="1305">
        <f>+D28+D29</f>
        <v>0</v>
      </c>
      <c r="E27" s="1306">
        <f>+E28+E29</f>
        <v>418</v>
      </c>
      <c r="F27" s="1307">
        <f>+F28+F29</f>
        <v>0</v>
      </c>
      <c r="G27" s="1308">
        <f>+G28+G29</f>
        <v>9158</v>
      </c>
      <c r="H27" s="1308">
        <f t="shared" ref="H27:I27" si="5">+H28+H29</f>
        <v>0</v>
      </c>
      <c r="I27" s="1308">
        <f t="shared" si="5"/>
        <v>0</v>
      </c>
      <c r="J27" s="1308">
        <f t="shared" si="1"/>
        <v>9158</v>
      </c>
    </row>
    <row r="28" spans="1:10" s="1273" customFormat="1" ht="15" customHeight="1" x14ac:dyDescent="0.2">
      <c r="A28" s="1254"/>
      <c r="B28" s="1309" t="s">
        <v>47</v>
      </c>
      <c r="C28" s="1285" t="s">
        <v>359</v>
      </c>
      <c r="D28" s="1286"/>
      <c r="E28" s="1287">
        <v>418</v>
      </c>
      <c r="F28" s="1288"/>
      <c r="G28" s="1289">
        <v>9158</v>
      </c>
      <c r="H28" s="1289"/>
      <c r="I28" s="1289"/>
      <c r="J28" s="1289">
        <f t="shared" si="1"/>
        <v>9158</v>
      </c>
    </row>
    <row r="29" spans="1:10" s="1273" customFormat="1" ht="15" customHeight="1" thickBot="1" x14ac:dyDescent="0.25">
      <c r="A29" s="1310"/>
      <c r="B29" s="1311" t="s">
        <v>48</v>
      </c>
      <c r="C29" s="1312" t="s">
        <v>934</v>
      </c>
      <c r="D29" s="1313"/>
      <c r="E29" s="1314"/>
      <c r="F29" s="1315"/>
      <c r="G29" s="1316"/>
      <c r="H29" s="1316"/>
      <c r="I29" s="1316"/>
      <c r="J29" s="1316">
        <f t="shared" si="1"/>
        <v>0</v>
      </c>
    </row>
    <row r="30" spans="1:10" ht="13.5" thickBot="1" x14ac:dyDescent="0.25">
      <c r="A30" s="1317" t="s">
        <v>975</v>
      </c>
      <c r="B30" s="1318"/>
      <c r="C30" s="1319" t="s">
        <v>947</v>
      </c>
      <c r="D30" s="1297"/>
      <c r="E30" s="1298"/>
      <c r="F30" s="1299"/>
      <c r="G30" s="1300"/>
      <c r="H30" s="1300"/>
      <c r="I30" s="1300"/>
      <c r="J30" s="1300">
        <f t="shared" si="1"/>
        <v>0</v>
      </c>
    </row>
    <row r="31" spans="1:10" s="1240" customFormat="1" ht="16.5" customHeight="1" thickBot="1" x14ac:dyDescent="0.25">
      <c r="A31" s="1317" t="s">
        <v>976</v>
      </c>
      <c r="B31" s="1320"/>
      <c r="C31" s="1321" t="s">
        <v>945</v>
      </c>
      <c r="D31" s="1322">
        <f>+D26+D27+D30</f>
        <v>23171</v>
      </c>
      <c r="E31" s="1323">
        <f>+E26+E27+E30</f>
        <v>68247</v>
      </c>
      <c r="F31" s="1322">
        <f>+F26+F27+F30</f>
        <v>87813</v>
      </c>
      <c r="G31" s="1324">
        <f>+G26+G27+G30</f>
        <v>2421</v>
      </c>
      <c r="H31" s="1324">
        <f t="shared" ref="H31:I31" si="6">+H26+H27+H30</f>
        <v>-763</v>
      </c>
      <c r="I31" s="1324">
        <f t="shared" si="6"/>
        <v>0</v>
      </c>
      <c r="J31" s="1324">
        <f t="shared" si="1"/>
        <v>89471</v>
      </c>
    </row>
    <row r="32" spans="1:10" s="1328" customFormat="1" ht="12" customHeight="1" x14ac:dyDescent="0.2">
      <c r="A32" s="1325"/>
      <c r="B32" s="1325"/>
      <c r="C32" s="1326"/>
      <c r="D32" s="1327"/>
      <c r="E32" s="1327"/>
      <c r="F32" s="1327"/>
      <c r="G32" s="1327"/>
      <c r="H32" s="1327"/>
      <c r="I32" s="1327"/>
      <c r="J32" s="1327"/>
    </row>
    <row r="33" spans="1:10" ht="12" customHeight="1" thickBot="1" x14ac:dyDescent="0.25">
      <c r="A33" s="1329"/>
      <c r="B33" s="1330"/>
      <c r="C33" s="1330"/>
      <c r="D33" s="1331"/>
      <c r="E33" s="1331"/>
      <c r="F33" s="1331"/>
      <c r="G33" s="1331"/>
      <c r="H33" s="1331"/>
      <c r="I33" s="1331"/>
      <c r="J33" s="1331"/>
    </row>
    <row r="34" spans="1:10" ht="39" thickBot="1" x14ac:dyDescent="0.25">
      <c r="A34" s="1332"/>
      <c r="B34" s="1333"/>
      <c r="C34" s="1334" t="s">
        <v>1</v>
      </c>
      <c r="D34" s="1229" t="s">
        <v>1037</v>
      </c>
      <c r="E34" s="1230" t="s">
        <v>1038</v>
      </c>
      <c r="F34" s="1231" t="s">
        <v>1039</v>
      </c>
      <c r="G34" s="933" t="s">
        <v>1148</v>
      </c>
      <c r="H34" s="933" t="s">
        <v>1189</v>
      </c>
      <c r="I34" s="933" t="s">
        <v>1190</v>
      </c>
      <c r="J34" s="933" t="s">
        <v>1147</v>
      </c>
    </row>
    <row r="35" spans="1:10" ht="12" customHeight="1" thickBot="1" x14ac:dyDescent="0.25">
      <c r="A35" s="1281" t="s">
        <v>969</v>
      </c>
      <c r="B35" s="999"/>
      <c r="C35" s="1282" t="s">
        <v>924</v>
      </c>
      <c r="D35" s="1249">
        <f>SUM(D36:D40)</f>
        <v>22753</v>
      </c>
      <c r="E35" s="1250">
        <f>SUM(E36:E40)</f>
        <v>67766</v>
      </c>
      <c r="F35" s="1251">
        <f>SUM(F36:F40)</f>
        <v>87813</v>
      </c>
      <c r="G35" s="1252">
        <f>SUM(G36:G40)</f>
        <v>2421</v>
      </c>
      <c r="H35" s="1252">
        <f t="shared" ref="H35:I35" si="7">SUM(H36:H40)</f>
        <v>-763</v>
      </c>
      <c r="I35" s="1252">
        <f t="shared" si="7"/>
        <v>-659</v>
      </c>
      <c r="J35" s="1252">
        <f>G35+F35+H35+I35</f>
        <v>88812</v>
      </c>
    </row>
    <row r="36" spans="1:10" ht="12" customHeight="1" x14ac:dyDescent="0.2">
      <c r="A36" s="1335"/>
      <c r="B36" s="1336" t="s">
        <v>60</v>
      </c>
      <c r="C36" s="1280" t="s">
        <v>1000</v>
      </c>
      <c r="D36" s="1337">
        <v>11637</v>
      </c>
      <c r="E36" s="1338">
        <v>38413</v>
      </c>
      <c r="F36" s="1339">
        <v>53336</v>
      </c>
      <c r="G36" s="1340">
        <v>975</v>
      </c>
      <c r="H36" s="1340">
        <v>86</v>
      </c>
      <c r="I36" s="1340"/>
      <c r="J36" s="1340">
        <f t="shared" ref="J36:J48" si="8">G36+F36+H36+I36</f>
        <v>54397</v>
      </c>
    </row>
    <row r="37" spans="1:10" ht="12" customHeight="1" x14ac:dyDescent="0.2">
      <c r="A37" s="1341"/>
      <c r="B37" s="1342" t="s">
        <v>61</v>
      </c>
      <c r="C37" s="1262" t="s">
        <v>167</v>
      </c>
      <c r="D37" s="1343">
        <v>3062</v>
      </c>
      <c r="E37" s="1344">
        <v>9629</v>
      </c>
      <c r="F37" s="1345">
        <v>14072</v>
      </c>
      <c r="G37" s="1346">
        <v>273</v>
      </c>
      <c r="H37" s="1346">
        <v>15</v>
      </c>
      <c r="I37" s="1346"/>
      <c r="J37" s="1346">
        <f t="shared" si="8"/>
        <v>14360</v>
      </c>
    </row>
    <row r="38" spans="1:10" ht="12" customHeight="1" x14ac:dyDescent="0.2">
      <c r="A38" s="1341"/>
      <c r="B38" s="1342" t="s">
        <v>62</v>
      </c>
      <c r="C38" s="1262" t="s">
        <v>91</v>
      </c>
      <c r="D38" s="1343">
        <v>8044</v>
      </c>
      <c r="E38" s="1344">
        <v>19721</v>
      </c>
      <c r="F38" s="1345">
        <v>20405</v>
      </c>
      <c r="G38" s="1346">
        <v>1173</v>
      </c>
      <c r="H38" s="1346">
        <v>-864</v>
      </c>
      <c r="I38" s="1346">
        <v>-659</v>
      </c>
      <c r="J38" s="1346">
        <f t="shared" si="8"/>
        <v>20055</v>
      </c>
    </row>
    <row r="39" spans="1:10" s="1328" customFormat="1" ht="12" customHeight="1" x14ac:dyDescent="0.2">
      <c r="A39" s="1341"/>
      <c r="B39" s="1342" t="s">
        <v>63</v>
      </c>
      <c r="C39" s="1262" t="s">
        <v>168</v>
      </c>
      <c r="D39" s="1343"/>
      <c r="E39" s="1344"/>
      <c r="F39" s="1345"/>
      <c r="G39" s="1346"/>
      <c r="H39" s="1346"/>
      <c r="I39" s="1346"/>
      <c r="J39" s="1346">
        <f t="shared" si="8"/>
        <v>0</v>
      </c>
    </row>
    <row r="40" spans="1:10" ht="12" customHeight="1" thickBot="1" x14ac:dyDescent="0.25">
      <c r="A40" s="1341"/>
      <c r="B40" s="1342" t="s">
        <v>74</v>
      </c>
      <c r="C40" s="1262" t="s">
        <v>169</v>
      </c>
      <c r="D40" s="1343">
        <v>10</v>
      </c>
      <c r="E40" s="1344">
        <v>3</v>
      </c>
      <c r="F40" s="1345"/>
      <c r="G40" s="1346"/>
      <c r="H40" s="1346"/>
      <c r="I40" s="1346"/>
      <c r="J40" s="1346">
        <f t="shared" si="8"/>
        <v>0</v>
      </c>
    </row>
    <row r="41" spans="1:10" ht="12" customHeight="1" thickBot="1" x14ac:dyDescent="0.25">
      <c r="A41" s="1281" t="s">
        <v>970</v>
      </c>
      <c r="B41" s="999"/>
      <c r="C41" s="1282" t="s">
        <v>941</v>
      </c>
      <c r="D41" s="1249">
        <f>SUM(D42:D45)</f>
        <v>0</v>
      </c>
      <c r="E41" s="1250">
        <f>SUM(E42:E45)</f>
        <v>0</v>
      </c>
      <c r="F41" s="1251">
        <f>SUM(F42:F45)</f>
        <v>0</v>
      </c>
      <c r="G41" s="1252">
        <f>SUM(G42:G45)</f>
        <v>0</v>
      </c>
      <c r="H41" s="1252">
        <f t="shared" ref="H41:I41" si="9">SUM(H42:H45)</f>
        <v>0</v>
      </c>
      <c r="I41" s="1252">
        <f t="shared" si="9"/>
        <v>659</v>
      </c>
      <c r="J41" s="1252">
        <f t="shared" si="8"/>
        <v>659</v>
      </c>
    </row>
    <row r="42" spans="1:10" ht="12" customHeight="1" x14ac:dyDescent="0.2">
      <c r="A42" s="1335"/>
      <c r="B42" s="1336" t="s">
        <v>66</v>
      </c>
      <c r="C42" s="1280" t="s">
        <v>283</v>
      </c>
      <c r="D42" s="1337"/>
      <c r="E42" s="1338"/>
      <c r="F42" s="1339"/>
      <c r="G42" s="1340"/>
      <c r="H42" s="1340"/>
      <c r="I42" s="1340">
        <v>659</v>
      </c>
      <c r="J42" s="1340">
        <f t="shared" si="8"/>
        <v>659</v>
      </c>
    </row>
    <row r="43" spans="1:10" ht="12" customHeight="1" x14ac:dyDescent="0.2">
      <c r="A43" s="1341"/>
      <c r="B43" s="1342" t="s">
        <v>67</v>
      </c>
      <c r="C43" s="1262" t="s">
        <v>171</v>
      </c>
      <c r="D43" s="1343"/>
      <c r="E43" s="1344"/>
      <c r="F43" s="1345"/>
      <c r="G43" s="1346"/>
      <c r="H43" s="1346"/>
      <c r="I43" s="1346"/>
      <c r="J43" s="1346">
        <f t="shared" si="8"/>
        <v>0</v>
      </c>
    </row>
    <row r="44" spans="1:10" ht="15" customHeight="1" x14ac:dyDescent="0.2">
      <c r="A44" s="1341"/>
      <c r="B44" s="1342" t="s">
        <v>70</v>
      </c>
      <c r="C44" s="1262" t="s">
        <v>2</v>
      </c>
      <c r="D44" s="1343"/>
      <c r="E44" s="1344"/>
      <c r="F44" s="1345"/>
      <c r="G44" s="1346"/>
      <c r="H44" s="1346"/>
      <c r="I44" s="1346"/>
      <c r="J44" s="1346">
        <f t="shared" si="8"/>
        <v>0</v>
      </c>
    </row>
    <row r="45" spans="1:10" ht="13.5" thickBot="1" x14ac:dyDescent="0.25">
      <c r="A45" s="1341"/>
      <c r="B45" s="1342" t="s">
        <v>81</v>
      </c>
      <c r="C45" s="1262" t="s">
        <v>938</v>
      </c>
      <c r="D45" s="1343"/>
      <c r="E45" s="1344"/>
      <c r="F45" s="1345"/>
      <c r="G45" s="1346"/>
      <c r="H45" s="1346"/>
      <c r="I45" s="1346"/>
      <c r="J45" s="1346">
        <f t="shared" si="8"/>
        <v>0</v>
      </c>
    </row>
    <row r="46" spans="1:10" ht="15" customHeight="1" thickBot="1" x14ac:dyDescent="0.25">
      <c r="A46" s="1281" t="s">
        <v>971</v>
      </c>
      <c r="B46" s="999"/>
      <c r="C46" s="1347" t="s">
        <v>939</v>
      </c>
      <c r="D46" s="1297"/>
      <c r="E46" s="1298"/>
      <c r="F46" s="1299"/>
      <c r="G46" s="1300"/>
      <c r="H46" s="1300"/>
      <c r="I46" s="1300"/>
      <c r="J46" s="1300">
        <f t="shared" si="8"/>
        <v>0</v>
      </c>
    </row>
    <row r="47" spans="1:10" ht="14.25" customHeight="1" thickBot="1" x14ac:dyDescent="0.25">
      <c r="A47" s="1317" t="s">
        <v>972</v>
      </c>
      <c r="B47" s="1318"/>
      <c r="C47" s="1319" t="s">
        <v>942</v>
      </c>
      <c r="D47" s="1297">
        <v>20</v>
      </c>
      <c r="E47" s="1298">
        <v>124</v>
      </c>
      <c r="F47" s="1299"/>
      <c r="G47" s="1300"/>
      <c r="H47" s="1300"/>
      <c r="I47" s="1300"/>
      <c r="J47" s="1300">
        <f t="shared" si="8"/>
        <v>0</v>
      </c>
    </row>
    <row r="48" spans="1:10" ht="13.5" thickBot="1" x14ac:dyDescent="0.25">
      <c r="A48" s="1281" t="s">
        <v>973</v>
      </c>
      <c r="B48" s="1348"/>
      <c r="C48" s="1349" t="s">
        <v>940</v>
      </c>
      <c r="D48" s="1322">
        <f>+D35+D41+D46+D47</f>
        <v>22773</v>
      </c>
      <c r="E48" s="1350">
        <f>+E35+E41+E46+E47</f>
        <v>67890</v>
      </c>
      <c r="F48" s="1322">
        <f>+F35+F41+F46+F47</f>
        <v>87813</v>
      </c>
      <c r="G48" s="1324">
        <f>+G35+G41+G46+G47</f>
        <v>2421</v>
      </c>
      <c r="H48" s="1324">
        <f t="shared" ref="H48:I48" si="10">+H35+H41+H46+H47</f>
        <v>-763</v>
      </c>
      <c r="I48" s="1324">
        <f t="shared" si="10"/>
        <v>0</v>
      </c>
      <c r="J48" s="1324">
        <f t="shared" si="8"/>
        <v>89471</v>
      </c>
    </row>
    <row r="49" spans="1:10" x14ac:dyDescent="0.2">
      <c r="A49" s="1351"/>
      <c r="B49" s="1352"/>
      <c r="C49" s="1352"/>
      <c r="D49" s="1353"/>
      <c r="E49" s="1354"/>
      <c r="F49" s="1353"/>
      <c r="G49" s="1353"/>
      <c r="H49" s="1353"/>
      <c r="I49" s="1353"/>
      <c r="J49" s="1353"/>
    </row>
    <row r="50" spans="1:10" ht="13.5" hidden="1" thickBot="1" x14ac:dyDescent="0.25">
      <c r="A50" s="1355" t="s">
        <v>211</v>
      </c>
      <c r="B50" s="1356"/>
      <c r="C50" s="1357"/>
      <c r="D50" s="1358"/>
      <c r="E50" s="1359"/>
      <c r="F50" s="1358"/>
      <c r="G50" s="1358"/>
      <c r="H50" s="1358"/>
      <c r="I50" s="1358"/>
      <c r="J50" s="1358"/>
    </row>
    <row r="51" spans="1:10" ht="13.5" hidden="1" thickBot="1" x14ac:dyDescent="0.25">
      <c r="A51" s="1355" t="s">
        <v>212</v>
      </c>
      <c r="B51" s="1356"/>
      <c r="C51" s="1357"/>
      <c r="D51" s="1358"/>
      <c r="E51" s="1359"/>
      <c r="F51" s="1358"/>
      <c r="G51" s="1358"/>
      <c r="H51" s="1358"/>
      <c r="I51" s="1358"/>
      <c r="J51" s="1358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verticalDpi="300" r:id="rId1"/>
  <headerFooter alignWithMargins="0">
    <oddHeader>&amp;R&amp;"Times New Roman CE,Félkövér"&amp;11 11. melléklet a 3/2015. (II.20.)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1559" t="s">
        <v>949</v>
      </c>
      <c r="B1" s="1559"/>
      <c r="C1" s="1559"/>
      <c r="D1" s="1559"/>
      <c r="E1" s="1559"/>
      <c r="F1" s="1559"/>
      <c r="G1" s="1559"/>
    </row>
    <row r="3" spans="1:7" s="188" customFormat="1" ht="27" customHeight="1" x14ac:dyDescent="0.25">
      <c r="A3" s="186" t="s">
        <v>220</v>
      </c>
      <c r="B3" s="187"/>
      <c r="C3" s="1558" t="s">
        <v>221</v>
      </c>
      <c r="D3" s="1558"/>
      <c r="E3" s="1558"/>
      <c r="F3" s="1558"/>
      <c r="G3" s="1558"/>
    </row>
    <row r="4" spans="1:7" s="188" customFormat="1" ht="15.75" x14ac:dyDescent="0.25">
      <c r="A4" s="187"/>
      <c r="B4" s="187"/>
      <c r="C4" s="187"/>
      <c r="D4" s="187"/>
      <c r="E4" s="187"/>
      <c r="F4" s="187"/>
      <c r="G4" s="187"/>
    </row>
    <row r="5" spans="1:7" s="188" customFormat="1" ht="24.75" customHeight="1" x14ac:dyDescent="0.25">
      <c r="A5" s="186" t="s">
        <v>222</v>
      </c>
      <c r="B5" s="187"/>
      <c r="C5" s="1558" t="s">
        <v>221</v>
      </c>
      <c r="D5" s="1558"/>
      <c r="E5" s="1558"/>
      <c r="F5" s="1558"/>
      <c r="G5" s="187"/>
    </row>
    <row r="6" spans="1:7" s="189" customFormat="1" x14ac:dyDescent="0.2">
      <c r="A6" s="229"/>
      <c r="B6" s="229"/>
      <c r="C6" s="229"/>
      <c r="D6" s="229"/>
      <c r="E6" s="229"/>
      <c r="F6" s="229"/>
      <c r="G6" s="229"/>
    </row>
    <row r="7" spans="1:7" s="190" customFormat="1" ht="15" customHeight="1" x14ac:dyDescent="0.25">
      <c r="A7" s="290" t="s">
        <v>223</v>
      </c>
      <c r="B7" s="289"/>
      <c r="C7" s="289"/>
      <c r="D7" s="275"/>
      <c r="E7" s="275"/>
      <c r="F7" s="275"/>
      <c r="G7" s="275"/>
    </row>
    <row r="8" spans="1:7" s="190" customFormat="1" ht="15" customHeight="1" thickBot="1" x14ac:dyDescent="0.3">
      <c r="A8" s="290" t="s">
        <v>224</v>
      </c>
      <c r="B8" s="275"/>
      <c r="C8" s="275"/>
      <c r="D8" s="275"/>
      <c r="E8" s="275"/>
      <c r="F8" s="275"/>
      <c r="G8" s="275"/>
    </row>
    <row r="9" spans="1:7" s="95" customFormat="1" ht="42" customHeight="1" thickBot="1" x14ac:dyDescent="0.25">
      <c r="A9" s="214" t="s">
        <v>967</v>
      </c>
      <c r="B9" s="215" t="s">
        <v>225</v>
      </c>
      <c r="C9" s="215" t="s">
        <v>226</v>
      </c>
      <c r="D9" s="215" t="s">
        <v>227</v>
      </c>
      <c r="E9" s="215" t="s">
        <v>228</v>
      </c>
      <c r="F9" s="215" t="s">
        <v>229</v>
      </c>
      <c r="G9" s="216" t="s">
        <v>1004</v>
      </c>
    </row>
    <row r="10" spans="1:7" ht="24" customHeight="1" x14ac:dyDescent="0.2">
      <c r="A10" s="276" t="s">
        <v>969</v>
      </c>
      <c r="B10" s="223" t="s">
        <v>230</v>
      </c>
      <c r="C10" s="191"/>
      <c r="D10" s="191"/>
      <c r="E10" s="191"/>
      <c r="F10" s="191"/>
      <c r="G10" s="277">
        <f>SUM(C10:F10)</f>
        <v>0</v>
      </c>
    </row>
    <row r="11" spans="1:7" ht="24" customHeight="1" x14ac:dyDescent="0.2">
      <c r="A11" s="278" t="s">
        <v>970</v>
      </c>
      <c r="B11" s="224" t="s">
        <v>231</v>
      </c>
      <c r="C11" s="192"/>
      <c r="D11" s="192"/>
      <c r="E11" s="192"/>
      <c r="F11" s="192"/>
      <c r="G11" s="279">
        <f t="shared" ref="G11:G16" si="0">SUM(C11:F11)</f>
        <v>0</v>
      </c>
    </row>
    <row r="12" spans="1:7" ht="24" customHeight="1" x14ac:dyDescent="0.2">
      <c r="A12" s="278" t="s">
        <v>971</v>
      </c>
      <c r="B12" s="224" t="s">
        <v>232</v>
      </c>
      <c r="C12" s="192"/>
      <c r="D12" s="192"/>
      <c r="E12" s="192"/>
      <c r="F12" s="192"/>
      <c r="G12" s="279">
        <f t="shared" si="0"/>
        <v>0</v>
      </c>
    </row>
    <row r="13" spans="1:7" ht="24" customHeight="1" x14ac:dyDescent="0.2">
      <c r="A13" s="278" t="s">
        <v>972</v>
      </c>
      <c r="B13" s="224" t="s">
        <v>233</v>
      </c>
      <c r="C13" s="192"/>
      <c r="D13" s="192"/>
      <c r="E13" s="192"/>
      <c r="F13" s="192"/>
      <c r="G13" s="279">
        <f t="shared" si="0"/>
        <v>0</v>
      </c>
    </row>
    <row r="14" spans="1:7" ht="24" customHeight="1" x14ac:dyDescent="0.2">
      <c r="A14" s="278" t="s">
        <v>973</v>
      </c>
      <c r="B14" s="224" t="s">
        <v>234</v>
      </c>
      <c r="C14" s="192"/>
      <c r="D14" s="192"/>
      <c r="E14" s="192"/>
      <c r="F14" s="192"/>
      <c r="G14" s="279">
        <f t="shared" si="0"/>
        <v>0</v>
      </c>
    </row>
    <row r="15" spans="1:7" ht="24" customHeight="1" thickBot="1" x14ac:dyDescent="0.25">
      <c r="A15" s="280" t="s">
        <v>974</v>
      </c>
      <c r="B15" s="281" t="s">
        <v>235</v>
      </c>
      <c r="C15" s="193"/>
      <c r="D15" s="193"/>
      <c r="E15" s="193"/>
      <c r="F15" s="193"/>
      <c r="G15" s="282">
        <f t="shared" si="0"/>
        <v>0</v>
      </c>
    </row>
    <row r="16" spans="1:7" s="194" customFormat="1" ht="24" customHeight="1" thickBot="1" x14ac:dyDescent="0.25">
      <c r="A16" s="283" t="s">
        <v>975</v>
      </c>
      <c r="B16" s="284" t="s">
        <v>1004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189" customFormat="1" x14ac:dyDescent="0.2">
      <c r="A17" s="229"/>
      <c r="B17" s="229"/>
      <c r="C17" s="229"/>
      <c r="D17" s="229"/>
      <c r="E17" s="229"/>
      <c r="F17" s="229"/>
      <c r="G17" s="229"/>
    </row>
    <row r="18" spans="1:7" s="189" customFormat="1" x14ac:dyDescent="0.2">
      <c r="A18" s="229"/>
      <c r="B18" s="229"/>
      <c r="C18" s="229"/>
      <c r="D18" s="229"/>
      <c r="E18" s="229"/>
      <c r="F18" s="229"/>
      <c r="G18" s="229"/>
    </row>
    <row r="19" spans="1:7" s="189" customFormat="1" x14ac:dyDescent="0.2">
      <c r="A19" s="229"/>
      <c r="B19" s="229"/>
      <c r="C19" s="229"/>
      <c r="D19" s="229"/>
      <c r="E19" s="229"/>
      <c r="F19" s="229"/>
      <c r="G19" s="229"/>
    </row>
    <row r="20" spans="1:7" s="189" customFormat="1" ht="15.75" x14ac:dyDescent="0.25">
      <c r="A20" s="188" t="s">
        <v>435</v>
      </c>
      <c r="B20" s="229"/>
      <c r="C20" s="229"/>
      <c r="D20" s="229"/>
      <c r="E20" s="229"/>
      <c r="F20" s="229"/>
      <c r="G20" s="229"/>
    </row>
    <row r="21" spans="1:7" s="189" customFormat="1" x14ac:dyDescent="0.2">
      <c r="A21" s="229"/>
      <c r="B21" s="229"/>
      <c r="C21" s="229"/>
      <c r="D21" s="229"/>
      <c r="E21" s="229"/>
      <c r="F21" s="229"/>
      <c r="G21" s="229"/>
    </row>
    <row r="22" spans="1:7" x14ac:dyDescent="0.2">
      <c r="A22" s="229"/>
      <c r="B22" s="229"/>
      <c r="C22" s="229"/>
      <c r="D22" s="229"/>
      <c r="E22" s="229"/>
      <c r="F22" s="229"/>
      <c r="G22" s="229"/>
    </row>
    <row r="23" spans="1:7" x14ac:dyDescent="0.2">
      <c r="A23" s="229"/>
      <c r="B23" s="229"/>
      <c r="C23" s="189"/>
      <c r="D23" s="189"/>
      <c r="E23" s="189"/>
      <c r="F23" s="189"/>
      <c r="G23" s="229"/>
    </row>
    <row r="24" spans="1:7" ht="13.5" x14ac:dyDescent="0.25">
      <c r="A24" s="229"/>
      <c r="B24" s="229"/>
      <c r="C24" s="287"/>
      <c r="D24" s="288" t="s">
        <v>236</v>
      </c>
      <c r="E24" s="288"/>
      <c r="F24" s="287"/>
      <c r="G24" s="229"/>
    </row>
    <row r="25" spans="1:7" ht="13.5" x14ac:dyDescent="0.25">
      <c r="C25" s="195"/>
      <c r="D25" s="196"/>
      <c r="E25" s="196"/>
      <c r="F25" s="195"/>
    </row>
    <row r="26" spans="1:7" ht="13.5" x14ac:dyDescent="0.25">
      <c r="C26" s="195"/>
      <c r="D26" s="196"/>
      <c r="E26" s="196"/>
      <c r="F26" s="195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4" customWidth="1"/>
    <col min="2" max="2" width="49.6640625" style="43" customWidth="1"/>
    <col min="3" max="8" width="12.83203125" style="43" customWidth="1"/>
    <col min="9" max="9" width="13.83203125" style="43" customWidth="1"/>
    <col min="10" max="16384" width="9.33203125" style="43"/>
  </cols>
  <sheetData>
    <row r="1" spans="1:10" ht="27.75" customHeight="1" x14ac:dyDescent="0.2">
      <c r="A1" s="1534" t="s">
        <v>952</v>
      </c>
      <c r="B1" s="1534"/>
      <c r="C1" s="1534"/>
      <c r="D1" s="1534"/>
      <c r="E1" s="1534"/>
      <c r="F1" s="1534"/>
      <c r="G1" s="1534"/>
      <c r="H1" s="1534"/>
      <c r="I1" s="1534"/>
    </row>
    <row r="2" spans="1:10" ht="20.25" customHeight="1" thickBot="1" x14ac:dyDescent="0.3">
      <c r="I2" s="66" t="s">
        <v>11</v>
      </c>
    </row>
    <row r="3" spans="1:10" s="67" customFormat="1" ht="26.25" customHeight="1" x14ac:dyDescent="0.2">
      <c r="A3" s="1567" t="s">
        <v>19</v>
      </c>
      <c r="B3" s="1562" t="s">
        <v>37</v>
      </c>
      <c r="C3" s="1567" t="s">
        <v>38</v>
      </c>
      <c r="D3" s="1567" t="s">
        <v>950</v>
      </c>
      <c r="E3" s="1564" t="s">
        <v>18</v>
      </c>
      <c r="F3" s="1565"/>
      <c r="G3" s="1565"/>
      <c r="H3" s="1566"/>
      <c r="I3" s="1562" t="s">
        <v>1002</v>
      </c>
    </row>
    <row r="4" spans="1:10" s="68" customFormat="1" ht="32.25" customHeight="1" thickBot="1" x14ac:dyDescent="0.25">
      <c r="A4" s="1568"/>
      <c r="B4" s="1563"/>
      <c r="C4" s="1563"/>
      <c r="D4" s="1568"/>
      <c r="E4" s="291" t="s">
        <v>127</v>
      </c>
      <c r="F4" s="291" t="s">
        <v>202</v>
      </c>
      <c r="G4" s="291" t="s">
        <v>374</v>
      </c>
      <c r="H4" s="292" t="s">
        <v>951</v>
      </c>
      <c r="I4" s="1563"/>
    </row>
    <row r="5" spans="1:10" s="69" customFormat="1" ht="12.95" customHeight="1" thickBot="1" x14ac:dyDescent="0.25">
      <c r="A5" s="293">
        <v>1</v>
      </c>
      <c r="B5" s="294">
        <v>2</v>
      </c>
      <c r="C5" s="295">
        <v>3</v>
      </c>
      <c r="D5" s="294">
        <v>4</v>
      </c>
      <c r="E5" s="293">
        <v>5</v>
      </c>
      <c r="F5" s="295">
        <v>6</v>
      </c>
      <c r="G5" s="295">
        <v>7</v>
      </c>
      <c r="H5" s="296">
        <v>8</v>
      </c>
      <c r="I5" s="297" t="s">
        <v>39</v>
      </c>
    </row>
    <row r="6" spans="1:10" ht="24.75" customHeight="1" thickBot="1" x14ac:dyDescent="0.25">
      <c r="A6" s="298" t="s">
        <v>969</v>
      </c>
      <c r="B6" s="299" t="s">
        <v>953</v>
      </c>
      <c r="C6" s="307"/>
      <c r="D6" s="83"/>
      <c r="E6" s="84"/>
      <c r="F6" s="85"/>
      <c r="G6" s="85"/>
      <c r="H6" s="86"/>
      <c r="I6" s="70">
        <f t="shared" ref="I6:I17" si="0">SUM(D6:H6)</f>
        <v>0</v>
      </c>
    </row>
    <row r="7" spans="1:10" ht="20.100000000000001" customHeight="1" x14ac:dyDescent="0.2">
      <c r="A7" s="300" t="s">
        <v>970</v>
      </c>
      <c r="B7" s="74" t="s">
        <v>20</v>
      </c>
      <c r="C7" s="75"/>
      <c r="D7" s="76"/>
      <c r="E7" s="77"/>
      <c r="F7" s="32"/>
      <c r="G7" s="32"/>
      <c r="H7" s="29"/>
      <c r="I7" s="301">
        <f t="shared" si="0"/>
        <v>0</v>
      </c>
    </row>
    <row r="8" spans="1:10" ht="20.100000000000001" customHeight="1" thickBot="1" x14ac:dyDescent="0.25">
      <c r="A8" s="300" t="s">
        <v>971</v>
      </c>
      <c r="B8" s="74" t="s">
        <v>20</v>
      </c>
      <c r="C8" s="75"/>
      <c r="D8" s="76"/>
      <c r="E8" s="77"/>
      <c r="F8" s="32"/>
      <c r="G8" s="32"/>
      <c r="H8" s="29"/>
      <c r="I8" s="301">
        <f t="shared" si="0"/>
        <v>0</v>
      </c>
    </row>
    <row r="9" spans="1:10" ht="26.1" customHeight="1" thickBot="1" x14ac:dyDescent="0.25">
      <c r="A9" s="298" t="s">
        <v>972</v>
      </c>
      <c r="B9" s="299" t="s">
        <v>954</v>
      </c>
      <c r="C9" s="308"/>
      <c r="D9" s="83"/>
      <c r="E9" s="84"/>
      <c r="F9" s="85"/>
      <c r="G9" s="85"/>
      <c r="H9" s="86"/>
      <c r="I9" s="70">
        <f t="shared" si="0"/>
        <v>0</v>
      </c>
    </row>
    <row r="10" spans="1:10" ht="20.100000000000001" customHeight="1" x14ac:dyDescent="0.2">
      <c r="A10" s="300" t="s">
        <v>973</v>
      </c>
      <c r="B10" s="74" t="s">
        <v>20</v>
      </c>
      <c r="C10" s="75"/>
      <c r="D10" s="76"/>
      <c r="E10" s="77"/>
      <c r="F10" s="32"/>
      <c r="G10" s="32"/>
      <c r="H10" s="29"/>
      <c r="I10" s="301">
        <f t="shared" si="0"/>
        <v>0</v>
      </c>
    </row>
    <row r="11" spans="1:10" ht="20.100000000000001" customHeight="1" thickBot="1" x14ac:dyDescent="0.25">
      <c r="A11" s="300" t="s">
        <v>974</v>
      </c>
      <c r="B11" s="74" t="s">
        <v>20</v>
      </c>
      <c r="C11" s="75"/>
      <c r="D11" s="76"/>
      <c r="E11" s="77"/>
      <c r="F11" s="32"/>
      <c r="G11" s="32"/>
      <c r="H11" s="29"/>
      <c r="I11" s="301">
        <f t="shared" si="0"/>
        <v>0</v>
      </c>
    </row>
    <row r="12" spans="1:10" ht="20.100000000000001" customHeight="1" thickBot="1" x14ac:dyDescent="0.25">
      <c r="A12" s="298" t="s">
        <v>975</v>
      </c>
      <c r="B12" s="299" t="s">
        <v>217</v>
      </c>
      <c r="C12" s="308"/>
      <c r="D12" s="83"/>
      <c r="E12" s="84"/>
      <c r="F12" s="85"/>
      <c r="G12" s="85"/>
      <c r="H12" s="86"/>
      <c r="I12" s="70">
        <f t="shared" si="0"/>
        <v>0</v>
      </c>
    </row>
    <row r="13" spans="1:10" ht="20.100000000000001" customHeight="1" thickBot="1" x14ac:dyDescent="0.25">
      <c r="A13" s="300" t="s">
        <v>976</v>
      </c>
      <c r="B13" s="74" t="s">
        <v>20</v>
      </c>
      <c r="C13" s="75"/>
      <c r="D13" s="76"/>
      <c r="E13" s="77"/>
      <c r="F13" s="32"/>
      <c r="G13" s="32"/>
      <c r="H13" s="29"/>
      <c r="I13" s="301">
        <f t="shared" si="0"/>
        <v>0</v>
      </c>
    </row>
    <row r="14" spans="1:10" ht="20.100000000000001" customHeight="1" thickBot="1" x14ac:dyDescent="0.25">
      <c r="A14" s="298" t="s">
        <v>977</v>
      </c>
      <c r="B14" s="299" t="s">
        <v>218</v>
      </c>
      <c r="C14" s="308"/>
      <c r="D14" s="83"/>
      <c r="E14" s="84"/>
      <c r="F14" s="85"/>
      <c r="G14" s="85"/>
      <c r="H14" s="86"/>
      <c r="I14" s="70">
        <f t="shared" si="0"/>
        <v>0</v>
      </c>
      <c r="J14" s="78"/>
    </row>
    <row r="15" spans="1:10" ht="20.100000000000001" customHeight="1" thickBot="1" x14ac:dyDescent="0.25">
      <c r="A15" s="302" t="s">
        <v>978</v>
      </c>
      <c r="B15" s="79" t="s">
        <v>20</v>
      </c>
      <c r="C15" s="80"/>
      <c r="D15" s="81"/>
      <c r="E15" s="82"/>
      <c r="F15" s="33"/>
      <c r="G15" s="33"/>
      <c r="H15" s="31"/>
      <c r="I15" s="303">
        <f t="shared" si="0"/>
        <v>0</v>
      </c>
    </row>
    <row r="16" spans="1:10" ht="20.100000000000001" customHeight="1" thickBot="1" x14ac:dyDescent="0.25">
      <c r="A16" s="298" t="s">
        <v>979</v>
      </c>
      <c r="B16" s="304" t="s">
        <v>219</v>
      </c>
      <c r="C16" s="308"/>
      <c r="D16" s="83"/>
      <c r="E16" s="84"/>
      <c r="F16" s="85"/>
      <c r="G16" s="85"/>
      <c r="H16" s="86"/>
      <c r="I16" s="70">
        <f t="shared" si="0"/>
        <v>0</v>
      </c>
    </row>
    <row r="17" spans="1:9" ht="20.100000000000001" customHeight="1" thickBot="1" x14ac:dyDescent="0.25">
      <c r="A17" s="305" t="s">
        <v>980</v>
      </c>
      <c r="B17" s="87" t="s">
        <v>20</v>
      </c>
      <c r="C17" s="88"/>
      <c r="D17" s="89"/>
      <c r="E17" s="90"/>
      <c r="F17" s="91"/>
      <c r="G17" s="91"/>
      <c r="H17" s="30"/>
      <c r="I17" s="306">
        <f t="shared" si="0"/>
        <v>0</v>
      </c>
    </row>
    <row r="18" spans="1:9" ht="20.100000000000001" customHeight="1" thickBot="1" x14ac:dyDescent="0.25">
      <c r="A18" s="1560" t="s">
        <v>93</v>
      </c>
      <c r="B18" s="1561"/>
      <c r="C18" s="137"/>
      <c r="D18" s="70">
        <f>D6+D9+D12+D14+D16</f>
        <v>0</v>
      </c>
      <c r="E18" s="71">
        <f>E6+E9+E12+E14+E16</f>
        <v>0</v>
      </c>
      <c r="F18" s="72">
        <f>F6+F9+F12+F14+F16</f>
        <v>0</v>
      </c>
      <c r="G18" s="72">
        <f>G6+G9+G12+G14+G16</f>
        <v>0</v>
      </c>
      <c r="H18" s="73">
        <f>H6+H9+H12+H14+H16</f>
        <v>0</v>
      </c>
      <c r="I18" s="70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4" bestFit="1" customWidth="1"/>
    <col min="2" max="2" width="63" style="424" customWidth="1"/>
    <col min="3" max="3" width="6.33203125" style="423" hidden="1" customWidth="1"/>
    <col min="4" max="4" width="9.83203125" style="482" bestFit="1" customWidth="1"/>
    <col min="5" max="5" width="18.1640625" style="482" customWidth="1"/>
    <col min="6" max="6" width="15.1640625" style="482" customWidth="1"/>
    <col min="7" max="7" width="15.5" style="482" customWidth="1"/>
    <col min="8" max="8" width="11.33203125" style="482" bestFit="1" customWidth="1"/>
    <col min="9" max="9" width="9.83203125" style="482" bestFit="1" customWidth="1"/>
    <col min="10" max="10" width="13.1640625" style="483" bestFit="1" customWidth="1"/>
    <col min="11" max="11" width="17.33203125" style="423" customWidth="1"/>
    <col min="12" max="12" width="9.1640625" style="423" hidden="1" customWidth="1"/>
    <col min="13" max="13" width="16.83203125" style="423" customWidth="1"/>
    <col min="14" max="14" width="0" style="423" hidden="1" customWidth="1"/>
    <col min="15" max="15" width="18.5" style="423" customWidth="1"/>
    <col min="16" max="16" width="9.83203125" style="423" customWidth="1"/>
    <col min="17" max="17" width="16.1640625" style="467" customWidth="1"/>
    <col min="18" max="18" width="9.33203125" style="424"/>
    <col min="19" max="19" width="9.33203125" style="425"/>
    <col min="20" max="16384" width="9.33203125" style="424"/>
  </cols>
  <sheetData>
    <row r="1" spans="1:19" x14ac:dyDescent="0.25">
      <c r="A1" s="1569" t="s">
        <v>746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</row>
    <row r="2" spans="1:19" x14ac:dyDescent="0.25">
      <c r="A2" s="1570" t="s">
        <v>506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570"/>
      <c r="M2" s="1570"/>
      <c r="N2" s="1570"/>
      <c r="O2" s="1570"/>
      <c r="P2" s="1570"/>
      <c r="Q2" s="1570"/>
    </row>
    <row r="3" spans="1:19" x14ac:dyDescent="0.25">
      <c r="A3" s="426"/>
      <c r="B3" s="426"/>
      <c r="C3" s="426"/>
      <c r="D3" s="426"/>
      <c r="E3" s="426"/>
      <c r="F3" s="426"/>
      <c r="G3" s="426"/>
      <c r="H3" s="426"/>
      <c r="I3" s="426"/>
      <c r="J3" s="426"/>
      <c r="Q3" s="423"/>
    </row>
    <row r="4" spans="1:19" s="430" customFormat="1" x14ac:dyDescent="0.2">
      <c r="A4" s="427"/>
      <c r="B4" s="428" t="s">
        <v>12</v>
      </c>
      <c r="C4" s="429">
        <v>2011</v>
      </c>
      <c r="D4" s="1571" t="s">
        <v>507</v>
      </c>
      <c r="E4" s="1572"/>
      <c r="F4" s="1572"/>
      <c r="G4" s="1572"/>
      <c r="H4" s="1572"/>
      <c r="I4" s="1572"/>
      <c r="J4" s="1573"/>
      <c r="K4" s="1571" t="s">
        <v>508</v>
      </c>
      <c r="L4" s="1572"/>
      <c r="M4" s="1572"/>
      <c r="N4" s="1572"/>
      <c r="O4" s="1572"/>
      <c r="P4" s="1572"/>
      <c r="Q4" s="1573"/>
      <c r="S4" s="431"/>
    </row>
    <row r="5" spans="1:19" s="430" customFormat="1" ht="75" x14ac:dyDescent="0.2">
      <c r="A5" s="432"/>
      <c r="B5" s="433"/>
      <c r="C5" s="434" t="s">
        <v>509</v>
      </c>
      <c r="D5" s="435" t="s">
        <v>485</v>
      </c>
      <c r="E5" s="435" t="s">
        <v>510</v>
      </c>
      <c r="F5" s="435" t="s">
        <v>511</v>
      </c>
      <c r="G5" s="435" t="s">
        <v>512</v>
      </c>
      <c r="H5" s="435" t="s">
        <v>483</v>
      </c>
      <c r="I5" s="435" t="s">
        <v>484</v>
      </c>
      <c r="J5" s="436" t="s">
        <v>1002</v>
      </c>
      <c r="K5" s="435" t="s">
        <v>510</v>
      </c>
      <c r="L5" s="435" t="s">
        <v>511</v>
      </c>
      <c r="M5" s="435" t="s">
        <v>512</v>
      </c>
      <c r="N5" s="435" t="s">
        <v>483</v>
      </c>
      <c r="O5" s="435" t="s">
        <v>747</v>
      </c>
      <c r="P5" s="435" t="s">
        <v>484</v>
      </c>
      <c r="Q5" s="436" t="s">
        <v>1002</v>
      </c>
      <c r="S5" s="431"/>
    </row>
    <row r="6" spans="1:19" x14ac:dyDescent="0.25">
      <c r="A6" s="438">
        <v>1</v>
      </c>
      <c r="B6" s="439" t="s">
        <v>513</v>
      </c>
      <c r="C6" s="440"/>
      <c r="D6" s="441">
        <v>27.562999999999999</v>
      </c>
      <c r="E6" s="441">
        <v>0</v>
      </c>
      <c r="F6" s="441">
        <v>0</v>
      </c>
      <c r="G6" s="441">
        <v>0</v>
      </c>
      <c r="H6" s="441">
        <v>392.04300000000001</v>
      </c>
      <c r="I6" s="441">
        <v>0</v>
      </c>
      <c r="J6" s="442">
        <v>419.60599999999999</v>
      </c>
      <c r="K6" s="443">
        <v>0</v>
      </c>
      <c r="L6" s="443">
        <v>0</v>
      </c>
      <c r="M6" s="443">
        <v>0</v>
      </c>
      <c r="N6" s="443">
        <v>0</v>
      </c>
      <c r="O6" s="443">
        <v>0</v>
      </c>
      <c r="P6" s="443">
        <v>0</v>
      </c>
      <c r="Q6" s="444">
        <v>0</v>
      </c>
    </row>
    <row r="7" spans="1:19" x14ac:dyDescent="0.25">
      <c r="A7" s="438">
        <v>2</v>
      </c>
      <c r="B7" s="439" t="s">
        <v>514</v>
      </c>
      <c r="C7" s="440"/>
      <c r="D7" s="441">
        <v>0</v>
      </c>
      <c r="E7" s="441">
        <v>0</v>
      </c>
      <c r="F7" s="441">
        <v>0</v>
      </c>
      <c r="G7" s="441">
        <v>0</v>
      </c>
      <c r="H7" s="441">
        <v>20548.030999999999</v>
      </c>
      <c r="I7" s="441">
        <v>0</v>
      </c>
      <c r="J7" s="442">
        <v>20548.030999999999</v>
      </c>
      <c r="K7" s="443">
        <v>0</v>
      </c>
      <c r="L7" s="443">
        <v>0</v>
      </c>
      <c r="M7" s="443">
        <v>0</v>
      </c>
      <c r="N7" s="443">
        <v>9998.68</v>
      </c>
      <c r="O7" s="443">
        <v>9998.68</v>
      </c>
      <c r="P7" s="443">
        <v>0</v>
      </c>
      <c r="Q7" s="444">
        <v>9998.68</v>
      </c>
    </row>
    <row r="8" spans="1:19" x14ac:dyDescent="0.25">
      <c r="A8" s="438">
        <v>3</v>
      </c>
      <c r="B8" s="439" t="s">
        <v>515</v>
      </c>
      <c r="C8" s="440">
        <v>0</v>
      </c>
      <c r="D8" s="441">
        <v>0</v>
      </c>
      <c r="E8" s="441">
        <v>0</v>
      </c>
      <c r="F8" s="441">
        <v>0</v>
      </c>
      <c r="G8" s="441">
        <v>0</v>
      </c>
      <c r="H8" s="441">
        <v>81690.829999999987</v>
      </c>
      <c r="I8" s="441">
        <v>0</v>
      </c>
      <c r="J8" s="442">
        <v>81690.829999999987</v>
      </c>
      <c r="K8" s="443">
        <v>0</v>
      </c>
      <c r="L8" s="443">
        <v>0</v>
      </c>
      <c r="M8" s="443">
        <v>0</v>
      </c>
      <c r="N8" s="443">
        <v>100697.92</v>
      </c>
      <c r="O8" s="443">
        <v>100697.92</v>
      </c>
      <c r="P8" s="443">
        <v>0</v>
      </c>
      <c r="Q8" s="444">
        <v>100697.92</v>
      </c>
    </row>
    <row r="9" spans="1:19" x14ac:dyDescent="0.25">
      <c r="A9" s="438">
        <v>4</v>
      </c>
      <c r="B9" s="439" t="s">
        <v>516</v>
      </c>
      <c r="C9" s="440"/>
      <c r="D9" s="441">
        <v>0</v>
      </c>
      <c r="E9" s="441">
        <v>0</v>
      </c>
      <c r="F9" s="441">
        <v>0</v>
      </c>
      <c r="G9" s="441">
        <v>0</v>
      </c>
      <c r="H9" s="441">
        <v>33829.214999999997</v>
      </c>
      <c r="I9" s="441">
        <v>0</v>
      </c>
      <c r="J9" s="442">
        <v>33829.214999999997</v>
      </c>
      <c r="K9" s="443">
        <v>0</v>
      </c>
      <c r="L9" s="443">
        <v>0</v>
      </c>
      <c r="M9" s="443">
        <v>0</v>
      </c>
      <c r="N9" s="443">
        <v>42924.409999999996</v>
      </c>
      <c r="O9" s="443">
        <v>42924.409999999996</v>
      </c>
      <c r="P9" s="443">
        <v>0</v>
      </c>
      <c r="Q9" s="444">
        <v>42924.409999999996</v>
      </c>
    </row>
    <row r="10" spans="1:19" x14ac:dyDescent="0.25">
      <c r="A10" s="438">
        <v>5</v>
      </c>
      <c r="B10" s="439" t="s">
        <v>517</v>
      </c>
      <c r="C10" s="440"/>
      <c r="D10" s="441">
        <v>0</v>
      </c>
      <c r="E10" s="441">
        <v>0</v>
      </c>
      <c r="F10" s="441">
        <v>0</v>
      </c>
      <c r="G10" s="441">
        <v>0</v>
      </c>
      <c r="H10" s="441">
        <v>18379.445</v>
      </c>
      <c r="I10" s="441">
        <v>0</v>
      </c>
      <c r="J10" s="442">
        <v>18379.445</v>
      </c>
      <c r="K10" s="443">
        <v>0</v>
      </c>
      <c r="L10" s="443">
        <v>0</v>
      </c>
      <c r="M10" s="443">
        <v>0</v>
      </c>
      <c r="N10" s="443">
        <v>21189.848000000002</v>
      </c>
      <c r="O10" s="443">
        <v>21189.848000000002</v>
      </c>
      <c r="P10" s="443">
        <v>0</v>
      </c>
      <c r="Q10" s="444">
        <v>21189.848000000002</v>
      </c>
    </row>
    <row r="11" spans="1:19" x14ac:dyDescent="0.25">
      <c r="A11" s="438">
        <v>6</v>
      </c>
      <c r="B11" s="439" t="s">
        <v>119</v>
      </c>
      <c r="C11" s="440"/>
      <c r="D11" s="441">
        <v>0</v>
      </c>
      <c r="E11" s="441">
        <v>0</v>
      </c>
      <c r="F11" s="441">
        <v>0</v>
      </c>
      <c r="G11" s="441">
        <v>0</v>
      </c>
      <c r="H11" s="441">
        <v>0</v>
      </c>
      <c r="I11" s="441">
        <v>0</v>
      </c>
      <c r="J11" s="442">
        <v>0</v>
      </c>
      <c r="K11" s="443">
        <v>0</v>
      </c>
      <c r="L11" s="443">
        <v>0</v>
      </c>
      <c r="M11" s="443">
        <v>0</v>
      </c>
      <c r="N11" s="443">
        <v>0</v>
      </c>
      <c r="O11" s="443">
        <v>0</v>
      </c>
      <c r="P11" s="443">
        <v>0</v>
      </c>
      <c r="Q11" s="444">
        <v>0</v>
      </c>
    </row>
    <row r="12" spans="1:19" x14ac:dyDescent="0.25">
      <c r="A12" s="438">
        <v>7</v>
      </c>
      <c r="B12" s="439" t="s">
        <v>518</v>
      </c>
      <c r="C12" s="440"/>
      <c r="D12" s="441">
        <v>0</v>
      </c>
      <c r="E12" s="441">
        <v>0</v>
      </c>
      <c r="F12" s="441">
        <v>0</v>
      </c>
      <c r="G12" s="441">
        <v>0</v>
      </c>
      <c r="H12" s="441">
        <v>29482.17</v>
      </c>
      <c r="I12" s="441">
        <v>0</v>
      </c>
      <c r="J12" s="442">
        <v>29482.17</v>
      </c>
      <c r="K12" s="443">
        <v>0</v>
      </c>
      <c r="L12" s="443">
        <v>0</v>
      </c>
      <c r="M12" s="443">
        <v>0</v>
      </c>
      <c r="N12" s="443">
        <v>36583.661999999997</v>
      </c>
      <c r="O12" s="443">
        <v>36583.661999999997</v>
      </c>
      <c r="P12" s="443">
        <v>0</v>
      </c>
      <c r="Q12" s="444">
        <v>36583.661999999997</v>
      </c>
    </row>
    <row r="13" spans="1:19" x14ac:dyDescent="0.25">
      <c r="A13" s="438">
        <v>8</v>
      </c>
      <c r="B13" s="439" t="s">
        <v>519</v>
      </c>
      <c r="C13" s="440"/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2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4">
        <v>0</v>
      </c>
    </row>
    <row r="14" spans="1:19" x14ac:dyDescent="0.25">
      <c r="A14" s="438">
        <v>9</v>
      </c>
      <c r="B14" s="439" t="s">
        <v>520</v>
      </c>
      <c r="C14" s="440">
        <v>0</v>
      </c>
      <c r="D14" s="441">
        <v>0</v>
      </c>
      <c r="E14" s="441">
        <v>0</v>
      </c>
      <c r="F14" s="441">
        <v>0</v>
      </c>
      <c r="G14" s="441">
        <v>0</v>
      </c>
      <c r="H14" s="441">
        <v>91588.676000000007</v>
      </c>
      <c r="I14" s="441">
        <v>0</v>
      </c>
      <c r="J14" s="442">
        <v>91588.676000000007</v>
      </c>
      <c r="K14" s="443">
        <v>0</v>
      </c>
      <c r="L14" s="443">
        <v>0</v>
      </c>
      <c r="M14" s="443">
        <v>0</v>
      </c>
      <c r="N14" s="443">
        <v>0</v>
      </c>
      <c r="O14" s="443">
        <v>0</v>
      </c>
      <c r="P14" s="443">
        <v>0</v>
      </c>
      <c r="Q14" s="444">
        <v>0</v>
      </c>
    </row>
    <row r="15" spans="1:19" x14ac:dyDescent="0.25">
      <c r="A15" s="438"/>
      <c r="B15" s="439" t="s">
        <v>521</v>
      </c>
      <c r="C15" s="440"/>
      <c r="D15" s="441">
        <v>0</v>
      </c>
      <c r="E15" s="441">
        <v>0</v>
      </c>
      <c r="F15" s="441">
        <v>0</v>
      </c>
      <c r="G15" s="441">
        <v>0</v>
      </c>
      <c r="H15" s="441">
        <v>0</v>
      </c>
      <c r="I15" s="441">
        <v>0</v>
      </c>
      <c r="J15" s="442">
        <v>0</v>
      </c>
      <c r="K15" s="443">
        <v>0</v>
      </c>
      <c r="L15" s="443">
        <v>0</v>
      </c>
      <c r="M15" s="443">
        <v>0</v>
      </c>
      <c r="N15" s="443">
        <v>0</v>
      </c>
      <c r="O15" s="443">
        <v>0</v>
      </c>
      <c r="P15" s="443">
        <v>0</v>
      </c>
      <c r="Q15" s="444">
        <v>0</v>
      </c>
    </row>
    <row r="16" spans="1:19" ht="30" x14ac:dyDescent="0.25">
      <c r="A16" s="438">
        <v>10</v>
      </c>
      <c r="B16" s="439" t="s">
        <v>522</v>
      </c>
      <c r="C16" s="440"/>
      <c r="D16" s="441">
        <v>0</v>
      </c>
      <c r="E16" s="441">
        <v>0</v>
      </c>
      <c r="F16" s="441">
        <v>0</v>
      </c>
      <c r="G16" s="441">
        <v>0</v>
      </c>
      <c r="H16" s="441">
        <v>63892.480000000003</v>
      </c>
      <c r="I16" s="441">
        <v>0</v>
      </c>
      <c r="J16" s="442">
        <v>63892.480000000003</v>
      </c>
      <c r="K16" s="443">
        <v>0</v>
      </c>
      <c r="L16" s="443">
        <v>0</v>
      </c>
      <c r="M16" s="443">
        <v>0</v>
      </c>
      <c r="N16" s="443">
        <v>0</v>
      </c>
      <c r="O16" s="443">
        <v>0</v>
      </c>
      <c r="P16" s="443">
        <v>0</v>
      </c>
      <c r="Q16" s="444">
        <v>0</v>
      </c>
    </row>
    <row r="17" spans="1:19" x14ac:dyDescent="0.25">
      <c r="A17" s="438">
        <v>11</v>
      </c>
      <c r="B17" s="439" t="s">
        <v>523</v>
      </c>
      <c r="C17" s="440"/>
      <c r="D17" s="441">
        <v>0</v>
      </c>
      <c r="E17" s="441">
        <v>0</v>
      </c>
      <c r="F17" s="441">
        <v>0</v>
      </c>
      <c r="G17" s="441">
        <v>0</v>
      </c>
      <c r="H17" s="441">
        <v>27696.196</v>
      </c>
      <c r="I17" s="441">
        <v>0</v>
      </c>
      <c r="J17" s="442">
        <v>27696.196</v>
      </c>
      <c r="K17" s="443">
        <v>0</v>
      </c>
      <c r="L17" s="443">
        <v>0</v>
      </c>
      <c r="M17" s="443">
        <v>0</v>
      </c>
      <c r="N17" s="443">
        <v>0</v>
      </c>
      <c r="O17" s="443">
        <v>0</v>
      </c>
      <c r="P17" s="443">
        <v>0</v>
      </c>
      <c r="Q17" s="444">
        <v>0</v>
      </c>
    </row>
    <row r="18" spans="1:19" x14ac:dyDescent="0.25">
      <c r="A18" s="438">
        <v>12</v>
      </c>
      <c r="B18" s="439" t="s">
        <v>524</v>
      </c>
      <c r="C18" s="440"/>
      <c r="D18" s="441">
        <v>0</v>
      </c>
      <c r="E18" s="441">
        <v>0</v>
      </c>
      <c r="F18" s="441">
        <v>0</v>
      </c>
      <c r="G18" s="441">
        <v>0</v>
      </c>
      <c r="H18" s="441">
        <v>0</v>
      </c>
      <c r="I18" s="441">
        <v>0</v>
      </c>
      <c r="J18" s="442">
        <v>0</v>
      </c>
      <c r="K18" s="443">
        <v>0</v>
      </c>
      <c r="L18" s="443">
        <v>0</v>
      </c>
      <c r="M18" s="443">
        <v>0</v>
      </c>
      <c r="N18" s="443">
        <v>0</v>
      </c>
      <c r="O18" s="443">
        <v>0</v>
      </c>
      <c r="P18" s="443">
        <v>0</v>
      </c>
      <c r="Q18" s="444">
        <v>0</v>
      </c>
    </row>
    <row r="19" spans="1:19" x14ac:dyDescent="0.25">
      <c r="A19" s="438">
        <v>13</v>
      </c>
      <c r="B19" s="439" t="s">
        <v>525</v>
      </c>
      <c r="C19" s="440"/>
      <c r="D19" s="441">
        <v>0</v>
      </c>
      <c r="E19" s="441">
        <v>0</v>
      </c>
      <c r="F19" s="441">
        <v>0</v>
      </c>
      <c r="G19" s="441">
        <v>0</v>
      </c>
      <c r="H19" s="441">
        <v>0</v>
      </c>
      <c r="I19" s="441">
        <v>0</v>
      </c>
      <c r="J19" s="442">
        <v>0</v>
      </c>
      <c r="K19" s="443">
        <v>0</v>
      </c>
      <c r="L19" s="443">
        <v>0</v>
      </c>
      <c r="M19" s="443">
        <v>0</v>
      </c>
      <c r="N19" s="443">
        <v>0</v>
      </c>
      <c r="O19" s="443">
        <v>0</v>
      </c>
      <c r="P19" s="443">
        <v>0</v>
      </c>
      <c r="Q19" s="444">
        <v>0</v>
      </c>
    </row>
    <row r="20" spans="1:19" x14ac:dyDescent="0.25">
      <c r="A20" s="438">
        <v>14</v>
      </c>
      <c r="B20" s="439" t="s">
        <v>526</v>
      </c>
      <c r="C20" s="440"/>
      <c r="D20" s="441">
        <v>0</v>
      </c>
      <c r="E20" s="441">
        <v>0</v>
      </c>
      <c r="F20" s="441">
        <v>0</v>
      </c>
      <c r="G20" s="441">
        <v>0</v>
      </c>
      <c r="H20" s="441">
        <v>177.84299999999999</v>
      </c>
      <c r="I20" s="441">
        <v>0</v>
      </c>
      <c r="J20" s="442">
        <v>177.84299999999999</v>
      </c>
      <c r="K20" s="443">
        <v>0</v>
      </c>
      <c r="L20" s="443">
        <v>0</v>
      </c>
      <c r="M20" s="443">
        <v>0</v>
      </c>
      <c r="N20" s="443">
        <v>234.5</v>
      </c>
      <c r="O20" s="443">
        <v>234.5</v>
      </c>
      <c r="P20" s="443">
        <v>0</v>
      </c>
      <c r="Q20" s="444">
        <v>234.5</v>
      </c>
    </row>
    <row r="21" spans="1:19" ht="45" x14ac:dyDescent="0.25">
      <c r="A21" s="438">
        <v>15</v>
      </c>
      <c r="B21" s="439" t="s">
        <v>527</v>
      </c>
      <c r="C21" s="440"/>
      <c r="D21" s="441">
        <v>0</v>
      </c>
      <c r="E21" s="441">
        <v>0</v>
      </c>
      <c r="F21" s="441">
        <v>0</v>
      </c>
      <c r="G21" s="441">
        <v>0</v>
      </c>
      <c r="H21" s="441">
        <v>2732.6729999999998</v>
      </c>
      <c r="I21" s="441">
        <v>0</v>
      </c>
      <c r="J21" s="442">
        <v>2732.6729999999998</v>
      </c>
      <c r="K21" s="443">
        <v>0</v>
      </c>
      <c r="L21" s="443">
        <v>0</v>
      </c>
      <c r="M21" s="443">
        <v>0</v>
      </c>
      <c r="N21" s="443">
        <v>3411.7649999999999</v>
      </c>
      <c r="O21" s="443">
        <v>3411.7649999999999</v>
      </c>
      <c r="P21" s="443">
        <v>0</v>
      </c>
      <c r="Q21" s="444">
        <v>3411.7649999999999</v>
      </c>
    </row>
    <row r="22" spans="1:19" s="452" customFormat="1" ht="30" x14ac:dyDescent="0.25">
      <c r="A22" s="455">
        <v>16</v>
      </c>
      <c r="B22" s="456" t="s">
        <v>528</v>
      </c>
      <c r="C22" s="457">
        <v>0</v>
      </c>
      <c r="D22" s="457">
        <v>27.562999999999999</v>
      </c>
      <c r="E22" s="457">
        <v>0</v>
      </c>
      <c r="F22" s="457">
        <v>0</v>
      </c>
      <c r="G22" s="457">
        <v>0</v>
      </c>
      <c r="H22" s="457">
        <v>197130.09599999999</v>
      </c>
      <c r="I22" s="457">
        <v>0</v>
      </c>
      <c r="J22" s="457">
        <v>197157.65899999999</v>
      </c>
      <c r="K22" s="457">
        <v>0</v>
      </c>
      <c r="L22" s="457">
        <v>0</v>
      </c>
      <c r="M22" s="457">
        <v>0</v>
      </c>
      <c r="N22" s="457">
        <v>114342.86500000001</v>
      </c>
      <c r="O22" s="457">
        <v>114342.86500000001</v>
      </c>
      <c r="P22" s="457">
        <v>0</v>
      </c>
      <c r="Q22" s="457">
        <v>114342.86500000001</v>
      </c>
    </row>
    <row r="23" spans="1:19" s="458" customFormat="1" x14ac:dyDescent="0.25">
      <c r="A23" s="445">
        <v>17</v>
      </c>
      <c r="B23" s="446" t="s">
        <v>529</v>
      </c>
      <c r="C23" s="447">
        <v>0</v>
      </c>
      <c r="D23" s="447">
        <v>4243.21</v>
      </c>
      <c r="E23" s="447">
        <v>1897.9190000000001</v>
      </c>
      <c r="F23" s="447">
        <v>97.016999999999996</v>
      </c>
      <c r="G23" s="447">
        <v>68.47</v>
      </c>
      <c r="H23" s="447">
        <v>10089.620000000001</v>
      </c>
      <c r="I23" s="447">
        <v>0</v>
      </c>
      <c r="J23" s="447">
        <v>16396.236000000001</v>
      </c>
      <c r="K23" s="447">
        <v>5104.866</v>
      </c>
      <c r="L23" s="447">
        <v>546.55100000000004</v>
      </c>
      <c r="M23" s="447">
        <v>250</v>
      </c>
      <c r="N23" s="447">
        <v>6559.9620000000014</v>
      </c>
      <c r="O23" s="447">
        <v>7106.5130000000017</v>
      </c>
      <c r="P23" s="447">
        <v>0</v>
      </c>
      <c r="Q23" s="504">
        <v>12461.379000000001</v>
      </c>
      <c r="S23" s="459"/>
    </row>
    <row r="24" spans="1:19" s="460" customFormat="1" x14ac:dyDescent="0.25">
      <c r="A24" s="438"/>
      <c r="B24" s="450" t="s">
        <v>530</v>
      </c>
      <c r="C24" s="451"/>
      <c r="D24" s="441">
        <v>0</v>
      </c>
      <c r="E24" s="441">
        <v>0</v>
      </c>
      <c r="F24" s="441">
        <v>0</v>
      </c>
      <c r="G24" s="441">
        <v>0</v>
      </c>
      <c r="H24" s="441">
        <v>0</v>
      </c>
      <c r="I24" s="441">
        <v>0</v>
      </c>
      <c r="J24" s="442">
        <v>0</v>
      </c>
      <c r="K24" s="443">
        <v>0</v>
      </c>
      <c r="L24" s="443">
        <v>0</v>
      </c>
      <c r="M24" s="443">
        <v>0</v>
      </c>
      <c r="N24" s="443">
        <v>0</v>
      </c>
      <c r="O24" s="443">
        <v>0</v>
      </c>
      <c r="P24" s="443">
        <v>0</v>
      </c>
      <c r="Q24" s="444">
        <v>0</v>
      </c>
      <c r="S24" s="452"/>
    </row>
    <row r="25" spans="1:19" s="460" customFormat="1" x14ac:dyDescent="0.25">
      <c r="A25" s="449">
        <v>18</v>
      </c>
      <c r="B25" s="453" t="s">
        <v>531</v>
      </c>
      <c r="C25" s="451"/>
      <c r="D25" s="441">
        <v>0</v>
      </c>
      <c r="E25" s="441">
        <v>0</v>
      </c>
      <c r="F25" s="441">
        <v>0</v>
      </c>
      <c r="G25" s="441">
        <v>0</v>
      </c>
      <c r="H25" s="441">
        <v>0</v>
      </c>
      <c r="I25" s="441">
        <v>0</v>
      </c>
      <c r="J25" s="442">
        <v>0</v>
      </c>
      <c r="K25" s="443">
        <v>0</v>
      </c>
      <c r="L25" s="443">
        <v>0</v>
      </c>
      <c r="M25" s="443">
        <v>0</v>
      </c>
      <c r="N25" s="443">
        <v>0</v>
      </c>
      <c r="O25" s="443">
        <v>0</v>
      </c>
      <c r="P25" s="443">
        <v>0</v>
      </c>
      <c r="Q25" s="444">
        <v>0</v>
      </c>
      <c r="S25" s="452"/>
    </row>
    <row r="26" spans="1:19" s="460" customFormat="1" x14ac:dyDescent="0.25">
      <c r="A26" s="449">
        <v>19</v>
      </c>
      <c r="B26" s="453" t="s">
        <v>532</v>
      </c>
      <c r="C26" s="451"/>
      <c r="D26" s="441">
        <v>0</v>
      </c>
      <c r="E26" s="441">
        <v>0</v>
      </c>
      <c r="F26" s="441">
        <v>0</v>
      </c>
      <c r="G26" s="441">
        <v>0</v>
      </c>
      <c r="H26" s="441">
        <v>-379.15300000000002</v>
      </c>
      <c r="I26" s="441">
        <v>0</v>
      </c>
      <c r="J26" s="442">
        <v>-379.15300000000002</v>
      </c>
      <c r="K26" s="443">
        <v>0</v>
      </c>
      <c r="L26" s="443">
        <v>0</v>
      </c>
      <c r="M26" s="443">
        <v>0</v>
      </c>
      <c r="N26" s="443">
        <v>0</v>
      </c>
      <c r="O26" s="443">
        <v>0</v>
      </c>
      <c r="P26" s="443">
        <v>0</v>
      </c>
      <c r="Q26" s="444">
        <v>0</v>
      </c>
      <c r="S26" s="452"/>
    </row>
    <row r="27" spans="1:19" s="462" customFormat="1" x14ac:dyDescent="0.25">
      <c r="A27" s="449">
        <v>20</v>
      </c>
      <c r="B27" s="453" t="s">
        <v>533</v>
      </c>
      <c r="C27" s="461"/>
      <c r="D27" s="441">
        <v>60.6</v>
      </c>
      <c r="E27" s="441">
        <v>0</v>
      </c>
      <c r="F27" s="441">
        <v>50.9</v>
      </c>
      <c r="G27" s="441">
        <v>0</v>
      </c>
      <c r="H27" s="441">
        <v>0</v>
      </c>
      <c r="I27" s="441">
        <v>0</v>
      </c>
      <c r="J27" s="442">
        <v>111.5</v>
      </c>
      <c r="K27" s="443">
        <v>0</v>
      </c>
      <c r="L27" s="443">
        <v>0</v>
      </c>
      <c r="M27" s="443">
        <v>0</v>
      </c>
      <c r="N27" s="443">
        <v>0</v>
      </c>
      <c r="O27" s="443">
        <v>0</v>
      </c>
      <c r="P27" s="443">
        <v>0</v>
      </c>
      <c r="Q27" s="444">
        <v>0</v>
      </c>
      <c r="S27" s="452"/>
    </row>
    <row r="28" spans="1:19" s="460" customFormat="1" x14ac:dyDescent="0.25">
      <c r="A28" s="449">
        <v>21</v>
      </c>
      <c r="B28" s="453" t="s">
        <v>534</v>
      </c>
      <c r="C28" s="451"/>
      <c r="D28" s="441">
        <v>0</v>
      </c>
      <c r="E28" s="441">
        <v>0</v>
      </c>
      <c r="F28" s="441">
        <v>0</v>
      </c>
      <c r="G28" s="441">
        <v>0</v>
      </c>
      <c r="H28" s="441">
        <v>1749.952</v>
      </c>
      <c r="I28" s="441">
        <v>0</v>
      </c>
      <c r="J28" s="442">
        <v>1749.952</v>
      </c>
      <c r="K28" s="443">
        <v>0</v>
      </c>
      <c r="L28" s="443">
        <v>0</v>
      </c>
      <c r="M28" s="443">
        <v>0</v>
      </c>
      <c r="N28" s="443">
        <v>0</v>
      </c>
      <c r="O28" s="443">
        <v>0</v>
      </c>
      <c r="P28" s="443">
        <v>0</v>
      </c>
      <c r="Q28" s="444">
        <v>0</v>
      </c>
      <c r="S28" s="452"/>
    </row>
    <row r="29" spans="1:19" s="460" customFormat="1" ht="30" x14ac:dyDescent="0.25">
      <c r="A29" s="449">
        <v>22</v>
      </c>
      <c r="B29" s="453" t="s">
        <v>535</v>
      </c>
      <c r="C29" s="451"/>
      <c r="D29" s="441">
        <v>0</v>
      </c>
      <c r="E29" s="441">
        <v>0</v>
      </c>
      <c r="F29" s="441">
        <v>0</v>
      </c>
      <c r="G29" s="441">
        <v>0</v>
      </c>
      <c r="H29" s="441">
        <v>940.2</v>
      </c>
      <c r="I29" s="441">
        <v>0</v>
      </c>
      <c r="J29" s="442">
        <v>940.2</v>
      </c>
      <c r="K29" s="443">
        <v>0</v>
      </c>
      <c r="L29" s="443">
        <v>0</v>
      </c>
      <c r="M29" s="443">
        <v>0</v>
      </c>
      <c r="N29" s="443">
        <v>0</v>
      </c>
      <c r="O29" s="443">
        <v>0</v>
      </c>
      <c r="P29" s="443">
        <v>0</v>
      </c>
      <c r="Q29" s="444">
        <v>0</v>
      </c>
      <c r="S29" s="452"/>
    </row>
    <row r="30" spans="1:19" s="460" customFormat="1" x14ac:dyDescent="0.25">
      <c r="A30" s="449">
        <v>23</v>
      </c>
      <c r="B30" s="453" t="s">
        <v>536</v>
      </c>
      <c r="C30" s="451">
        <v>0</v>
      </c>
      <c r="D30" s="441">
        <v>29.12</v>
      </c>
      <c r="E30" s="441">
        <v>0</v>
      </c>
      <c r="F30" s="441">
        <v>0</v>
      </c>
      <c r="G30" s="441">
        <v>68.47</v>
      </c>
      <c r="H30" s="441">
        <v>7778.621000000001</v>
      </c>
      <c r="I30" s="441">
        <v>0</v>
      </c>
      <c r="J30" s="442">
        <v>7876.2110000000002</v>
      </c>
      <c r="K30" s="443">
        <v>0</v>
      </c>
      <c r="L30" s="443">
        <v>0</v>
      </c>
      <c r="M30" s="443">
        <v>250</v>
      </c>
      <c r="N30" s="443">
        <v>6559.9620000000014</v>
      </c>
      <c r="O30" s="443">
        <v>6559.9620000000014</v>
      </c>
      <c r="P30" s="443">
        <v>0</v>
      </c>
      <c r="Q30" s="444">
        <v>6809.9620000000014</v>
      </c>
      <c r="S30" s="452"/>
    </row>
    <row r="31" spans="1:19" s="460" customFormat="1" x14ac:dyDescent="0.25">
      <c r="A31" s="449">
        <v>24</v>
      </c>
      <c r="B31" s="463" t="s">
        <v>537</v>
      </c>
      <c r="C31" s="451"/>
      <c r="D31" s="441">
        <v>0</v>
      </c>
      <c r="E31" s="441">
        <v>0</v>
      </c>
      <c r="F31" s="441">
        <v>0</v>
      </c>
      <c r="G31" s="441">
        <v>0</v>
      </c>
      <c r="H31" s="441">
        <v>2307.4070000000002</v>
      </c>
      <c r="I31" s="441">
        <v>0</v>
      </c>
      <c r="J31" s="442">
        <v>2307.4070000000002</v>
      </c>
      <c r="K31" s="443">
        <v>0</v>
      </c>
      <c r="L31" s="443">
        <v>0</v>
      </c>
      <c r="M31" s="443">
        <v>0</v>
      </c>
      <c r="N31" s="443">
        <v>2307.4070000000002</v>
      </c>
      <c r="O31" s="443">
        <v>2307.4070000000002</v>
      </c>
      <c r="P31" s="443">
        <v>0</v>
      </c>
      <c r="Q31" s="444">
        <v>2307.4070000000002</v>
      </c>
      <c r="S31" s="452"/>
    </row>
    <row r="32" spans="1:19" s="460" customFormat="1" x14ac:dyDescent="0.25">
      <c r="A32" s="449">
        <v>25</v>
      </c>
      <c r="B32" s="463" t="s">
        <v>538</v>
      </c>
      <c r="C32" s="451"/>
      <c r="D32" s="441">
        <v>0</v>
      </c>
      <c r="E32" s="441">
        <v>0</v>
      </c>
      <c r="F32" s="441">
        <v>0</v>
      </c>
      <c r="G32" s="441">
        <v>0</v>
      </c>
      <c r="H32" s="441">
        <v>289.65800000000002</v>
      </c>
      <c r="I32" s="441">
        <v>0</v>
      </c>
      <c r="J32" s="442">
        <v>289.65800000000002</v>
      </c>
      <c r="K32" s="443">
        <v>0</v>
      </c>
      <c r="L32" s="443">
        <v>0</v>
      </c>
      <c r="M32" s="443">
        <v>0</v>
      </c>
      <c r="N32" s="443">
        <v>700.48800000000006</v>
      </c>
      <c r="O32" s="443">
        <v>700.48800000000006</v>
      </c>
      <c r="P32" s="443">
        <v>0</v>
      </c>
      <c r="Q32" s="444">
        <v>700.48800000000006</v>
      </c>
      <c r="S32" s="452"/>
    </row>
    <row r="33" spans="1:20" s="460" customFormat="1" x14ac:dyDescent="0.25">
      <c r="A33" s="449">
        <v>26</v>
      </c>
      <c r="B33" s="463" t="s">
        <v>539</v>
      </c>
      <c r="C33" s="451"/>
      <c r="D33" s="441">
        <v>29.12</v>
      </c>
      <c r="E33" s="441">
        <v>0</v>
      </c>
      <c r="F33" s="441">
        <v>0</v>
      </c>
      <c r="G33" s="441">
        <v>68.47</v>
      </c>
      <c r="H33" s="441">
        <v>1668.768</v>
      </c>
      <c r="I33" s="441">
        <v>0</v>
      </c>
      <c r="J33" s="442">
        <v>1766.3579999999999</v>
      </c>
      <c r="K33" s="443">
        <v>0</v>
      </c>
      <c r="L33" s="443">
        <v>0</v>
      </c>
      <c r="M33" s="443">
        <v>250</v>
      </c>
      <c r="N33" s="443">
        <v>1536.19</v>
      </c>
      <c r="O33" s="443">
        <v>1536.19</v>
      </c>
      <c r="P33" s="443">
        <v>0</v>
      </c>
      <c r="Q33" s="444">
        <v>1786.19</v>
      </c>
      <c r="S33" s="452"/>
    </row>
    <row r="34" spans="1:20" s="460" customFormat="1" x14ac:dyDescent="0.25">
      <c r="A34" s="449">
        <v>27</v>
      </c>
      <c r="B34" s="463" t="s">
        <v>540</v>
      </c>
      <c r="C34" s="451"/>
      <c r="D34" s="441">
        <v>0</v>
      </c>
      <c r="E34" s="441">
        <v>0</v>
      </c>
      <c r="F34" s="441">
        <v>0</v>
      </c>
      <c r="G34" s="441">
        <v>0</v>
      </c>
      <c r="H34" s="441">
        <v>38.97</v>
      </c>
      <c r="I34" s="441">
        <v>0</v>
      </c>
      <c r="J34" s="442">
        <v>38.97</v>
      </c>
      <c r="K34" s="443">
        <v>0</v>
      </c>
      <c r="L34" s="443">
        <v>0</v>
      </c>
      <c r="M34" s="443">
        <v>0</v>
      </c>
      <c r="N34" s="443">
        <v>40</v>
      </c>
      <c r="O34" s="443">
        <v>40</v>
      </c>
      <c r="P34" s="443">
        <v>0</v>
      </c>
      <c r="Q34" s="444">
        <v>40</v>
      </c>
      <c r="S34" s="452"/>
    </row>
    <row r="35" spans="1:20" s="460" customFormat="1" x14ac:dyDescent="0.25">
      <c r="A35" s="449">
        <v>28</v>
      </c>
      <c r="B35" s="463" t="s">
        <v>541</v>
      </c>
      <c r="C35" s="451"/>
      <c r="D35" s="441">
        <v>0</v>
      </c>
      <c r="E35" s="441">
        <v>0</v>
      </c>
      <c r="F35" s="441">
        <v>0</v>
      </c>
      <c r="G35" s="441">
        <v>0</v>
      </c>
      <c r="H35" s="441">
        <v>3168.8980000000001</v>
      </c>
      <c r="I35" s="441">
        <v>0</v>
      </c>
      <c r="J35" s="442">
        <v>3168.8980000000001</v>
      </c>
      <c r="K35" s="505">
        <v>0</v>
      </c>
      <c r="L35" s="505">
        <v>0</v>
      </c>
      <c r="M35" s="505">
        <v>0</v>
      </c>
      <c r="N35" s="505">
        <v>0</v>
      </c>
      <c r="O35" s="505">
        <v>0</v>
      </c>
      <c r="P35" s="505">
        <v>0</v>
      </c>
      <c r="Q35" s="506">
        <v>0</v>
      </c>
      <c r="S35" s="462"/>
    </row>
    <row r="36" spans="1:20" s="460" customFormat="1" x14ac:dyDescent="0.25">
      <c r="A36" s="449">
        <v>29</v>
      </c>
      <c r="B36" s="463" t="s">
        <v>542</v>
      </c>
      <c r="C36" s="451"/>
      <c r="D36" s="441">
        <v>0</v>
      </c>
      <c r="E36" s="441">
        <v>0</v>
      </c>
      <c r="F36" s="441">
        <v>0</v>
      </c>
      <c r="G36" s="441">
        <v>0</v>
      </c>
      <c r="H36" s="441">
        <v>304.92</v>
      </c>
      <c r="I36" s="441">
        <v>0</v>
      </c>
      <c r="J36" s="442">
        <v>304.92</v>
      </c>
      <c r="K36" s="443">
        <v>0</v>
      </c>
      <c r="L36" s="443">
        <v>0</v>
      </c>
      <c r="M36" s="443">
        <v>0</v>
      </c>
      <c r="N36" s="443">
        <v>1975.877</v>
      </c>
      <c r="O36" s="443">
        <v>1975.877</v>
      </c>
      <c r="P36" s="443">
        <v>0</v>
      </c>
      <c r="Q36" s="444">
        <v>1975.877</v>
      </c>
      <c r="S36" s="452"/>
    </row>
    <row r="37" spans="1:20" s="460" customFormat="1" x14ac:dyDescent="0.25">
      <c r="A37" s="449">
        <v>30</v>
      </c>
      <c r="B37" s="453" t="s">
        <v>543</v>
      </c>
      <c r="C37" s="451"/>
      <c r="D37" s="441">
        <v>4153.027</v>
      </c>
      <c r="E37" s="441">
        <v>1049.8510000000001</v>
      </c>
      <c r="F37" s="441">
        <v>37.506999999999998</v>
      </c>
      <c r="G37" s="441">
        <v>0</v>
      </c>
      <c r="H37" s="441">
        <v>0</v>
      </c>
      <c r="I37" s="441">
        <v>0</v>
      </c>
      <c r="J37" s="442">
        <v>5240.3850000000002</v>
      </c>
      <c r="K37" s="443">
        <v>5104.866</v>
      </c>
      <c r="L37" s="443">
        <v>546.55100000000004</v>
      </c>
      <c r="M37" s="443">
        <v>0</v>
      </c>
      <c r="N37" s="443">
        <v>0</v>
      </c>
      <c r="O37" s="443">
        <v>546.55100000000004</v>
      </c>
      <c r="P37" s="443">
        <v>0</v>
      </c>
      <c r="Q37" s="444">
        <v>5651.4170000000004</v>
      </c>
      <c r="S37" s="452"/>
    </row>
    <row r="38" spans="1:20" s="460" customFormat="1" x14ac:dyDescent="0.25">
      <c r="A38" s="449">
        <v>31</v>
      </c>
      <c r="B38" s="453" t="s">
        <v>544</v>
      </c>
      <c r="C38" s="451"/>
      <c r="D38" s="441">
        <v>0</v>
      </c>
      <c r="E38" s="441">
        <v>848.06799999999998</v>
      </c>
      <c r="F38" s="441">
        <v>0</v>
      </c>
      <c r="G38" s="441">
        <v>0</v>
      </c>
      <c r="H38" s="441">
        <v>0</v>
      </c>
      <c r="I38" s="441">
        <v>0</v>
      </c>
      <c r="J38" s="442">
        <v>848.06799999999998</v>
      </c>
      <c r="K38" s="443">
        <v>0</v>
      </c>
      <c r="L38" s="443">
        <v>0</v>
      </c>
      <c r="M38" s="443">
        <v>0</v>
      </c>
      <c r="N38" s="443">
        <v>0</v>
      </c>
      <c r="O38" s="443">
        <v>0</v>
      </c>
      <c r="P38" s="443">
        <v>0</v>
      </c>
      <c r="Q38" s="444">
        <v>0</v>
      </c>
      <c r="S38" s="452"/>
    </row>
    <row r="39" spans="1:20" s="460" customFormat="1" x14ac:dyDescent="0.25">
      <c r="A39" s="449">
        <v>32</v>
      </c>
      <c r="B39" s="453" t="s">
        <v>545</v>
      </c>
      <c r="C39" s="451"/>
      <c r="D39" s="441">
        <v>0</v>
      </c>
      <c r="E39" s="441">
        <v>0</v>
      </c>
      <c r="F39" s="441">
        <v>0</v>
      </c>
      <c r="G39" s="441">
        <v>0</v>
      </c>
      <c r="H39" s="441">
        <v>0</v>
      </c>
      <c r="I39" s="441">
        <v>0</v>
      </c>
      <c r="J39" s="442">
        <v>0</v>
      </c>
      <c r="K39" s="443">
        <v>0</v>
      </c>
      <c r="L39" s="443">
        <v>0</v>
      </c>
      <c r="M39" s="443">
        <v>0</v>
      </c>
      <c r="N39" s="443">
        <v>0</v>
      </c>
      <c r="O39" s="443">
        <v>0</v>
      </c>
      <c r="P39" s="443">
        <v>0</v>
      </c>
      <c r="Q39" s="444">
        <v>0</v>
      </c>
      <c r="S39" s="452"/>
    </row>
    <row r="40" spans="1:20" s="460" customFormat="1" ht="30" x14ac:dyDescent="0.25">
      <c r="A40" s="449">
        <v>33</v>
      </c>
      <c r="B40" s="453" t="s">
        <v>546</v>
      </c>
      <c r="C40" s="451"/>
      <c r="D40" s="441">
        <v>0.46300000000000002</v>
      </c>
      <c r="E40" s="441">
        <v>0</v>
      </c>
      <c r="F40" s="441">
        <v>8.61</v>
      </c>
      <c r="G40" s="441">
        <v>0</v>
      </c>
      <c r="H40" s="441">
        <v>0</v>
      </c>
      <c r="I40" s="441">
        <v>0</v>
      </c>
      <c r="J40" s="442">
        <v>9.0729999999999986</v>
      </c>
      <c r="K40" s="443">
        <v>0</v>
      </c>
      <c r="L40" s="443">
        <v>0</v>
      </c>
      <c r="M40" s="443">
        <v>0</v>
      </c>
      <c r="N40" s="443">
        <v>0</v>
      </c>
      <c r="O40" s="443">
        <v>0</v>
      </c>
      <c r="P40" s="443">
        <v>0</v>
      </c>
      <c r="Q40" s="444">
        <v>0</v>
      </c>
      <c r="S40" s="452"/>
    </row>
    <row r="41" spans="1:20" x14ac:dyDescent="0.25">
      <c r="A41" s="438">
        <v>34</v>
      </c>
      <c r="B41" s="439" t="s">
        <v>547</v>
      </c>
      <c r="C41" s="440"/>
      <c r="D41" s="441">
        <v>0</v>
      </c>
      <c r="E41" s="441">
        <v>512.44100000000003</v>
      </c>
      <c r="F41" s="441">
        <v>7.4980000000000002</v>
      </c>
      <c r="G41" s="441">
        <v>0</v>
      </c>
      <c r="H41" s="441">
        <v>25938.665000000001</v>
      </c>
      <c r="I41" s="441">
        <v>0</v>
      </c>
      <c r="J41" s="442">
        <v>26458.603999999999</v>
      </c>
      <c r="K41" s="443">
        <v>1378.3138200000001</v>
      </c>
      <c r="L41" s="443">
        <v>147.56877000000003</v>
      </c>
      <c r="M41" s="443">
        <v>0</v>
      </c>
      <c r="N41" s="443">
        <v>0</v>
      </c>
      <c r="O41" s="443">
        <v>147.56877000000003</v>
      </c>
      <c r="P41" s="443">
        <v>0</v>
      </c>
      <c r="Q41" s="444">
        <v>1525.8825900000002</v>
      </c>
    </row>
    <row r="42" spans="1:20" x14ac:dyDescent="0.25">
      <c r="A42" s="438">
        <v>35</v>
      </c>
      <c r="B42" s="439" t="s">
        <v>548</v>
      </c>
      <c r="C42" s="440"/>
      <c r="D42" s="441">
        <v>0</v>
      </c>
      <c r="E42" s="441">
        <v>1.218</v>
      </c>
      <c r="F42" s="441">
        <v>8.2000000000000003E-2</v>
      </c>
      <c r="G42" s="441">
        <v>1E-3</v>
      </c>
      <c r="H42" s="441">
        <v>227.964</v>
      </c>
      <c r="I42" s="441">
        <v>1.409</v>
      </c>
      <c r="J42" s="442">
        <v>230.67399999999998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4">
        <v>0</v>
      </c>
    </row>
    <row r="43" spans="1:20" s="468" customFormat="1" ht="30" x14ac:dyDescent="0.25">
      <c r="A43" s="455">
        <v>36</v>
      </c>
      <c r="B43" s="456" t="s">
        <v>549</v>
      </c>
      <c r="C43" s="457">
        <v>0</v>
      </c>
      <c r="D43" s="457">
        <v>4243.21</v>
      </c>
      <c r="E43" s="457">
        <v>2411.578</v>
      </c>
      <c r="F43" s="457">
        <v>104.59699999999999</v>
      </c>
      <c r="G43" s="457">
        <v>68.471000000000004</v>
      </c>
      <c r="H43" s="457">
        <v>36256.249000000003</v>
      </c>
      <c r="I43" s="457">
        <v>1.409</v>
      </c>
      <c r="J43" s="457">
        <v>43085.513999999996</v>
      </c>
      <c r="K43" s="457">
        <v>6483.1798200000003</v>
      </c>
      <c r="L43" s="457">
        <v>694.11977000000002</v>
      </c>
      <c r="M43" s="457">
        <v>250</v>
      </c>
      <c r="N43" s="457">
        <v>6559.9620000000014</v>
      </c>
      <c r="O43" s="457">
        <v>7254.0817700000016</v>
      </c>
      <c r="P43" s="457">
        <v>0</v>
      </c>
      <c r="Q43" s="457">
        <v>13987.261590000002</v>
      </c>
      <c r="R43" s="467"/>
      <c r="S43" s="425"/>
    </row>
    <row r="44" spans="1:20" x14ac:dyDescent="0.25">
      <c r="A44" s="469">
        <v>37</v>
      </c>
      <c r="B44" s="470" t="s">
        <v>550</v>
      </c>
      <c r="C44" s="440"/>
      <c r="D44" s="441">
        <v>0</v>
      </c>
      <c r="E44" s="441">
        <v>0</v>
      </c>
      <c r="F44" s="441">
        <v>0</v>
      </c>
      <c r="G44" s="441">
        <v>0</v>
      </c>
      <c r="H44" s="441">
        <v>0</v>
      </c>
      <c r="I44" s="441">
        <v>0</v>
      </c>
      <c r="J44" s="442">
        <v>0</v>
      </c>
      <c r="K44" s="443">
        <v>0</v>
      </c>
      <c r="L44" s="443">
        <v>0</v>
      </c>
      <c r="M44" s="443">
        <v>0</v>
      </c>
      <c r="N44" s="443">
        <v>0</v>
      </c>
      <c r="O44" s="443">
        <v>0</v>
      </c>
      <c r="P44" s="443">
        <v>0</v>
      </c>
      <c r="Q44" s="444">
        <v>0</v>
      </c>
      <c r="T44"/>
    </row>
    <row r="45" spans="1:20" ht="30" x14ac:dyDescent="0.25">
      <c r="A45" s="438">
        <v>38</v>
      </c>
      <c r="B45" s="439" t="s">
        <v>551</v>
      </c>
      <c r="C45" s="440"/>
      <c r="D45" s="441">
        <v>313</v>
      </c>
      <c r="E45" s="441">
        <v>0</v>
      </c>
      <c r="F45" s="441">
        <v>0</v>
      </c>
      <c r="G45" s="441">
        <v>0</v>
      </c>
      <c r="H45" s="441">
        <v>0</v>
      </c>
      <c r="I45" s="441">
        <v>0</v>
      </c>
      <c r="J45" s="442">
        <v>313</v>
      </c>
      <c r="K45" s="443">
        <v>0</v>
      </c>
      <c r="L45" s="443">
        <v>0</v>
      </c>
      <c r="M45" s="443">
        <v>0</v>
      </c>
      <c r="N45" s="443">
        <v>12500</v>
      </c>
      <c r="O45" s="443">
        <v>12500</v>
      </c>
      <c r="P45" s="443">
        <v>0</v>
      </c>
      <c r="Q45" s="444">
        <v>12500</v>
      </c>
    </row>
    <row r="46" spans="1:20" ht="30" x14ac:dyDescent="0.25">
      <c r="A46" s="438">
        <v>39</v>
      </c>
      <c r="B46" s="439" t="s">
        <v>552</v>
      </c>
      <c r="C46" s="440">
        <v>0</v>
      </c>
      <c r="D46" s="441">
        <v>0</v>
      </c>
      <c r="E46" s="441">
        <v>0</v>
      </c>
      <c r="F46" s="441">
        <v>0</v>
      </c>
      <c r="G46" s="441">
        <v>0</v>
      </c>
      <c r="H46" s="441">
        <v>11442.049000000001</v>
      </c>
      <c r="I46" s="441">
        <v>0</v>
      </c>
      <c r="J46" s="442">
        <v>11442.049000000001</v>
      </c>
      <c r="K46" s="443">
        <v>0</v>
      </c>
      <c r="L46" s="443">
        <v>0</v>
      </c>
      <c r="M46" s="443">
        <v>0</v>
      </c>
      <c r="N46" s="443">
        <v>11561.272000000001</v>
      </c>
      <c r="O46" s="443">
        <v>11561.272000000001</v>
      </c>
      <c r="P46" s="443">
        <v>0</v>
      </c>
      <c r="Q46" s="444">
        <v>11561.272000000001</v>
      </c>
    </row>
    <row r="47" spans="1:20" s="460" customFormat="1" x14ac:dyDescent="0.25">
      <c r="A47" s="449">
        <v>40</v>
      </c>
      <c r="B47" s="453" t="s">
        <v>553</v>
      </c>
      <c r="C47" s="451"/>
      <c r="D47" s="441">
        <v>0</v>
      </c>
      <c r="E47" s="441">
        <v>0</v>
      </c>
      <c r="F47" s="441">
        <v>0</v>
      </c>
      <c r="G47" s="441">
        <v>0</v>
      </c>
      <c r="H47" s="441">
        <v>3645.9</v>
      </c>
      <c r="I47" s="441">
        <v>0</v>
      </c>
      <c r="J47" s="442">
        <v>3645.9</v>
      </c>
      <c r="K47" s="443">
        <v>0</v>
      </c>
      <c r="L47" s="443">
        <v>0</v>
      </c>
      <c r="M47" s="443">
        <v>0</v>
      </c>
      <c r="N47" s="443">
        <v>4018.8</v>
      </c>
      <c r="O47" s="443">
        <v>4018.8</v>
      </c>
      <c r="P47" s="443">
        <v>0</v>
      </c>
      <c r="Q47" s="444">
        <v>4018.8</v>
      </c>
      <c r="S47" s="452"/>
    </row>
    <row r="48" spans="1:20" s="460" customFormat="1" x14ac:dyDescent="0.25">
      <c r="A48" s="449">
        <v>41</v>
      </c>
      <c r="B48" s="471" t="s">
        <v>554</v>
      </c>
      <c r="C48" s="451"/>
      <c r="D48" s="441">
        <v>0</v>
      </c>
      <c r="E48" s="441">
        <v>0</v>
      </c>
      <c r="F48" s="441">
        <v>0</v>
      </c>
      <c r="G48" s="441">
        <v>0</v>
      </c>
      <c r="H48" s="441">
        <v>7796.1490000000003</v>
      </c>
      <c r="I48" s="441">
        <v>0</v>
      </c>
      <c r="J48" s="442">
        <v>7796.1490000000003</v>
      </c>
      <c r="K48" s="443">
        <v>0</v>
      </c>
      <c r="L48" s="443">
        <v>0</v>
      </c>
      <c r="M48" s="443">
        <v>0</v>
      </c>
      <c r="N48" s="443">
        <v>7542.4719999999998</v>
      </c>
      <c r="O48" s="443">
        <f>7542.472-2668</f>
        <v>4874.4719999999998</v>
      </c>
      <c r="P48" s="443">
        <v>0</v>
      </c>
      <c r="Q48" s="444">
        <v>4874</v>
      </c>
      <c r="S48" s="452"/>
    </row>
    <row r="49" spans="1:19" s="460" customFormat="1" x14ac:dyDescent="0.25">
      <c r="A49" s="449">
        <v>42</v>
      </c>
      <c r="B49" s="471" t="s">
        <v>748</v>
      </c>
      <c r="C49" s="451"/>
      <c r="D49" s="441">
        <v>0</v>
      </c>
      <c r="E49" s="441">
        <v>0</v>
      </c>
      <c r="F49" s="441">
        <v>0</v>
      </c>
      <c r="G49" s="441">
        <v>0</v>
      </c>
      <c r="H49" s="441">
        <v>0</v>
      </c>
      <c r="I49" s="441">
        <v>0</v>
      </c>
      <c r="J49" s="442">
        <v>0</v>
      </c>
      <c r="K49" s="443">
        <v>0</v>
      </c>
      <c r="L49" s="443">
        <v>0</v>
      </c>
      <c r="M49" s="443">
        <v>0</v>
      </c>
      <c r="N49" s="443">
        <v>0</v>
      </c>
      <c r="O49" s="443">
        <v>2668</v>
      </c>
      <c r="P49" s="443">
        <v>0</v>
      </c>
      <c r="Q49" s="444">
        <v>2668</v>
      </c>
      <c r="S49" s="452"/>
    </row>
    <row r="50" spans="1:19" x14ac:dyDescent="0.25">
      <c r="A50" s="455">
        <v>43</v>
      </c>
      <c r="B50" s="456" t="s">
        <v>555</v>
      </c>
      <c r="C50" s="457">
        <v>0</v>
      </c>
      <c r="D50" s="457">
        <v>4583.7730000000001</v>
      </c>
      <c r="E50" s="457">
        <v>2411.578</v>
      </c>
      <c r="F50" s="457">
        <v>104.59699999999999</v>
      </c>
      <c r="G50" s="457">
        <v>68.471000000000004</v>
      </c>
      <c r="H50" s="457">
        <v>244828.394</v>
      </c>
      <c r="I50" s="457">
        <v>1.409</v>
      </c>
      <c r="J50" s="457">
        <v>251998.22199999998</v>
      </c>
      <c r="K50" s="457">
        <v>6483.1798200000003</v>
      </c>
      <c r="L50" s="457">
        <v>694.11977000000002</v>
      </c>
      <c r="M50" s="457">
        <v>250</v>
      </c>
      <c r="N50" s="457">
        <v>144964.09900000002</v>
      </c>
      <c r="O50" s="457">
        <v>145658.21877000001</v>
      </c>
      <c r="P50" s="457">
        <v>0</v>
      </c>
      <c r="Q50" s="457">
        <v>152391.39859000003</v>
      </c>
    </row>
    <row r="51" spans="1:19" x14ac:dyDescent="0.25">
      <c r="A51" s="438">
        <v>44</v>
      </c>
      <c r="B51" s="439" t="s">
        <v>556</v>
      </c>
      <c r="C51" s="440"/>
      <c r="D51" s="441">
        <v>0</v>
      </c>
      <c r="E51" s="441">
        <v>0</v>
      </c>
      <c r="F51" s="441">
        <v>0</v>
      </c>
      <c r="G51" s="441">
        <v>0</v>
      </c>
      <c r="H51" s="441">
        <v>0</v>
      </c>
      <c r="I51" s="441">
        <v>0</v>
      </c>
      <c r="J51" s="442">
        <v>0</v>
      </c>
      <c r="K51" s="443">
        <v>0</v>
      </c>
      <c r="L51" s="443">
        <v>0</v>
      </c>
      <c r="M51" s="443">
        <v>0</v>
      </c>
      <c r="N51" s="443">
        <v>0</v>
      </c>
      <c r="O51" s="443">
        <v>0</v>
      </c>
      <c r="P51" s="443">
        <v>0</v>
      </c>
      <c r="Q51" s="444">
        <v>0</v>
      </c>
    </row>
    <row r="52" spans="1:19" x14ac:dyDescent="0.25">
      <c r="A52" s="438">
        <v>45</v>
      </c>
      <c r="B52" s="439" t="s">
        <v>557</v>
      </c>
      <c r="C52" s="440"/>
      <c r="D52" s="441">
        <v>0</v>
      </c>
      <c r="E52" s="441">
        <v>0</v>
      </c>
      <c r="F52" s="441">
        <v>0</v>
      </c>
      <c r="G52" s="441">
        <v>0</v>
      </c>
      <c r="H52" s="441">
        <v>0</v>
      </c>
      <c r="I52" s="441">
        <v>0</v>
      </c>
      <c r="J52" s="442">
        <v>0</v>
      </c>
      <c r="K52" s="443">
        <v>0</v>
      </c>
      <c r="L52" s="443">
        <v>0</v>
      </c>
      <c r="M52" s="443">
        <v>0</v>
      </c>
      <c r="N52" s="443">
        <v>0</v>
      </c>
      <c r="O52" s="443">
        <v>0</v>
      </c>
      <c r="P52" s="443">
        <v>0</v>
      </c>
      <c r="Q52" s="444">
        <v>0</v>
      </c>
    </row>
    <row r="53" spans="1:19" x14ac:dyDescent="0.25">
      <c r="A53" s="438">
        <v>46</v>
      </c>
      <c r="B53" s="439" t="s">
        <v>558</v>
      </c>
      <c r="C53" s="440"/>
      <c r="D53" s="441">
        <v>0</v>
      </c>
      <c r="E53" s="441">
        <v>0</v>
      </c>
      <c r="F53" s="441">
        <v>0</v>
      </c>
      <c r="G53" s="441">
        <v>0</v>
      </c>
      <c r="H53" s="441">
        <v>0</v>
      </c>
      <c r="I53" s="441">
        <v>0</v>
      </c>
      <c r="J53" s="442">
        <v>0</v>
      </c>
      <c r="K53" s="443">
        <v>0</v>
      </c>
      <c r="L53" s="443">
        <v>0</v>
      </c>
      <c r="M53" s="443">
        <v>0</v>
      </c>
      <c r="N53" s="443">
        <v>0</v>
      </c>
      <c r="O53" s="443">
        <v>0</v>
      </c>
      <c r="P53" s="443">
        <v>0</v>
      </c>
      <c r="Q53" s="444">
        <v>0</v>
      </c>
    </row>
    <row r="54" spans="1:19" x14ac:dyDescent="0.25">
      <c r="A54" s="438">
        <v>47</v>
      </c>
      <c r="B54" s="439" t="s">
        <v>559</v>
      </c>
      <c r="C54" s="440"/>
      <c r="D54" s="441">
        <v>0</v>
      </c>
      <c r="E54" s="441">
        <v>0</v>
      </c>
      <c r="F54" s="441">
        <v>0</v>
      </c>
      <c r="G54" s="441">
        <v>0</v>
      </c>
      <c r="H54" s="441">
        <v>0</v>
      </c>
      <c r="I54" s="441">
        <v>0</v>
      </c>
      <c r="J54" s="442">
        <v>0</v>
      </c>
      <c r="K54" s="443">
        <v>0</v>
      </c>
      <c r="L54" s="443">
        <v>0</v>
      </c>
      <c r="M54" s="443">
        <v>0</v>
      </c>
      <c r="N54" s="443">
        <v>0</v>
      </c>
      <c r="O54" s="443">
        <v>0</v>
      </c>
      <c r="P54" s="443">
        <v>0</v>
      </c>
      <c r="Q54" s="444">
        <v>0</v>
      </c>
    </row>
    <row r="55" spans="1:19" x14ac:dyDescent="0.25">
      <c r="A55" s="438">
        <v>48</v>
      </c>
      <c r="B55" s="439" t="s">
        <v>560</v>
      </c>
      <c r="C55" s="440">
        <v>0</v>
      </c>
      <c r="D55" s="441">
        <v>0</v>
      </c>
      <c r="E55" s="441">
        <v>0</v>
      </c>
      <c r="F55" s="441">
        <v>0</v>
      </c>
      <c r="G55" s="441">
        <v>0</v>
      </c>
      <c r="H55" s="441">
        <v>332.12199999999996</v>
      </c>
      <c r="I55" s="441">
        <v>0</v>
      </c>
      <c r="J55" s="442">
        <v>332.12199999999996</v>
      </c>
      <c r="K55" s="443">
        <v>0</v>
      </c>
      <c r="L55" s="443">
        <v>0</v>
      </c>
      <c r="M55" s="443">
        <v>0</v>
      </c>
      <c r="N55" s="443">
        <v>400</v>
      </c>
      <c r="O55" s="443">
        <v>400</v>
      </c>
      <c r="P55" s="443">
        <v>0</v>
      </c>
      <c r="Q55" s="444">
        <v>400</v>
      </c>
    </row>
    <row r="56" spans="1:19" s="460" customFormat="1" x14ac:dyDescent="0.25">
      <c r="A56" s="449">
        <v>49</v>
      </c>
      <c r="B56" s="453" t="s">
        <v>561</v>
      </c>
      <c r="C56" s="451"/>
      <c r="D56" s="441">
        <v>0</v>
      </c>
      <c r="E56" s="441">
        <v>0</v>
      </c>
      <c r="F56" s="441">
        <v>0</v>
      </c>
      <c r="G56" s="441">
        <v>0</v>
      </c>
      <c r="H56" s="441">
        <v>128.249</v>
      </c>
      <c r="I56" s="441">
        <v>0</v>
      </c>
      <c r="J56" s="442">
        <v>128.249</v>
      </c>
      <c r="K56" s="443">
        <v>0</v>
      </c>
      <c r="L56" s="443">
        <v>0</v>
      </c>
      <c r="M56" s="443">
        <v>0</v>
      </c>
      <c r="N56" s="443">
        <v>150</v>
      </c>
      <c r="O56" s="443">
        <v>150</v>
      </c>
      <c r="P56" s="443">
        <v>0</v>
      </c>
      <c r="Q56" s="444">
        <v>150</v>
      </c>
      <c r="S56" s="452"/>
    </row>
    <row r="57" spans="1:19" s="460" customFormat="1" x14ac:dyDescent="0.25">
      <c r="A57" s="449">
        <v>50</v>
      </c>
      <c r="B57" s="453" t="s">
        <v>562</v>
      </c>
      <c r="C57" s="451"/>
      <c r="D57" s="441">
        <v>0</v>
      </c>
      <c r="E57" s="441">
        <v>0</v>
      </c>
      <c r="F57" s="441">
        <v>0</v>
      </c>
      <c r="G57" s="441">
        <v>0</v>
      </c>
      <c r="H57" s="441">
        <v>203.87299999999999</v>
      </c>
      <c r="I57" s="441">
        <v>0</v>
      </c>
      <c r="J57" s="442">
        <v>203.87299999999999</v>
      </c>
      <c r="K57" s="443">
        <v>0</v>
      </c>
      <c r="L57" s="443">
        <v>0</v>
      </c>
      <c r="M57" s="443">
        <v>0</v>
      </c>
      <c r="N57" s="443">
        <v>250</v>
      </c>
      <c r="O57" s="443">
        <v>250</v>
      </c>
      <c r="P57" s="443">
        <v>0</v>
      </c>
      <c r="Q57" s="444">
        <v>250</v>
      </c>
      <c r="S57" s="452"/>
    </row>
    <row r="58" spans="1:19" s="460" customFormat="1" x14ac:dyDescent="0.25">
      <c r="A58" s="449">
        <v>51</v>
      </c>
      <c r="B58" s="453" t="s">
        <v>563</v>
      </c>
      <c r="C58" s="472"/>
      <c r="D58" s="441">
        <v>0</v>
      </c>
      <c r="E58" s="441">
        <v>0</v>
      </c>
      <c r="F58" s="441">
        <v>0</v>
      </c>
      <c r="G58" s="441">
        <v>0</v>
      </c>
      <c r="H58" s="441">
        <v>0</v>
      </c>
      <c r="I58" s="441">
        <v>0</v>
      </c>
      <c r="J58" s="442">
        <v>0</v>
      </c>
      <c r="K58" s="443">
        <v>0</v>
      </c>
      <c r="L58" s="443">
        <v>0</v>
      </c>
      <c r="M58" s="443">
        <v>0</v>
      </c>
      <c r="N58" s="443">
        <v>0</v>
      </c>
      <c r="O58" s="443">
        <v>0</v>
      </c>
      <c r="P58" s="443">
        <v>0</v>
      </c>
      <c r="Q58" s="444">
        <v>0</v>
      </c>
      <c r="S58" s="452"/>
    </row>
    <row r="59" spans="1:19" ht="30" x14ac:dyDescent="0.25">
      <c r="A59" s="438">
        <v>52</v>
      </c>
      <c r="B59" s="439" t="s">
        <v>564</v>
      </c>
      <c r="C59" s="440"/>
      <c r="D59" s="441">
        <v>0</v>
      </c>
      <c r="E59" s="441">
        <v>0</v>
      </c>
      <c r="F59" s="441">
        <v>0</v>
      </c>
      <c r="G59" s="441">
        <v>0</v>
      </c>
      <c r="H59" s="441">
        <v>0</v>
      </c>
      <c r="I59" s="441">
        <v>0</v>
      </c>
      <c r="J59" s="442">
        <v>0</v>
      </c>
      <c r="K59" s="443">
        <v>0</v>
      </c>
      <c r="L59" s="443">
        <v>0</v>
      </c>
      <c r="M59" s="443">
        <v>0</v>
      </c>
      <c r="N59" s="443">
        <v>0</v>
      </c>
      <c r="O59" s="443">
        <v>0</v>
      </c>
      <c r="P59" s="443">
        <v>0</v>
      </c>
      <c r="Q59" s="444">
        <v>0</v>
      </c>
    </row>
    <row r="60" spans="1:19" s="468" customFormat="1" ht="30" x14ac:dyDescent="0.25">
      <c r="A60" s="455">
        <v>53</v>
      </c>
      <c r="B60" s="456" t="s">
        <v>565</v>
      </c>
      <c r="C60" s="457">
        <v>0</v>
      </c>
      <c r="D60" s="457">
        <v>0</v>
      </c>
      <c r="E60" s="457">
        <v>0</v>
      </c>
      <c r="F60" s="457">
        <v>0</v>
      </c>
      <c r="G60" s="457">
        <v>0</v>
      </c>
      <c r="H60" s="457">
        <v>332.12199999999996</v>
      </c>
      <c r="I60" s="457">
        <v>0</v>
      </c>
      <c r="J60" s="457">
        <v>332.12199999999996</v>
      </c>
      <c r="K60" s="457">
        <v>0</v>
      </c>
      <c r="L60" s="457">
        <v>0</v>
      </c>
      <c r="M60" s="457">
        <v>0</v>
      </c>
      <c r="N60" s="457">
        <v>400</v>
      </c>
      <c r="O60" s="457">
        <v>400</v>
      </c>
      <c r="P60" s="457">
        <v>0</v>
      </c>
      <c r="Q60" s="457">
        <v>400</v>
      </c>
      <c r="S60" s="425"/>
    </row>
    <row r="61" spans="1:19" s="468" customFormat="1" x14ac:dyDescent="0.25">
      <c r="A61" s="469">
        <v>54</v>
      </c>
      <c r="B61" s="470" t="s">
        <v>566</v>
      </c>
      <c r="C61" s="473"/>
      <c r="D61" s="441">
        <v>0</v>
      </c>
      <c r="E61" s="441">
        <v>0</v>
      </c>
      <c r="F61" s="441">
        <v>0</v>
      </c>
      <c r="G61" s="441">
        <v>0</v>
      </c>
      <c r="H61" s="441">
        <v>0</v>
      </c>
      <c r="I61" s="441">
        <v>0</v>
      </c>
      <c r="J61" s="442">
        <v>0</v>
      </c>
      <c r="K61" s="443">
        <v>0</v>
      </c>
      <c r="L61" s="443">
        <v>0</v>
      </c>
      <c r="M61" s="443">
        <v>0</v>
      </c>
      <c r="N61" s="443">
        <v>0</v>
      </c>
      <c r="O61" s="443">
        <v>0</v>
      </c>
      <c r="P61" s="443">
        <v>0</v>
      </c>
      <c r="Q61" s="444">
        <v>0</v>
      </c>
      <c r="S61" s="425"/>
    </row>
    <row r="62" spans="1:19" ht="30" x14ac:dyDescent="0.25">
      <c r="A62" s="438">
        <v>55</v>
      </c>
      <c r="B62" s="439" t="s">
        <v>567</v>
      </c>
      <c r="C62" s="440"/>
      <c r="D62" s="441">
        <v>280.10700000000003</v>
      </c>
      <c r="E62" s="441">
        <v>0</v>
      </c>
      <c r="F62" s="441">
        <v>0</v>
      </c>
      <c r="G62" s="441">
        <v>0</v>
      </c>
      <c r="H62" s="441">
        <v>2407.5880000000002</v>
      </c>
      <c r="I62" s="441">
        <v>0</v>
      </c>
      <c r="J62" s="442">
        <v>2687.6950000000002</v>
      </c>
      <c r="K62" s="443">
        <v>0</v>
      </c>
      <c r="L62" s="443">
        <v>0</v>
      </c>
      <c r="M62" s="443">
        <v>0</v>
      </c>
      <c r="N62" s="443">
        <v>0</v>
      </c>
      <c r="O62" s="443">
        <v>0</v>
      </c>
      <c r="P62" s="443">
        <v>0</v>
      </c>
      <c r="Q62" s="444">
        <v>0</v>
      </c>
    </row>
    <row r="63" spans="1:19" ht="30" x14ac:dyDescent="0.25">
      <c r="A63" s="438">
        <v>56</v>
      </c>
      <c r="B63" s="439" t="s">
        <v>568</v>
      </c>
      <c r="C63" s="440">
        <v>0</v>
      </c>
      <c r="D63" s="441">
        <v>0</v>
      </c>
      <c r="E63" s="441">
        <v>0</v>
      </c>
      <c r="F63" s="441">
        <v>0</v>
      </c>
      <c r="G63" s="441">
        <v>0</v>
      </c>
      <c r="H63" s="441">
        <v>185517.524</v>
      </c>
      <c r="I63" s="441">
        <v>0</v>
      </c>
      <c r="J63" s="442">
        <v>185517.524</v>
      </c>
      <c r="K63" s="443">
        <v>0</v>
      </c>
      <c r="L63" s="443">
        <v>0</v>
      </c>
      <c r="M63" s="443">
        <v>0</v>
      </c>
      <c r="N63" s="443">
        <v>1453.2360000000001</v>
      </c>
      <c r="O63" s="443">
        <v>1453.2360000000001</v>
      </c>
      <c r="P63" s="443">
        <v>0</v>
      </c>
      <c r="Q63" s="444">
        <v>1453.2360000000001</v>
      </c>
    </row>
    <row r="64" spans="1:19" s="460" customFormat="1" ht="30" x14ac:dyDescent="0.25">
      <c r="A64" s="449">
        <v>57</v>
      </c>
      <c r="B64" s="453" t="s">
        <v>569</v>
      </c>
      <c r="C64" s="451"/>
      <c r="D64" s="441">
        <v>0</v>
      </c>
      <c r="E64" s="441">
        <v>0</v>
      </c>
      <c r="F64" s="441">
        <v>0</v>
      </c>
      <c r="G64" s="441">
        <v>0</v>
      </c>
      <c r="H64" s="441">
        <v>8801.6620000000003</v>
      </c>
      <c r="I64" s="441">
        <v>0</v>
      </c>
      <c r="J64" s="442">
        <v>8801.6620000000003</v>
      </c>
      <c r="K64" s="443">
        <v>0</v>
      </c>
      <c r="L64" s="443">
        <v>0</v>
      </c>
      <c r="M64" s="443">
        <v>0</v>
      </c>
      <c r="N64" s="443">
        <v>0</v>
      </c>
      <c r="O64" s="443">
        <v>0</v>
      </c>
      <c r="P64" s="443">
        <v>0</v>
      </c>
      <c r="Q64" s="444">
        <v>0</v>
      </c>
      <c r="S64" s="452"/>
    </row>
    <row r="65" spans="1:19" s="458" customFormat="1" ht="30" x14ac:dyDescent="0.25">
      <c r="A65" s="464">
        <v>58</v>
      </c>
      <c r="B65" s="474" t="s">
        <v>570</v>
      </c>
      <c r="C65" s="465"/>
      <c r="D65" s="441">
        <v>0</v>
      </c>
      <c r="E65" s="441">
        <v>0</v>
      </c>
      <c r="F65" s="441">
        <v>0</v>
      </c>
      <c r="G65" s="441">
        <v>0</v>
      </c>
      <c r="H65" s="441">
        <v>176715.86199999999</v>
      </c>
      <c r="I65" s="441">
        <v>0</v>
      </c>
      <c r="J65" s="442">
        <v>176715.86199999999</v>
      </c>
      <c r="K65" s="443">
        <v>0</v>
      </c>
      <c r="L65" s="443">
        <v>0</v>
      </c>
      <c r="M65" s="443">
        <v>0</v>
      </c>
      <c r="N65" s="443">
        <v>1453.2360000000001</v>
      </c>
      <c r="O65" s="443">
        <v>1453.2360000000001</v>
      </c>
      <c r="P65" s="443">
        <v>0</v>
      </c>
      <c r="Q65" s="444">
        <v>1453.2360000000001</v>
      </c>
      <c r="S65" s="466"/>
    </row>
    <row r="66" spans="1:19" x14ac:dyDescent="0.25">
      <c r="A66" s="455">
        <v>59</v>
      </c>
      <c r="B66" s="475" t="s">
        <v>571</v>
      </c>
      <c r="C66" s="476">
        <v>0</v>
      </c>
      <c r="D66" s="476">
        <v>280.10700000000003</v>
      </c>
      <c r="E66" s="476">
        <v>0</v>
      </c>
      <c r="F66" s="476">
        <v>0</v>
      </c>
      <c r="G66" s="476">
        <v>0</v>
      </c>
      <c r="H66" s="476">
        <v>188257.234</v>
      </c>
      <c r="I66" s="476">
        <v>0</v>
      </c>
      <c r="J66" s="476">
        <v>188537.34100000001</v>
      </c>
      <c r="K66" s="476">
        <v>0</v>
      </c>
      <c r="L66" s="476">
        <v>0</v>
      </c>
      <c r="M66" s="476">
        <v>0</v>
      </c>
      <c r="N66" s="476">
        <v>1853.2360000000001</v>
      </c>
      <c r="O66" s="476">
        <v>1853.2360000000001</v>
      </c>
      <c r="P66" s="476">
        <v>0</v>
      </c>
      <c r="Q66" s="476">
        <v>1853.2360000000001</v>
      </c>
    </row>
    <row r="67" spans="1:19" s="468" customFormat="1" ht="30" x14ac:dyDescent="0.25">
      <c r="A67" s="455">
        <v>60</v>
      </c>
      <c r="B67" s="456" t="s">
        <v>572</v>
      </c>
      <c r="C67" s="476"/>
      <c r="D67" s="476">
        <v>0</v>
      </c>
      <c r="E67" s="476">
        <v>0</v>
      </c>
      <c r="F67" s="476">
        <v>0</v>
      </c>
      <c r="G67" s="476">
        <v>0</v>
      </c>
      <c r="H67" s="476">
        <v>0</v>
      </c>
      <c r="I67" s="476">
        <v>0</v>
      </c>
      <c r="J67" s="476"/>
      <c r="K67" s="476">
        <v>0</v>
      </c>
      <c r="L67" s="476">
        <v>0</v>
      </c>
      <c r="M67" s="476">
        <v>0</v>
      </c>
      <c r="N67" s="476">
        <v>0</v>
      </c>
      <c r="O67" s="476">
        <v>0</v>
      </c>
      <c r="P67" s="476">
        <v>0</v>
      </c>
      <c r="Q67" s="476">
        <v>0</v>
      </c>
      <c r="S67" s="425"/>
    </row>
    <row r="68" spans="1:19" x14ac:dyDescent="0.25">
      <c r="A68" s="455">
        <v>61</v>
      </c>
      <c r="B68" s="456" t="s">
        <v>573</v>
      </c>
      <c r="C68" s="476">
        <v>0</v>
      </c>
      <c r="D68" s="476">
        <v>4863.88</v>
      </c>
      <c r="E68" s="476">
        <v>2411.578</v>
      </c>
      <c r="F68" s="476">
        <v>104.59699999999999</v>
      </c>
      <c r="G68" s="476">
        <v>68.471000000000004</v>
      </c>
      <c r="H68" s="476">
        <v>433085.62800000003</v>
      </c>
      <c r="I68" s="476">
        <v>1.409</v>
      </c>
      <c r="J68" s="476">
        <v>440535.56299999997</v>
      </c>
      <c r="K68" s="476">
        <v>6483.1798200000003</v>
      </c>
      <c r="L68" s="476">
        <v>694.11977000000002</v>
      </c>
      <c r="M68" s="476">
        <v>250</v>
      </c>
      <c r="N68" s="476">
        <v>146817.33500000002</v>
      </c>
      <c r="O68" s="476">
        <v>147511.45477000001</v>
      </c>
      <c r="P68" s="476">
        <v>0</v>
      </c>
      <c r="Q68" s="476">
        <v>154244.63459000003</v>
      </c>
    </row>
    <row r="69" spans="1:19" x14ac:dyDescent="0.25">
      <c r="A69" s="438">
        <v>62</v>
      </c>
      <c r="B69" s="439" t="s">
        <v>574</v>
      </c>
      <c r="C69" s="440">
        <v>0</v>
      </c>
      <c r="D69" s="441">
        <v>0</v>
      </c>
      <c r="E69" s="441">
        <v>0</v>
      </c>
      <c r="F69" s="441">
        <v>0</v>
      </c>
      <c r="G69" s="441">
        <v>0</v>
      </c>
      <c r="H69" s="441">
        <v>251305.24900000001</v>
      </c>
      <c r="I69" s="441">
        <v>0</v>
      </c>
      <c r="J69" s="442">
        <v>251305.24900000001</v>
      </c>
      <c r="K69" s="443">
        <v>0</v>
      </c>
      <c r="L69" s="443">
        <v>0</v>
      </c>
      <c r="M69" s="443">
        <v>0</v>
      </c>
      <c r="N69" s="443">
        <v>118553.02799999999</v>
      </c>
      <c r="O69" s="443">
        <v>118553.02799999999</v>
      </c>
      <c r="P69" s="443">
        <v>0</v>
      </c>
      <c r="Q69" s="444">
        <v>118553.02799999999</v>
      </c>
    </row>
    <row r="70" spans="1:19" s="460" customFormat="1" x14ac:dyDescent="0.25">
      <c r="A70" s="449">
        <v>63</v>
      </c>
      <c r="B70" s="453" t="s">
        <v>575</v>
      </c>
      <c r="C70" s="451"/>
      <c r="D70" s="441">
        <v>0</v>
      </c>
      <c r="E70" s="441">
        <v>0</v>
      </c>
      <c r="F70" s="441">
        <v>0</v>
      </c>
      <c r="G70" s="441">
        <v>0</v>
      </c>
      <c r="H70" s="441">
        <v>0</v>
      </c>
      <c r="I70" s="441">
        <v>0</v>
      </c>
      <c r="J70" s="442">
        <v>0</v>
      </c>
      <c r="K70" s="443">
        <v>0</v>
      </c>
      <c r="L70" s="443">
        <v>0</v>
      </c>
      <c r="M70" s="443">
        <v>0</v>
      </c>
      <c r="N70" s="443">
        <v>0</v>
      </c>
      <c r="O70" s="443">
        <v>0</v>
      </c>
      <c r="P70" s="443">
        <v>0</v>
      </c>
      <c r="Q70" s="444">
        <v>0</v>
      </c>
      <c r="S70" s="452"/>
    </row>
    <row r="71" spans="1:19" s="460" customFormat="1" x14ac:dyDescent="0.25">
      <c r="A71" s="449">
        <v>64</v>
      </c>
      <c r="B71" s="477" t="s">
        <v>576</v>
      </c>
      <c r="C71" s="451"/>
      <c r="D71" s="441">
        <v>0</v>
      </c>
      <c r="E71" s="441">
        <v>0</v>
      </c>
      <c r="F71" s="441">
        <v>0</v>
      </c>
      <c r="G71" s="441">
        <v>0</v>
      </c>
      <c r="H71" s="441">
        <v>13012.044</v>
      </c>
      <c r="I71" s="441">
        <v>0</v>
      </c>
      <c r="J71" s="442">
        <v>13012.044</v>
      </c>
      <c r="K71" s="443">
        <v>0</v>
      </c>
      <c r="L71" s="443">
        <v>0</v>
      </c>
      <c r="M71" s="443">
        <v>0</v>
      </c>
      <c r="N71" s="443">
        <v>0</v>
      </c>
      <c r="O71" s="443">
        <v>0</v>
      </c>
      <c r="P71" s="443">
        <v>0</v>
      </c>
      <c r="Q71" s="444">
        <v>0</v>
      </c>
      <c r="S71" s="452"/>
    </row>
    <row r="72" spans="1:19" s="460" customFormat="1" x14ac:dyDescent="0.25">
      <c r="A72" s="449">
        <v>65</v>
      </c>
      <c r="B72" s="478" t="s">
        <v>577</v>
      </c>
      <c r="C72" s="451"/>
      <c r="D72" s="441">
        <v>0</v>
      </c>
      <c r="E72" s="441">
        <v>0</v>
      </c>
      <c r="F72" s="441">
        <v>0</v>
      </c>
      <c r="G72" s="441">
        <v>0</v>
      </c>
      <c r="H72" s="441">
        <v>41621.620999999999</v>
      </c>
      <c r="I72" s="441">
        <v>0</v>
      </c>
      <c r="J72" s="442">
        <v>41621.620999999999</v>
      </c>
      <c r="K72" s="443">
        <v>0</v>
      </c>
      <c r="L72" s="443">
        <v>0</v>
      </c>
      <c r="M72" s="443">
        <v>0</v>
      </c>
      <c r="N72" s="443">
        <v>0</v>
      </c>
      <c r="O72" s="443">
        <v>0</v>
      </c>
      <c r="P72" s="443">
        <v>0</v>
      </c>
      <c r="Q72" s="444">
        <v>0</v>
      </c>
      <c r="S72" s="452"/>
    </row>
    <row r="73" spans="1:19" s="460" customFormat="1" x14ac:dyDescent="0.25">
      <c r="A73" s="449">
        <v>66</v>
      </c>
      <c r="B73" s="453" t="s">
        <v>152</v>
      </c>
      <c r="C73" s="451"/>
      <c r="D73" s="441">
        <v>0</v>
      </c>
      <c r="E73" s="441">
        <v>0</v>
      </c>
      <c r="F73" s="441">
        <v>0</v>
      </c>
      <c r="G73" s="441">
        <v>0</v>
      </c>
      <c r="H73" s="441">
        <v>0</v>
      </c>
      <c r="I73" s="441">
        <v>0</v>
      </c>
      <c r="J73" s="442">
        <v>0</v>
      </c>
      <c r="K73" s="443">
        <v>0</v>
      </c>
      <c r="L73" s="443">
        <v>0</v>
      </c>
      <c r="M73" s="443">
        <v>0</v>
      </c>
      <c r="N73" s="443">
        <v>0</v>
      </c>
      <c r="O73" s="443">
        <v>0</v>
      </c>
      <c r="P73" s="443">
        <v>0</v>
      </c>
      <c r="Q73" s="444">
        <v>0</v>
      </c>
      <c r="S73" s="452"/>
    </row>
    <row r="74" spans="1:19" s="460" customFormat="1" x14ac:dyDescent="0.25">
      <c r="A74" s="449">
        <v>67</v>
      </c>
      <c r="B74" s="463" t="s">
        <v>578</v>
      </c>
      <c r="C74" s="451"/>
      <c r="D74" s="441">
        <v>0</v>
      </c>
      <c r="E74" s="441">
        <v>0</v>
      </c>
      <c r="F74" s="441">
        <v>0</v>
      </c>
      <c r="G74" s="441">
        <v>0</v>
      </c>
      <c r="H74" s="441">
        <v>0</v>
      </c>
      <c r="I74" s="441">
        <v>0</v>
      </c>
      <c r="J74" s="442">
        <v>0</v>
      </c>
      <c r="K74" s="443">
        <v>0</v>
      </c>
      <c r="L74" s="443">
        <v>0</v>
      </c>
      <c r="M74" s="443">
        <v>0</v>
      </c>
      <c r="N74" s="443">
        <v>0</v>
      </c>
      <c r="O74" s="443">
        <v>0</v>
      </c>
      <c r="P74" s="443">
        <v>0</v>
      </c>
      <c r="Q74" s="444">
        <v>0</v>
      </c>
      <c r="S74" s="452"/>
    </row>
    <row r="75" spans="1:19" s="460" customFormat="1" x14ac:dyDescent="0.25">
      <c r="A75" s="449">
        <v>68</v>
      </c>
      <c r="B75" s="463" t="s">
        <v>579</v>
      </c>
      <c r="C75" s="451"/>
      <c r="D75" s="441">
        <v>0</v>
      </c>
      <c r="E75" s="441">
        <v>0</v>
      </c>
      <c r="F75" s="441">
        <v>0</v>
      </c>
      <c r="G75" s="441">
        <v>0</v>
      </c>
      <c r="H75" s="441">
        <v>0</v>
      </c>
      <c r="I75" s="441">
        <v>0</v>
      </c>
      <c r="J75" s="442">
        <v>0</v>
      </c>
      <c r="K75" s="443">
        <v>0</v>
      </c>
      <c r="L75" s="443">
        <v>0</v>
      </c>
      <c r="M75" s="443">
        <v>0</v>
      </c>
      <c r="N75" s="443">
        <v>0</v>
      </c>
      <c r="O75" s="443">
        <v>0</v>
      </c>
      <c r="P75" s="443">
        <v>0</v>
      </c>
      <c r="Q75" s="444">
        <v>0</v>
      </c>
      <c r="S75" s="452"/>
    </row>
    <row r="76" spans="1:19" s="460" customFormat="1" ht="30" x14ac:dyDescent="0.25">
      <c r="A76" s="449">
        <v>69</v>
      </c>
      <c r="B76" s="453" t="s">
        <v>580</v>
      </c>
      <c r="C76" s="451"/>
      <c r="D76" s="441">
        <v>0</v>
      </c>
      <c r="E76" s="441">
        <v>0</v>
      </c>
      <c r="F76" s="441">
        <v>0</v>
      </c>
      <c r="G76" s="441">
        <v>0</v>
      </c>
      <c r="H76" s="441">
        <v>0</v>
      </c>
      <c r="I76" s="441">
        <v>0</v>
      </c>
      <c r="J76" s="442">
        <v>0</v>
      </c>
      <c r="K76" s="443">
        <v>0</v>
      </c>
      <c r="L76" s="443">
        <v>0</v>
      </c>
      <c r="M76" s="443">
        <v>0</v>
      </c>
      <c r="N76" s="443">
        <v>0</v>
      </c>
      <c r="O76" s="443">
        <v>0</v>
      </c>
      <c r="P76" s="443">
        <v>0</v>
      </c>
      <c r="Q76" s="444">
        <v>0</v>
      </c>
      <c r="S76" s="452"/>
    </row>
    <row r="77" spans="1:19" s="460" customFormat="1" ht="60" x14ac:dyDescent="0.25">
      <c r="A77" s="449">
        <v>70</v>
      </c>
      <c r="B77" s="453" t="s">
        <v>581</v>
      </c>
      <c r="C77" s="451"/>
      <c r="D77" s="441">
        <v>0</v>
      </c>
      <c r="E77" s="441">
        <v>0</v>
      </c>
      <c r="F77" s="441">
        <v>0</v>
      </c>
      <c r="G77" s="441">
        <v>0</v>
      </c>
      <c r="H77" s="441">
        <v>0</v>
      </c>
      <c r="I77" s="441">
        <v>0</v>
      </c>
      <c r="J77" s="442">
        <v>0</v>
      </c>
      <c r="K77" s="443">
        <v>0</v>
      </c>
      <c r="L77" s="443">
        <v>0</v>
      </c>
      <c r="M77" s="443">
        <v>0</v>
      </c>
      <c r="N77" s="443">
        <v>0</v>
      </c>
      <c r="O77" s="443">
        <v>0</v>
      </c>
      <c r="P77" s="443">
        <v>0</v>
      </c>
      <c r="Q77" s="444">
        <v>0</v>
      </c>
      <c r="S77" s="452"/>
    </row>
    <row r="78" spans="1:19" s="460" customFormat="1" ht="30" x14ac:dyDescent="0.25">
      <c r="A78" s="449">
        <v>71</v>
      </c>
      <c r="B78" s="453" t="s">
        <v>582</v>
      </c>
      <c r="C78" s="451"/>
      <c r="D78" s="441">
        <v>0</v>
      </c>
      <c r="E78" s="441">
        <v>0</v>
      </c>
      <c r="F78" s="441">
        <v>0</v>
      </c>
      <c r="G78" s="441">
        <v>0</v>
      </c>
      <c r="H78" s="441">
        <v>0</v>
      </c>
      <c r="I78" s="441">
        <v>0</v>
      </c>
      <c r="J78" s="442">
        <v>0</v>
      </c>
      <c r="K78" s="443">
        <v>0</v>
      </c>
      <c r="L78" s="443">
        <v>0</v>
      </c>
      <c r="M78" s="443">
        <v>0</v>
      </c>
      <c r="N78" s="443">
        <v>0</v>
      </c>
      <c r="O78" s="443">
        <v>0</v>
      </c>
      <c r="P78" s="443">
        <v>0</v>
      </c>
      <c r="Q78" s="444">
        <v>0</v>
      </c>
      <c r="S78" s="452"/>
    </row>
    <row r="79" spans="1:19" s="460" customFormat="1" x14ac:dyDescent="0.25">
      <c r="A79" s="449">
        <v>72</v>
      </c>
      <c r="B79" s="479" t="s">
        <v>583</v>
      </c>
      <c r="C79" s="451"/>
      <c r="D79" s="441">
        <v>0</v>
      </c>
      <c r="E79" s="441">
        <v>0</v>
      </c>
      <c r="F79" s="441">
        <v>0</v>
      </c>
      <c r="G79" s="441">
        <v>0</v>
      </c>
      <c r="H79" s="441">
        <v>14095.507</v>
      </c>
      <c r="I79" s="441">
        <v>0</v>
      </c>
      <c r="J79" s="442">
        <v>14095.507</v>
      </c>
      <c r="K79" s="443">
        <v>0</v>
      </c>
      <c r="L79" s="443">
        <v>0</v>
      </c>
      <c r="M79" s="443">
        <v>0</v>
      </c>
      <c r="N79" s="443">
        <v>16651.099000000002</v>
      </c>
      <c r="O79" s="443">
        <v>16651.099000000002</v>
      </c>
      <c r="P79" s="443">
        <v>0</v>
      </c>
      <c r="Q79" s="444">
        <v>16651.099000000002</v>
      </c>
      <c r="S79" s="452"/>
    </row>
    <row r="80" spans="1:19" s="460" customFormat="1" x14ac:dyDescent="0.25">
      <c r="A80" s="449">
        <v>73</v>
      </c>
      <c r="B80" s="453" t="s">
        <v>584</v>
      </c>
      <c r="C80" s="451"/>
      <c r="D80" s="441">
        <v>0</v>
      </c>
      <c r="E80" s="441">
        <v>0</v>
      </c>
      <c r="F80" s="441">
        <v>0</v>
      </c>
      <c r="G80" s="441">
        <v>0</v>
      </c>
      <c r="H80" s="441">
        <v>0</v>
      </c>
      <c r="I80" s="441">
        <v>0</v>
      </c>
      <c r="J80" s="442">
        <v>0</v>
      </c>
      <c r="K80" s="443">
        <v>0</v>
      </c>
      <c r="L80" s="443">
        <v>0</v>
      </c>
      <c r="M80" s="443">
        <v>0</v>
      </c>
      <c r="N80" s="443">
        <v>0</v>
      </c>
      <c r="O80" s="443">
        <v>0</v>
      </c>
      <c r="P80" s="443">
        <v>0</v>
      </c>
      <c r="Q80" s="444">
        <v>0</v>
      </c>
      <c r="S80" s="452"/>
    </row>
    <row r="81" spans="1:19" s="460" customFormat="1" x14ac:dyDescent="0.25">
      <c r="A81" s="449">
        <v>74</v>
      </c>
      <c r="B81" s="453" t="s">
        <v>585</v>
      </c>
      <c r="C81" s="451"/>
      <c r="D81" s="441">
        <v>0</v>
      </c>
      <c r="E81" s="441">
        <v>0</v>
      </c>
      <c r="F81" s="441">
        <v>0</v>
      </c>
      <c r="G81" s="441">
        <v>0</v>
      </c>
      <c r="H81" s="441">
        <v>0</v>
      </c>
      <c r="I81" s="441">
        <v>0</v>
      </c>
      <c r="J81" s="442">
        <v>0</v>
      </c>
      <c r="K81" s="443">
        <v>0</v>
      </c>
      <c r="L81" s="443">
        <v>0</v>
      </c>
      <c r="M81" s="443">
        <v>0</v>
      </c>
      <c r="N81" s="443">
        <v>0</v>
      </c>
      <c r="O81" s="443">
        <v>0</v>
      </c>
      <c r="P81" s="443">
        <v>0</v>
      </c>
      <c r="Q81" s="444">
        <v>0</v>
      </c>
      <c r="S81" s="452"/>
    </row>
    <row r="82" spans="1:19" s="460" customFormat="1" x14ac:dyDescent="0.25">
      <c r="A82" s="449">
        <v>75</v>
      </c>
      <c r="B82" s="453" t="s">
        <v>245</v>
      </c>
      <c r="C82" s="451"/>
      <c r="D82" s="441">
        <v>0</v>
      </c>
      <c r="E82" s="441">
        <v>0</v>
      </c>
      <c r="F82" s="441">
        <v>0</v>
      </c>
      <c r="G82" s="441">
        <v>0</v>
      </c>
      <c r="H82" s="441">
        <v>0</v>
      </c>
      <c r="I82" s="441">
        <v>0</v>
      </c>
      <c r="J82" s="442">
        <v>0</v>
      </c>
      <c r="K82" s="443">
        <v>0</v>
      </c>
      <c r="L82" s="443">
        <v>0</v>
      </c>
      <c r="M82" s="443">
        <v>0</v>
      </c>
      <c r="N82" s="443">
        <v>0</v>
      </c>
      <c r="O82" s="443">
        <v>0</v>
      </c>
      <c r="P82" s="443">
        <v>0</v>
      </c>
      <c r="Q82" s="444">
        <v>0</v>
      </c>
      <c r="S82" s="452"/>
    </row>
    <row r="83" spans="1:19" s="460" customFormat="1" ht="30" x14ac:dyDescent="0.25">
      <c r="A83" s="449">
        <v>76</v>
      </c>
      <c r="B83" s="453" t="s">
        <v>586</v>
      </c>
      <c r="C83" s="451"/>
      <c r="D83" s="441">
        <v>0</v>
      </c>
      <c r="E83" s="441">
        <v>0</v>
      </c>
      <c r="F83" s="441">
        <v>0</v>
      </c>
      <c r="G83" s="441">
        <v>0</v>
      </c>
      <c r="H83" s="441">
        <v>175850.42499999999</v>
      </c>
      <c r="I83" s="441">
        <v>0</v>
      </c>
      <c r="J83" s="442">
        <v>175850.42499999999</v>
      </c>
      <c r="K83" s="443">
        <v>0</v>
      </c>
      <c r="L83" s="443">
        <v>0</v>
      </c>
      <c r="M83" s="443">
        <v>0</v>
      </c>
      <c r="N83" s="443">
        <v>7.7649999999999997</v>
      </c>
      <c r="O83" s="443">
        <v>7.7649999999999997</v>
      </c>
      <c r="P83" s="443">
        <v>0</v>
      </c>
      <c r="Q83" s="444">
        <v>7.7649999999999997</v>
      </c>
      <c r="S83" s="452"/>
    </row>
    <row r="84" spans="1:19" s="460" customFormat="1" ht="30" x14ac:dyDescent="0.25">
      <c r="A84" s="449">
        <v>77</v>
      </c>
      <c r="B84" s="453" t="s">
        <v>496</v>
      </c>
      <c r="C84" s="451"/>
      <c r="D84" s="441">
        <v>0</v>
      </c>
      <c r="E84" s="441">
        <v>0</v>
      </c>
      <c r="F84" s="441">
        <v>0</v>
      </c>
      <c r="G84" s="441">
        <v>0</v>
      </c>
      <c r="H84" s="441">
        <v>150.25200000000001</v>
      </c>
      <c r="I84" s="441">
        <v>0</v>
      </c>
      <c r="J84" s="442">
        <v>150.25200000000001</v>
      </c>
      <c r="K84" s="443">
        <v>0</v>
      </c>
      <c r="L84" s="443">
        <v>0</v>
      </c>
      <c r="M84" s="443">
        <v>0</v>
      </c>
      <c r="N84" s="443">
        <v>51035.883999999998</v>
      </c>
      <c r="O84" s="443">
        <v>51035.883999999998</v>
      </c>
      <c r="P84" s="443">
        <v>0</v>
      </c>
      <c r="Q84" s="444">
        <v>51035.883999999998</v>
      </c>
      <c r="S84" s="452"/>
    </row>
    <row r="85" spans="1:19" s="460" customFormat="1" x14ac:dyDescent="0.25">
      <c r="A85" s="449">
        <v>78</v>
      </c>
      <c r="B85" s="453" t="s">
        <v>497</v>
      </c>
      <c r="C85" s="451"/>
      <c r="D85" s="441">
        <v>0</v>
      </c>
      <c r="E85" s="441">
        <v>0</v>
      </c>
      <c r="F85" s="441">
        <v>0</v>
      </c>
      <c r="G85" s="441">
        <v>0</v>
      </c>
      <c r="H85" s="441">
        <v>0</v>
      </c>
      <c r="I85" s="441">
        <v>0</v>
      </c>
      <c r="J85" s="442">
        <v>0</v>
      </c>
      <c r="K85" s="443">
        <v>0</v>
      </c>
      <c r="L85" s="443">
        <v>0</v>
      </c>
      <c r="M85" s="443">
        <v>0</v>
      </c>
      <c r="N85" s="443">
        <v>33648</v>
      </c>
      <c r="O85" s="443">
        <v>33648</v>
      </c>
      <c r="P85" s="443">
        <v>0</v>
      </c>
      <c r="Q85" s="444">
        <v>33648</v>
      </c>
      <c r="S85" s="452"/>
    </row>
    <row r="86" spans="1:19" s="460" customFormat="1" x14ac:dyDescent="0.25">
      <c r="A86" s="449">
        <v>79</v>
      </c>
      <c r="B86" s="453" t="s">
        <v>498</v>
      </c>
      <c r="C86" s="451"/>
      <c r="D86" s="441">
        <v>0</v>
      </c>
      <c r="E86" s="441">
        <v>0</v>
      </c>
      <c r="F86" s="441">
        <v>0</v>
      </c>
      <c r="G86" s="441">
        <v>0</v>
      </c>
      <c r="H86" s="441">
        <v>0</v>
      </c>
      <c r="I86" s="441">
        <v>0</v>
      </c>
      <c r="J86" s="442">
        <v>0</v>
      </c>
      <c r="K86" s="443">
        <v>0</v>
      </c>
      <c r="L86" s="443">
        <v>0</v>
      </c>
      <c r="M86" s="443">
        <v>0</v>
      </c>
      <c r="N86" s="443">
        <v>5400</v>
      </c>
      <c r="O86" s="443">
        <v>5400</v>
      </c>
      <c r="P86" s="443">
        <v>0</v>
      </c>
      <c r="Q86" s="444">
        <v>5400</v>
      </c>
      <c r="S86" s="452"/>
    </row>
    <row r="87" spans="1:19" s="460" customFormat="1" x14ac:dyDescent="0.25">
      <c r="A87" s="449">
        <v>80</v>
      </c>
      <c r="B87" s="453" t="s">
        <v>499</v>
      </c>
      <c r="C87" s="451"/>
      <c r="D87" s="441">
        <v>0</v>
      </c>
      <c r="E87" s="441">
        <v>0</v>
      </c>
      <c r="F87" s="441">
        <v>0</v>
      </c>
      <c r="G87" s="441">
        <v>0</v>
      </c>
      <c r="H87" s="441">
        <v>0</v>
      </c>
      <c r="I87" s="441">
        <v>0</v>
      </c>
      <c r="J87" s="442">
        <v>0</v>
      </c>
      <c r="K87" s="443">
        <v>0</v>
      </c>
      <c r="L87" s="443">
        <v>0</v>
      </c>
      <c r="M87" s="443">
        <v>0</v>
      </c>
      <c r="N87" s="443">
        <v>8160</v>
      </c>
      <c r="O87" s="443">
        <v>8160</v>
      </c>
      <c r="P87" s="443">
        <v>0</v>
      </c>
      <c r="Q87" s="444">
        <v>8160</v>
      </c>
      <c r="S87" s="452"/>
    </row>
    <row r="88" spans="1:19" s="460" customFormat="1" x14ac:dyDescent="0.25">
      <c r="A88" s="449">
        <v>81</v>
      </c>
      <c r="B88" s="453" t="s">
        <v>501</v>
      </c>
      <c r="C88" s="451"/>
      <c r="D88" s="441">
        <v>0</v>
      </c>
      <c r="E88" s="441">
        <v>0</v>
      </c>
      <c r="F88" s="441">
        <v>0</v>
      </c>
      <c r="G88" s="441">
        <v>0</v>
      </c>
      <c r="H88" s="441">
        <v>123.9</v>
      </c>
      <c r="I88" s="441">
        <v>0</v>
      </c>
      <c r="J88" s="442">
        <v>123.9</v>
      </c>
      <c r="K88" s="443">
        <v>0</v>
      </c>
      <c r="L88" s="443">
        <v>0</v>
      </c>
      <c r="M88" s="443">
        <v>0</v>
      </c>
      <c r="N88" s="443">
        <v>0</v>
      </c>
      <c r="O88" s="443">
        <v>0</v>
      </c>
      <c r="P88" s="443">
        <v>0</v>
      </c>
      <c r="Q88" s="444">
        <v>0</v>
      </c>
      <c r="S88" s="452"/>
    </row>
    <row r="89" spans="1:19" s="460" customFormat="1" x14ac:dyDescent="0.25">
      <c r="A89" s="449">
        <v>82</v>
      </c>
      <c r="B89" s="453" t="s">
        <v>502</v>
      </c>
      <c r="C89" s="451"/>
      <c r="D89" s="441">
        <v>0</v>
      </c>
      <c r="E89" s="441">
        <v>0</v>
      </c>
      <c r="F89" s="441">
        <v>0</v>
      </c>
      <c r="G89" s="441">
        <v>0</v>
      </c>
      <c r="H89" s="441">
        <v>104</v>
      </c>
      <c r="I89" s="441">
        <v>0</v>
      </c>
      <c r="J89" s="442">
        <v>104</v>
      </c>
      <c r="K89" s="443">
        <v>0</v>
      </c>
      <c r="L89" s="443">
        <v>0</v>
      </c>
      <c r="M89" s="443">
        <v>0</v>
      </c>
      <c r="N89" s="443">
        <v>0</v>
      </c>
      <c r="O89" s="443">
        <v>0</v>
      </c>
      <c r="P89" s="443">
        <v>0</v>
      </c>
      <c r="Q89" s="444">
        <v>0</v>
      </c>
      <c r="S89" s="452"/>
    </row>
    <row r="90" spans="1:19" s="460" customFormat="1" x14ac:dyDescent="0.25">
      <c r="A90" s="449">
        <v>83</v>
      </c>
      <c r="B90" s="453" t="s">
        <v>503</v>
      </c>
      <c r="C90" s="451"/>
      <c r="D90" s="441">
        <v>0</v>
      </c>
      <c r="E90" s="441">
        <v>0</v>
      </c>
      <c r="F90" s="441">
        <v>0</v>
      </c>
      <c r="G90" s="441">
        <v>0</v>
      </c>
      <c r="H90" s="441">
        <v>6260</v>
      </c>
      <c r="I90" s="441">
        <v>0</v>
      </c>
      <c r="J90" s="442">
        <v>6260</v>
      </c>
      <c r="K90" s="443">
        <v>0</v>
      </c>
      <c r="L90" s="443">
        <v>0</v>
      </c>
      <c r="M90" s="443">
        <v>0</v>
      </c>
      <c r="N90" s="443">
        <v>0</v>
      </c>
      <c r="O90" s="443">
        <v>0</v>
      </c>
      <c r="P90" s="443">
        <v>0</v>
      </c>
      <c r="Q90" s="444">
        <v>0</v>
      </c>
      <c r="S90" s="452"/>
    </row>
    <row r="91" spans="1:19" s="460" customFormat="1" x14ac:dyDescent="0.25">
      <c r="A91" s="449">
        <v>84</v>
      </c>
      <c r="B91" s="453" t="s">
        <v>504</v>
      </c>
      <c r="C91" s="451"/>
      <c r="D91" s="441">
        <v>0</v>
      </c>
      <c r="E91" s="441">
        <v>0</v>
      </c>
      <c r="F91" s="441">
        <v>0</v>
      </c>
      <c r="G91" s="441">
        <v>0</v>
      </c>
      <c r="H91" s="441">
        <v>87.5</v>
      </c>
      <c r="I91" s="441">
        <v>0</v>
      </c>
      <c r="J91" s="442">
        <v>87.5</v>
      </c>
      <c r="K91" s="443">
        <v>0</v>
      </c>
      <c r="L91" s="443">
        <v>0</v>
      </c>
      <c r="M91" s="443">
        <v>0</v>
      </c>
      <c r="N91" s="443">
        <v>0</v>
      </c>
      <c r="O91" s="443">
        <v>0</v>
      </c>
      <c r="P91" s="443">
        <v>0</v>
      </c>
      <c r="Q91" s="444">
        <v>0</v>
      </c>
      <c r="S91" s="452"/>
    </row>
    <row r="92" spans="1:19" s="460" customFormat="1" x14ac:dyDescent="0.25">
      <c r="A92" s="449">
        <v>85</v>
      </c>
      <c r="B92" s="453" t="s">
        <v>505</v>
      </c>
      <c r="C92" s="451"/>
      <c r="D92" s="441">
        <v>0</v>
      </c>
      <c r="E92" s="441">
        <v>0</v>
      </c>
      <c r="F92" s="441">
        <v>0</v>
      </c>
      <c r="G92" s="441">
        <v>0</v>
      </c>
      <c r="H92" s="441">
        <v>0</v>
      </c>
      <c r="I92" s="441">
        <v>0</v>
      </c>
      <c r="J92" s="442">
        <v>0</v>
      </c>
      <c r="K92" s="443">
        <v>0</v>
      </c>
      <c r="L92" s="443">
        <v>0</v>
      </c>
      <c r="M92" s="443">
        <v>0</v>
      </c>
      <c r="N92" s="443">
        <v>3650.28</v>
      </c>
      <c r="O92" s="443">
        <v>3650.28</v>
      </c>
      <c r="P92" s="443">
        <v>0</v>
      </c>
      <c r="Q92" s="444">
        <v>3650.28</v>
      </c>
      <c r="S92" s="452"/>
    </row>
    <row r="93" spans="1:19" ht="30" x14ac:dyDescent="0.25">
      <c r="A93" s="438">
        <v>86</v>
      </c>
      <c r="B93" s="439" t="s">
        <v>587</v>
      </c>
      <c r="C93" s="440"/>
      <c r="D93" s="441">
        <v>79112.615000000005</v>
      </c>
      <c r="E93" s="441">
        <v>20759.187000000002</v>
      </c>
      <c r="F93" s="441">
        <v>16606.030999999999</v>
      </c>
      <c r="G93" s="441">
        <v>4741.4070000000002</v>
      </c>
      <c r="H93" s="441">
        <v>0</v>
      </c>
      <c r="I93" s="441">
        <v>66163.808000000005</v>
      </c>
      <c r="J93" s="442">
        <v>187383.04800000001</v>
      </c>
      <c r="K93" s="443">
        <v>0</v>
      </c>
      <c r="L93" s="443">
        <v>0</v>
      </c>
      <c r="M93" s="443">
        <v>0</v>
      </c>
      <c r="N93" s="443">
        <v>0</v>
      </c>
      <c r="O93" s="443">
        <v>0</v>
      </c>
      <c r="P93" s="443">
        <v>0</v>
      </c>
      <c r="Q93" s="444">
        <v>0</v>
      </c>
    </row>
    <row r="94" spans="1:19" ht="30" x14ac:dyDescent="0.25">
      <c r="A94" s="438">
        <v>87</v>
      </c>
      <c r="B94" s="439" t="s">
        <v>588</v>
      </c>
      <c r="C94" s="440"/>
      <c r="D94" s="441">
        <v>0</v>
      </c>
      <c r="E94" s="441">
        <v>0</v>
      </c>
      <c r="F94" s="441">
        <v>0</v>
      </c>
      <c r="G94" s="441">
        <v>0</v>
      </c>
      <c r="H94" s="441">
        <v>0</v>
      </c>
      <c r="I94" s="441">
        <v>0</v>
      </c>
      <c r="J94" s="442">
        <v>0</v>
      </c>
      <c r="K94" s="443">
        <v>0</v>
      </c>
      <c r="L94" s="443">
        <v>0</v>
      </c>
      <c r="M94" s="443">
        <v>0</v>
      </c>
      <c r="N94" s="443">
        <v>0</v>
      </c>
      <c r="O94" s="443">
        <v>0</v>
      </c>
      <c r="P94" s="443">
        <v>0</v>
      </c>
      <c r="Q94" s="444">
        <v>0</v>
      </c>
    </row>
    <row r="95" spans="1:19" s="468" customFormat="1" x14ac:dyDescent="0.25">
      <c r="A95" s="455">
        <v>88</v>
      </c>
      <c r="B95" s="456" t="s">
        <v>589</v>
      </c>
      <c r="C95" s="476">
        <v>0</v>
      </c>
      <c r="D95" s="476">
        <v>79112.615000000005</v>
      </c>
      <c r="E95" s="476">
        <v>20759.187000000002</v>
      </c>
      <c r="F95" s="476">
        <v>16606.030999999999</v>
      </c>
      <c r="G95" s="476">
        <v>4741.4070000000002</v>
      </c>
      <c r="H95" s="476">
        <v>251305.24900000001</v>
      </c>
      <c r="I95" s="476">
        <v>66163.808000000005</v>
      </c>
      <c r="J95" s="476">
        <v>438688.29700000002</v>
      </c>
      <c r="K95" s="476">
        <v>0</v>
      </c>
      <c r="L95" s="476">
        <v>0</v>
      </c>
      <c r="M95" s="476">
        <v>0</v>
      </c>
      <c r="N95" s="476">
        <v>118553.02799999999</v>
      </c>
      <c r="O95" s="476">
        <v>118553.02799999999</v>
      </c>
      <c r="P95" s="476">
        <v>0</v>
      </c>
      <c r="Q95" s="476">
        <v>118553.02799999999</v>
      </c>
      <c r="S95" s="425"/>
    </row>
    <row r="96" spans="1:19" s="468" customFormat="1" x14ac:dyDescent="0.25">
      <c r="A96" s="455">
        <v>89</v>
      </c>
      <c r="B96" s="456" t="s">
        <v>590</v>
      </c>
      <c r="C96" s="476">
        <v>0</v>
      </c>
      <c r="D96" s="476">
        <v>83976.49500000001</v>
      </c>
      <c r="E96" s="476">
        <v>23170.765000000003</v>
      </c>
      <c r="F96" s="476">
        <v>16710.628000000001</v>
      </c>
      <c r="G96" s="476">
        <v>4809.8780000000006</v>
      </c>
      <c r="H96" s="476">
        <v>684390.87700000009</v>
      </c>
      <c r="I96" s="476">
        <v>66165.217000000004</v>
      </c>
      <c r="J96" s="476">
        <v>879223.86</v>
      </c>
      <c r="K96" s="476">
        <v>6483.1798200000003</v>
      </c>
      <c r="L96" s="476">
        <v>694.11977000000002</v>
      </c>
      <c r="M96" s="476">
        <v>250</v>
      </c>
      <c r="N96" s="476">
        <v>265370.36300000001</v>
      </c>
      <c r="O96" s="476">
        <v>266064.48277</v>
      </c>
      <c r="P96" s="476">
        <v>0</v>
      </c>
      <c r="Q96" s="476">
        <v>272797.66258999996</v>
      </c>
      <c r="S96" s="425"/>
    </row>
    <row r="97" spans="1:19" s="468" customFormat="1" x14ac:dyDescent="0.25">
      <c r="A97" s="455">
        <v>90</v>
      </c>
      <c r="B97" s="456" t="s">
        <v>591</v>
      </c>
      <c r="C97" s="476"/>
      <c r="D97" s="476">
        <v>0</v>
      </c>
      <c r="E97" s="476">
        <v>0</v>
      </c>
      <c r="F97" s="476">
        <v>0</v>
      </c>
      <c r="G97" s="476">
        <v>0</v>
      </c>
      <c r="H97" s="476">
        <v>0</v>
      </c>
      <c r="I97" s="476">
        <v>0</v>
      </c>
      <c r="J97" s="476"/>
      <c r="K97" s="476">
        <v>0</v>
      </c>
      <c r="L97" s="476">
        <v>0</v>
      </c>
      <c r="M97" s="476">
        <v>0</v>
      </c>
      <c r="N97" s="476">
        <v>0</v>
      </c>
      <c r="O97" s="476">
        <v>0</v>
      </c>
      <c r="P97" s="476">
        <v>0</v>
      </c>
      <c r="Q97" s="476">
        <v>0</v>
      </c>
      <c r="S97" s="425"/>
    </row>
    <row r="98" spans="1:19" x14ac:dyDescent="0.25">
      <c r="A98" s="438">
        <v>91</v>
      </c>
      <c r="B98" s="439" t="s">
        <v>592</v>
      </c>
      <c r="C98" s="440"/>
      <c r="D98" s="441">
        <v>0</v>
      </c>
      <c r="E98" s="441">
        <v>0</v>
      </c>
      <c r="F98" s="441">
        <v>0</v>
      </c>
      <c r="G98" s="441">
        <v>0</v>
      </c>
      <c r="H98" s="441">
        <v>77127.762000000002</v>
      </c>
      <c r="I98" s="441">
        <v>0</v>
      </c>
      <c r="J98" s="442">
        <v>77127.762000000002</v>
      </c>
      <c r="K98" s="443">
        <v>0</v>
      </c>
      <c r="L98" s="443">
        <v>0</v>
      </c>
      <c r="M98" s="443">
        <v>0</v>
      </c>
      <c r="N98" s="443">
        <v>0</v>
      </c>
      <c r="O98" s="443">
        <v>0</v>
      </c>
      <c r="P98" s="443">
        <v>0</v>
      </c>
      <c r="Q98" s="444">
        <v>0</v>
      </c>
    </row>
    <row r="99" spans="1:19" x14ac:dyDescent="0.25">
      <c r="A99" s="438">
        <v>92</v>
      </c>
      <c r="B99" s="439" t="s">
        <v>593</v>
      </c>
      <c r="C99" s="440"/>
      <c r="D99" s="441">
        <v>0</v>
      </c>
      <c r="E99" s="441">
        <v>0</v>
      </c>
      <c r="F99" s="441">
        <v>0</v>
      </c>
      <c r="G99" s="441">
        <v>0</v>
      </c>
      <c r="H99" s="441">
        <v>0</v>
      </c>
      <c r="I99" s="441">
        <v>0</v>
      </c>
      <c r="J99" s="442">
        <v>0</v>
      </c>
      <c r="K99" s="443">
        <v>0</v>
      </c>
      <c r="L99" s="443">
        <v>0</v>
      </c>
      <c r="M99" s="443">
        <v>0</v>
      </c>
      <c r="N99" s="443">
        <v>0</v>
      </c>
      <c r="O99" s="443">
        <v>0</v>
      </c>
      <c r="P99" s="443">
        <v>0</v>
      </c>
      <c r="Q99" s="444">
        <v>0</v>
      </c>
    </row>
    <row r="100" spans="1:19" x14ac:dyDescent="0.25">
      <c r="A100" s="438">
        <v>93</v>
      </c>
      <c r="B100" s="480" t="s">
        <v>594</v>
      </c>
      <c r="C100" s="440"/>
      <c r="D100" s="441">
        <v>0</v>
      </c>
      <c r="E100" s="441">
        <v>0</v>
      </c>
      <c r="F100" s="441">
        <v>0</v>
      </c>
      <c r="G100" s="441">
        <v>0</v>
      </c>
      <c r="H100" s="441">
        <v>58201.942000000003</v>
      </c>
      <c r="I100" s="441">
        <v>0</v>
      </c>
      <c r="J100" s="442">
        <v>58201.942000000003</v>
      </c>
      <c r="K100" s="443">
        <v>0</v>
      </c>
      <c r="L100" s="443">
        <v>0</v>
      </c>
      <c r="M100" s="443">
        <v>0</v>
      </c>
      <c r="N100" s="443">
        <v>0</v>
      </c>
      <c r="O100" s="443">
        <v>0</v>
      </c>
      <c r="P100" s="443">
        <v>0</v>
      </c>
      <c r="Q100" s="444">
        <v>0</v>
      </c>
    </row>
    <row r="101" spans="1:19" x14ac:dyDescent="0.25">
      <c r="A101" s="438">
        <v>94</v>
      </c>
      <c r="B101" s="439" t="s">
        <v>595</v>
      </c>
      <c r="C101" s="440"/>
      <c r="D101" s="441">
        <v>0</v>
      </c>
      <c r="E101" s="441">
        <v>0</v>
      </c>
      <c r="F101" s="441">
        <v>0</v>
      </c>
      <c r="G101" s="441">
        <v>0</v>
      </c>
      <c r="H101" s="441">
        <v>0</v>
      </c>
      <c r="I101" s="441">
        <v>0</v>
      </c>
      <c r="J101" s="442">
        <v>0</v>
      </c>
      <c r="K101" s="443">
        <v>0</v>
      </c>
      <c r="L101" s="443">
        <v>0</v>
      </c>
      <c r="M101" s="443">
        <v>0</v>
      </c>
      <c r="N101" s="443">
        <v>0</v>
      </c>
      <c r="O101" s="443">
        <v>0</v>
      </c>
      <c r="P101" s="443">
        <v>0</v>
      </c>
      <c r="Q101" s="444">
        <v>0</v>
      </c>
    </row>
    <row r="102" spans="1:19" x14ac:dyDescent="0.25">
      <c r="A102" s="438">
        <v>95</v>
      </c>
      <c r="B102" s="439" t="s">
        <v>596</v>
      </c>
      <c r="C102" s="440"/>
      <c r="D102" s="441">
        <v>0</v>
      </c>
      <c r="E102" s="441">
        <v>0</v>
      </c>
      <c r="F102" s="441">
        <v>0</v>
      </c>
      <c r="G102" s="441">
        <v>0</v>
      </c>
      <c r="H102" s="441">
        <v>0</v>
      </c>
      <c r="I102" s="441">
        <v>0</v>
      </c>
      <c r="J102" s="442">
        <v>0</v>
      </c>
      <c r="K102" s="443">
        <v>0</v>
      </c>
      <c r="L102" s="443">
        <v>0</v>
      </c>
      <c r="M102" s="443">
        <v>0</v>
      </c>
      <c r="N102" s="443">
        <v>0</v>
      </c>
      <c r="O102" s="443">
        <v>0</v>
      </c>
      <c r="P102" s="443">
        <v>0</v>
      </c>
      <c r="Q102" s="444">
        <v>0</v>
      </c>
    </row>
    <row r="103" spans="1:19" x14ac:dyDescent="0.25">
      <c r="A103" s="438">
        <v>96</v>
      </c>
      <c r="B103" s="439" t="s">
        <v>597</v>
      </c>
      <c r="C103" s="440"/>
      <c r="D103" s="441">
        <v>0</v>
      </c>
      <c r="E103" s="441">
        <v>0</v>
      </c>
      <c r="F103" s="441">
        <v>0</v>
      </c>
      <c r="G103" s="441">
        <v>0</v>
      </c>
      <c r="H103" s="441">
        <v>0</v>
      </c>
      <c r="I103" s="441">
        <v>0</v>
      </c>
      <c r="J103" s="442">
        <v>0</v>
      </c>
      <c r="K103" s="443">
        <v>0</v>
      </c>
      <c r="L103" s="443">
        <v>0</v>
      </c>
      <c r="M103" s="443">
        <v>0</v>
      </c>
      <c r="N103" s="443">
        <v>0</v>
      </c>
      <c r="O103" s="443">
        <v>0</v>
      </c>
      <c r="P103" s="443">
        <v>0</v>
      </c>
      <c r="Q103" s="444">
        <v>0</v>
      </c>
    </row>
    <row r="104" spans="1:19" x14ac:dyDescent="0.25">
      <c r="A104" s="438">
        <v>97</v>
      </c>
      <c r="B104" s="439" t="s">
        <v>598</v>
      </c>
      <c r="C104" s="440"/>
      <c r="D104" s="441">
        <v>0</v>
      </c>
      <c r="E104" s="441">
        <v>0</v>
      </c>
      <c r="F104" s="441">
        <v>0</v>
      </c>
      <c r="G104" s="441">
        <v>0</v>
      </c>
      <c r="H104" s="441">
        <v>0</v>
      </c>
      <c r="I104" s="441">
        <v>0</v>
      </c>
      <c r="J104" s="442">
        <v>0</v>
      </c>
      <c r="K104" s="443">
        <v>0</v>
      </c>
      <c r="L104" s="443">
        <v>0</v>
      </c>
      <c r="M104" s="443">
        <v>0</v>
      </c>
      <c r="N104" s="443">
        <v>0</v>
      </c>
      <c r="O104" s="443">
        <v>0</v>
      </c>
      <c r="P104" s="443">
        <v>0</v>
      </c>
      <c r="Q104" s="444">
        <v>0</v>
      </c>
    </row>
    <row r="105" spans="1:19" x14ac:dyDescent="0.25">
      <c r="A105" s="438">
        <v>98</v>
      </c>
      <c r="B105" s="439" t="s">
        <v>599</v>
      </c>
      <c r="C105" s="440"/>
      <c r="D105" s="441">
        <v>0</v>
      </c>
      <c r="E105" s="441">
        <v>0</v>
      </c>
      <c r="F105" s="441">
        <v>0</v>
      </c>
      <c r="G105" s="441">
        <v>0</v>
      </c>
      <c r="H105" s="441">
        <v>0</v>
      </c>
      <c r="I105" s="441">
        <v>0</v>
      </c>
      <c r="J105" s="442">
        <v>0</v>
      </c>
      <c r="K105" s="443">
        <v>0</v>
      </c>
      <c r="L105" s="443">
        <v>0</v>
      </c>
      <c r="M105" s="443">
        <v>0</v>
      </c>
      <c r="N105" s="443">
        <v>0</v>
      </c>
      <c r="O105" s="443">
        <v>0</v>
      </c>
      <c r="P105" s="443">
        <v>0</v>
      </c>
      <c r="Q105" s="444">
        <v>0</v>
      </c>
    </row>
    <row r="106" spans="1:19" x14ac:dyDescent="0.25">
      <c r="A106" s="438">
        <v>99</v>
      </c>
      <c r="B106" s="439" t="s">
        <v>600</v>
      </c>
      <c r="C106" s="440"/>
      <c r="D106" s="441">
        <v>0</v>
      </c>
      <c r="E106" s="441">
        <v>0</v>
      </c>
      <c r="F106" s="441">
        <v>0</v>
      </c>
      <c r="G106" s="441">
        <v>0</v>
      </c>
      <c r="H106" s="441">
        <v>0</v>
      </c>
      <c r="I106" s="441">
        <v>0</v>
      </c>
      <c r="J106" s="442">
        <v>0</v>
      </c>
      <c r="K106" s="443">
        <v>0</v>
      </c>
      <c r="L106" s="443">
        <v>0</v>
      </c>
      <c r="M106" s="443">
        <v>0</v>
      </c>
      <c r="N106" s="443">
        <v>0</v>
      </c>
      <c r="O106" s="443">
        <v>0</v>
      </c>
      <c r="P106" s="443">
        <v>0</v>
      </c>
      <c r="Q106" s="444">
        <v>0</v>
      </c>
    </row>
    <row r="107" spans="1:19" x14ac:dyDescent="0.25">
      <c r="A107" s="438">
        <v>100</v>
      </c>
      <c r="B107" s="439" t="s">
        <v>601</v>
      </c>
      <c r="C107" s="440"/>
      <c r="D107" s="441">
        <v>0</v>
      </c>
      <c r="E107" s="441">
        <v>0</v>
      </c>
      <c r="F107" s="441">
        <v>0</v>
      </c>
      <c r="G107" s="441">
        <v>0</v>
      </c>
      <c r="H107" s="441">
        <v>633.00199999999984</v>
      </c>
      <c r="I107" s="441">
        <v>0</v>
      </c>
      <c r="J107" s="442">
        <v>633.00199999999984</v>
      </c>
      <c r="K107" s="443">
        <v>0</v>
      </c>
      <c r="L107" s="443">
        <v>0</v>
      </c>
      <c r="M107" s="443">
        <v>0</v>
      </c>
      <c r="N107" s="443">
        <v>0</v>
      </c>
      <c r="O107" s="443">
        <v>0</v>
      </c>
      <c r="P107" s="443">
        <v>0</v>
      </c>
      <c r="Q107" s="444">
        <v>0</v>
      </c>
    </row>
    <row r="108" spans="1:19" s="468" customFormat="1" x14ac:dyDescent="0.25">
      <c r="A108" s="455">
        <v>101</v>
      </c>
      <c r="B108" s="456" t="s">
        <v>602</v>
      </c>
      <c r="C108" s="476">
        <v>0</v>
      </c>
      <c r="D108" s="476">
        <v>0</v>
      </c>
      <c r="E108" s="476">
        <v>0</v>
      </c>
      <c r="F108" s="476">
        <v>0</v>
      </c>
      <c r="G108" s="476">
        <v>0</v>
      </c>
      <c r="H108" s="476">
        <v>135962.70600000001</v>
      </c>
      <c r="I108" s="476">
        <v>0</v>
      </c>
      <c r="J108" s="476">
        <v>135962.70600000001</v>
      </c>
      <c r="K108" s="476">
        <v>0</v>
      </c>
      <c r="L108" s="476">
        <v>0</v>
      </c>
      <c r="M108" s="476">
        <v>0</v>
      </c>
      <c r="N108" s="476">
        <v>0</v>
      </c>
      <c r="O108" s="476">
        <v>0</v>
      </c>
      <c r="P108" s="476">
        <v>0</v>
      </c>
      <c r="Q108" s="476">
        <v>0</v>
      </c>
      <c r="S108" s="425"/>
    </row>
    <row r="109" spans="1:19" s="468" customFormat="1" x14ac:dyDescent="0.25">
      <c r="A109" s="455">
        <v>102</v>
      </c>
      <c r="B109" s="456" t="s">
        <v>603</v>
      </c>
      <c r="C109" s="476">
        <v>0</v>
      </c>
      <c r="D109" s="476">
        <v>83976.49500000001</v>
      </c>
      <c r="E109" s="476">
        <v>23170.765000000003</v>
      </c>
      <c r="F109" s="476">
        <v>16710.628000000001</v>
      </c>
      <c r="G109" s="476">
        <v>4809.8780000000006</v>
      </c>
      <c r="H109" s="476">
        <v>820353.5830000001</v>
      </c>
      <c r="I109" s="476">
        <v>66165.217000000004</v>
      </c>
      <c r="J109" s="476">
        <v>1015186.566</v>
      </c>
      <c r="K109" s="476">
        <v>6483.1798200000003</v>
      </c>
      <c r="L109" s="476">
        <v>694.11977000000002</v>
      </c>
      <c r="M109" s="476">
        <v>250</v>
      </c>
      <c r="N109" s="476">
        <v>265370.36300000001</v>
      </c>
      <c r="O109" s="476">
        <v>266064.48277</v>
      </c>
      <c r="P109" s="476">
        <v>0</v>
      </c>
      <c r="Q109" s="476">
        <v>272797.66258999996</v>
      </c>
      <c r="R109" s="467"/>
      <c r="S109" s="425"/>
    </row>
    <row r="110" spans="1:19" x14ac:dyDescent="0.25">
      <c r="A110" s="481"/>
      <c r="S110" s="424"/>
    </row>
    <row r="111" spans="1:19" x14ac:dyDescent="0.25">
      <c r="B111"/>
      <c r="S111" s="424"/>
    </row>
    <row r="112" spans="1:19" x14ac:dyDescent="0.25">
      <c r="B112"/>
      <c r="D112" s="482">
        <v>83976.49500000001</v>
      </c>
      <c r="E112" s="482">
        <v>23170.765000000003</v>
      </c>
      <c r="F112" s="482">
        <v>16710.628000000001</v>
      </c>
      <c r="G112" s="482">
        <v>4809.8780000000006</v>
      </c>
      <c r="H112" s="482">
        <v>820353.58299999998</v>
      </c>
      <c r="I112" s="482">
        <v>66165.217000000004</v>
      </c>
      <c r="J112" s="483">
        <v>1015186.5659999999</v>
      </c>
      <c r="K112" s="423">
        <v>6483.1798200000003</v>
      </c>
      <c r="L112" s="484">
        <v>694.11977000000002</v>
      </c>
      <c r="M112" s="484">
        <v>250</v>
      </c>
      <c r="N112" s="484">
        <v>265370.36300000001</v>
      </c>
      <c r="O112" s="484"/>
      <c r="P112" s="423">
        <v>0</v>
      </c>
      <c r="Q112" s="467">
        <v>272797.66258999996</v>
      </c>
      <c r="S112" s="424"/>
    </row>
    <row r="113" spans="2:19" x14ac:dyDescent="0.25">
      <c r="B113" t="s">
        <v>604</v>
      </c>
      <c r="D113" s="482">
        <v>0</v>
      </c>
      <c r="E113" s="482">
        <v>0</v>
      </c>
      <c r="F113" s="482">
        <v>0</v>
      </c>
      <c r="G113" s="482">
        <v>0</v>
      </c>
      <c r="H113" s="482">
        <v>0</v>
      </c>
      <c r="I113" s="482">
        <v>0</v>
      </c>
      <c r="J113" s="482">
        <v>0</v>
      </c>
      <c r="K113" s="482">
        <v>0</v>
      </c>
      <c r="L113" s="482">
        <v>0</v>
      </c>
      <c r="M113" s="482">
        <v>0</v>
      </c>
      <c r="N113" s="482">
        <v>0</v>
      </c>
      <c r="O113" s="482"/>
      <c r="P113" s="482">
        <v>0</v>
      </c>
      <c r="Q113" s="482">
        <v>0</v>
      </c>
      <c r="S113" s="424"/>
    </row>
    <row r="114" spans="2:19" x14ac:dyDescent="0.25">
      <c r="S114" s="424"/>
    </row>
    <row r="115" spans="2:19" x14ac:dyDescent="0.25">
      <c r="S115" s="424"/>
    </row>
    <row r="116" spans="2:19" x14ac:dyDescent="0.25">
      <c r="S116" s="424"/>
    </row>
    <row r="117" spans="2:19" x14ac:dyDescent="0.25">
      <c r="S117" s="424"/>
    </row>
    <row r="118" spans="2:19" x14ac:dyDescent="0.25">
      <c r="S118" s="424"/>
    </row>
    <row r="119" spans="2:19" x14ac:dyDescent="0.25">
      <c r="S119" s="424"/>
    </row>
    <row r="120" spans="2:19" x14ac:dyDescent="0.25">
      <c r="S120" s="424"/>
    </row>
    <row r="121" spans="2:19" x14ac:dyDescent="0.25">
      <c r="S121" s="424"/>
    </row>
    <row r="122" spans="2:19" x14ac:dyDescent="0.25">
      <c r="S122" s="424"/>
    </row>
    <row r="123" spans="2:19" x14ac:dyDescent="0.25">
      <c r="S123" s="424"/>
    </row>
    <row r="124" spans="2:19" x14ac:dyDescent="0.25">
      <c r="S124" s="424"/>
    </row>
    <row r="125" spans="2:19" x14ac:dyDescent="0.25">
      <c r="S125" s="424"/>
    </row>
    <row r="126" spans="2:19" x14ac:dyDescent="0.25">
      <c r="S126" s="424"/>
    </row>
    <row r="127" spans="2:19" x14ac:dyDescent="0.25">
      <c r="S127" s="424"/>
    </row>
    <row r="128" spans="2:19" x14ac:dyDescent="0.25">
      <c r="S128" s="424"/>
    </row>
    <row r="129" spans="19:19" x14ac:dyDescent="0.25">
      <c r="S129" s="424"/>
    </row>
    <row r="130" spans="19:19" x14ac:dyDescent="0.25">
      <c r="S130" s="424"/>
    </row>
    <row r="131" spans="19:19" x14ac:dyDescent="0.25">
      <c r="S131" s="424"/>
    </row>
    <row r="132" spans="19:19" x14ac:dyDescent="0.25">
      <c r="S132" s="424"/>
    </row>
    <row r="133" spans="19:19" x14ac:dyDescent="0.25">
      <c r="S133" s="424"/>
    </row>
    <row r="134" spans="19:19" x14ac:dyDescent="0.25">
      <c r="S134" s="424"/>
    </row>
    <row r="135" spans="19:19" x14ac:dyDescent="0.25">
      <c r="S135" s="424"/>
    </row>
    <row r="136" spans="19:19" x14ac:dyDescent="0.25">
      <c r="S136" s="424"/>
    </row>
    <row r="137" spans="19:19" x14ac:dyDescent="0.25">
      <c r="S137" s="424"/>
    </row>
    <row r="138" spans="19:19" x14ac:dyDescent="0.25">
      <c r="S138" s="424"/>
    </row>
    <row r="139" spans="19:19" x14ac:dyDescent="0.25">
      <c r="S139" s="424"/>
    </row>
    <row r="140" spans="19:19" x14ac:dyDescent="0.25">
      <c r="S140" s="424"/>
    </row>
    <row r="141" spans="19:19" x14ac:dyDescent="0.25">
      <c r="S141" s="424"/>
    </row>
    <row r="142" spans="19:19" x14ac:dyDescent="0.25">
      <c r="S142" s="424"/>
    </row>
    <row r="143" spans="19:19" x14ac:dyDescent="0.25">
      <c r="S143" s="424"/>
    </row>
    <row r="144" spans="19:19" x14ac:dyDescent="0.25">
      <c r="S144" s="424"/>
    </row>
    <row r="145" spans="19:19" x14ac:dyDescent="0.25">
      <c r="S145" s="424"/>
    </row>
    <row r="146" spans="19:19" x14ac:dyDescent="0.25">
      <c r="S146" s="424"/>
    </row>
    <row r="147" spans="19:19" x14ac:dyDescent="0.25">
      <c r="S147" s="424"/>
    </row>
    <row r="148" spans="19:19" x14ac:dyDescent="0.25">
      <c r="S148" s="424"/>
    </row>
    <row r="149" spans="19:19" x14ac:dyDescent="0.25">
      <c r="S149" s="424"/>
    </row>
    <row r="150" spans="19:19" x14ac:dyDescent="0.25">
      <c r="S150" s="424"/>
    </row>
    <row r="151" spans="19:19" x14ac:dyDescent="0.25">
      <c r="S151" s="424"/>
    </row>
    <row r="152" spans="19:19" x14ac:dyDescent="0.25">
      <c r="S152" s="424"/>
    </row>
    <row r="153" spans="19:19" x14ac:dyDescent="0.25">
      <c r="S153" s="424"/>
    </row>
    <row r="154" spans="19:19" x14ac:dyDescent="0.25">
      <c r="S154" s="424"/>
    </row>
    <row r="155" spans="19:19" x14ac:dyDescent="0.25">
      <c r="S155" s="424"/>
    </row>
    <row r="156" spans="19:19" x14ac:dyDescent="0.25">
      <c r="S156" s="424"/>
    </row>
    <row r="157" spans="19:19" x14ac:dyDescent="0.25">
      <c r="S157" s="424"/>
    </row>
    <row r="158" spans="19:19" x14ac:dyDescent="0.25">
      <c r="S158" s="424"/>
    </row>
    <row r="159" spans="19:19" x14ac:dyDescent="0.25">
      <c r="S159" s="424"/>
    </row>
    <row r="160" spans="19:19" x14ac:dyDescent="0.25">
      <c r="S160" s="424"/>
    </row>
    <row r="161" spans="19:19" x14ac:dyDescent="0.25">
      <c r="S161" s="424"/>
    </row>
    <row r="162" spans="19:19" x14ac:dyDescent="0.25">
      <c r="S162" s="424"/>
    </row>
    <row r="163" spans="19:19" x14ac:dyDescent="0.25">
      <c r="S163" s="424"/>
    </row>
    <row r="164" spans="19:19" x14ac:dyDescent="0.25">
      <c r="S164" s="424"/>
    </row>
    <row r="165" spans="19:19" x14ac:dyDescent="0.25">
      <c r="S165" s="424"/>
    </row>
    <row r="166" spans="19:19" x14ac:dyDescent="0.25">
      <c r="S166" s="424"/>
    </row>
    <row r="167" spans="19:19" x14ac:dyDescent="0.25">
      <c r="S167" s="424"/>
    </row>
    <row r="168" spans="19:19" x14ac:dyDescent="0.25">
      <c r="S168" s="424"/>
    </row>
    <row r="169" spans="19:19" x14ac:dyDescent="0.25">
      <c r="S169" s="424"/>
    </row>
    <row r="170" spans="19:19" x14ac:dyDescent="0.25">
      <c r="S170" s="424"/>
    </row>
    <row r="171" spans="19:19" x14ac:dyDescent="0.25">
      <c r="S171" s="424"/>
    </row>
    <row r="172" spans="19:19" x14ac:dyDescent="0.25">
      <c r="S172" s="424"/>
    </row>
    <row r="173" spans="19:19" x14ac:dyDescent="0.25">
      <c r="S173" s="424"/>
    </row>
    <row r="174" spans="19:19" x14ac:dyDescent="0.25">
      <c r="S174" s="424"/>
    </row>
    <row r="175" spans="19:19" x14ac:dyDescent="0.25">
      <c r="S175" s="424"/>
    </row>
    <row r="176" spans="19:19" x14ac:dyDescent="0.25">
      <c r="S176" s="424"/>
    </row>
    <row r="177" spans="19:19" x14ac:dyDescent="0.25">
      <c r="S177" s="424"/>
    </row>
    <row r="178" spans="19:19" x14ac:dyDescent="0.25">
      <c r="S178" s="424"/>
    </row>
    <row r="179" spans="19:19" x14ac:dyDescent="0.25">
      <c r="S179" s="424"/>
    </row>
    <row r="180" spans="19:19" x14ac:dyDescent="0.25">
      <c r="S180" s="424"/>
    </row>
    <row r="181" spans="19:19" x14ac:dyDescent="0.25">
      <c r="S181" s="424"/>
    </row>
    <row r="182" spans="19:19" x14ac:dyDescent="0.25">
      <c r="S182" s="424"/>
    </row>
    <row r="183" spans="19:19" x14ac:dyDescent="0.25">
      <c r="S183" s="424"/>
    </row>
    <row r="184" spans="19:19" x14ac:dyDescent="0.25">
      <c r="S184" s="424"/>
    </row>
    <row r="185" spans="19:19" x14ac:dyDescent="0.25">
      <c r="S185" s="424"/>
    </row>
    <row r="186" spans="19:19" x14ac:dyDescent="0.25">
      <c r="S186" s="424"/>
    </row>
    <row r="187" spans="19:19" x14ac:dyDescent="0.25">
      <c r="S187" s="424"/>
    </row>
    <row r="188" spans="19:19" x14ac:dyDescent="0.25">
      <c r="S188" s="424"/>
    </row>
    <row r="189" spans="19:19" x14ac:dyDescent="0.25">
      <c r="S189" s="424"/>
    </row>
    <row r="190" spans="19:19" x14ac:dyDescent="0.25">
      <c r="S190" s="424"/>
    </row>
    <row r="191" spans="19:19" x14ac:dyDescent="0.25">
      <c r="S191" s="424"/>
    </row>
    <row r="192" spans="19:19" x14ac:dyDescent="0.25">
      <c r="S192" s="424"/>
    </row>
    <row r="193" spans="19:19" x14ac:dyDescent="0.25">
      <c r="S193" s="424"/>
    </row>
    <row r="194" spans="19:19" x14ac:dyDescent="0.25">
      <c r="S194" s="424"/>
    </row>
    <row r="195" spans="19:19" x14ac:dyDescent="0.25">
      <c r="S195" s="424"/>
    </row>
    <row r="196" spans="19:19" x14ac:dyDescent="0.25">
      <c r="S196" s="424"/>
    </row>
    <row r="197" spans="19:19" x14ac:dyDescent="0.25">
      <c r="S197" s="424"/>
    </row>
    <row r="198" spans="19:19" x14ac:dyDescent="0.25">
      <c r="S198" s="424"/>
    </row>
    <row r="199" spans="19:19" x14ac:dyDescent="0.25">
      <c r="S199" s="424"/>
    </row>
    <row r="200" spans="19:19" x14ac:dyDescent="0.25">
      <c r="S200" s="424"/>
    </row>
    <row r="201" spans="19:19" x14ac:dyDescent="0.25">
      <c r="S201" s="424"/>
    </row>
    <row r="202" spans="19:19" x14ac:dyDescent="0.25">
      <c r="S202" s="424"/>
    </row>
    <row r="203" spans="19:19" x14ac:dyDescent="0.25">
      <c r="S203" s="424"/>
    </row>
    <row r="204" spans="19:19" x14ac:dyDescent="0.25">
      <c r="S204" s="424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8" bestFit="1" customWidth="1"/>
    <col min="2" max="2" width="60.1640625" style="485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9" customWidth="1"/>
    <col min="18" max="16384" width="9.33203125" style="485"/>
  </cols>
  <sheetData>
    <row r="1" spans="1:17" x14ac:dyDescent="0.25">
      <c r="A1" s="1569" t="s">
        <v>749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</row>
    <row r="2" spans="1:17" x14ac:dyDescent="0.25">
      <c r="A2" s="1570" t="s">
        <v>750</v>
      </c>
      <c r="B2" s="1570"/>
      <c r="C2" s="1570"/>
      <c r="D2" s="1570"/>
      <c r="E2" s="1570"/>
      <c r="F2" s="1570"/>
      <c r="G2" s="1570"/>
      <c r="H2" s="1570"/>
      <c r="I2" s="1570"/>
      <c r="J2" s="1570"/>
      <c r="K2" s="507"/>
      <c r="L2" s="485"/>
      <c r="M2" s="485"/>
      <c r="N2" s="485"/>
      <c r="O2" s="485"/>
      <c r="P2" s="485"/>
      <c r="Q2" s="485"/>
    </row>
    <row r="4" spans="1:17" s="513" customFormat="1" x14ac:dyDescent="0.2">
      <c r="A4" s="510"/>
      <c r="B4" s="511" t="s">
        <v>12</v>
      </c>
      <c r="C4" s="512">
        <v>2011</v>
      </c>
      <c r="D4" s="1574" t="s">
        <v>507</v>
      </c>
      <c r="E4" s="1575"/>
      <c r="F4" s="1575"/>
      <c r="G4" s="1575"/>
      <c r="H4" s="1575"/>
      <c r="I4" s="1575"/>
      <c r="J4" s="1576"/>
      <c r="K4" s="1572" t="s">
        <v>508</v>
      </c>
      <c r="L4" s="1572"/>
      <c r="M4" s="1572"/>
      <c r="N4" s="1572"/>
      <c r="O4" s="1572"/>
      <c r="P4" s="1572"/>
      <c r="Q4" s="1573"/>
    </row>
    <row r="5" spans="1:17" s="513" customFormat="1" ht="75" x14ac:dyDescent="0.2">
      <c r="A5" s="514"/>
      <c r="B5" s="515"/>
      <c r="C5" s="512" t="s">
        <v>751</v>
      </c>
      <c r="D5" s="512" t="s">
        <v>485</v>
      </c>
      <c r="E5" s="435" t="s">
        <v>510</v>
      </c>
      <c r="F5" s="435" t="s">
        <v>511</v>
      </c>
      <c r="G5" s="435" t="s">
        <v>512</v>
      </c>
      <c r="H5" s="512" t="s">
        <v>483</v>
      </c>
      <c r="I5" s="512" t="s">
        <v>484</v>
      </c>
      <c r="J5" s="512" t="s">
        <v>1002</v>
      </c>
      <c r="K5" s="435" t="s">
        <v>510</v>
      </c>
      <c r="L5" s="435" t="s">
        <v>511</v>
      </c>
      <c r="M5" s="435" t="s">
        <v>512</v>
      </c>
      <c r="N5" s="512" t="s">
        <v>483</v>
      </c>
      <c r="O5" s="435" t="s">
        <v>747</v>
      </c>
      <c r="P5" s="512" t="s">
        <v>484</v>
      </c>
      <c r="Q5" s="437" t="s">
        <v>1002</v>
      </c>
    </row>
    <row r="6" spans="1:17" x14ac:dyDescent="0.25">
      <c r="A6" s="516">
        <v>1</v>
      </c>
      <c r="B6" s="517" t="s">
        <v>752</v>
      </c>
      <c r="C6" s="454"/>
      <c r="D6" s="441">
        <v>37307.510999999999</v>
      </c>
      <c r="E6" s="441">
        <v>9658.8590000000004</v>
      </c>
      <c r="F6" s="441">
        <v>6776.4070000000002</v>
      </c>
      <c r="G6" s="441">
        <v>580.88199999999995</v>
      </c>
      <c r="H6" s="441">
        <v>10415.591</v>
      </c>
      <c r="I6" s="441">
        <v>33870.446999999993</v>
      </c>
      <c r="J6" s="441">
        <v>98609.696999999986</v>
      </c>
      <c r="K6" s="443">
        <v>30313.200000000001</v>
      </c>
      <c r="L6" s="443">
        <v>0</v>
      </c>
      <c r="M6" s="443">
        <v>2307.6</v>
      </c>
      <c r="N6" s="443">
        <v>14015.82</v>
      </c>
      <c r="O6" s="443">
        <v>14015.82</v>
      </c>
      <c r="P6" s="443">
        <v>32068.795000000002</v>
      </c>
      <c r="Q6" s="444">
        <v>78705.415000000008</v>
      </c>
    </row>
    <row r="7" spans="1:17" x14ac:dyDescent="0.25">
      <c r="A7" s="518">
        <v>2</v>
      </c>
      <c r="B7" s="519" t="s">
        <v>753</v>
      </c>
      <c r="C7" s="454"/>
      <c r="D7" s="441">
        <v>10871.213</v>
      </c>
      <c r="E7" s="441">
        <v>1885.702</v>
      </c>
      <c r="F7" s="441">
        <v>2102.7359999999999</v>
      </c>
      <c r="G7" s="441">
        <v>310.26400000000001</v>
      </c>
      <c r="H7" s="441">
        <v>4687.991</v>
      </c>
      <c r="I7" s="441">
        <v>9168.5529999999999</v>
      </c>
      <c r="J7" s="441">
        <v>29026.458999999995</v>
      </c>
      <c r="K7" s="443">
        <v>4347</v>
      </c>
      <c r="L7" s="443">
        <v>0</v>
      </c>
      <c r="M7" s="443">
        <v>480</v>
      </c>
      <c r="N7" s="443">
        <v>6303.9009999999998</v>
      </c>
      <c r="O7" s="443">
        <v>6303.9009999999998</v>
      </c>
      <c r="P7" s="443">
        <v>5704.558</v>
      </c>
      <c r="Q7" s="444">
        <v>16835.459000000003</v>
      </c>
    </row>
    <row r="8" spans="1:17" s="498" customFormat="1" x14ac:dyDescent="0.25">
      <c r="A8" s="518">
        <v>3</v>
      </c>
      <c r="B8" s="519" t="s">
        <v>754</v>
      </c>
      <c r="C8" s="454"/>
      <c r="D8" s="441">
        <v>321.15600000000001</v>
      </c>
      <c r="E8" s="441">
        <v>92</v>
      </c>
      <c r="F8" s="441">
        <v>818.31099999999992</v>
      </c>
      <c r="G8" s="441">
        <v>523.02099999999996</v>
      </c>
      <c r="H8" s="441">
        <v>3153.4</v>
      </c>
      <c r="I8" s="441">
        <v>1370.0910000000001</v>
      </c>
      <c r="J8" s="441">
        <v>6277.9790000000003</v>
      </c>
      <c r="K8" s="443">
        <v>276</v>
      </c>
      <c r="L8" s="443">
        <v>0</v>
      </c>
      <c r="M8" s="443">
        <v>926.4</v>
      </c>
      <c r="N8" s="443">
        <v>2087.1</v>
      </c>
      <c r="O8" s="443">
        <v>2087.1</v>
      </c>
      <c r="P8" s="443">
        <v>0</v>
      </c>
      <c r="Q8" s="444">
        <v>3289.5000000000005</v>
      </c>
    </row>
    <row r="9" spans="1:17" s="498" customFormat="1" x14ac:dyDescent="0.25">
      <c r="A9" s="455">
        <v>4</v>
      </c>
      <c r="B9" s="456" t="s">
        <v>755</v>
      </c>
      <c r="C9" s="520">
        <v>0</v>
      </c>
      <c r="D9" s="520">
        <v>48499.880000000005</v>
      </c>
      <c r="E9" s="520">
        <v>11636.561</v>
      </c>
      <c r="F9" s="520">
        <v>9697.4539999999997</v>
      </c>
      <c r="G9" s="520">
        <v>1414.1669999999999</v>
      </c>
      <c r="H9" s="520">
        <v>18256.982</v>
      </c>
      <c r="I9" s="520">
        <v>44409.090999999993</v>
      </c>
      <c r="J9" s="520">
        <v>133914.13500000001</v>
      </c>
      <c r="K9" s="520">
        <v>34936.199999999997</v>
      </c>
      <c r="L9" s="520">
        <v>0</v>
      </c>
      <c r="M9" s="520">
        <v>3714</v>
      </c>
      <c r="N9" s="520">
        <v>22406.820999999996</v>
      </c>
      <c r="O9" s="520">
        <v>22406.820999999996</v>
      </c>
      <c r="P9" s="520">
        <v>37773.353000000003</v>
      </c>
      <c r="Q9" s="520">
        <v>98830.373999999996</v>
      </c>
    </row>
    <row r="10" spans="1:17" s="498" customFormat="1" x14ac:dyDescent="0.25">
      <c r="A10" s="455">
        <v>5</v>
      </c>
      <c r="B10" s="456" t="s">
        <v>756</v>
      </c>
      <c r="C10" s="520"/>
      <c r="D10" s="520">
        <v>13945.891</v>
      </c>
      <c r="E10" s="520">
        <v>3062.3130000000001</v>
      </c>
      <c r="F10" s="520">
        <v>2452.9369999999999</v>
      </c>
      <c r="G10" s="520">
        <v>376.512</v>
      </c>
      <c r="H10" s="520">
        <v>4427.0889999999999</v>
      </c>
      <c r="I10" s="520">
        <v>11635.154999999999</v>
      </c>
      <c r="J10" s="520">
        <v>35899.896999999997</v>
      </c>
      <c r="K10" s="520">
        <v>10275.744000000001</v>
      </c>
      <c r="L10" s="520">
        <v>0</v>
      </c>
      <c r="M10" s="520">
        <v>1002.7800000000001</v>
      </c>
      <c r="N10" s="520">
        <v>6030.1790000000001</v>
      </c>
      <c r="O10" s="520">
        <v>6030.1790000000001</v>
      </c>
      <c r="P10" s="520">
        <v>9264.7510000000002</v>
      </c>
      <c r="Q10" s="520">
        <v>26573.454000000002</v>
      </c>
    </row>
    <row r="11" spans="1:17" s="521" customFormat="1" x14ac:dyDescent="0.2">
      <c r="A11" s="455">
        <v>6</v>
      </c>
      <c r="B11" s="456" t="s">
        <v>757</v>
      </c>
      <c r="C11" s="520">
        <v>0</v>
      </c>
      <c r="D11" s="520">
        <v>15676.251</v>
      </c>
      <c r="E11" s="520">
        <v>6338.8120000000008</v>
      </c>
      <c r="F11" s="520">
        <v>3552.2360000000003</v>
      </c>
      <c r="G11" s="520">
        <v>2335.3100000000004</v>
      </c>
      <c r="H11" s="520">
        <v>35830.889000000003</v>
      </c>
      <c r="I11" s="520">
        <v>7111.4290000000001</v>
      </c>
      <c r="J11" s="520">
        <v>70844.927000000011</v>
      </c>
      <c r="K11" s="520">
        <v>19973.105209599998</v>
      </c>
      <c r="L11" s="520">
        <v>10197.028188976377</v>
      </c>
      <c r="M11" s="520">
        <v>2497.6275000000001</v>
      </c>
      <c r="N11" s="520">
        <v>27951.150711220471</v>
      </c>
      <c r="O11" s="520">
        <v>38148.17890019685</v>
      </c>
      <c r="P11" s="520">
        <v>11774.928659000001</v>
      </c>
      <c r="Q11" s="520">
        <v>72393.840268796834</v>
      </c>
    </row>
    <row r="12" spans="1:17" x14ac:dyDescent="0.25">
      <c r="A12" s="522">
        <v>7</v>
      </c>
      <c r="B12" s="523" t="s">
        <v>758</v>
      </c>
      <c r="C12" s="454">
        <v>0</v>
      </c>
      <c r="D12" s="441">
        <v>275.70100000000002</v>
      </c>
      <c r="E12" s="441">
        <v>638.84199999999998</v>
      </c>
      <c r="F12" s="441">
        <v>470.01000000000005</v>
      </c>
      <c r="G12" s="441">
        <v>77.579000000000008</v>
      </c>
      <c r="H12" s="441">
        <v>2146.5930000000003</v>
      </c>
      <c r="I12" s="441">
        <v>1341.011</v>
      </c>
      <c r="J12" s="441">
        <v>4949.7360000000008</v>
      </c>
      <c r="K12" s="443">
        <v>745</v>
      </c>
      <c r="L12" s="443">
        <v>660</v>
      </c>
      <c r="M12" s="443">
        <v>200</v>
      </c>
      <c r="N12" s="443">
        <v>2282</v>
      </c>
      <c r="O12" s="443">
        <v>2942</v>
      </c>
      <c r="P12" s="443">
        <v>1969</v>
      </c>
      <c r="Q12" s="444">
        <v>5856</v>
      </c>
    </row>
    <row r="13" spans="1:17" x14ac:dyDescent="0.25">
      <c r="A13" s="524">
        <v>8</v>
      </c>
      <c r="B13" s="525" t="s">
        <v>759</v>
      </c>
      <c r="C13" s="454"/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4">
        <v>0</v>
      </c>
    </row>
    <row r="14" spans="1:17" x14ac:dyDescent="0.25">
      <c r="A14" s="524">
        <v>9</v>
      </c>
      <c r="B14" s="525" t="s">
        <v>486</v>
      </c>
      <c r="C14" s="454"/>
      <c r="D14" s="441">
        <v>3.9</v>
      </c>
      <c r="E14" s="441">
        <v>0</v>
      </c>
      <c r="F14" s="441">
        <v>0</v>
      </c>
      <c r="G14" s="441">
        <v>0</v>
      </c>
      <c r="H14" s="441">
        <v>57.414999999999999</v>
      </c>
      <c r="I14" s="441">
        <v>0</v>
      </c>
      <c r="J14" s="441">
        <v>61.314999999999998</v>
      </c>
      <c r="K14" s="443">
        <v>5</v>
      </c>
      <c r="L14" s="443">
        <v>10</v>
      </c>
      <c r="M14" s="443">
        <v>0</v>
      </c>
      <c r="N14" s="443">
        <v>150</v>
      </c>
      <c r="O14" s="443">
        <v>160</v>
      </c>
      <c r="P14" s="443">
        <v>0</v>
      </c>
      <c r="Q14" s="444">
        <v>165</v>
      </c>
    </row>
    <row r="15" spans="1:17" x14ac:dyDescent="0.25">
      <c r="A15" s="524">
        <v>10</v>
      </c>
      <c r="B15" s="525" t="s">
        <v>487</v>
      </c>
      <c r="C15" s="454"/>
      <c r="D15" s="441">
        <v>0</v>
      </c>
      <c r="E15" s="441">
        <v>0</v>
      </c>
      <c r="F15" s="441">
        <v>0</v>
      </c>
      <c r="G15" s="441">
        <v>17.811</v>
      </c>
      <c r="H15" s="441">
        <v>3.3050000000000002</v>
      </c>
      <c r="I15" s="441">
        <v>0</v>
      </c>
      <c r="J15" s="441">
        <v>21.116</v>
      </c>
      <c r="K15" s="443">
        <v>0</v>
      </c>
      <c r="L15" s="443">
        <v>0</v>
      </c>
      <c r="M15" s="443">
        <v>0</v>
      </c>
      <c r="N15" s="443">
        <v>0</v>
      </c>
      <c r="O15" s="443">
        <v>0</v>
      </c>
      <c r="P15" s="443">
        <v>0</v>
      </c>
      <c r="Q15" s="444">
        <v>0</v>
      </c>
    </row>
    <row r="16" spans="1:17" s="448" customFormat="1" x14ac:dyDescent="0.25">
      <c r="A16" s="526">
        <v>11</v>
      </c>
      <c r="B16" s="527" t="s">
        <v>760</v>
      </c>
      <c r="C16" s="447"/>
      <c r="D16" s="441">
        <v>96.269000000000005</v>
      </c>
      <c r="E16" s="441">
        <v>22.527999999999999</v>
      </c>
      <c r="F16" s="441">
        <v>15.244</v>
      </c>
      <c r="G16" s="441">
        <v>24.071000000000002</v>
      </c>
      <c r="H16" s="441">
        <v>249.023</v>
      </c>
      <c r="I16" s="441">
        <v>585.18299999999999</v>
      </c>
      <c r="J16" s="441">
        <v>992.31799999999998</v>
      </c>
      <c r="K16" s="443">
        <v>45</v>
      </c>
      <c r="L16" s="443">
        <v>100</v>
      </c>
      <c r="M16" s="443">
        <v>50</v>
      </c>
      <c r="N16" s="443">
        <v>50</v>
      </c>
      <c r="O16" s="443">
        <v>150</v>
      </c>
      <c r="P16" s="443">
        <v>849</v>
      </c>
      <c r="Q16" s="444">
        <v>1094</v>
      </c>
    </row>
    <row r="17" spans="1:17" x14ac:dyDescent="0.25">
      <c r="A17" s="524">
        <v>12</v>
      </c>
      <c r="B17" s="525" t="s">
        <v>761</v>
      </c>
      <c r="C17" s="454"/>
      <c r="D17" s="441">
        <v>0</v>
      </c>
      <c r="E17" s="441">
        <v>0</v>
      </c>
      <c r="F17" s="441">
        <v>381.88099999999997</v>
      </c>
      <c r="G17" s="441">
        <v>0</v>
      </c>
      <c r="H17" s="441">
        <v>3.343</v>
      </c>
      <c r="I17" s="441">
        <v>0</v>
      </c>
      <c r="J17" s="441">
        <v>385.22399999999999</v>
      </c>
      <c r="K17" s="443">
        <v>0</v>
      </c>
      <c r="L17" s="443">
        <v>0</v>
      </c>
      <c r="M17" s="443">
        <v>0</v>
      </c>
      <c r="N17" s="443">
        <v>12</v>
      </c>
      <c r="O17" s="443">
        <v>12</v>
      </c>
      <c r="P17" s="443">
        <v>100</v>
      </c>
      <c r="Q17" s="444">
        <v>112</v>
      </c>
    </row>
    <row r="18" spans="1:17" x14ac:dyDescent="0.25">
      <c r="A18" s="524">
        <v>13</v>
      </c>
      <c r="B18" s="525" t="s">
        <v>762</v>
      </c>
      <c r="C18" s="454"/>
      <c r="D18" s="441">
        <v>0</v>
      </c>
      <c r="E18" s="441">
        <v>0</v>
      </c>
      <c r="F18" s="441">
        <v>35.5</v>
      </c>
      <c r="G18" s="441">
        <v>0</v>
      </c>
      <c r="H18" s="441">
        <v>0</v>
      </c>
      <c r="I18" s="441">
        <v>0</v>
      </c>
      <c r="J18" s="441">
        <v>35.5</v>
      </c>
      <c r="K18" s="443">
        <v>60</v>
      </c>
      <c r="L18" s="443">
        <v>0</v>
      </c>
      <c r="M18" s="443">
        <v>0</v>
      </c>
      <c r="N18" s="443">
        <v>0</v>
      </c>
      <c r="O18" s="443">
        <v>0</v>
      </c>
      <c r="P18" s="443">
        <v>0</v>
      </c>
      <c r="Q18" s="444">
        <v>60</v>
      </c>
    </row>
    <row r="19" spans="1:17" x14ac:dyDescent="0.25">
      <c r="A19" s="524">
        <v>14</v>
      </c>
      <c r="B19" s="525" t="s">
        <v>763</v>
      </c>
      <c r="C19" s="454"/>
      <c r="D19" s="441">
        <v>0</v>
      </c>
      <c r="E19" s="441">
        <v>0</v>
      </c>
      <c r="F19" s="441">
        <v>0</v>
      </c>
      <c r="G19" s="441">
        <v>0</v>
      </c>
      <c r="H19" s="441">
        <v>0</v>
      </c>
      <c r="I19" s="441">
        <v>206.1</v>
      </c>
      <c r="J19" s="441">
        <v>206.1</v>
      </c>
      <c r="K19" s="443">
        <v>0</v>
      </c>
      <c r="L19" s="443">
        <v>0</v>
      </c>
      <c r="M19" s="443">
        <v>0</v>
      </c>
      <c r="N19" s="443">
        <v>0</v>
      </c>
      <c r="O19" s="443">
        <v>0</v>
      </c>
      <c r="P19" s="443">
        <v>170</v>
      </c>
      <c r="Q19" s="444">
        <v>170</v>
      </c>
    </row>
    <row r="20" spans="1:17" x14ac:dyDescent="0.25">
      <c r="A20" s="524">
        <v>15</v>
      </c>
      <c r="B20" s="525" t="s">
        <v>764</v>
      </c>
      <c r="C20" s="454"/>
      <c r="D20" s="441">
        <v>0</v>
      </c>
      <c r="E20" s="441">
        <v>0</v>
      </c>
      <c r="F20" s="441">
        <v>0</v>
      </c>
      <c r="G20" s="441">
        <v>0</v>
      </c>
      <c r="H20" s="441">
        <v>0</v>
      </c>
      <c r="I20" s="441">
        <v>0</v>
      </c>
      <c r="J20" s="441">
        <v>0</v>
      </c>
      <c r="K20" s="443">
        <v>0</v>
      </c>
      <c r="L20" s="443">
        <v>0</v>
      </c>
      <c r="M20" s="443">
        <v>0</v>
      </c>
      <c r="N20" s="443">
        <v>0</v>
      </c>
      <c r="O20" s="443">
        <v>0</v>
      </c>
      <c r="P20" s="443">
        <v>0</v>
      </c>
      <c r="Q20" s="444">
        <v>0</v>
      </c>
    </row>
    <row r="21" spans="1:17" x14ac:dyDescent="0.25">
      <c r="A21" s="524">
        <v>16</v>
      </c>
      <c r="B21" s="525" t="s">
        <v>765</v>
      </c>
      <c r="C21" s="454"/>
      <c r="D21" s="441">
        <v>0</v>
      </c>
      <c r="E21" s="441">
        <v>0</v>
      </c>
      <c r="F21" s="441">
        <v>0</v>
      </c>
      <c r="G21" s="441">
        <v>0</v>
      </c>
      <c r="H21" s="441">
        <v>782.96799999999996</v>
      </c>
      <c r="I21" s="441">
        <v>0</v>
      </c>
      <c r="J21" s="441">
        <v>782.96799999999996</v>
      </c>
      <c r="K21" s="443">
        <v>0</v>
      </c>
      <c r="L21" s="443">
        <v>0</v>
      </c>
      <c r="M21" s="443">
        <v>0</v>
      </c>
      <c r="N21" s="443">
        <v>900</v>
      </c>
      <c r="O21" s="443">
        <v>900</v>
      </c>
      <c r="P21" s="443">
        <v>0</v>
      </c>
      <c r="Q21" s="444">
        <v>900</v>
      </c>
    </row>
    <row r="22" spans="1:17" x14ac:dyDescent="0.25">
      <c r="A22" s="524">
        <v>17</v>
      </c>
      <c r="B22" s="525" t="s">
        <v>488</v>
      </c>
      <c r="C22" s="454"/>
      <c r="D22" s="441">
        <v>107.072</v>
      </c>
      <c r="E22" s="441">
        <v>88.415999999999997</v>
      </c>
      <c r="F22" s="441">
        <v>2.0710000000000002</v>
      </c>
      <c r="G22" s="441">
        <v>0</v>
      </c>
      <c r="H22" s="441">
        <v>201.38</v>
      </c>
      <c r="I22" s="441">
        <v>0</v>
      </c>
      <c r="J22" s="441">
        <v>398.93899999999996</v>
      </c>
      <c r="K22" s="443">
        <v>300</v>
      </c>
      <c r="L22" s="443">
        <v>400</v>
      </c>
      <c r="M22" s="443">
        <v>0</v>
      </c>
      <c r="N22" s="443">
        <v>100</v>
      </c>
      <c r="O22" s="443">
        <v>500</v>
      </c>
      <c r="P22" s="443">
        <v>0</v>
      </c>
      <c r="Q22" s="444">
        <v>800</v>
      </c>
    </row>
    <row r="23" spans="1:17" ht="25.5" x14ac:dyDescent="0.25">
      <c r="A23" s="524">
        <v>18</v>
      </c>
      <c r="B23" s="525" t="s">
        <v>766</v>
      </c>
      <c r="C23" s="454"/>
      <c r="D23" s="441">
        <v>15.717000000000001</v>
      </c>
      <c r="E23" s="441">
        <v>180.34899999999999</v>
      </c>
      <c r="F23" s="441">
        <v>0</v>
      </c>
      <c r="G23" s="441">
        <v>22</v>
      </c>
      <c r="H23" s="441">
        <v>40.271999999999998</v>
      </c>
      <c r="I23" s="441">
        <v>84.063000000000002</v>
      </c>
      <c r="J23" s="441">
        <v>342.40100000000001</v>
      </c>
      <c r="K23" s="443">
        <v>120</v>
      </c>
      <c r="L23" s="443">
        <v>0</v>
      </c>
      <c r="M23" s="443">
        <v>100</v>
      </c>
      <c r="N23" s="443">
        <v>60</v>
      </c>
      <c r="O23" s="443">
        <v>60</v>
      </c>
      <c r="P23" s="443">
        <v>200</v>
      </c>
      <c r="Q23" s="444">
        <v>480</v>
      </c>
    </row>
    <row r="24" spans="1:17" ht="25.5" x14ac:dyDescent="0.25">
      <c r="A24" s="524">
        <v>19</v>
      </c>
      <c r="B24" s="525" t="s">
        <v>767</v>
      </c>
      <c r="C24" s="454"/>
      <c r="D24" s="441">
        <v>0</v>
      </c>
      <c r="E24" s="441">
        <v>0</v>
      </c>
      <c r="F24" s="441">
        <v>0</v>
      </c>
      <c r="G24" s="441">
        <v>0</v>
      </c>
      <c r="H24" s="441">
        <v>67.545000000000002</v>
      </c>
      <c r="I24" s="441">
        <v>0</v>
      </c>
      <c r="J24" s="441">
        <v>67.545000000000002</v>
      </c>
      <c r="K24" s="443">
        <v>0</v>
      </c>
      <c r="L24" s="443">
        <v>0</v>
      </c>
      <c r="M24" s="443">
        <v>0</v>
      </c>
      <c r="N24" s="443">
        <v>150</v>
      </c>
      <c r="O24" s="443">
        <v>150</v>
      </c>
      <c r="P24" s="443">
        <v>0</v>
      </c>
      <c r="Q24" s="444">
        <v>150</v>
      </c>
    </row>
    <row r="25" spans="1:17" x14ac:dyDescent="0.25">
      <c r="A25" s="524">
        <v>20</v>
      </c>
      <c r="B25" s="525" t="s">
        <v>768</v>
      </c>
      <c r="C25" s="454"/>
      <c r="D25" s="441">
        <v>52.742999999999995</v>
      </c>
      <c r="E25" s="441">
        <v>347.54899999999998</v>
      </c>
      <c r="F25" s="441">
        <v>35.314</v>
      </c>
      <c r="G25" s="441">
        <v>13.696999999999999</v>
      </c>
      <c r="H25" s="441">
        <v>741.34199999999998</v>
      </c>
      <c r="I25" s="441">
        <v>465.66500000000002</v>
      </c>
      <c r="J25" s="441">
        <v>1656.31</v>
      </c>
      <c r="K25" s="443">
        <v>215</v>
      </c>
      <c r="L25" s="443">
        <v>150</v>
      </c>
      <c r="M25" s="443">
        <v>50</v>
      </c>
      <c r="N25" s="443">
        <v>860</v>
      </c>
      <c r="O25" s="443">
        <v>1010</v>
      </c>
      <c r="P25" s="443">
        <v>650</v>
      </c>
      <c r="Q25" s="444">
        <v>1925</v>
      </c>
    </row>
    <row r="26" spans="1:17" x14ac:dyDescent="0.25">
      <c r="A26" s="522">
        <v>21</v>
      </c>
      <c r="B26" s="523" t="s">
        <v>769</v>
      </c>
      <c r="C26" s="454">
        <v>0</v>
      </c>
      <c r="D26" s="441">
        <v>192.25800000000001</v>
      </c>
      <c r="E26" s="441">
        <v>62.027000000000001</v>
      </c>
      <c r="F26" s="441">
        <v>28.827999999999999</v>
      </c>
      <c r="G26" s="441">
        <v>64.864000000000004</v>
      </c>
      <c r="H26" s="441">
        <v>372.27600000000001</v>
      </c>
      <c r="I26" s="441">
        <v>1051.4829999999999</v>
      </c>
      <c r="J26" s="441">
        <v>1771.7359999999999</v>
      </c>
      <c r="K26" s="443">
        <v>157.35009359999998</v>
      </c>
      <c r="L26" s="443">
        <v>73.131</v>
      </c>
      <c r="M26" s="443">
        <v>164</v>
      </c>
      <c r="N26" s="443">
        <v>649</v>
      </c>
      <c r="O26" s="443">
        <v>722.13099999999997</v>
      </c>
      <c r="P26" s="443">
        <v>685.40300000000002</v>
      </c>
      <c r="Q26" s="444">
        <v>1728.8840936000001</v>
      </c>
    </row>
    <row r="27" spans="1:17" x14ac:dyDescent="0.25">
      <c r="A27" s="524">
        <v>22</v>
      </c>
      <c r="B27" s="525" t="s">
        <v>770</v>
      </c>
      <c r="C27" s="454"/>
      <c r="D27" s="441">
        <v>73.188000000000002</v>
      </c>
      <c r="E27" s="441">
        <v>11.914999999999999</v>
      </c>
      <c r="F27" s="441">
        <v>28.827999999999999</v>
      </c>
      <c r="G27" s="441">
        <v>23.106000000000002</v>
      </c>
      <c r="H27" s="441">
        <v>-2.214</v>
      </c>
      <c r="I27" s="441">
        <v>1041.643</v>
      </c>
      <c r="J27" s="441">
        <v>1176.4660000000001</v>
      </c>
      <c r="K27" s="443">
        <v>30.225971999999999</v>
      </c>
      <c r="L27" s="443">
        <v>73.131</v>
      </c>
      <c r="M27" s="443">
        <v>50</v>
      </c>
      <c r="N27" s="443">
        <v>0</v>
      </c>
      <c r="O27" s="443">
        <v>73.131</v>
      </c>
      <c r="P27" s="443">
        <v>618.34699999999998</v>
      </c>
      <c r="Q27" s="444">
        <v>771.70397200000002</v>
      </c>
    </row>
    <row r="28" spans="1:17" x14ac:dyDescent="0.25">
      <c r="A28" s="524">
        <v>23</v>
      </c>
      <c r="B28" s="525" t="s">
        <v>771</v>
      </c>
      <c r="C28" s="454"/>
      <c r="D28" s="441">
        <v>85.066000000000003</v>
      </c>
      <c r="E28" s="441">
        <v>50.112000000000002</v>
      </c>
      <c r="F28" s="441">
        <v>0</v>
      </c>
      <c r="G28" s="441">
        <v>41.758000000000003</v>
      </c>
      <c r="H28" s="441">
        <v>0</v>
      </c>
      <c r="I28" s="441">
        <v>9.84</v>
      </c>
      <c r="J28" s="441">
        <v>186.77600000000001</v>
      </c>
      <c r="K28" s="443">
        <v>127.12412159999998</v>
      </c>
      <c r="L28" s="443">
        <v>0</v>
      </c>
      <c r="M28" s="443">
        <v>114</v>
      </c>
      <c r="N28" s="443">
        <v>105</v>
      </c>
      <c r="O28" s="443">
        <v>105</v>
      </c>
      <c r="P28" s="443">
        <v>67.055999999999997</v>
      </c>
      <c r="Q28" s="444">
        <v>413.18012160000001</v>
      </c>
    </row>
    <row r="29" spans="1:17" x14ac:dyDescent="0.25">
      <c r="A29" s="524">
        <v>24</v>
      </c>
      <c r="B29" s="525" t="s">
        <v>772</v>
      </c>
      <c r="C29" s="454"/>
      <c r="D29" s="441">
        <v>34.003999999999998</v>
      </c>
      <c r="E29" s="441">
        <v>0</v>
      </c>
      <c r="F29" s="441">
        <v>0</v>
      </c>
      <c r="G29" s="441">
        <v>0</v>
      </c>
      <c r="H29" s="441">
        <v>374.49</v>
      </c>
      <c r="I29" s="441">
        <v>0</v>
      </c>
      <c r="J29" s="441">
        <v>408.49400000000003</v>
      </c>
      <c r="K29" s="443">
        <v>0</v>
      </c>
      <c r="L29" s="443">
        <v>0</v>
      </c>
      <c r="M29" s="443">
        <v>0</v>
      </c>
      <c r="N29" s="443">
        <v>544</v>
      </c>
      <c r="O29" s="443">
        <v>544</v>
      </c>
      <c r="P29" s="443">
        <v>0</v>
      </c>
      <c r="Q29" s="444">
        <v>544</v>
      </c>
    </row>
    <row r="30" spans="1:17" x14ac:dyDescent="0.25">
      <c r="A30" s="522">
        <v>25</v>
      </c>
      <c r="B30" s="523" t="s">
        <v>773</v>
      </c>
      <c r="C30" s="454">
        <v>0</v>
      </c>
      <c r="D30" s="441">
        <v>15169.269999999999</v>
      </c>
      <c r="E30" s="441">
        <v>5606.3610000000008</v>
      </c>
      <c r="F30" s="441">
        <v>3053.3980000000001</v>
      </c>
      <c r="G30" s="441">
        <v>2192.8670000000002</v>
      </c>
      <c r="H30" s="441">
        <v>23636.494000000002</v>
      </c>
      <c r="I30" s="441">
        <v>4385.1760000000004</v>
      </c>
      <c r="J30" s="441">
        <v>54043.565999999999</v>
      </c>
      <c r="K30" s="443">
        <v>18870.755116</v>
      </c>
      <c r="L30" s="443">
        <v>9463.8971889763779</v>
      </c>
      <c r="M30" s="443">
        <v>2133.6275000000001</v>
      </c>
      <c r="N30" s="443">
        <v>18217.598711220471</v>
      </c>
      <c r="O30" s="443">
        <v>27681.495900196849</v>
      </c>
      <c r="P30" s="443">
        <v>7640.5256589999999</v>
      </c>
      <c r="Q30" s="444">
        <v>56326.404175196847</v>
      </c>
    </row>
    <row r="31" spans="1:17" x14ac:dyDescent="0.25">
      <c r="A31" s="524">
        <v>26</v>
      </c>
      <c r="B31" s="525" t="s">
        <v>489</v>
      </c>
      <c r="C31" s="454"/>
      <c r="D31" s="441">
        <v>11101.998</v>
      </c>
      <c r="E31" s="441">
        <v>4900.027</v>
      </c>
      <c r="F31" s="441">
        <v>1848.883</v>
      </c>
      <c r="G31" s="441">
        <v>0</v>
      </c>
      <c r="H31" s="441">
        <v>0</v>
      </c>
      <c r="I31" s="441">
        <v>0</v>
      </c>
      <c r="J31" s="441">
        <v>17850.907999999999</v>
      </c>
      <c r="K31" s="443">
        <v>14126.425999999999</v>
      </c>
      <c r="L31" s="443">
        <v>5519.4089999999997</v>
      </c>
      <c r="M31" s="443">
        <v>0</v>
      </c>
      <c r="N31" s="443">
        <v>0</v>
      </c>
      <c r="O31" s="443">
        <v>5519.4089999999997</v>
      </c>
      <c r="P31" s="443">
        <v>0</v>
      </c>
      <c r="Q31" s="444">
        <v>19645.834999999999</v>
      </c>
    </row>
    <row r="32" spans="1:17" s="448" customFormat="1" x14ac:dyDescent="0.25">
      <c r="A32" s="526">
        <v>27</v>
      </c>
      <c r="B32" s="527" t="s">
        <v>774</v>
      </c>
      <c r="C32" s="447"/>
      <c r="D32" s="441">
        <v>0</v>
      </c>
      <c r="E32" s="441">
        <v>10.894</v>
      </c>
      <c r="F32" s="441">
        <v>0</v>
      </c>
      <c r="G32" s="441">
        <v>0</v>
      </c>
      <c r="H32" s="441">
        <v>2938.3720000000003</v>
      </c>
      <c r="I32" s="441">
        <v>185.5</v>
      </c>
      <c r="J32" s="441">
        <v>3134.7660000000001</v>
      </c>
      <c r="K32" s="443">
        <v>96</v>
      </c>
      <c r="L32" s="443">
        <v>0</v>
      </c>
      <c r="M32" s="443">
        <v>0</v>
      </c>
      <c r="N32" s="443">
        <v>2471.94</v>
      </c>
      <c r="O32" s="443">
        <v>2471.94</v>
      </c>
      <c r="P32" s="443">
        <v>291</v>
      </c>
      <c r="Q32" s="444">
        <v>2858.94</v>
      </c>
    </row>
    <row r="33" spans="1:17" x14ac:dyDescent="0.25">
      <c r="A33" s="524">
        <v>28</v>
      </c>
      <c r="B33" s="525" t="s">
        <v>775</v>
      </c>
      <c r="C33" s="454"/>
      <c r="D33" s="441">
        <v>0</v>
      </c>
      <c r="E33" s="441">
        <v>0</v>
      </c>
      <c r="F33" s="441">
        <v>0</v>
      </c>
      <c r="G33" s="441">
        <v>0</v>
      </c>
      <c r="H33" s="441">
        <v>31.187999999999999</v>
      </c>
      <c r="I33" s="441">
        <v>5.3</v>
      </c>
      <c r="J33" s="441">
        <v>36.488</v>
      </c>
      <c r="K33" s="443">
        <v>0</v>
      </c>
      <c r="L33" s="443">
        <v>0</v>
      </c>
      <c r="M33" s="443">
        <v>0</v>
      </c>
      <c r="N33" s="443">
        <v>400</v>
      </c>
      <c r="O33" s="443">
        <v>400</v>
      </c>
      <c r="P33" s="443">
        <v>0</v>
      </c>
      <c r="Q33" s="444">
        <v>400</v>
      </c>
    </row>
    <row r="34" spans="1:17" x14ac:dyDescent="0.25">
      <c r="A34" s="524">
        <v>29</v>
      </c>
      <c r="B34" s="525" t="s">
        <v>776</v>
      </c>
      <c r="C34" s="454"/>
      <c r="D34" s="441">
        <v>2863.96</v>
      </c>
      <c r="E34" s="441">
        <v>46.578000000000003</v>
      </c>
      <c r="F34" s="441">
        <v>633.91399999999999</v>
      </c>
      <c r="G34" s="441">
        <v>1622.242</v>
      </c>
      <c r="H34" s="441">
        <v>1379.5170000000001</v>
      </c>
      <c r="I34" s="441">
        <v>1090.1869999999999</v>
      </c>
      <c r="J34" s="441">
        <v>7636.3980000000001</v>
      </c>
      <c r="K34" s="443">
        <v>3000</v>
      </c>
      <c r="L34" s="443">
        <v>2500</v>
      </c>
      <c r="M34" s="443">
        <v>885.62199999999996</v>
      </c>
      <c r="N34" s="443">
        <v>1458.1494689999997</v>
      </c>
      <c r="O34" s="443">
        <v>3958.149469</v>
      </c>
      <c r="P34" s="443">
        <v>1152.327659</v>
      </c>
      <c r="Q34" s="444">
        <v>8996.0991279999998</v>
      </c>
    </row>
    <row r="35" spans="1:17" x14ac:dyDescent="0.25">
      <c r="A35" s="524">
        <v>30</v>
      </c>
      <c r="B35" s="525" t="s">
        <v>777</v>
      </c>
      <c r="C35" s="454"/>
      <c r="D35" s="441">
        <v>412.15300000000002</v>
      </c>
      <c r="E35" s="441">
        <v>237.71799999999999</v>
      </c>
      <c r="F35" s="441">
        <v>290.74599999999998</v>
      </c>
      <c r="G35" s="441">
        <v>159.69200000000001</v>
      </c>
      <c r="H35" s="441">
        <v>5540.2290000000003</v>
      </c>
      <c r="I35" s="441">
        <v>792.774</v>
      </c>
      <c r="J35" s="441">
        <v>7433.3120000000008</v>
      </c>
      <c r="K35" s="443">
        <v>603.04302239999993</v>
      </c>
      <c r="L35" s="443">
        <v>600</v>
      </c>
      <c r="M35" s="443">
        <v>405.10750000000002</v>
      </c>
      <c r="N35" s="443">
        <v>5735.8823759999996</v>
      </c>
      <c r="O35" s="443">
        <v>6335.8823759999996</v>
      </c>
      <c r="P35" s="443">
        <v>898.23900000000003</v>
      </c>
      <c r="Q35" s="444">
        <v>8242.2718983999985</v>
      </c>
    </row>
    <row r="36" spans="1:17" x14ac:dyDescent="0.25">
      <c r="A36" s="524">
        <v>31</v>
      </c>
      <c r="B36" s="525" t="s">
        <v>778</v>
      </c>
      <c r="C36" s="454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4">
        <v>0</v>
      </c>
    </row>
    <row r="37" spans="1:17" x14ac:dyDescent="0.25">
      <c r="A37" s="524">
        <v>32</v>
      </c>
      <c r="B37" s="525" t="s">
        <v>779</v>
      </c>
      <c r="C37" s="454"/>
      <c r="D37" s="441">
        <v>263.786</v>
      </c>
      <c r="E37" s="441">
        <v>110.432</v>
      </c>
      <c r="F37" s="441">
        <v>203.53200000000001</v>
      </c>
      <c r="G37" s="441">
        <v>122.47199999999999</v>
      </c>
      <c r="H37" s="441">
        <v>966.59</v>
      </c>
      <c r="I37" s="441">
        <v>46.304000000000002</v>
      </c>
      <c r="J37" s="441">
        <v>1713.116</v>
      </c>
      <c r="K37" s="443">
        <v>280.1438976</v>
      </c>
      <c r="L37" s="443">
        <v>300</v>
      </c>
      <c r="M37" s="443">
        <v>100</v>
      </c>
      <c r="N37" s="443">
        <v>1021.6856299999998</v>
      </c>
      <c r="O37" s="443">
        <v>1321.6856299999999</v>
      </c>
      <c r="P37" s="443">
        <v>80</v>
      </c>
      <c r="Q37" s="444">
        <v>1781.8295275999999</v>
      </c>
    </row>
    <row r="38" spans="1:17" s="448" customFormat="1" ht="25.5" x14ac:dyDescent="0.25">
      <c r="A38" s="526">
        <v>33</v>
      </c>
      <c r="B38" s="527" t="s">
        <v>780</v>
      </c>
      <c r="C38" s="447"/>
      <c r="D38" s="441">
        <v>55.47</v>
      </c>
      <c r="E38" s="441">
        <v>79.117000000000004</v>
      </c>
      <c r="F38" s="441">
        <v>61.283000000000001</v>
      </c>
      <c r="G38" s="441">
        <v>12</v>
      </c>
      <c r="H38" s="441">
        <v>6167.7709999999997</v>
      </c>
      <c r="I38" s="441">
        <v>1476.548</v>
      </c>
      <c r="J38" s="441">
        <v>7852.1889999999994</v>
      </c>
      <c r="K38" s="443">
        <v>203</v>
      </c>
      <c r="L38" s="443">
        <v>394.48818897637796</v>
      </c>
      <c r="M38" s="443">
        <v>50</v>
      </c>
      <c r="N38" s="443">
        <v>5767.3230000000003</v>
      </c>
      <c r="O38" s="443">
        <v>6161.8111889763786</v>
      </c>
      <c r="P38" s="443">
        <v>2200</v>
      </c>
      <c r="Q38" s="444">
        <v>8614.8111889763786</v>
      </c>
    </row>
    <row r="39" spans="1:17" s="530" customFormat="1" hidden="1" x14ac:dyDescent="0.25">
      <c r="A39" s="528"/>
      <c r="B39" s="529" t="s">
        <v>781</v>
      </c>
      <c r="C39" s="454"/>
      <c r="D39" s="441">
        <v>0</v>
      </c>
      <c r="E39" s="441">
        <v>0</v>
      </c>
      <c r="F39" s="441">
        <v>0</v>
      </c>
      <c r="G39" s="441">
        <v>0</v>
      </c>
      <c r="H39" s="441">
        <v>0</v>
      </c>
      <c r="I39" s="441">
        <v>0</v>
      </c>
      <c r="J39" s="441">
        <v>0</v>
      </c>
      <c r="K39" s="443">
        <v>0</v>
      </c>
      <c r="L39" s="443">
        <v>0</v>
      </c>
      <c r="M39" s="443">
        <v>0</v>
      </c>
      <c r="N39" s="443">
        <v>0</v>
      </c>
      <c r="O39" s="443">
        <v>0</v>
      </c>
      <c r="P39" s="443">
        <v>0</v>
      </c>
      <c r="Q39" s="444">
        <v>0</v>
      </c>
    </row>
    <row r="40" spans="1:17" s="530" customFormat="1" hidden="1" x14ac:dyDescent="0.25">
      <c r="A40" s="528"/>
      <c r="B40" s="529" t="s">
        <v>782</v>
      </c>
      <c r="C40" s="454"/>
      <c r="D40" s="441">
        <v>0</v>
      </c>
      <c r="E40" s="441">
        <v>0</v>
      </c>
      <c r="F40" s="441">
        <v>0</v>
      </c>
      <c r="G40" s="441">
        <v>0</v>
      </c>
      <c r="H40" s="441">
        <v>0</v>
      </c>
      <c r="I40" s="441">
        <v>0</v>
      </c>
      <c r="J40" s="441">
        <v>0</v>
      </c>
      <c r="K40" s="443">
        <v>0</v>
      </c>
      <c r="L40" s="443">
        <v>0</v>
      </c>
      <c r="M40" s="443">
        <v>0</v>
      </c>
      <c r="N40" s="443">
        <v>0</v>
      </c>
      <c r="O40" s="443">
        <v>0</v>
      </c>
      <c r="P40" s="443">
        <v>0</v>
      </c>
      <c r="Q40" s="444">
        <v>0</v>
      </c>
    </row>
    <row r="41" spans="1:17" s="530" customFormat="1" hidden="1" x14ac:dyDescent="0.25">
      <c r="A41" s="528"/>
      <c r="B41" s="529" t="s">
        <v>783</v>
      </c>
      <c r="C41" s="454"/>
      <c r="D41" s="441">
        <v>0</v>
      </c>
      <c r="E41" s="441">
        <v>0</v>
      </c>
      <c r="F41" s="441">
        <v>0</v>
      </c>
      <c r="G41" s="441">
        <v>0</v>
      </c>
      <c r="H41" s="441">
        <v>0</v>
      </c>
      <c r="I41" s="441">
        <v>0</v>
      </c>
      <c r="J41" s="441">
        <v>0</v>
      </c>
      <c r="K41" s="443">
        <v>0</v>
      </c>
      <c r="L41" s="443">
        <v>0</v>
      </c>
      <c r="M41" s="443">
        <v>0</v>
      </c>
      <c r="N41" s="443">
        <v>0</v>
      </c>
      <c r="O41" s="443">
        <v>0</v>
      </c>
      <c r="P41" s="443">
        <v>0</v>
      </c>
      <c r="Q41" s="444">
        <v>0</v>
      </c>
    </row>
    <row r="42" spans="1:17" s="530" customFormat="1" hidden="1" x14ac:dyDescent="0.25">
      <c r="A42" s="528"/>
      <c r="B42" s="529" t="s">
        <v>784</v>
      </c>
      <c r="C42" s="454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4">
        <v>0</v>
      </c>
    </row>
    <row r="43" spans="1:17" s="530" customFormat="1" hidden="1" x14ac:dyDescent="0.25">
      <c r="A43" s="528"/>
      <c r="B43" s="529" t="s">
        <v>785</v>
      </c>
      <c r="C43" s="454"/>
      <c r="D43" s="441">
        <v>0</v>
      </c>
      <c r="E43" s="441">
        <v>0</v>
      </c>
      <c r="F43" s="441">
        <v>0</v>
      </c>
      <c r="G43" s="441">
        <v>0</v>
      </c>
      <c r="H43" s="441">
        <v>0</v>
      </c>
      <c r="I43" s="441">
        <v>0</v>
      </c>
      <c r="J43" s="441">
        <v>0</v>
      </c>
      <c r="K43" s="443">
        <v>0</v>
      </c>
      <c r="L43" s="443">
        <v>0</v>
      </c>
      <c r="M43" s="443">
        <v>0</v>
      </c>
      <c r="N43" s="443">
        <v>0</v>
      </c>
      <c r="O43" s="443">
        <v>0</v>
      </c>
      <c r="P43" s="443">
        <v>0</v>
      </c>
      <c r="Q43" s="444">
        <v>0</v>
      </c>
    </row>
    <row r="44" spans="1:17" s="530" customFormat="1" hidden="1" x14ac:dyDescent="0.25">
      <c r="A44" s="528"/>
      <c r="B44" s="529" t="s">
        <v>786</v>
      </c>
      <c r="C44" s="454"/>
      <c r="D44" s="441">
        <v>0</v>
      </c>
      <c r="E44" s="441">
        <v>0</v>
      </c>
      <c r="F44" s="441">
        <v>0</v>
      </c>
      <c r="G44" s="441">
        <v>0</v>
      </c>
      <c r="H44" s="441">
        <v>0</v>
      </c>
      <c r="I44" s="441">
        <v>0</v>
      </c>
      <c r="J44" s="441">
        <v>0</v>
      </c>
      <c r="K44" s="443">
        <v>0</v>
      </c>
      <c r="L44" s="443">
        <v>0</v>
      </c>
      <c r="M44" s="443">
        <v>0</v>
      </c>
      <c r="N44" s="443">
        <v>0</v>
      </c>
      <c r="O44" s="443">
        <v>0</v>
      </c>
      <c r="P44" s="443">
        <v>0</v>
      </c>
      <c r="Q44" s="444">
        <v>0</v>
      </c>
    </row>
    <row r="45" spans="1:17" ht="25.5" x14ac:dyDescent="0.25">
      <c r="A45" s="524">
        <v>34</v>
      </c>
      <c r="B45" s="525" t="s">
        <v>787</v>
      </c>
      <c r="C45" s="454"/>
      <c r="D45" s="441">
        <v>471.90300000000002</v>
      </c>
      <c r="E45" s="441">
        <v>221.595</v>
      </c>
      <c r="F45" s="441">
        <v>15.04</v>
      </c>
      <c r="G45" s="441">
        <v>276.46100000000001</v>
      </c>
      <c r="H45" s="441">
        <v>5753.915</v>
      </c>
      <c r="I45" s="441">
        <v>788.56299999999999</v>
      </c>
      <c r="J45" s="441">
        <v>7527.4769999999999</v>
      </c>
      <c r="K45" s="443">
        <v>562.14219600000001</v>
      </c>
      <c r="L45" s="443">
        <v>150</v>
      </c>
      <c r="M45" s="443">
        <v>692.89800000000002</v>
      </c>
      <c r="N45" s="443">
        <v>1362.6182362204725</v>
      </c>
      <c r="O45" s="443">
        <v>1512.6182362204725</v>
      </c>
      <c r="P45" s="443">
        <v>3018.9589999999998</v>
      </c>
      <c r="Q45" s="444">
        <v>5786.6174322204724</v>
      </c>
    </row>
    <row r="46" spans="1:17" s="530" customFormat="1" hidden="1" x14ac:dyDescent="0.25">
      <c r="A46" s="528"/>
      <c r="B46" s="529" t="s">
        <v>788</v>
      </c>
      <c r="C46" s="454"/>
      <c r="D46" s="441">
        <v>0</v>
      </c>
      <c r="E46" s="441">
        <v>0</v>
      </c>
      <c r="F46" s="441">
        <v>0</v>
      </c>
      <c r="G46" s="441">
        <v>0</v>
      </c>
      <c r="H46" s="441">
        <v>0</v>
      </c>
      <c r="I46" s="441">
        <v>0</v>
      </c>
      <c r="J46" s="441">
        <v>0</v>
      </c>
      <c r="K46" s="443">
        <v>0</v>
      </c>
      <c r="L46" s="443">
        <v>0</v>
      </c>
      <c r="M46" s="443">
        <v>0</v>
      </c>
      <c r="N46" s="443">
        <v>0</v>
      </c>
      <c r="O46" s="443">
        <v>0</v>
      </c>
      <c r="P46" s="443">
        <v>0</v>
      </c>
      <c r="Q46" s="444">
        <v>0</v>
      </c>
    </row>
    <row r="47" spans="1:17" s="530" customFormat="1" hidden="1" x14ac:dyDescent="0.25">
      <c r="A47" s="528"/>
      <c r="B47" s="529" t="s">
        <v>789</v>
      </c>
      <c r="C47" s="454"/>
      <c r="D47" s="441">
        <v>0</v>
      </c>
      <c r="E47" s="441">
        <v>0</v>
      </c>
      <c r="F47" s="441">
        <v>0</v>
      </c>
      <c r="G47" s="441">
        <v>0</v>
      </c>
      <c r="H47" s="441">
        <v>0</v>
      </c>
      <c r="I47" s="441">
        <v>0</v>
      </c>
      <c r="J47" s="441">
        <v>0</v>
      </c>
      <c r="K47" s="443">
        <v>0</v>
      </c>
      <c r="L47" s="443">
        <v>0</v>
      </c>
      <c r="M47" s="443">
        <v>0</v>
      </c>
      <c r="N47" s="443">
        <v>0</v>
      </c>
      <c r="O47" s="443">
        <v>0</v>
      </c>
      <c r="P47" s="443">
        <v>0</v>
      </c>
      <c r="Q47" s="444">
        <v>0</v>
      </c>
    </row>
    <row r="48" spans="1:17" s="530" customFormat="1" hidden="1" x14ac:dyDescent="0.25">
      <c r="A48" s="528"/>
      <c r="B48" s="529" t="s">
        <v>790</v>
      </c>
      <c r="C48" s="454"/>
      <c r="D48" s="441">
        <v>0</v>
      </c>
      <c r="E48" s="441">
        <v>0</v>
      </c>
      <c r="F48" s="441">
        <v>0</v>
      </c>
      <c r="G48" s="441">
        <v>0</v>
      </c>
      <c r="H48" s="441">
        <v>0</v>
      </c>
      <c r="I48" s="441">
        <v>0</v>
      </c>
      <c r="J48" s="441">
        <v>0</v>
      </c>
      <c r="K48" s="443">
        <v>0</v>
      </c>
      <c r="L48" s="443">
        <v>0</v>
      </c>
      <c r="M48" s="443">
        <v>0</v>
      </c>
      <c r="N48" s="443">
        <v>0</v>
      </c>
      <c r="O48" s="443">
        <v>0</v>
      </c>
      <c r="P48" s="443">
        <v>0</v>
      </c>
      <c r="Q48" s="444">
        <v>0</v>
      </c>
    </row>
    <row r="49" spans="1:17" s="530" customFormat="1" hidden="1" x14ac:dyDescent="0.25">
      <c r="A49" s="528"/>
      <c r="B49" s="529" t="s">
        <v>791</v>
      </c>
      <c r="C49" s="454"/>
      <c r="D49" s="441">
        <v>0</v>
      </c>
      <c r="E49" s="441">
        <v>0</v>
      </c>
      <c r="F49" s="441">
        <v>0</v>
      </c>
      <c r="G49" s="441">
        <v>0</v>
      </c>
      <c r="H49" s="441">
        <v>0</v>
      </c>
      <c r="I49" s="441">
        <v>0</v>
      </c>
      <c r="J49" s="441">
        <v>0</v>
      </c>
      <c r="K49" s="443">
        <v>0</v>
      </c>
      <c r="L49" s="443">
        <v>0</v>
      </c>
      <c r="M49" s="443">
        <v>0</v>
      </c>
      <c r="N49" s="443">
        <v>0</v>
      </c>
      <c r="O49" s="443">
        <v>0</v>
      </c>
      <c r="P49" s="443">
        <v>0</v>
      </c>
      <c r="Q49" s="444">
        <v>0</v>
      </c>
    </row>
    <row r="50" spans="1:17" s="530" customFormat="1" hidden="1" x14ac:dyDescent="0.25">
      <c r="A50" s="528"/>
      <c r="B50" s="529" t="s">
        <v>792</v>
      </c>
      <c r="C50" s="454"/>
      <c r="D50" s="441">
        <v>0</v>
      </c>
      <c r="E50" s="441">
        <v>0</v>
      </c>
      <c r="F50" s="441">
        <v>0</v>
      </c>
      <c r="G50" s="441">
        <v>0</v>
      </c>
      <c r="H50" s="441">
        <v>0</v>
      </c>
      <c r="I50" s="441">
        <v>0</v>
      </c>
      <c r="J50" s="441">
        <v>0</v>
      </c>
      <c r="K50" s="443">
        <v>0</v>
      </c>
      <c r="L50" s="443">
        <v>0</v>
      </c>
      <c r="M50" s="443">
        <v>0</v>
      </c>
      <c r="N50" s="443">
        <v>0</v>
      </c>
      <c r="O50" s="443">
        <v>0</v>
      </c>
      <c r="P50" s="443">
        <v>0</v>
      </c>
      <c r="Q50" s="444">
        <v>0</v>
      </c>
    </row>
    <row r="51" spans="1:17" s="530" customFormat="1" hidden="1" x14ac:dyDescent="0.25">
      <c r="A51" s="528"/>
      <c r="B51" s="529" t="s">
        <v>793</v>
      </c>
      <c r="C51" s="454"/>
      <c r="D51" s="441">
        <v>0</v>
      </c>
      <c r="E51" s="441">
        <v>0</v>
      </c>
      <c r="F51" s="441">
        <v>0</v>
      </c>
      <c r="G51" s="441">
        <v>0</v>
      </c>
      <c r="H51" s="441">
        <v>0</v>
      </c>
      <c r="I51" s="441">
        <v>0</v>
      </c>
      <c r="J51" s="441">
        <v>0</v>
      </c>
      <c r="K51" s="443">
        <v>0</v>
      </c>
      <c r="L51" s="443">
        <v>0</v>
      </c>
      <c r="M51" s="443">
        <v>0</v>
      </c>
      <c r="N51" s="443">
        <v>0</v>
      </c>
      <c r="O51" s="443">
        <v>0</v>
      </c>
      <c r="P51" s="443">
        <v>0</v>
      </c>
      <c r="Q51" s="444">
        <v>0</v>
      </c>
    </row>
    <row r="52" spans="1:17" s="530" customFormat="1" hidden="1" x14ac:dyDescent="0.25">
      <c r="A52" s="528"/>
      <c r="B52" s="529" t="s">
        <v>794</v>
      </c>
      <c r="C52" s="454"/>
      <c r="D52" s="441">
        <v>0</v>
      </c>
      <c r="E52" s="441">
        <v>0</v>
      </c>
      <c r="F52" s="441">
        <v>0</v>
      </c>
      <c r="G52" s="441">
        <v>0</v>
      </c>
      <c r="H52" s="441">
        <v>0</v>
      </c>
      <c r="I52" s="441">
        <v>0</v>
      </c>
      <c r="J52" s="441">
        <v>0</v>
      </c>
      <c r="K52" s="443">
        <v>0</v>
      </c>
      <c r="L52" s="443">
        <v>0</v>
      </c>
      <c r="M52" s="443">
        <v>0</v>
      </c>
      <c r="N52" s="443">
        <v>0</v>
      </c>
      <c r="O52" s="443">
        <v>0</v>
      </c>
      <c r="P52" s="443">
        <v>0</v>
      </c>
      <c r="Q52" s="444">
        <v>0</v>
      </c>
    </row>
    <row r="53" spans="1:17" s="530" customFormat="1" hidden="1" x14ac:dyDescent="0.25">
      <c r="A53" s="528"/>
      <c r="B53" s="529" t="s">
        <v>795</v>
      </c>
      <c r="C53" s="454"/>
      <c r="D53" s="441">
        <v>0</v>
      </c>
      <c r="E53" s="441">
        <v>0</v>
      </c>
      <c r="F53" s="441">
        <v>0</v>
      </c>
      <c r="G53" s="441">
        <v>0</v>
      </c>
      <c r="H53" s="441">
        <v>0</v>
      </c>
      <c r="I53" s="441">
        <v>0</v>
      </c>
      <c r="J53" s="441">
        <v>0</v>
      </c>
      <c r="K53" s="443">
        <v>0</v>
      </c>
      <c r="L53" s="443">
        <v>0</v>
      </c>
      <c r="M53" s="443">
        <v>0</v>
      </c>
      <c r="N53" s="443">
        <v>0</v>
      </c>
      <c r="O53" s="443">
        <v>0</v>
      </c>
      <c r="P53" s="443">
        <v>0</v>
      </c>
      <c r="Q53" s="444">
        <v>0</v>
      </c>
    </row>
    <row r="54" spans="1:17" ht="25.5" x14ac:dyDescent="0.25">
      <c r="A54" s="524">
        <v>35</v>
      </c>
      <c r="B54" s="525" t="s">
        <v>796</v>
      </c>
      <c r="C54" s="454"/>
      <c r="D54" s="441">
        <v>0</v>
      </c>
      <c r="E54" s="441">
        <v>0</v>
      </c>
      <c r="F54" s="441">
        <v>0</v>
      </c>
      <c r="G54" s="441">
        <v>0</v>
      </c>
      <c r="H54" s="441">
        <v>858.91200000000003</v>
      </c>
      <c r="I54" s="441">
        <v>0</v>
      </c>
      <c r="J54" s="441">
        <v>858.91200000000003</v>
      </c>
      <c r="K54" s="443">
        <v>0</v>
      </c>
      <c r="L54" s="443">
        <v>0</v>
      </c>
      <c r="M54" s="443">
        <v>0</v>
      </c>
      <c r="N54" s="443">
        <v>0</v>
      </c>
      <c r="O54" s="443">
        <v>0</v>
      </c>
      <c r="P54" s="443">
        <v>0</v>
      </c>
      <c r="Q54" s="444">
        <v>0</v>
      </c>
    </row>
    <row r="55" spans="1:17" x14ac:dyDescent="0.25">
      <c r="A55" s="524">
        <v>36</v>
      </c>
      <c r="B55" s="525" t="s">
        <v>797</v>
      </c>
      <c r="C55" s="454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4">
        <v>0</v>
      </c>
    </row>
    <row r="56" spans="1:17" x14ac:dyDescent="0.25">
      <c r="A56" s="522">
        <v>37</v>
      </c>
      <c r="B56" s="523" t="s">
        <v>798</v>
      </c>
      <c r="C56" s="454"/>
      <c r="D56" s="441">
        <v>0</v>
      </c>
      <c r="E56" s="441">
        <v>0</v>
      </c>
      <c r="F56" s="441">
        <v>0</v>
      </c>
      <c r="G56" s="441">
        <v>0</v>
      </c>
      <c r="H56" s="441">
        <v>0</v>
      </c>
      <c r="I56" s="441">
        <v>0</v>
      </c>
      <c r="J56" s="441">
        <v>0</v>
      </c>
      <c r="K56" s="443">
        <v>0</v>
      </c>
      <c r="L56" s="443">
        <v>0</v>
      </c>
      <c r="M56" s="443">
        <v>0</v>
      </c>
      <c r="N56" s="443">
        <v>0</v>
      </c>
      <c r="O56" s="443">
        <v>0</v>
      </c>
      <c r="P56" s="443">
        <v>0</v>
      </c>
      <c r="Q56" s="444">
        <v>0</v>
      </c>
    </row>
    <row r="57" spans="1:17" x14ac:dyDescent="0.25">
      <c r="A57" s="522">
        <v>38</v>
      </c>
      <c r="B57" s="523" t="s">
        <v>799</v>
      </c>
      <c r="C57" s="454">
        <v>0</v>
      </c>
      <c r="D57" s="441">
        <v>0</v>
      </c>
      <c r="E57" s="441">
        <v>15.282</v>
      </c>
      <c r="F57" s="441">
        <v>0</v>
      </c>
      <c r="G57" s="441">
        <v>0</v>
      </c>
      <c r="H57" s="441">
        <v>398.45399999999995</v>
      </c>
      <c r="I57" s="441">
        <v>72.844999999999999</v>
      </c>
      <c r="J57" s="441">
        <v>486.5809999999999</v>
      </c>
      <c r="K57" s="443">
        <v>30</v>
      </c>
      <c r="L57" s="443">
        <v>0</v>
      </c>
      <c r="M57" s="443">
        <v>0</v>
      </c>
      <c r="N57" s="443">
        <v>370</v>
      </c>
      <c r="O57" s="443">
        <v>370</v>
      </c>
      <c r="P57" s="443">
        <v>100</v>
      </c>
      <c r="Q57" s="444">
        <v>500</v>
      </c>
    </row>
    <row r="58" spans="1:17" x14ac:dyDescent="0.25">
      <c r="A58" s="524">
        <v>39</v>
      </c>
      <c r="B58" s="525" t="s">
        <v>800</v>
      </c>
      <c r="C58" s="454"/>
      <c r="D58" s="441">
        <v>0</v>
      </c>
      <c r="E58" s="441">
        <v>0</v>
      </c>
      <c r="F58" s="441">
        <v>0</v>
      </c>
      <c r="G58" s="441">
        <v>0</v>
      </c>
      <c r="H58" s="441">
        <v>78.727000000000004</v>
      </c>
      <c r="I58" s="441">
        <v>72.844999999999999</v>
      </c>
      <c r="J58" s="441">
        <v>151.572</v>
      </c>
      <c r="K58" s="443">
        <v>0</v>
      </c>
      <c r="L58" s="443">
        <v>0</v>
      </c>
      <c r="M58" s="443">
        <v>0</v>
      </c>
      <c r="N58" s="443">
        <v>70</v>
      </c>
      <c r="O58" s="443">
        <v>70</v>
      </c>
      <c r="P58" s="443">
        <v>100</v>
      </c>
      <c r="Q58" s="444">
        <v>170</v>
      </c>
    </row>
    <row r="59" spans="1:17" x14ac:dyDescent="0.25">
      <c r="A59" s="524">
        <v>40</v>
      </c>
      <c r="B59" s="525" t="s">
        <v>801</v>
      </c>
      <c r="C59" s="454"/>
      <c r="D59" s="441">
        <v>0</v>
      </c>
      <c r="E59" s="441">
        <v>0</v>
      </c>
      <c r="F59" s="441">
        <v>0</v>
      </c>
      <c r="G59" s="441">
        <v>0</v>
      </c>
      <c r="H59" s="441">
        <v>0</v>
      </c>
      <c r="I59" s="441">
        <v>0</v>
      </c>
      <c r="J59" s="441">
        <v>0</v>
      </c>
      <c r="K59" s="443">
        <v>0</v>
      </c>
      <c r="L59" s="443">
        <v>0</v>
      </c>
      <c r="M59" s="443">
        <v>0</v>
      </c>
      <c r="N59" s="443">
        <v>0</v>
      </c>
      <c r="O59" s="443">
        <v>0</v>
      </c>
      <c r="P59" s="443">
        <v>0</v>
      </c>
      <c r="Q59" s="444">
        <v>0</v>
      </c>
    </row>
    <row r="60" spans="1:17" x14ac:dyDescent="0.25">
      <c r="A60" s="524">
        <v>41</v>
      </c>
      <c r="B60" s="525" t="s">
        <v>802</v>
      </c>
      <c r="C60" s="454"/>
      <c r="D60" s="441">
        <v>0</v>
      </c>
      <c r="E60" s="441">
        <v>15.282</v>
      </c>
      <c r="F60" s="441">
        <v>0</v>
      </c>
      <c r="G60" s="441">
        <v>0</v>
      </c>
      <c r="H60" s="441">
        <v>319.72699999999998</v>
      </c>
      <c r="I60" s="441">
        <v>0</v>
      </c>
      <c r="J60" s="441">
        <v>335.00899999999996</v>
      </c>
      <c r="K60" s="443">
        <v>30</v>
      </c>
      <c r="L60" s="443">
        <v>0</v>
      </c>
      <c r="M60" s="443">
        <v>0</v>
      </c>
      <c r="N60" s="443">
        <v>300</v>
      </c>
      <c r="O60" s="443">
        <v>300</v>
      </c>
      <c r="P60" s="443">
        <v>0</v>
      </c>
      <c r="Q60" s="444">
        <v>330</v>
      </c>
    </row>
    <row r="61" spans="1:17" x14ac:dyDescent="0.25">
      <c r="A61" s="524">
        <v>42</v>
      </c>
      <c r="B61" s="525" t="s">
        <v>803</v>
      </c>
      <c r="C61" s="454"/>
      <c r="D61" s="441">
        <v>0</v>
      </c>
      <c r="E61" s="441">
        <v>0</v>
      </c>
      <c r="F61" s="441">
        <v>0</v>
      </c>
      <c r="G61" s="441">
        <v>0</v>
      </c>
      <c r="H61" s="441">
        <v>0</v>
      </c>
      <c r="I61" s="441">
        <v>0</v>
      </c>
      <c r="J61" s="441">
        <v>0</v>
      </c>
      <c r="K61" s="443">
        <v>0</v>
      </c>
      <c r="L61" s="443">
        <v>0</v>
      </c>
      <c r="M61" s="443">
        <v>0</v>
      </c>
      <c r="N61" s="443">
        <v>0</v>
      </c>
      <c r="O61" s="443">
        <v>0</v>
      </c>
      <c r="P61" s="443">
        <v>0</v>
      </c>
      <c r="Q61" s="444">
        <v>0</v>
      </c>
    </row>
    <row r="62" spans="1:17" ht="25.5" x14ac:dyDescent="0.25">
      <c r="A62" s="522">
        <v>43</v>
      </c>
      <c r="B62" s="523" t="s">
        <v>804</v>
      </c>
      <c r="C62" s="454">
        <v>0</v>
      </c>
      <c r="D62" s="441">
        <v>0</v>
      </c>
      <c r="E62" s="441">
        <v>0</v>
      </c>
      <c r="F62" s="441">
        <v>0</v>
      </c>
      <c r="G62" s="441">
        <v>0</v>
      </c>
      <c r="H62" s="441">
        <v>5582.1049999999996</v>
      </c>
      <c r="I62" s="441">
        <v>260.91399999999999</v>
      </c>
      <c r="J62" s="441">
        <v>5843.0189999999993</v>
      </c>
      <c r="K62" s="443">
        <v>150</v>
      </c>
      <c r="L62" s="443">
        <v>0</v>
      </c>
      <c r="M62" s="443">
        <v>0</v>
      </c>
      <c r="N62" s="443">
        <v>5105.7</v>
      </c>
      <c r="O62" s="443">
        <v>5105.7</v>
      </c>
      <c r="P62" s="443">
        <v>1380</v>
      </c>
      <c r="Q62" s="444">
        <v>6635.7</v>
      </c>
    </row>
    <row r="63" spans="1:17" hidden="1" x14ac:dyDescent="0.25">
      <c r="A63" s="522"/>
      <c r="B63" s="529" t="s">
        <v>805</v>
      </c>
      <c r="C63" s="454"/>
      <c r="D63" s="441">
        <v>0</v>
      </c>
      <c r="E63" s="441">
        <v>0</v>
      </c>
      <c r="F63" s="441">
        <v>0</v>
      </c>
      <c r="G63" s="441">
        <v>0</v>
      </c>
      <c r="H63" s="441">
        <v>0</v>
      </c>
      <c r="I63" s="441">
        <v>0</v>
      </c>
      <c r="J63" s="441">
        <v>0</v>
      </c>
      <c r="K63" s="443">
        <v>0</v>
      </c>
      <c r="L63" s="443">
        <v>0</v>
      </c>
      <c r="M63" s="443">
        <v>0</v>
      </c>
      <c r="N63" s="443">
        <v>0</v>
      </c>
      <c r="O63" s="443">
        <v>0</v>
      </c>
      <c r="P63" s="443">
        <v>0</v>
      </c>
      <c r="Q63" s="444">
        <v>0</v>
      </c>
    </row>
    <row r="64" spans="1:17" hidden="1" x14ac:dyDescent="0.25">
      <c r="A64" s="522"/>
      <c r="B64" s="529" t="s">
        <v>490</v>
      </c>
      <c r="C64" s="454"/>
      <c r="D64" s="441">
        <v>0</v>
      </c>
      <c r="E64" s="441">
        <v>0</v>
      </c>
      <c r="F64" s="441">
        <v>0</v>
      </c>
      <c r="G64" s="441">
        <v>0</v>
      </c>
      <c r="H64" s="441">
        <v>0</v>
      </c>
      <c r="I64" s="441">
        <v>0</v>
      </c>
      <c r="J64" s="441">
        <v>0</v>
      </c>
      <c r="K64" s="443">
        <v>0</v>
      </c>
      <c r="L64" s="443">
        <v>0</v>
      </c>
      <c r="M64" s="443">
        <v>0</v>
      </c>
      <c r="N64" s="443">
        <v>0</v>
      </c>
      <c r="O64" s="443">
        <v>0</v>
      </c>
      <c r="P64" s="443">
        <v>0</v>
      </c>
      <c r="Q64" s="444">
        <v>0</v>
      </c>
    </row>
    <row r="65" spans="1:17" hidden="1" x14ac:dyDescent="0.25">
      <c r="A65" s="522"/>
      <c r="B65" s="529" t="s">
        <v>806</v>
      </c>
      <c r="C65" s="454"/>
      <c r="D65" s="441">
        <v>0</v>
      </c>
      <c r="E65" s="441">
        <v>0</v>
      </c>
      <c r="F65" s="441">
        <v>0</v>
      </c>
      <c r="G65" s="441">
        <v>0</v>
      </c>
      <c r="H65" s="441">
        <v>0</v>
      </c>
      <c r="I65" s="441">
        <v>0</v>
      </c>
      <c r="J65" s="441">
        <v>0</v>
      </c>
      <c r="K65" s="443">
        <v>0</v>
      </c>
      <c r="L65" s="443">
        <v>0</v>
      </c>
      <c r="M65" s="443">
        <v>0</v>
      </c>
      <c r="N65" s="443">
        <v>0</v>
      </c>
      <c r="O65" s="443">
        <v>0</v>
      </c>
      <c r="P65" s="443">
        <v>0</v>
      </c>
      <c r="Q65" s="444">
        <v>0</v>
      </c>
    </row>
    <row r="66" spans="1:17" hidden="1" x14ac:dyDescent="0.25">
      <c r="A66" s="522"/>
      <c r="B66" s="529" t="s">
        <v>807</v>
      </c>
      <c r="C66" s="454"/>
      <c r="D66" s="441">
        <v>0</v>
      </c>
      <c r="E66" s="441">
        <v>0</v>
      </c>
      <c r="F66" s="441">
        <v>0</v>
      </c>
      <c r="G66" s="441">
        <v>0</v>
      </c>
      <c r="H66" s="441">
        <v>0</v>
      </c>
      <c r="I66" s="441">
        <v>0</v>
      </c>
      <c r="J66" s="441">
        <v>0</v>
      </c>
      <c r="K66" s="443">
        <v>0</v>
      </c>
      <c r="L66" s="443">
        <v>0</v>
      </c>
      <c r="M66" s="443">
        <v>0</v>
      </c>
      <c r="N66" s="443">
        <v>0</v>
      </c>
      <c r="O66" s="443">
        <v>0</v>
      </c>
      <c r="P66" s="443">
        <v>0</v>
      </c>
      <c r="Q66" s="444">
        <v>0</v>
      </c>
    </row>
    <row r="67" spans="1:17" hidden="1" x14ac:dyDescent="0.25">
      <c r="A67" s="522"/>
      <c r="B67" s="529" t="s">
        <v>491</v>
      </c>
      <c r="C67" s="454"/>
      <c r="D67" s="441">
        <v>0</v>
      </c>
      <c r="E67" s="441">
        <v>0</v>
      </c>
      <c r="F67" s="441">
        <v>0</v>
      </c>
      <c r="G67" s="441">
        <v>0</v>
      </c>
      <c r="H67" s="441">
        <v>0</v>
      </c>
      <c r="I67" s="441">
        <v>0</v>
      </c>
      <c r="J67" s="441">
        <v>0</v>
      </c>
      <c r="K67" s="443">
        <v>0</v>
      </c>
      <c r="L67" s="443">
        <v>0</v>
      </c>
      <c r="M67" s="443">
        <v>0</v>
      </c>
      <c r="N67" s="443">
        <v>0</v>
      </c>
      <c r="O67" s="443">
        <v>0</v>
      </c>
      <c r="P67" s="443">
        <v>0</v>
      </c>
      <c r="Q67" s="444">
        <v>0</v>
      </c>
    </row>
    <row r="68" spans="1:17" hidden="1" x14ac:dyDescent="0.25">
      <c r="A68" s="522"/>
      <c r="B68" s="529" t="s">
        <v>492</v>
      </c>
      <c r="C68" s="454"/>
      <c r="D68" s="441">
        <v>0</v>
      </c>
      <c r="E68" s="441">
        <v>0</v>
      </c>
      <c r="F68" s="441">
        <v>0</v>
      </c>
      <c r="G68" s="441">
        <v>0</v>
      </c>
      <c r="H68" s="441">
        <v>0</v>
      </c>
      <c r="I68" s="441">
        <v>0</v>
      </c>
      <c r="J68" s="441">
        <v>0</v>
      </c>
      <c r="K68" s="443">
        <v>0</v>
      </c>
      <c r="L68" s="443">
        <v>0</v>
      </c>
      <c r="M68" s="443">
        <v>0</v>
      </c>
      <c r="N68" s="443">
        <v>0</v>
      </c>
      <c r="O68" s="443">
        <v>0</v>
      </c>
      <c r="P68" s="443">
        <v>0</v>
      </c>
      <c r="Q68" s="444">
        <v>0</v>
      </c>
    </row>
    <row r="69" spans="1:17" hidden="1" x14ac:dyDescent="0.25">
      <c r="A69" s="522"/>
      <c r="B69" s="529" t="s">
        <v>493</v>
      </c>
      <c r="C69" s="454"/>
      <c r="D69" s="441">
        <v>0</v>
      </c>
      <c r="E69" s="441">
        <v>0</v>
      </c>
      <c r="F69" s="441">
        <v>0</v>
      </c>
      <c r="G69" s="441">
        <v>0</v>
      </c>
      <c r="H69" s="441">
        <v>0</v>
      </c>
      <c r="I69" s="441">
        <v>0</v>
      </c>
      <c r="J69" s="441">
        <v>0</v>
      </c>
      <c r="K69" s="443">
        <v>0</v>
      </c>
      <c r="L69" s="443">
        <v>0</v>
      </c>
      <c r="M69" s="443">
        <v>0</v>
      </c>
      <c r="N69" s="443">
        <v>0</v>
      </c>
      <c r="O69" s="443">
        <v>0</v>
      </c>
      <c r="P69" s="443">
        <v>0</v>
      </c>
      <c r="Q69" s="444">
        <v>0</v>
      </c>
    </row>
    <row r="70" spans="1:17" hidden="1" x14ac:dyDescent="0.25">
      <c r="A70" s="522"/>
      <c r="B70" s="529" t="s">
        <v>808</v>
      </c>
      <c r="C70" s="454"/>
      <c r="D70" s="441">
        <v>0</v>
      </c>
      <c r="E70" s="441">
        <v>0</v>
      </c>
      <c r="F70" s="441">
        <v>0</v>
      </c>
      <c r="G70" s="441">
        <v>0</v>
      </c>
      <c r="H70" s="441">
        <v>0</v>
      </c>
      <c r="I70" s="441">
        <v>0</v>
      </c>
      <c r="J70" s="441">
        <v>0</v>
      </c>
      <c r="K70" s="443">
        <v>0</v>
      </c>
      <c r="L70" s="443">
        <v>0</v>
      </c>
      <c r="M70" s="443">
        <v>0</v>
      </c>
      <c r="N70" s="443">
        <v>0</v>
      </c>
      <c r="O70" s="443">
        <v>0</v>
      </c>
      <c r="P70" s="443">
        <v>0</v>
      </c>
      <c r="Q70" s="444">
        <v>0</v>
      </c>
    </row>
    <row r="71" spans="1:17" x14ac:dyDescent="0.25">
      <c r="A71" s="522">
        <v>44</v>
      </c>
      <c r="B71" s="523" t="s">
        <v>809</v>
      </c>
      <c r="C71" s="454"/>
      <c r="D71" s="441">
        <v>39.021999999999998</v>
      </c>
      <c r="E71" s="441">
        <v>16.3</v>
      </c>
      <c r="F71" s="441">
        <v>0</v>
      </c>
      <c r="G71" s="441">
        <v>0</v>
      </c>
      <c r="H71" s="441">
        <v>3694.9670000000001</v>
      </c>
      <c r="I71" s="441">
        <v>0</v>
      </c>
      <c r="J71" s="441">
        <v>3750.2890000000002</v>
      </c>
      <c r="K71" s="443">
        <v>20</v>
      </c>
      <c r="L71" s="443">
        <v>0</v>
      </c>
      <c r="M71" s="443">
        <v>0</v>
      </c>
      <c r="N71" s="443">
        <v>1326.8520000000001</v>
      </c>
      <c r="O71" s="443">
        <v>1326.8520000000001</v>
      </c>
      <c r="P71" s="443">
        <v>0</v>
      </c>
      <c r="Q71" s="444">
        <v>1346.8520000000001</v>
      </c>
    </row>
    <row r="72" spans="1:17" x14ac:dyDescent="0.25">
      <c r="A72" s="522"/>
      <c r="B72" s="525" t="s">
        <v>663</v>
      </c>
      <c r="C72" s="454"/>
      <c r="D72" s="441"/>
      <c r="E72" s="441"/>
      <c r="F72" s="441"/>
      <c r="G72" s="441"/>
      <c r="H72" s="441"/>
      <c r="I72" s="441"/>
      <c r="J72" s="441"/>
      <c r="K72" s="443"/>
      <c r="L72" s="443"/>
      <c r="M72" s="443"/>
      <c r="N72" s="443"/>
      <c r="O72" s="443"/>
      <c r="P72" s="443"/>
      <c r="Q72" s="444">
        <v>1258</v>
      </c>
    </row>
    <row r="73" spans="1:17" x14ac:dyDescent="0.25">
      <c r="A73" s="518">
        <v>45</v>
      </c>
      <c r="B73" s="519" t="s">
        <v>810</v>
      </c>
      <c r="C73" s="454"/>
      <c r="D73" s="441">
        <v>4092.9659999999999</v>
      </c>
      <c r="E73" s="441">
        <v>1695.309</v>
      </c>
      <c r="F73" s="441">
        <v>859.15899999999999</v>
      </c>
      <c r="G73" s="441">
        <v>628.53</v>
      </c>
      <c r="H73" s="441">
        <v>89620.406000000003</v>
      </c>
      <c r="I73" s="441">
        <v>1637.0219999999999</v>
      </c>
      <c r="J73" s="441">
        <v>98533.391999999993</v>
      </c>
      <c r="K73" s="443">
        <v>5384.6384065919983</v>
      </c>
      <c r="L73" s="443">
        <v>2727.6858000000002</v>
      </c>
      <c r="M73" s="443">
        <v>674.3594250000001</v>
      </c>
      <c r="N73" s="443">
        <v>6860.4868399999996</v>
      </c>
      <c r="O73" s="443">
        <v>9588.1726400000007</v>
      </c>
      <c r="P73" s="443">
        <v>2957.8307379300004</v>
      </c>
      <c r="Q73" s="444">
        <v>18605.001209521997</v>
      </c>
    </row>
    <row r="74" spans="1:17" x14ac:dyDescent="0.25">
      <c r="A74" s="518">
        <v>46</v>
      </c>
      <c r="B74" s="519" t="s">
        <v>811</v>
      </c>
      <c r="C74" s="454"/>
      <c r="D74" s="441">
        <v>0</v>
      </c>
      <c r="E74" s="441">
        <v>0</v>
      </c>
      <c r="F74" s="441">
        <v>0</v>
      </c>
      <c r="G74" s="441">
        <v>0</v>
      </c>
      <c r="H74" s="441">
        <v>0</v>
      </c>
      <c r="I74" s="441">
        <v>0</v>
      </c>
      <c r="J74" s="441">
        <v>0</v>
      </c>
      <c r="K74" s="443">
        <v>0</v>
      </c>
      <c r="L74" s="443">
        <v>0</v>
      </c>
      <c r="M74" s="443">
        <v>0</v>
      </c>
      <c r="N74" s="443">
        <v>0</v>
      </c>
      <c r="O74" s="443">
        <v>0</v>
      </c>
      <c r="P74" s="443">
        <v>0</v>
      </c>
      <c r="Q74" s="444">
        <v>0</v>
      </c>
    </row>
    <row r="75" spans="1:17" ht="38.25" x14ac:dyDescent="0.25">
      <c r="A75" s="518">
        <v>47</v>
      </c>
      <c r="B75" s="519" t="s">
        <v>812</v>
      </c>
      <c r="C75" s="454">
        <v>0</v>
      </c>
      <c r="D75" s="441">
        <v>1929</v>
      </c>
      <c r="E75" s="441">
        <v>18.975999999999999</v>
      </c>
      <c r="F75" s="441">
        <v>5.734</v>
      </c>
      <c r="G75" s="441">
        <v>2.7</v>
      </c>
      <c r="H75" s="441">
        <v>6829.5329999999994</v>
      </c>
      <c r="I75" s="441">
        <v>534.79099999999994</v>
      </c>
      <c r="J75" s="441">
        <v>9320.7339999999986</v>
      </c>
      <c r="K75" s="443">
        <v>100</v>
      </c>
      <c r="L75" s="443">
        <v>0</v>
      </c>
      <c r="M75" s="443">
        <v>50</v>
      </c>
      <c r="N75" s="443">
        <v>5147.6273505999998</v>
      </c>
      <c r="O75" s="443">
        <v>5147.6273505999998</v>
      </c>
      <c r="P75" s="443">
        <v>486.22832</v>
      </c>
      <c r="Q75" s="444">
        <v>5783.8556705999999</v>
      </c>
    </row>
    <row r="76" spans="1:17" hidden="1" x14ac:dyDescent="0.25">
      <c r="A76" s="518"/>
      <c r="B76" s="529" t="s">
        <v>813</v>
      </c>
      <c r="C76" s="454"/>
      <c r="D76" s="441">
        <v>0</v>
      </c>
      <c r="E76" s="441">
        <v>0</v>
      </c>
      <c r="F76" s="441">
        <v>0</v>
      </c>
      <c r="G76" s="441">
        <v>0</v>
      </c>
      <c r="H76" s="441">
        <v>0</v>
      </c>
      <c r="I76" s="441">
        <v>0</v>
      </c>
      <c r="J76" s="441">
        <v>0</v>
      </c>
      <c r="K76" s="443">
        <v>0</v>
      </c>
      <c r="L76" s="443">
        <v>0</v>
      </c>
      <c r="M76" s="443">
        <v>0</v>
      </c>
      <c r="N76" s="443">
        <v>0</v>
      </c>
      <c r="O76" s="443">
        <v>0</v>
      </c>
      <c r="P76" s="443">
        <v>0</v>
      </c>
      <c r="Q76" s="444">
        <v>0</v>
      </c>
    </row>
    <row r="77" spans="1:17" hidden="1" x14ac:dyDescent="0.25">
      <c r="A77" s="518"/>
      <c r="B77" s="529" t="s">
        <v>814</v>
      </c>
      <c r="C77" s="454"/>
      <c r="D77" s="441">
        <v>0</v>
      </c>
      <c r="E77" s="441">
        <v>0</v>
      </c>
      <c r="F77" s="441">
        <v>0</v>
      </c>
      <c r="G77" s="441">
        <v>0</v>
      </c>
      <c r="H77" s="441">
        <v>0</v>
      </c>
      <c r="I77" s="441">
        <v>0</v>
      </c>
      <c r="J77" s="441">
        <v>0</v>
      </c>
      <c r="K77" s="443">
        <v>0</v>
      </c>
      <c r="L77" s="443">
        <v>0</v>
      </c>
      <c r="M77" s="443">
        <v>0</v>
      </c>
      <c r="N77" s="443">
        <v>0</v>
      </c>
      <c r="O77" s="443">
        <v>0</v>
      </c>
      <c r="P77" s="443">
        <v>0</v>
      </c>
      <c r="Q77" s="444">
        <v>0</v>
      </c>
    </row>
    <row r="78" spans="1:17" hidden="1" x14ac:dyDescent="0.25">
      <c r="A78" s="518"/>
      <c r="B78" s="529" t="s">
        <v>815</v>
      </c>
      <c r="C78" s="454"/>
      <c r="D78" s="441">
        <v>0</v>
      </c>
      <c r="E78" s="441">
        <v>0</v>
      </c>
      <c r="F78" s="441">
        <v>0</v>
      </c>
      <c r="G78" s="441">
        <v>0</v>
      </c>
      <c r="H78" s="441">
        <v>0</v>
      </c>
      <c r="I78" s="441">
        <v>0</v>
      </c>
      <c r="J78" s="441">
        <v>0</v>
      </c>
      <c r="K78" s="443">
        <v>0</v>
      </c>
      <c r="L78" s="443">
        <v>0</v>
      </c>
      <c r="M78" s="443">
        <v>0</v>
      </c>
      <c r="N78" s="443">
        <v>0</v>
      </c>
      <c r="O78" s="443">
        <v>0</v>
      </c>
      <c r="P78" s="443">
        <v>0</v>
      </c>
      <c r="Q78" s="444">
        <v>0</v>
      </c>
    </row>
    <row r="79" spans="1:17" hidden="1" x14ac:dyDescent="0.25">
      <c r="A79" s="518"/>
      <c r="B79" s="529" t="s">
        <v>816</v>
      </c>
      <c r="C79" s="454"/>
      <c r="D79" s="441">
        <v>0</v>
      </c>
      <c r="E79" s="441">
        <v>0</v>
      </c>
      <c r="F79" s="441">
        <v>0</v>
      </c>
      <c r="G79" s="441">
        <v>0</v>
      </c>
      <c r="H79" s="441">
        <v>0</v>
      </c>
      <c r="I79" s="441">
        <v>0</v>
      </c>
      <c r="J79" s="441">
        <v>0</v>
      </c>
      <c r="K79" s="443">
        <v>0</v>
      </c>
      <c r="L79" s="443">
        <v>0</v>
      </c>
      <c r="M79" s="443">
        <v>0</v>
      </c>
      <c r="N79" s="443">
        <v>0</v>
      </c>
      <c r="O79" s="443">
        <v>0</v>
      </c>
      <c r="P79" s="443">
        <v>0</v>
      </c>
      <c r="Q79" s="444">
        <v>0</v>
      </c>
    </row>
    <row r="80" spans="1:17" x14ac:dyDescent="0.25">
      <c r="A80" s="518">
        <v>48</v>
      </c>
      <c r="B80" s="531" t="s">
        <v>817</v>
      </c>
      <c r="C80" s="454"/>
      <c r="D80" s="441">
        <v>38.786999999999999</v>
      </c>
      <c r="E80" s="441">
        <v>0.68700000000000006</v>
      </c>
      <c r="F80" s="441">
        <v>12.576000000000001</v>
      </c>
      <c r="G80" s="441">
        <v>6.0789999999999997</v>
      </c>
      <c r="H80" s="441">
        <v>9191.6769999999997</v>
      </c>
      <c r="I80" s="441">
        <v>40.270000000000003</v>
      </c>
      <c r="J80" s="441">
        <v>9290.0760000000009</v>
      </c>
      <c r="K80" s="443">
        <v>10</v>
      </c>
      <c r="L80" s="443">
        <v>10</v>
      </c>
      <c r="M80" s="443">
        <v>10</v>
      </c>
      <c r="N80" s="443">
        <v>20</v>
      </c>
      <c r="O80" s="443">
        <v>30</v>
      </c>
      <c r="P80" s="443">
        <v>10</v>
      </c>
      <c r="Q80" s="444">
        <v>60</v>
      </c>
    </row>
    <row r="81" spans="1:17" x14ac:dyDescent="0.25">
      <c r="A81" s="518">
        <v>49</v>
      </c>
      <c r="B81" s="519" t="s">
        <v>818</v>
      </c>
      <c r="C81" s="454"/>
      <c r="D81" s="441">
        <v>0</v>
      </c>
      <c r="E81" s="441">
        <v>0</v>
      </c>
      <c r="F81" s="441">
        <v>0</v>
      </c>
      <c r="G81" s="441">
        <v>0</v>
      </c>
      <c r="H81" s="441">
        <v>0</v>
      </c>
      <c r="I81" s="441">
        <v>0</v>
      </c>
      <c r="J81" s="441">
        <v>0</v>
      </c>
      <c r="K81" s="443">
        <v>0</v>
      </c>
      <c r="L81" s="443">
        <v>0</v>
      </c>
      <c r="M81" s="443">
        <v>0</v>
      </c>
      <c r="N81" s="443">
        <v>0</v>
      </c>
      <c r="O81" s="443">
        <v>0</v>
      </c>
      <c r="P81" s="443">
        <v>0</v>
      </c>
      <c r="Q81" s="444">
        <v>0</v>
      </c>
    </row>
    <row r="82" spans="1:17" ht="30" x14ac:dyDescent="0.25">
      <c r="A82" s="455">
        <v>50</v>
      </c>
      <c r="B82" s="456" t="s">
        <v>819</v>
      </c>
      <c r="C82" s="520">
        <v>0</v>
      </c>
      <c r="D82" s="520">
        <v>21737.004000000001</v>
      </c>
      <c r="E82" s="520">
        <v>8053.7840000000006</v>
      </c>
      <c r="F82" s="520">
        <v>4429.7049999999999</v>
      </c>
      <c r="G82" s="520">
        <v>2972.6190000000006</v>
      </c>
      <c r="H82" s="520">
        <v>141472.505</v>
      </c>
      <c r="I82" s="520">
        <v>9323.5119999999988</v>
      </c>
      <c r="J82" s="520">
        <v>187989.12899999999</v>
      </c>
      <c r="K82" s="520">
        <v>25467.743616191998</v>
      </c>
      <c r="L82" s="520">
        <v>12934.713988976378</v>
      </c>
      <c r="M82" s="520">
        <v>3231.9869250000002</v>
      </c>
      <c r="N82" s="520">
        <v>39979.264901820468</v>
      </c>
      <c r="O82" s="520">
        <v>52913.978890796847</v>
      </c>
      <c r="P82" s="520">
        <v>15228.987716930002</v>
      </c>
      <c r="Q82" s="520">
        <v>96842.697148918829</v>
      </c>
    </row>
    <row r="83" spans="1:17" ht="25.5" x14ac:dyDescent="0.25">
      <c r="A83" s="518">
        <v>51</v>
      </c>
      <c r="B83" s="519" t="s">
        <v>820</v>
      </c>
      <c r="C83" s="454"/>
      <c r="D83" s="441">
        <v>0</v>
      </c>
      <c r="E83" s="441">
        <v>0</v>
      </c>
      <c r="F83" s="441">
        <v>0</v>
      </c>
      <c r="G83" s="441">
        <v>0</v>
      </c>
      <c r="H83" s="441">
        <v>187383.04800000001</v>
      </c>
      <c r="I83" s="441">
        <v>0</v>
      </c>
      <c r="J83" s="441">
        <v>187383.04800000001</v>
      </c>
      <c r="K83" s="443">
        <v>0</v>
      </c>
      <c r="L83" s="443">
        <v>0</v>
      </c>
      <c r="M83" s="443">
        <v>0</v>
      </c>
      <c r="N83" s="443">
        <v>0</v>
      </c>
      <c r="O83" s="443">
        <v>0</v>
      </c>
      <c r="P83" s="443">
        <v>0</v>
      </c>
      <c r="Q83" s="444">
        <v>0</v>
      </c>
    </row>
    <row r="84" spans="1:17" x14ac:dyDescent="0.25">
      <c r="A84" s="518">
        <v>52</v>
      </c>
      <c r="B84" s="519" t="s">
        <v>821</v>
      </c>
      <c r="C84" s="454"/>
      <c r="D84" s="441">
        <v>0</v>
      </c>
      <c r="E84" s="441">
        <v>0</v>
      </c>
      <c r="F84" s="441">
        <v>0</v>
      </c>
      <c r="G84" s="441">
        <v>0</v>
      </c>
      <c r="H84" s="441">
        <v>0</v>
      </c>
      <c r="I84" s="441">
        <v>0</v>
      </c>
      <c r="J84" s="441">
        <v>0</v>
      </c>
      <c r="K84" s="443">
        <v>0</v>
      </c>
      <c r="L84" s="443">
        <v>0</v>
      </c>
      <c r="M84" s="443">
        <v>0</v>
      </c>
      <c r="N84" s="443">
        <v>0</v>
      </c>
      <c r="O84" s="443">
        <v>0</v>
      </c>
      <c r="P84" s="443">
        <v>0</v>
      </c>
      <c r="Q84" s="444">
        <v>0</v>
      </c>
    </row>
    <row r="85" spans="1:17" ht="25.5" x14ac:dyDescent="0.25">
      <c r="A85" s="518">
        <v>53</v>
      </c>
      <c r="B85" s="519" t="s">
        <v>822</v>
      </c>
      <c r="C85" s="454"/>
      <c r="D85" s="441">
        <v>0</v>
      </c>
      <c r="E85" s="441">
        <v>0</v>
      </c>
      <c r="F85" s="441">
        <v>0</v>
      </c>
      <c r="G85" s="441">
        <v>0</v>
      </c>
      <c r="H85" s="441">
        <v>0</v>
      </c>
      <c r="I85" s="441">
        <v>0</v>
      </c>
      <c r="J85" s="441">
        <v>0</v>
      </c>
      <c r="K85" s="443">
        <v>0</v>
      </c>
      <c r="L85" s="443">
        <v>0</v>
      </c>
      <c r="M85" s="443">
        <v>0</v>
      </c>
      <c r="N85" s="443">
        <v>0</v>
      </c>
      <c r="O85" s="443">
        <v>0</v>
      </c>
      <c r="P85" s="443">
        <v>0</v>
      </c>
      <c r="Q85" s="444">
        <v>0</v>
      </c>
    </row>
    <row r="86" spans="1:17" ht="25.5" x14ac:dyDescent="0.25">
      <c r="A86" s="518">
        <v>54</v>
      </c>
      <c r="B86" s="519" t="s">
        <v>823</v>
      </c>
      <c r="C86" s="454">
        <v>0</v>
      </c>
      <c r="D86" s="441">
        <v>0</v>
      </c>
      <c r="E86" s="441">
        <v>0</v>
      </c>
      <c r="F86" s="441">
        <v>0</v>
      </c>
      <c r="G86" s="441">
        <v>0</v>
      </c>
      <c r="H86" s="441">
        <v>4947.9159999999993</v>
      </c>
      <c r="I86" s="441">
        <v>300</v>
      </c>
      <c r="J86" s="441">
        <v>5247.9159999999993</v>
      </c>
      <c r="K86" s="443">
        <v>0</v>
      </c>
      <c r="L86" s="443">
        <v>0</v>
      </c>
      <c r="M86" s="443">
        <v>0</v>
      </c>
      <c r="N86" s="443">
        <v>4034</v>
      </c>
      <c r="O86" s="443">
        <v>4034</v>
      </c>
      <c r="P86" s="443">
        <v>0</v>
      </c>
      <c r="Q86" s="444">
        <v>4034</v>
      </c>
    </row>
    <row r="87" spans="1:17" x14ac:dyDescent="0.25">
      <c r="A87" s="518">
        <v>5401</v>
      </c>
      <c r="B87" s="523" t="s">
        <v>824</v>
      </c>
      <c r="C87" s="454"/>
      <c r="D87" s="441">
        <v>0</v>
      </c>
      <c r="E87" s="441">
        <v>0</v>
      </c>
      <c r="F87" s="441">
        <v>0</v>
      </c>
      <c r="G87" s="441">
        <v>0</v>
      </c>
      <c r="H87" s="441">
        <v>0</v>
      </c>
      <c r="I87" s="441">
        <v>0</v>
      </c>
      <c r="J87" s="441">
        <v>0</v>
      </c>
      <c r="K87" s="443">
        <v>0</v>
      </c>
      <c r="L87" s="443">
        <v>0</v>
      </c>
      <c r="M87" s="443">
        <v>0</v>
      </c>
      <c r="N87" s="443">
        <v>0</v>
      </c>
      <c r="O87" s="443">
        <v>0</v>
      </c>
      <c r="P87" s="443">
        <v>0</v>
      </c>
      <c r="Q87" s="444">
        <v>0</v>
      </c>
    </row>
    <row r="88" spans="1:17" x14ac:dyDescent="0.25">
      <c r="A88" s="518">
        <v>5402</v>
      </c>
      <c r="B88" s="523" t="s">
        <v>825</v>
      </c>
      <c r="C88" s="454"/>
      <c r="D88" s="441">
        <v>0</v>
      </c>
      <c r="E88" s="441">
        <v>0</v>
      </c>
      <c r="F88" s="441">
        <v>0</v>
      </c>
      <c r="G88" s="441">
        <v>0</v>
      </c>
      <c r="H88" s="441">
        <v>0</v>
      </c>
      <c r="I88" s="441">
        <v>0</v>
      </c>
      <c r="J88" s="441">
        <v>0</v>
      </c>
      <c r="K88" s="443">
        <v>0</v>
      </c>
      <c r="L88" s="443">
        <v>0</v>
      </c>
      <c r="M88" s="443">
        <v>0</v>
      </c>
      <c r="N88" s="443">
        <v>0</v>
      </c>
      <c r="O88" s="443">
        <v>0</v>
      </c>
      <c r="P88" s="443">
        <v>0</v>
      </c>
      <c r="Q88" s="444">
        <v>0</v>
      </c>
    </row>
    <row r="89" spans="1:17" x14ac:dyDescent="0.25">
      <c r="A89" s="518">
        <v>5403</v>
      </c>
      <c r="B89" s="523" t="s">
        <v>826</v>
      </c>
      <c r="C89" s="454"/>
      <c r="D89" s="441">
        <v>0</v>
      </c>
      <c r="E89" s="441">
        <v>0</v>
      </c>
      <c r="F89" s="441">
        <v>0</v>
      </c>
      <c r="G89" s="441">
        <v>0</v>
      </c>
      <c r="H89" s="441">
        <v>382.41</v>
      </c>
      <c r="I89" s="441">
        <v>0</v>
      </c>
      <c r="J89" s="441">
        <v>382.41</v>
      </c>
      <c r="K89" s="443">
        <v>0</v>
      </c>
      <c r="L89" s="443">
        <v>0</v>
      </c>
      <c r="M89" s="443">
        <v>0</v>
      </c>
      <c r="N89" s="443">
        <v>576</v>
      </c>
      <c r="O89" s="443">
        <v>576</v>
      </c>
      <c r="P89" s="443">
        <v>0</v>
      </c>
      <c r="Q89" s="444">
        <v>576</v>
      </c>
    </row>
    <row r="90" spans="1:17" x14ac:dyDescent="0.25">
      <c r="A90" s="518">
        <v>5404</v>
      </c>
      <c r="B90" s="523" t="s">
        <v>827</v>
      </c>
      <c r="C90" s="454"/>
      <c r="D90" s="441">
        <v>0</v>
      </c>
      <c r="E90" s="441">
        <v>0</v>
      </c>
      <c r="F90" s="441">
        <v>0</v>
      </c>
      <c r="G90" s="441">
        <v>0</v>
      </c>
      <c r="H90" s="441">
        <v>69.3</v>
      </c>
      <c r="I90" s="441">
        <v>0</v>
      </c>
      <c r="J90" s="441">
        <v>69.3</v>
      </c>
      <c r="K90" s="443">
        <v>0</v>
      </c>
      <c r="L90" s="443">
        <v>0</v>
      </c>
      <c r="M90" s="443">
        <v>0</v>
      </c>
      <c r="N90" s="443">
        <v>78</v>
      </c>
      <c r="O90" s="443">
        <v>78</v>
      </c>
      <c r="P90" s="443">
        <v>0</v>
      </c>
      <c r="Q90" s="444">
        <v>78</v>
      </c>
    </row>
    <row r="91" spans="1:17" x14ac:dyDescent="0.25">
      <c r="A91" s="518">
        <v>5405</v>
      </c>
      <c r="B91" s="523" t="s">
        <v>828</v>
      </c>
      <c r="C91" s="454"/>
      <c r="D91" s="441">
        <v>0</v>
      </c>
      <c r="E91" s="441">
        <v>0</v>
      </c>
      <c r="F91" s="441">
        <v>0</v>
      </c>
      <c r="G91" s="441">
        <v>0</v>
      </c>
      <c r="H91" s="441">
        <v>0</v>
      </c>
      <c r="I91" s="441">
        <v>0</v>
      </c>
      <c r="J91" s="441">
        <v>0</v>
      </c>
      <c r="K91" s="443">
        <v>0</v>
      </c>
      <c r="L91" s="443">
        <v>0</v>
      </c>
      <c r="M91" s="443">
        <v>0</v>
      </c>
      <c r="N91" s="443">
        <v>0</v>
      </c>
      <c r="O91" s="443">
        <v>0</v>
      </c>
      <c r="P91" s="443">
        <v>0</v>
      </c>
      <c r="Q91" s="444">
        <v>0</v>
      </c>
    </row>
    <row r="92" spans="1:17" x14ac:dyDescent="0.25">
      <c r="A92" s="518">
        <v>5406</v>
      </c>
      <c r="B92" s="523" t="s">
        <v>829</v>
      </c>
      <c r="C92" s="454"/>
      <c r="D92" s="441">
        <v>0</v>
      </c>
      <c r="E92" s="441">
        <v>0</v>
      </c>
      <c r="F92" s="441">
        <v>0</v>
      </c>
      <c r="G92" s="441">
        <v>0</v>
      </c>
      <c r="H92" s="441">
        <v>1126.7349999999999</v>
      </c>
      <c r="I92" s="441">
        <v>0</v>
      </c>
      <c r="J92" s="441">
        <v>1126.7349999999999</v>
      </c>
      <c r="K92" s="443">
        <v>0</v>
      </c>
      <c r="L92" s="443">
        <v>0</v>
      </c>
      <c r="M92" s="443">
        <v>0</v>
      </c>
      <c r="N92" s="443">
        <v>0</v>
      </c>
      <c r="O92" s="443">
        <v>0</v>
      </c>
      <c r="P92" s="443">
        <v>0</v>
      </c>
      <c r="Q92" s="444">
        <v>0</v>
      </c>
    </row>
    <row r="93" spans="1:17" x14ac:dyDescent="0.25">
      <c r="A93" s="518">
        <v>5407</v>
      </c>
      <c r="B93" s="523" t="s">
        <v>830</v>
      </c>
      <c r="C93" s="454"/>
      <c r="D93" s="441">
        <v>0</v>
      </c>
      <c r="E93" s="441">
        <v>0</v>
      </c>
      <c r="F93" s="441">
        <v>0</v>
      </c>
      <c r="G93" s="441">
        <v>0</v>
      </c>
      <c r="H93" s="441">
        <v>0</v>
      </c>
      <c r="I93" s="441">
        <v>0</v>
      </c>
      <c r="J93" s="441">
        <v>0</v>
      </c>
      <c r="K93" s="443">
        <v>0</v>
      </c>
      <c r="L93" s="443">
        <v>0</v>
      </c>
      <c r="M93" s="443">
        <v>0</v>
      </c>
      <c r="N93" s="443">
        <v>0</v>
      </c>
      <c r="O93" s="443">
        <v>0</v>
      </c>
      <c r="P93" s="443">
        <v>0</v>
      </c>
      <c r="Q93" s="444">
        <v>0</v>
      </c>
    </row>
    <row r="94" spans="1:17" x14ac:dyDescent="0.25">
      <c r="A94" s="518">
        <v>5408</v>
      </c>
      <c r="B94" s="523" t="s">
        <v>831</v>
      </c>
      <c r="C94" s="454"/>
      <c r="D94" s="441">
        <v>0</v>
      </c>
      <c r="E94" s="441">
        <v>0</v>
      </c>
      <c r="F94" s="441">
        <v>0</v>
      </c>
      <c r="G94" s="441">
        <v>0</v>
      </c>
      <c r="H94" s="441">
        <v>1260</v>
      </c>
      <c r="I94" s="441">
        <v>0</v>
      </c>
      <c r="J94" s="441">
        <v>1260</v>
      </c>
      <c r="K94" s="443">
        <v>0</v>
      </c>
      <c r="L94" s="443">
        <v>0</v>
      </c>
      <c r="M94" s="443">
        <v>0</v>
      </c>
      <c r="N94" s="443">
        <v>1080</v>
      </c>
      <c r="O94" s="443">
        <v>1080</v>
      </c>
      <c r="P94" s="443">
        <v>0</v>
      </c>
      <c r="Q94" s="444">
        <v>1080</v>
      </c>
    </row>
    <row r="95" spans="1:17" x14ac:dyDescent="0.25">
      <c r="A95" s="518">
        <v>5409</v>
      </c>
      <c r="B95" s="523" t="s">
        <v>832</v>
      </c>
      <c r="C95" s="454"/>
      <c r="D95" s="441">
        <v>0</v>
      </c>
      <c r="E95" s="441">
        <v>0</v>
      </c>
      <c r="F95" s="441">
        <v>0</v>
      </c>
      <c r="G95" s="441">
        <v>0</v>
      </c>
      <c r="H95" s="441">
        <v>2109.471</v>
      </c>
      <c r="I95" s="441">
        <v>300</v>
      </c>
      <c r="J95" s="441">
        <v>2409.471</v>
      </c>
      <c r="K95" s="443">
        <v>0</v>
      </c>
      <c r="L95" s="443">
        <v>0</v>
      </c>
      <c r="M95" s="443">
        <v>0</v>
      </c>
      <c r="N95" s="443">
        <v>2300</v>
      </c>
      <c r="O95" s="443">
        <v>2300</v>
      </c>
      <c r="P95" s="443">
        <v>0</v>
      </c>
      <c r="Q95" s="444">
        <v>2300</v>
      </c>
    </row>
    <row r="96" spans="1:17" x14ac:dyDescent="0.25">
      <c r="A96" s="518">
        <v>5410</v>
      </c>
      <c r="B96" s="523" t="s">
        <v>833</v>
      </c>
      <c r="C96" s="454"/>
      <c r="D96" s="441">
        <v>0</v>
      </c>
      <c r="E96" s="441">
        <v>0</v>
      </c>
      <c r="F96" s="441">
        <v>0</v>
      </c>
      <c r="G96" s="441">
        <v>0</v>
      </c>
      <c r="H96" s="441">
        <v>0</v>
      </c>
      <c r="I96" s="441">
        <v>0</v>
      </c>
      <c r="J96" s="441">
        <v>0</v>
      </c>
      <c r="K96" s="443">
        <v>0</v>
      </c>
      <c r="L96" s="443">
        <v>0</v>
      </c>
      <c r="M96" s="443">
        <v>0</v>
      </c>
      <c r="N96" s="443">
        <v>0</v>
      </c>
      <c r="O96" s="443">
        <v>0</v>
      </c>
      <c r="P96" s="443">
        <v>0</v>
      </c>
      <c r="Q96" s="444">
        <v>0</v>
      </c>
    </row>
    <row r="97" spans="1:17" x14ac:dyDescent="0.25">
      <c r="A97" s="518">
        <v>5411</v>
      </c>
      <c r="B97" s="523" t="s">
        <v>834</v>
      </c>
      <c r="C97" s="454"/>
      <c r="D97" s="441">
        <v>0</v>
      </c>
      <c r="E97" s="441">
        <v>0</v>
      </c>
      <c r="F97" s="441">
        <v>0</v>
      </c>
      <c r="G97" s="441">
        <v>0</v>
      </c>
      <c r="H97" s="441">
        <v>0</v>
      </c>
      <c r="I97" s="441">
        <v>0</v>
      </c>
      <c r="J97" s="441">
        <v>0</v>
      </c>
      <c r="K97" s="443">
        <v>0</v>
      </c>
      <c r="L97" s="443">
        <v>0</v>
      </c>
      <c r="M97" s="443">
        <v>0</v>
      </c>
      <c r="N97" s="443">
        <v>0</v>
      </c>
      <c r="O97" s="443">
        <v>0</v>
      </c>
      <c r="P97" s="443">
        <v>0</v>
      </c>
      <c r="Q97" s="444">
        <v>0</v>
      </c>
    </row>
    <row r="98" spans="1:17" x14ac:dyDescent="0.25">
      <c r="A98" s="518">
        <v>5412</v>
      </c>
      <c r="B98" s="523" t="s">
        <v>835</v>
      </c>
      <c r="C98" s="454"/>
      <c r="D98" s="441">
        <v>0</v>
      </c>
      <c r="E98" s="441">
        <v>0</v>
      </c>
      <c r="F98" s="441">
        <v>0</v>
      </c>
      <c r="G98" s="441">
        <v>0</v>
      </c>
      <c r="H98" s="441">
        <v>0</v>
      </c>
      <c r="I98" s="441">
        <v>0</v>
      </c>
      <c r="J98" s="441">
        <v>0</v>
      </c>
      <c r="K98" s="443">
        <v>0</v>
      </c>
      <c r="L98" s="443">
        <v>0</v>
      </c>
      <c r="M98" s="443">
        <v>0</v>
      </c>
      <c r="N98" s="443">
        <v>0</v>
      </c>
      <c r="O98" s="443">
        <v>0</v>
      </c>
      <c r="P98" s="443">
        <v>0</v>
      </c>
      <c r="Q98" s="444">
        <v>0</v>
      </c>
    </row>
    <row r="99" spans="1:17" ht="25.5" x14ac:dyDescent="0.25">
      <c r="A99" s="518">
        <v>55</v>
      </c>
      <c r="B99" s="519" t="s">
        <v>836</v>
      </c>
      <c r="C99" s="454">
        <v>0</v>
      </c>
      <c r="D99" s="441">
        <v>0</v>
      </c>
      <c r="E99" s="441">
        <v>0</v>
      </c>
      <c r="F99" s="441">
        <v>0</v>
      </c>
      <c r="G99" s="441">
        <v>0</v>
      </c>
      <c r="H99" s="441">
        <v>21959.952999999998</v>
      </c>
      <c r="I99" s="441">
        <v>0</v>
      </c>
      <c r="J99" s="441">
        <v>21959.952999999998</v>
      </c>
      <c r="K99" s="443">
        <v>0</v>
      </c>
      <c r="L99" s="443">
        <v>0</v>
      </c>
      <c r="M99" s="443">
        <v>0</v>
      </c>
      <c r="N99" s="443">
        <v>1850</v>
      </c>
      <c r="O99" s="443">
        <v>1850</v>
      </c>
      <c r="P99" s="443">
        <v>13543</v>
      </c>
      <c r="Q99" s="444">
        <v>15393</v>
      </c>
    </row>
    <row r="100" spans="1:17" x14ac:dyDescent="0.25">
      <c r="A100" s="518">
        <v>5501</v>
      </c>
      <c r="B100" s="532" t="s">
        <v>837</v>
      </c>
      <c r="C100" s="454"/>
      <c r="D100" s="441">
        <v>0</v>
      </c>
      <c r="E100" s="441">
        <v>0</v>
      </c>
      <c r="F100" s="441">
        <v>0</v>
      </c>
      <c r="G100" s="441">
        <v>0</v>
      </c>
      <c r="H100" s="441">
        <v>1955.4670000000001</v>
      </c>
      <c r="I100" s="441">
        <v>0</v>
      </c>
      <c r="J100" s="441">
        <v>1955.4670000000001</v>
      </c>
      <c r="K100" s="443">
        <v>0</v>
      </c>
      <c r="L100" s="443">
        <v>0</v>
      </c>
      <c r="M100" s="443">
        <v>0</v>
      </c>
      <c r="N100" s="443">
        <v>0</v>
      </c>
      <c r="O100" s="443">
        <v>0</v>
      </c>
      <c r="P100" s="443">
        <v>1955</v>
      </c>
      <c r="Q100" s="444">
        <v>1955</v>
      </c>
    </row>
    <row r="101" spans="1:17" x14ac:dyDescent="0.25">
      <c r="A101" s="518">
        <v>5502</v>
      </c>
      <c r="B101" s="532" t="s">
        <v>838</v>
      </c>
      <c r="C101" s="454"/>
      <c r="D101" s="441">
        <v>0</v>
      </c>
      <c r="E101" s="441">
        <v>0</v>
      </c>
      <c r="F101" s="441">
        <v>0</v>
      </c>
      <c r="G101" s="441">
        <v>0</v>
      </c>
      <c r="H101" s="441">
        <v>0</v>
      </c>
      <c r="I101" s="441">
        <v>0</v>
      </c>
      <c r="J101" s="441">
        <v>0</v>
      </c>
      <c r="K101" s="443">
        <v>0</v>
      </c>
      <c r="L101" s="443">
        <v>0</v>
      </c>
      <c r="M101" s="443">
        <v>0</v>
      </c>
      <c r="N101" s="443">
        <v>0</v>
      </c>
      <c r="O101" s="443">
        <v>0</v>
      </c>
      <c r="P101" s="443">
        <v>0</v>
      </c>
      <c r="Q101" s="444">
        <v>0</v>
      </c>
    </row>
    <row r="102" spans="1:17" x14ac:dyDescent="0.25">
      <c r="A102" s="518">
        <v>5503</v>
      </c>
      <c r="B102" s="532" t="s">
        <v>839</v>
      </c>
      <c r="C102" s="454"/>
      <c r="D102" s="441">
        <v>0</v>
      </c>
      <c r="E102" s="441">
        <v>0</v>
      </c>
      <c r="F102" s="441">
        <v>0</v>
      </c>
      <c r="G102" s="441">
        <v>0</v>
      </c>
      <c r="H102" s="441">
        <v>8160.45</v>
      </c>
      <c r="I102" s="441">
        <v>0</v>
      </c>
      <c r="J102" s="441">
        <v>8160.45</v>
      </c>
      <c r="K102" s="443">
        <v>0</v>
      </c>
      <c r="L102" s="443">
        <v>0</v>
      </c>
      <c r="M102" s="443">
        <v>0</v>
      </c>
      <c r="N102" s="443">
        <v>0</v>
      </c>
      <c r="O102" s="443">
        <v>0</v>
      </c>
      <c r="P102" s="443">
        <v>8182</v>
      </c>
      <c r="Q102" s="444">
        <v>8182</v>
      </c>
    </row>
    <row r="103" spans="1:17" x14ac:dyDescent="0.25">
      <c r="A103" s="518">
        <v>5504</v>
      </c>
      <c r="B103" s="532" t="s">
        <v>840</v>
      </c>
      <c r="C103" s="454"/>
      <c r="D103" s="441">
        <v>0</v>
      </c>
      <c r="E103" s="441">
        <v>0</v>
      </c>
      <c r="F103" s="441">
        <v>0</v>
      </c>
      <c r="G103" s="441">
        <v>0</v>
      </c>
      <c r="H103" s="441">
        <v>0</v>
      </c>
      <c r="I103" s="441">
        <v>0</v>
      </c>
      <c r="J103" s="441">
        <v>0</v>
      </c>
      <c r="K103" s="443">
        <v>0</v>
      </c>
      <c r="L103" s="443">
        <v>0</v>
      </c>
      <c r="M103" s="443">
        <v>0</v>
      </c>
      <c r="N103" s="443">
        <v>0</v>
      </c>
      <c r="O103" s="443">
        <v>0</v>
      </c>
      <c r="P103" s="443">
        <v>0</v>
      </c>
      <c r="Q103" s="444">
        <v>0</v>
      </c>
    </row>
    <row r="104" spans="1:17" x14ac:dyDescent="0.25">
      <c r="A104" s="518">
        <v>5505</v>
      </c>
      <c r="B104" s="532" t="s">
        <v>494</v>
      </c>
      <c r="C104" s="454"/>
      <c r="D104" s="441">
        <v>0</v>
      </c>
      <c r="E104" s="441">
        <v>0</v>
      </c>
      <c r="F104" s="441">
        <v>0</v>
      </c>
      <c r="G104" s="441">
        <v>0</v>
      </c>
      <c r="H104" s="441">
        <v>889.2</v>
      </c>
      <c r="I104" s="441">
        <v>0</v>
      </c>
      <c r="J104" s="441">
        <v>889.2</v>
      </c>
      <c r="K104" s="443">
        <v>0</v>
      </c>
      <c r="L104" s="443">
        <v>0</v>
      </c>
      <c r="M104" s="443">
        <v>0</v>
      </c>
      <c r="N104" s="443">
        <v>74</v>
      </c>
      <c r="O104" s="443">
        <v>74</v>
      </c>
      <c r="P104" s="443">
        <v>0</v>
      </c>
      <c r="Q104" s="444">
        <v>74</v>
      </c>
    </row>
    <row r="105" spans="1:17" x14ac:dyDescent="0.25">
      <c r="A105" s="518">
        <v>5506</v>
      </c>
      <c r="B105" s="532" t="s">
        <v>841</v>
      </c>
      <c r="C105" s="454"/>
      <c r="D105" s="441">
        <v>0</v>
      </c>
      <c r="E105" s="441">
        <v>0</v>
      </c>
      <c r="F105" s="441">
        <v>0</v>
      </c>
      <c r="G105" s="441">
        <v>0</v>
      </c>
      <c r="H105" s="441">
        <v>3117.4850000000001</v>
      </c>
      <c r="I105" s="441">
        <v>0</v>
      </c>
      <c r="J105" s="441">
        <v>3117.4850000000001</v>
      </c>
      <c r="K105" s="443">
        <v>0</v>
      </c>
      <c r="L105" s="443">
        <v>0</v>
      </c>
      <c r="M105" s="443">
        <v>0</v>
      </c>
      <c r="N105" s="443">
        <v>0</v>
      </c>
      <c r="O105" s="443">
        <v>0</v>
      </c>
      <c r="P105" s="443">
        <v>3117</v>
      </c>
      <c r="Q105" s="444">
        <v>3117</v>
      </c>
    </row>
    <row r="106" spans="1:17" x14ac:dyDescent="0.25">
      <c r="A106" s="518">
        <v>5507</v>
      </c>
      <c r="B106" s="532" t="s">
        <v>737</v>
      </c>
      <c r="C106" s="454"/>
      <c r="D106" s="441">
        <v>0</v>
      </c>
      <c r="E106" s="441">
        <v>0</v>
      </c>
      <c r="F106" s="441">
        <v>0</v>
      </c>
      <c r="G106" s="441">
        <v>0</v>
      </c>
      <c r="H106" s="441">
        <v>4270.6149999999998</v>
      </c>
      <c r="I106" s="441">
        <v>0</v>
      </c>
      <c r="J106" s="441">
        <v>4270.6149999999998</v>
      </c>
      <c r="K106" s="443">
        <v>0</v>
      </c>
      <c r="L106" s="443">
        <v>0</v>
      </c>
      <c r="M106" s="443">
        <v>0</v>
      </c>
      <c r="N106" s="443">
        <v>304</v>
      </c>
      <c r="O106" s="443">
        <v>304</v>
      </c>
      <c r="P106" s="443">
        <v>0</v>
      </c>
      <c r="Q106" s="444">
        <v>304</v>
      </c>
    </row>
    <row r="107" spans="1:17" x14ac:dyDescent="0.25">
      <c r="A107" s="518">
        <v>5508</v>
      </c>
      <c r="B107" s="532" t="s">
        <v>842</v>
      </c>
      <c r="C107" s="454"/>
      <c r="D107" s="441">
        <v>0</v>
      </c>
      <c r="E107" s="441">
        <v>0</v>
      </c>
      <c r="F107" s="441">
        <v>0</v>
      </c>
      <c r="G107" s="441">
        <v>0</v>
      </c>
      <c r="H107" s="441">
        <v>0</v>
      </c>
      <c r="I107" s="441">
        <v>0</v>
      </c>
      <c r="J107" s="441">
        <v>0</v>
      </c>
      <c r="K107" s="443">
        <v>0</v>
      </c>
      <c r="L107" s="443">
        <v>0</v>
      </c>
      <c r="M107" s="443">
        <v>0</v>
      </c>
      <c r="N107" s="443">
        <v>0</v>
      </c>
      <c r="O107" s="443">
        <v>0</v>
      </c>
      <c r="P107" s="443">
        <v>0</v>
      </c>
      <c r="Q107" s="444">
        <v>0</v>
      </c>
    </row>
    <row r="108" spans="1:17" x14ac:dyDescent="0.25">
      <c r="A108" s="518">
        <v>5509</v>
      </c>
      <c r="B108" s="532" t="s">
        <v>738</v>
      </c>
      <c r="C108" s="454"/>
      <c r="D108" s="441">
        <v>0</v>
      </c>
      <c r="E108" s="441">
        <v>0</v>
      </c>
      <c r="F108" s="441">
        <v>0</v>
      </c>
      <c r="G108" s="441">
        <v>0</v>
      </c>
      <c r="H108" s="441">
        <v>516.13</v>
      </c>
      <c r="I108" s="441">
        <v>0</v>
      </c>
      <c r="J108" s="441">
        <v>516.13</v>
      </c>
      <c r="K108" s="443">
        <v>0</v>
      </c>
      <c r="L108" s="443">
        <v>0</v>
      </c>
      <c r="M108" s="443">
        <v>0</v>
      </c>
      <c r="N108" s="443">
        <v>516</v>
      </c>
      <c r="O108" s="443">
        <v>516</v>
      </c>
      <c r="P108" s="443">
        <v>0</v>
      </c>
      <c r="Q108" s="444">
        <v>516</v>
      </c>
    </row>
    <row r="109" spans="1:17" x14ac:dyDescent="0.25">
      <c r="A109" s="518">
        <v>5510</v>
      </c>
      <c r="B109" s="532" t="s">
        <v>739</v>
      </c>
      <c r="C109" s="454"/>
      <c r="D109" s="441">
        <v>0</v>
      </c>
      <c r="E109" s="441">
        <v>0</v>
      </c>
      <c r="F109" s="441">
        <v>0</v>
      </c>
      <c r="G109" s="441">
        <v>0</v>
      </c>
      <c r="H109" s="441">
        <v>513</v>
      </c>
      <c r="I109" s="441">
        <v>0</v>
      </c>
      <c r="J109" s="441">
        <v>513</v>
      </c>
      <c r="K109" s="443">
        <v>0</v>
      </c>
      <c r="L109" s="443">
        <v>0</v>
      </c>
      <c r="M109" s="443">
        <v>0</v>
      </c>
      <c r="N109" s="443">
        <v>513</v>
      </c>
      <c r="O109" s="443">
        <v>513</v>
      </c>
      <c r="P109" s="443">
        <v>0</v>
      </c>
      <c r="Q109" s="444">
        <v>513</v>
      </c>
    </row>
    <row r="110" spans="1:17" x14ac:dyDescent="0.25">
      <c r="A110" s="518">
        <v>5511</v>
      </c>
      <c r="B110" s="532" t="s">
        <v>843</v>
      </c>
      <c r="C110" s="454"/>
      <c r="D110" s="441">
        <v>0</v>
      </c>
      <c r="E110" s="441">
        <v>0</v>
      </c>
      <c r="F110" s="441">
        <v>0</v>
      </c>
      <c r="G110" s="441">
        <v>0</v>
      </c>
      <c r="H110" s="441">
        <v>1218</v>
      </c>
      <c r="I110" s="441">
        <v>0</v>
      </c>
      <c r="J110" s="441">
        <v>1218</v>
      </c>
      <c r="K110" s="443">
        <v>0</v>
      </c>
      <c r="L110" s="443">
        <v>0</v>
      </c>
      <c r="M110" s="443">
        <v>0</v>
      </c>
      <c r="N110" s="443">
        <v>0</v>
      </c>
      <c r="O110" s="443">
        <v>0</v>
      </c>
      <c r="P110" s="443">
        <v>0</v>
      </c>
      <c r="Q110" s="444">
        <v>0</v>
      </c>
    </row>
    <row r="111" spans="1:17" x14ac:dyDescent="0.25">
      <c r="A111" s="518">
        <v>5512</v>
      </c>
      <c r="B111" s="532" t="s">
        <v>844</v>
      </c>
      <c r="C111" s="454"/>
      <c r="D111" s="441">
        <v>0</v>
      </c>
      <c r="E111" s="441">
        <v>0</v>
      </c>
      <c r="F111" s="441">
        <v>0</v>
      </c>
      <c r="G111" s="441">
        <v>0</v>
      </c>
      <c r="H111" s="441">
        <v>0</v>
      </c>
      <c r="I111" s="441">
        <v>0</v>
      </c>
      <c r="J111" s="441">
        <v>0</v>
      </c>
      <c r="K111" s="443">
        <v>0</v>
      </c>
      <c r="L111" s="443">
        <v>0</v>
      </c>
      <c r="M111" s="443">
        <v>0</v>
      </c>
      <c r="N111" s="443">
        <v>0</v>
      </c>
      <c r="O111" s="443">
        <v>0</v>
      </c>
      <c r="P111" s="443">
        <v>0</v>
      </c>
      <c r="Q111" s="444">
        <v>0</v>
      </c>
    </row>
    <row r="112" spans="1:17" x14ac:dyDescent="0.25">
      <c r="A112" s="518">
        <v>5513</v>
      </c>
      <c r="B112" s="532" t="s">
        <v>729</v>
      </c>
      <c r="C112" s="454"/>
      <c r="D112" s="441">
        <v>0</v>
      </c>
      <c r="E112" s="441">
        <v>0</v>
      </c>
      <c r="F112" s="441">
        <v>0</v>
      </c>
      <c r="G112" s="441">
        <v>0</v>
      </c>
      <c r="H112" s="441">
        <v>360</v>
      </c>
      <c r="I112" s="441">
        <v>0</v>
      </c>
      <c r="J112" s="441">
        <v>360</v>
      </c>
      <c r="K112" s="443">
        <v>0</v>
      </c>
      <c r="L112" s="443">
        <v>0</v>
      </c>
      <c r="M112" s="443">
        <v>0</v>
      </c>
      <c r="N112" s="443">
        <v>0</v>
      </c>
      <c r="O112" s="443">
        <v>0</v>
      </c>
      <c r="P112" s="443">
        <v>0</v>
      </c>
      <c r="Q112" s="444">
        <v>0</v>
      </c>
    </row>
    <row r="113" spans="1:18" x14ac:dyDescent="0.25">
      <c r="A113" s="518">
        <v>5514</v>
      </c>
      <c r="B113" s="532" t="s">
        <v>845</v>
      </c>
      <c r="C113" s="454"/>
      <c r="D113" s="441">
        <v>0</v>
      </c>
      <c r="E113" s="441">
        <v>0</v>
      </c>
      <c r="F113" s="441">
        <v>0</v>
      </c>
      <c r="G113" s="441">
        <v>0</v>
      </c>
      <c r="H113" s="441">
        <v>0</v>
      </c>
      <c r="I113" s="441">
        <v>0</v>
      </c>
      <c r="J113" s="441">
        <v>0</v>
      </c>
      <c r="K113" s="443">
        <v>0</v>
      </c>
      <c r="L113" s="443">
        <v>0</v>
      </c>
      <c r="M113" s="443">
        <v>0</v>
      </c>
      <c r="N113" s="443">
        <v>0</v>
      </c>
      <c r="O113" s="443">
        <v>0</v>
      </c>
      <c r="P113" s="443">
        <v>0</v>
      </c>
      <c r="Q113" s="444">
        <v>0</v>
      </c>
    </row>
    <row r="114" spans="1:18" x14ac:dyDescent="0.25">
      <c r="A114" s="518">
        <v>5515</v>
      </c>
      <c r="B114" s="532" t="s">
        <v>846</v>
      </c>
      <c r="C114" s="454"/>
      <c r="D114" s="441">
        <v>0</v>
      </c>
      <c r="E114" s="441">
        <v>0</v>
      </c>
      <c r="F114" s="441">
        <v>0</v>
      </c>
      <c r="G114" s="441">
        <v>0</v>
      </c>
      <c r="H114" s="441">
        <v>50</v>
      </c>
      <c r="I114" s="441">
        <v>0</v>
      </c>
      <c r="J114" s="441">
        <v>50</v>
      </c>
      <c r="K114" s="443">
        <v>0</v>
      </c>
      <c r="L114" s="443">
        <v>0</v>
      </c>
      <c r="M114" s="443">
        <v>0</v>
      </c>
      <c r="N114" s="443">
        <v>60</v>
      </c>
      <c r="O114" s="443">
        <v>60</v>
      </c>
      <c r="P114" s="443">
        <v>0</v>
      </c>
      <c r="Q114" s="444">
        <v>60</v>
      </c>
    </row>
    <row r="115" spans="1:18" x14ac:dyDescent="0.25">
      <c r="A115" s="518">
        <v>5516</v>
      </c>
      <c r="B115" s="532" t="s">
        <v>847</v>
      </c>
      <c r="C115" s="454"/>
      <c r="D115" s="441">
        <v>0</v>
      </c>
      <c r="E115" s="441">
        <v>0</v>
      </c>
      <c r="F115" s="441">
        <v>0</v>
      </c>
      <c r="G115" s="441">
        <v>0</v>
      </c>
      <c r="H115" s="441">
        <v>0</v>
      </c>
      <c r="I115" s="441">
        <v>0</v>
      </c>
      <c r="J115" s="441">
        <v>0</v>
      </c>
      <c r="K115" s="443">
        <v>0</v>
      </c>
      <c r="L115" s="443">
        <v>0</v>
      </c>
      <c r="M115" s="443">
        <v>0</v>
      </c>
      <c r="N115" s="443">
        <v>0</v>
      </c>
      <c r="O115" s="443">
        <v>0</v>
      </c>
      <c r="P115" s="443">
        <v>0</v>
      </c>
      <c r="Q115" s="444">
        <v>0</v>
      </c>
    </row>
    <row r="116" spans="1:18" x14ac:dyDescent="0.25">
      <c r="A116" s="518">
        <v>5517</v>
      </c>
      <c r="B116" s="532" t="s">
        <v>848</v>
      </c>
      <c r="C116" s="454"/>
      <c r="D116" s="441">
        <v>0</v>
      </c>
      <c r="E116" s="441">
        <v>0</v>
      </c>
      <c r="F116" s="441">
        <v>0</v>
      </c>
      <c r="G116" s="441">
        <v>0</v>
      </c>
      <c r="H116" s="441">
        <v>200.53200000000001</v>
      </c>
      <c r="I116" s="441">
        <v>0</v>
      </c>
      <c r="J116" s="441">
        <v>200.53200000000001</v>
      </c>
      <c r="K116" s="443">
        <v>0</v>
      </c>
      <c r="L116" s="443">
        <v>0</v>
      </c>
      <c r="M116" s="443">
        <v>0</v>
      </c>
      <c r="N116" s="443">
        <v>201</v>
      </c>
      <c r="O116" s="443">
        <v>201</v>
      </c>
      <c r="P116" s="443">
        <v>0</v>
      </c>
      <c r="Q116" s="444">
        <v>201</v>
      </c>
    </row>
    <row r="117" spans="1:18" x14ac:dyDescent="0.25">
      <c r="A117" s="518">
        <v>5518</v>
      </c>
      <c r="B117" s="532" t="s">
        <v>849</v>
      </c>
      <c r="C117" s="454"/>
      <c r="D117" s="441">
        <v>0</v>
      </c>
      <c r="E117" s="441">
        <v>0</v>
      </c>
      <c r="F117" s="441">
        <v>0</v>
      </c>
      <c r="G117" s="441">
        <v>0</v>
      </c>
      <c r="H117" s="441">
        <v>0</v>
      </c>
      <c r="I117" s="441">
        <v>0</v>
      </c>
      <c r="J117" s="441">
        <v>0</v>
      </c>
      <c r="K117" s="443">
        <v>0</v>
      </c>
      <c r="L117" s="443">
        <v>0</v>
      </c>
      <c r="M117" s="443">
        <v>0</v>
      </c>
      <c r="N117" s="443">
        <v>0</v>
      </c>
      <c r="O117" s="443">
        <v>0</v>
      </c>
      <c r="P117" s="443">
        <v>0</v>
      </c>
      <c r="Q117" s="444">
        <v>0</v>
      </c>
    </row>
    <row r="118" spans="1:18" x14ac:dyDescent="0.25">
      <c r="A118" s="518">
        <v>5519</v>
      </c>
      <c r="B118" s="532" t="s">
        <v>495</v>
      </c>
      <c r="C118" s="454"/>
      <c r="D118" s="441">
        <v>0</v>
      </c>
      <c r="E118" s="441">
        <v>0</v>
      </c>
      <c r="F118" s="441">
        <v>0</v>
      </c>
      <c r="G118" s="441">
        <v>0</v>
      </c>
      <c r="H118" s="441">
        <v>133</v>
      </c>
      <c r="I118" s="441">
        <v>0</v>
      </c>
      <c r="J118" s="441">
        <v>133</v>
      </c>
      <c r="K118" s="443">
        <v>0</v>
      </c>
      <c r="L118" s="443">
        <v>0</v>
      </c>
      <c r="M118" s="443">
        <v>0</v>
      </c>
      <c r="N118" s="443">
        <v>0</v>
      </c>
      <c r="O118" s="443">
        <v>0</v>
      </c>
      <c r="P118" s="443">
        <v>0</v>
      </c>
      <c r="Q118" s="444">
        <v>0</v>
      </c>
    </row>
    <row r="119" spans="1:18" x14ac:dyDescent="0.25">
      <c r="A119" s="518">
        <v>5520</v>
      </c>
      <c r="B119" s="532" t="s">
        <v>850</v>
      </c>
      <c r="C119" s="454"/>
      <c r="D119" s="441">
        <v>0</v>
      </c>
      <c r="E119" s="441">
        <v>0</v>
      </c>
      <c r="F119" s="441">
        <v>0</v>
      </c>
      <c r="G119" s="441">
        <v>0</v>
      </c>
      <c r="H119" s="441">
        <v>287.35000000000002</v>
      </c>
      <c r="I119" s="441">
        <v>0</v>
      </c>
      <c r="J119" s="441">
        <v>287.35000000000002</v>
      </c>
      <c r="K119" s="443">
        <v>0</v>
      </c>
      <c r="L119" s="443">
        <v>0</v>
      </c>
      <c r="M119" s="443">
        <v>0</v>
      </c>
      <c r="N119" s="443">
        <v>182</v>
      </c>
      <c r="O119" s="443">
        <v>182</v>
      </c>
      <c r="P119" s="443">
        <v>0</v>
      </c>
      <c r="Q119" s="444">
        <v>182</v>
      </c>
    </row>
    <row r="120" spans="1:18" x14ac:dyDescent="0.25">
      <c r="A120" s="518">
        <v>5521</v>
      </c>
      <c r="B120" s="532" t="s">
        <v>731</v>
      </c>
      <c r="C120" s="454"/>
      <c r="D120" s="441">
        <v>0</v>
      </c>
      <c r="E120" s="441">
        <v>0</v>
      </c>
      <c r="F120" s="441">
        <v>0</v>
      </c>
      <c r="G120" s="441">
        <v>0</v>
      </c>
      <c r="H120" s="441">
        <v>288.72399999999999</v>
      </c>
      <c r="I120" s="441">
        <v>0</v>
      </c>
      <c r="J120" s="441">
        <v>288.72399999999999</v>
      </c>
      <c r="K120" s="443">
        <v>0</v>
      </c>
      <c r="L120" s="443">
        <v>0</v>
      </c>
      <c r="M120" s="443">
        <v>0</v>
      </c>
      <c r="N120" s="443">
        <v>0</v>
      </c>
      <c r="O120" s="443">
        <v>0</v>
      </c>
      <c r="P120" s="443">
        <v>289</v>
      </c>
      <c r="Q120" s="444">
        <v>289</v>
      </c>
    </row>
    <row r="121" spans="1:18" x14ac:dyDescent="0.25">
      <c r="A121" s="518">
        <v>5522</v>
      </c>
      <c r="B121" s="532" t="s">
        <v>730</v>
      </c>
      <c r="C121" s="454"/>
      <c r="D121" s="441">
        <v>0</v>
      </c>
      <c r="E121" s="441">
        <v>0</v>
      </c>
      <c r="F121" s="441">
        <v>0</v>
      </c>
      <c r="G121" s="441">
        <v>0</v>
      </c>
      <c r="H121" s="441">
        <v>0</v>
      </c>
      <c r="I121" s="441">
        <v>0</v>
      </c>
      <c r="J121" s="441">
        <v>0</v>
      </c>
      <c r="K121" s="443">
        <v>0</v>
      </c>
      <c r="L121" s="443">
        <v>0</v>
      </c>
      <c r="M121" s="443">
        <v>0</v>
      </c>
      <c r="N121" s="443">
        <v>0</v>
      </c>
      <c r="O121" s="443">
        <v>0</v>
      </c>
      <c r="P121" s="443">
        <v>0</v>
      </c>
      <c r="Q121" s="444">
        <v>0</v>
      </c>
    </row>
    <row r="122" spans="1:18" ht="25.5" x14ac:dyDescent="0.25">
      <c r="A122" s="518">
        <v>56</v>
      </c>
      <c r="B122" s="519" t="s">
        <v>851</v>
      </c>
      <c r="C122" s="454">
        <v>0</v>
      </c>
      <c r="D122" s="441">
        <v>0</v>
      </c>
      <c r="E122" s="441">
        <v>0</v>
      </c>
      <c r="F122" s="441">
        <v>0</v>
      </c>
      <c r="G122" s="441">
        <v>0</v>
      </c>
      <c r="H122" s="441">
        <v>214290.91700000002</v>
      </c>
      <c r="I122" s="441">
        <v>300</v>
      </c>
      <c r="J122" s="441">
        <v>214590.91700000002</v>
      </c>
      <c r="K122" s="443">
        <v>0</v>
      </c>
      <c r="L122" s="443">
        <v>0</v>
      </c>
      <c r="M122" s="443">
        <v>0</v>
      </c>
      <c r="N122" s="443">
        <v>5884</v>
      </c>
      <c r="O122" s="443">
        <v>5884</v>
      </c>
      <c r="P122" s="443">
        <v>13543</v>
      </c>
      <c r="Q122" s="444">
        <v>19427</v>
      </c>
    </row>
    <row r="123" spans="1:18" x14ac:dyDescent="0.25">
      <c r="A123" s="518">
        <v>57</v>
      </c>
      <c r="B123" s="519" t="s">
        <v>852</v>
      </c>
      <c r="C123" s="454"/>
      <c r="D123" s="441">
        <v>0</v>
      </c>
      <c r="E123" s="441">
        <v>0</v>
      </c>
      <c r="F123" s="441">
        <v>0</v>
      </c>
      <c r="G123" s="441">
        <v>0</v>
      </c>
      <c r="H123" s="441">
        <v>0</v>
      </c>
      <c r="I123" s="441">
        <v>0</v>
      </c>
      <c r="J123" s="441">
        <v>0</v>
      </c>
      <c r="K123" s="443">
        <v>0</v>
      </c>
      <c r="L123" s="443">
        <v>0</v>
      </c>
      <c r="M123" s="443">
        <v>0</v>
      </c>
      <c r="N123" s="443">
        <v>0</v>
      </c>
      <c r="O123" s="443">
        <f>1351+2668</f>
        <v>4019</v>
      </c>
      <c r="P123" s="443">
        <v>0</v>
      </c>
      <c r="Q123" s="444">
        <f>1351+2668</f>
        <v>4019</v>
      </c>
    </row>
    <row r="124" spans="1:18" x14ac:dyDescent="0.25">
      <c r="A124" s="518">
        <v>58</v>
      </c>
      <c r="B124" s="519" t="s">
        <v>853</v>
      </c>
      <c r="C124" s="454"/>
      <c r="D124" s="441">
        <v>313</v>
      </c>
      <c r="E124" s="441">
        <v>0</v>
      </c>
      <c r="F124" s="441">
        <v>0</v>
      </c>
      <c r="G124" s="441">
        <v>0</v>
      </c>
      <c r="H124" s="441">
        <v>-111</v>
      </c>
      <c r="I124" s="441">
        <v>0</v>
      </c>
      <c r="J124" s="441">
        <v>202</v>
      </c>
      <c r="K124" s="443">
        <v>0</v>
      </c>
      <c r="L124" s="443">
        <v>0</v>
      </c>
      <c r="M124" s="443">
        <v>0</v>
      </c>
      <c r="N124" s="443">
        <v>0</v>
      </c>
      <c r="O124" s="443">
        <v>0</v>
      </c>
      <c r="P124" s="443">
        <v>0</v>
      </c>
      <c r="Q124" s="444">
        <v>0</v>
      </c>
    </row>
    <row r="125" spans="1:18" ht="30" x14ac:dyDescent="0.25">
      <c r="A125" s="455">
        <v>59</v>
      </c>
      <c r="B125" s="456" t="s">
        <v>854</v>
      </c>
      <c r="C125" s="520">
        <v>0</v>
      </c>
      <c r="D125" s="520">
        <v>313</v>
      </c>
      <c r="E125" s="520">
        <v>0</v>
      </c>
      <c r="F125" s="520">
        <v>0</v>
      </c>
      <c r="G125" s="520">
        <v>0</v>
      </c>
      <c r="H125" s="520">
        <v>214179.91700000002</v>
      </c>
      <c r="I125" s="520">
        <v>300</v>
      </c>
      <c r="J125" s="520">
        <v>214792.91700000002</v>
      </c>
      <c r="K125" s="520">
        <v>0</v>
      </c>
      <c r="L125" s="520">
        <v>0</v>
      </c>
      <c r="M125" s="520">
        <v>0</v>
      </c>
      <c r="N125" s="520">
        <v>5884</v>
      </c>
      <c r="O125" s="520">
        <f>5884+4019</f>
        <v>9903</v>
      </c>
      <c r="P125" s="520">
        <v>13543</v>
      </c>
      <c r="Q125" s="520">
        <f>19427+4019</f>
        <v>23446</v>
      </c>
      <c r="R125" s="498"/>
    </row>
    <row r="126" spans="1:18" x14ac:dyDescent="0.25">
      <c r="A126" s="455">
        <v>60</v>
      </c>
      <c r="B126" s="456" t="s">
        <v>855</v>
      </c>
      <c r="C126" s="520"/>
      <c r="D126" s="520">
        <v>0</v>
      </c>
      <c r="E126" s="520">
        <v>0</v>
      </c>
      <c r="F126" s="520">
        <v>0</v>
      </c>
      <c r="G126" s="520">
        <v>0</v>
      </c>
      <c r="H126" s="520">
        <v>0</v>
      </c>
      <c r="I126" s="520">
        <v>0</v>
      </c>
      <c r="J126" s="520">
        <v>0</v>
      </c>
      <c r="K126" s="520">
        <v>0</v>
      </c>
      <c r="L126" s="520">
        <v>0</v>
      </c>
      <c r="M126" s="520">
        <v>0</v>
      </c>
      <c r="N126" s="520">
        <v>0</v>
      </c>
      <c r="O126" s="520">
        <v>0</v>
      </c>
      <c r="P126" s="520">
        <v>0</v>
      </c>
      <c r="Q126" s="520">
        <v>0</v>
      </c>
    </row>
    <row r="127" spans="1:18" x14ac:dyDescent="0.25">
      <c r="A127" s="455">
        <v>61</v>
      </c>
      <c r="B127" s="456" t="s">
        <v>856</v>
      </c>
      <c r="C127" s="520">
        <v>0</v>
      </c>
      <c r="D127" s="520">
        <v>84495.775000000009</v>
      </c>
      <c r="E127" s="520">
        <v>22752.658000000003</v>
      </c>
      <c r="F127" s="520">
        <v>16580.095999999998</v>
      </c>
      <c r="G127" s="520">
        <v>4763.2980000000007</v>
      </c>
      <c r="H127" s="520">
        <v>378336.49300000002</v>
      </c>
      <c r="I127" s="520">
        <v>65667.757999999987</v>
      </c>
      <c r="J127" s="520">
        <v>572596.07799999998</v>
      </c>
      <c r="K127" s="520">
        <v>70679.687616191994</v>
      </c>
      <c r="L127" s="520">
        <v>12934.713988976378</v>
      </c>
      <c r="M127" s="520">
        <v>7948.7669249999999</v>
      </c>
      <c r="N127" s="520">
        <v>74300.264901820468</v>
      </c>
      <c r="O127" s="520">
        <v>87234.978890796847</v>
      </c>
      <c r="P127" s="520">
        <v>75810.091716930008</v>
      </c>
      <c r="Q127" s="520">
        <v>241673.52514891891</v>
      </c>
    </row>
    <row r="128" spans="1:18" x14ac:dyDescent="0.25">
      <c r="A128" s="518">
        <v>62</v>
      </c>
      <c r="B128" s="519" t="s">
        <v>857</v>
      </c>
      <c r="C128" s="454"/>
      <c r="D128" s="441">
        <v>0</v>
      </c>
      <c r="E128" s="441">
        <v>0</v>
      </c>
      <c r="F128" s="441">
        <v>0</v>
      </c>
      <c r="G128" s="441">
        <v>0</v>
      </c>
      <c r="H128" s="441">
        <v>830.56399999999996</v>
      </c>
      <c r="I128" s="441">
        <v>0</v>
      </c>
      <c r="J128" s="441">
        <v>830.56399999999996</v>
      </c>
      <c r="K128" s="443">
        <v>0</v>
      </c>
      <c r="L128" s="443">
        <v>0</v>
      </c>
      <c r="M128" s="443">
        <v>0</v>
      </c>
      <c r="N128" s="443"/>
      <c r="O128" s="443"/>
      <c r="P128" s="443">
        <v>0</v>
      </c>
      <c r="Q128" s="444"/>
    </row>
    <row r="129" spans="1:18" x14ac:dyDescent="0.25">
      <c r="A129" s="518">
        <v>63</v>
      </c>
      <c r="B129" s="519" t="s">
        <v>858</v>
      </c>
      <c r="C129" s="454"/>
      <c r="D129" s="441">
        <v>0</v>
      </c>
      <c r="E129" s="441">
        <v>0</v>
      </c>
      <c r="F129" s="441">
        <v>0</v>
      </c>
      <c r="G129" s="441">
        <v>0</v>
      </c>
      <c r="H129" s="441">
        <v>184143.348</v>
      </c>
      <c r="I129" s="441">
        <v>83.45</v>
      </c>
      <c r="J129" s="441">
        <v>184226.79800000001</v>
      </c>
      <c r="K129" s="443">
        <v>0</v>
      </c>
      <c r="L129" s="443">
        <v>0</v>
      </c>
      <c r="M129" s="443">
        <v>0</v>
      </c>
      <c r="N129" s="443">
        <v>27105</v>
      </c>
      <c r="O129" s="443">
        <f>24275.79+4180-1351</f>
        <v>27104.79</v>
      </c>
      <c r="P129" s="443">
        <v>0</v>
      </c>
      <c r="Q129" s="444">
        <v>27104</v>
      </c>
    </row>
    <row r="130" spans="1:18" ht="25.5" x14ac:dyDescent="0.25">
      <c r="A130" s="518">
        <v>64</v>
      </c>
      <c r="B130" s="519" t="s">
        <v>859</v>
      </c>
      <c r="C130" s="454"/>
      <c r="D130" s="441">
        <v>0</v>
      </c>
      <c r="E130" s="441">
        <v>0</v>
      </c>
      <c r="F130" s="441">
        <v>0</v>
      </c>
      <c r="G130" s="441">
        <v>0</v>
      </c>
      <c r="H130" s="441">
        <v>0</v>
      </c>
      <c r="I130" s="441">
        <v>0</v>
      </c>
      <c r="J130" s="441">
        <v>0</v>
      </c>
      <c r="K130" s="443">
        <v>0</v>
      </c>
      <c r="L130" s="443">
        <v>0</v>
      </c>
      <c r="M130" s="443">
        <v>0</v>
      </c>
      <c r="N130" s="443">
        <v>0</v>
      </c>
      <c r="O130" s="443">
        <v>0</v>
      </c>
      <c r="P130" s="443">
        <v>0</v>
      </c>
      <c r="Q130" s="444">
        <v>0</v>
      </c>
    </row>
    <row r="131" spans="1:18" x14ac:dyDescent="0.25">
      <c r="A131" s="518">
        <v>65</v>
      </c>
      <c r="B131" s="519" t="s">
        <v>4</v>
      </c>
      <c r="C131" s="454"/>
      <c r="D131" s="441">
        <v>0</v>
      </c>
      <c r="E131" s="441">
        <v>0</v>
      </c>
      <c r="F131" s="441">
        <v>0</v>
      </c>
      <c r="G131" s="441">
        <v>0</v>
      </c>
      <c r="H131" s="441">
        <v>0</v>
      </c>
      <c r="I131" s="441">
        <v>0</v>
      </c>
      <c r="J131" s="441">
        <v>0</v>
      </c>
      <c r="K131" s="443">
        <v>0</v>
      </c>
      <c r="L131" s="443">
        <v>0</v>
      </c>
      <c r="M131" s="443">
        <v>0</v>
      </c>
      <c r="N131" s="443">
        <v>2668.348</v>
      </c>
      <c r="O131" s="443">
        <v>0</v>
      </c>
      <c r="P131" s="443">
        <v>0</v>
      </c>
      <c r="Q131" s="444">
        <v>0</v>
      </c>
    </row>
    <row r="132" spans="1:18" x14ac:dyDescent="0.25">
      <c r="A132" s="518">
        <v>66</v>
      </c>
      <c r="B132" s="519" t="s">
        <v>860</v>
      </c>
      <c r="C132" s="454"/>
      <c r="D132" s="441">
        <v>0</v>
      </c>
      <c r="E132" s="441">
        <v>0</v>
      </c>
      <c r="F132" s="441">
        <v>0</v>
      </c>
      <c r="G132" s="441">
        <v>0</v>
      </c>
      <c r="H132" s="441">
        <v>0</v>
      </c>
      <c r="I132" s="441">
        <v>0</v>
      </c>
      <c r="J132" s="441">
        <v>0</v>
      </c>
      <c r="K132" s="443">
        <v>0</v>
      </c>
      <c r="L132" s="443">
        <v>0</v>
      </c>
      <c r="M132" s="443">
        <v>0</v>
      </c>
      <c r="N132" s="443">
        <v>0</v>
      </c>
      <c r="O132" s="443">
        <v>0</v>
      </c>
      <c r="P132" s="443">
        <v>0</v>
      </c>
      <c r="Q132" s="444">
        <v>0</v>
      </c>
    </row>
    <row r="133" spans="1:18" ht="25.5" x14ac:dyDescent="0.25">
      <c r="A133" s="518">
        <v>67</v>
      </c>
      <c r="B133" s="519" t="s">
        <v>861</v>
      </c>
      <c r="C133" s="454"/>
      <c r="D133" s="441">
        <v>0</v>
      </c>
      <c r="E133" s="441">
        <v>0</v>
      </c>
      <c r="F133" s="441">
        <v>0</v>
      </c>
      <c r="G133" s="441">
        <v>0</v>
      </c>
      <c r="H133" s="441">
        <v>0</v>
      </c>
      <c r="I133" s="441">
        <v>0</v>
      </c>
      <c r="J133" s="441">
        <v>0</v>
      </c>
      <c r="K133" s="443">
        <v>0</v>
      </c>
      <c r="L133" s="443">
        <v>0</v>
      </c>
      <c r="M133" s="443">
        <v>0</v>
      </c>
      <c r="N133" s="443">
        <v>0</v>
      </c>
      <c r="O133" s="443">
        <v>0</v>
      </c>
      <c r="P133" s="443">
        <v>0</v>
      </c>
      <c r="Q133" s="444">
        <v>0</v>
      </c>
    </row>
    <row r="134" spans="1:18" ht="25.5" x14ac:dyDescent="0.25">
      <c r="A134" s="518">
        <v>68</v>
      </c>
      <c r="B134" s="519" t="s">
        <v>862</v>
      </c>
      <c r="C134" s="454"/>
      <c r="D134" s="441">
        <v>0</v>
      </c>
      <c r="E134" s="441">
        <v>0</v>
      </c>
      <c r="F134" s="441">
        <v>0</v>
      </c>
      <c r="G134" s="441">
        <v>0</v>
      </c>
      <c r="H134" s="441">
        <v>0</v>
      </c>
      <c r="I134" s="441">
        <v>0</v>
      </c>
      <c r="J134" s="441">
        <v>0</v>
      </c>
      <c r="K134" s="443">
        <v>0</v>
      </c>
      <c r="L134" s="443">
        <v>0</v>
      </c>
      <c r="M134" s="443">
        <v>0</v>
      </c>
      <c r="N134" s="443">
        <v>0</v>
      </c>
      <c r="O134" s="443">
        <v>0</v>
      </c>
      <c r="P134" s="443">
        <v>0</v>
      </c>
      <c r="Q134" s="444">
        <v>0</v>
      </c>
      <c r="R134" s="498"/>
    </row>
    <row r="135" spans="1:18" s="498" customFormat="1" x14ac:dyDescent="0.25">
      <c r="A135" s="518">
        <v>69</v>
      </c>
      <c r="B135" s="519" t="s">
        <v>863</v>
      </c>
      <c r="C135" s="454"/>
      <c r="D135" s="441">
        <v>0</v>
      </c>
      <c r="E135" s="441">
        <v>0</v>
      </c>
      <c r="F135" s="441">
        <v>0</v>
      </c>
      <c r="G135" s="441">
        <v>0</v>
      </c>
      <c r="H135" s="441">
        <v>0</v>
      </c>
      <c r="I135" s="441">
        <v>0</v>
      </c>
      <c r="J135" s="441">
        <v>0</v>
      </c>
      <c r="K135" s="443">
        <v>0</v>
      </c>
      <c r="L135" s="443">
        <v>0</v>
      </c>
      <c r="M135" s="443">
        <v>0</v>
      </c>
      <c r="N135" s="443">
        <v>0</v>
      </c>
      <c r="O135" s="443">
        <v>0</v>
      </c>
      <c r="P135" s="443">
        <v>0</v>
      </c>
      <c r="Q135" s="444">
        <v>0</v>
      </c>
    </row>
    <row r="136" spans="1:18" x14ac:dyDescent="0.25">
      <c r="A136" s="455">
        <v>70</v>
      </c>
      <c r="B136" s="456" t="s">
        <v>864</v>
      </c>
      <c r="C136" s="520">
        <v>0</v>
      </c>
      <c r="D136" s="520">
        <v>0</v>
      </c>
      <c r="E136" s="520">
        <v>0</v>
      </c>
      <c r="F136" s="520">
        <v>0</v>
      </c>
      <c r="G136" s="520">
        <v>0</v>
      </c>
      <c r="H136" s="520">
        <v>184973.91200000001</v>
      </c>
      <c r="I136" s="520">
        <v>83.45</v>
      </c>
      <c r="J136" s="520">
        <v>185057.36200000002</v>
      </c>
      <c r="K136" s="520">
        <v>0</v>
      </c>
      <c r="L136" s="520">
        <v>0</v>
      </c>
      <c r="M136" s="520">
        <v>0</v>
      </c>
      <c r="N136" s="520">
        <v>31124.137999999999</v>
      </c>
      <c r="O136" s="520">
        <f>SUM(O129:O135)</f>
        <v>27104.79</v>
      </c>
      <c r="P136" s="520">
        <v>0</v>
      </c>
      <c r="Q136" s="520">
        <v>27105</v>
      </c>
      <c r="R136" s="498"/>
    </row>
    <row r="137" spans="1:18" s="498" customFormat="1" x14ac:dyDescent="0.25">
      <c r="A137" s="518">
        <v>71</v>
      </c>
      <c r="B137" s="519" t="s">
        <v>865</v>
      </c>
      <c r="C137" s="454"/>
      <c r="D137" s="441">
        <v>0</v>
      </c>
      <c r="E137" s="441">
        <v>0</v>
      </c>
      <c r="F137" s="441">
        <v>0</v>
      </c>
      <c r="G137" s="441">
        <v>0</v>
      </c>
      <c r="H137" s="441">
        <v>0</v>
      </c>
      <c r="I137" s="441">
        <v>0</v>
      </c>
      <c r="J137" s="441">
        <v>0</v>
      </c>
      <c r="K137" s="443">
        <v>0</v>
      </c>
      <c r="L137" s="443">
        <v>0</v>
      </c>
      <c r="M137" s="443">
        <v>0</v>
      </c>
      <c r="N137" s="443">
        <v>0</v>
      </c>
      <c r="O137" s="443">
        <v>0</v>
      </c>
      <c r="P137" s="443">
        <v>0</v>
      </c>
      <c r="Q137" s="444">
        <v>0</v>
      </c>
      <c r="R137" s="485"/>
    </row>
    <row r="138" spans="1:18" x14ac:dyDescent="0.25">
      <c r="A138" s="455">
        <v>72</v>
      </c>
      <c r="B138" s="456" t="s">
        <v>866</v>
      </c>
      <c r="C138" s="520">
        <v>0</v>
      </c>
      <c r="D138" s="520">
        <v>84495.775000000009</v>
      </c>
      <c r="E138" s="520">
        <v>22752.658000000003</v>
      </c>
      <c r="F138" s="520">
        <v>16580.095999999998</v>
      </c>
      <c r="G138" s="520">
        <v>4763.2980000000007</v>
      </c>
      <c r="H138" s="520">
        <v>563310.40500000003</v>
      </c>
      <c r="I138" s="520">
        <v>65751.207999999984</v>
      </c>
      <c r="J138" s="520">
        <v>757653.44000000006</v>
      </c>
      <c r="K138" s="520">
        <v>70679.687616191994</v>
      </c>
      <c r="L138" s="520">
        <v>12934.713988976378</v>
      </c>
      <c r="M138" s="520">
        <v>7948.7669249999999</v>
      </c>
      <c r="N138" s="520">
        <v>105424.40290182046</v>
      </c>
      <c r="O138" s="520">
        <v>118359.11689079684</v>
      </c>
      <c r="P138" s="520">
        <v>75810.091716930008</v>
      </c>
      <c r="Q138" s="520">
        <v>272797.66314891889</v>
      </c>
    </row>
    <row r="139" spans="1:18" x14ac:dyDescent="0.25">
      <c r="A139" s="518">
        <v>73</v>
      </c>
      <c r="B139" s="519" t="s">
        <v>867</v>
      </c>
      <c r="C139" s="454"/>
      <c r="D139" s="441">
        <v>0</v>
      </c>
      <c r="E139" s="441">
        <v>0</v>
      </c>
      <c r="F139" s="441">
        <v>0</v>
      </c>
      <c r="G139" s="441">
        <v>0</v>
      </c>
      <c r="H139" s="441">
        <v>0</v>
      </c>
      <c r="I139" s="441">
        <v>0</v>
      </c>
      <c r="J139" s="441">
        <v>0</v>
      </c>
      <c r="K139" s="443">
        <v>0</v>
      </c>
      <c r="L139" s="443">
        <v>0</v>
      </c>
      <c r="M139" s="443">
        <v>0</v>
      </c>
      <c r="N139" s="443">
        <v>0</v>
      </c>
      <c r="O139" s="443">
        <v>0</v>
      </c>
      <c r="P139" s="443">
        <v>0</v>
      </c>
      <c r="Q139" s="444">
        <v>0</v>
      </c>
    </row>
    <row r="140" spans="1:18" x14ac:dyDescent="0.25">
      <c r="A140" s="518">
        <v>74</v>
      </c>
      <c r="B140" s="519" t="s">
        <v>868</v>
      </c>
      <c r="C140" s="454"/>
      <c r="D140" s="441">
        <v>0</v>
      </c>
      <c r="E140" s="441">
        <v>0</v>
      </c>
      <c r="F140" s="441">
        <v>0</v>
      </c>
      <c r="G140" s="441">
        <v>0</v>
      </c>
      <c r="H140" s="441">
        <v>109862.193</v>
      </c>
      <c r="I140" s="441">
        <v>0</v>
      </c>
      <c r="J140" s="441">
        <v>109862.193</v>
      </c>
      <c r="K140" s="443">
        <v>0</v>
      </c>
      <c r="L140" s="443">
        <v>0</v>
      </c>
      <c r="M140" s="443">
        <v>0</v>
      </c>
      <c r="N140" s="443">
        <v>0</v>
      </c>
      <c r="O140" s="443">
        <v>0</v>
      </c>
      <c r="P140" s="443">
        <v>0</v>
      </c>
      <c r="Q140" s="444">
        <v>0</v>
      </c>
    </row>
    <row r="141" spans="1:18" x14ac:dyDescent="0.25">
      <c r="A141" s="518">
        <v>75</v>
      </c>
      <c r="B141" s="531" t="s">
        <v>869</v>
      </c>
      <c r="C141" s="454"/>
      <c r="D141" s="441">
        <v>0</v>
      </c>
      <c r="E141" s="441">
        <v>0</v>
      </c>
      <c r="F141" s="441">
        <v>0</v>
      </c>
      <c r="G141" s="441">
        <v>0</v>
      </c>
      <c r="H141" s="441">
        <v>125604.49400000001</v>
      </c>
      <c r="I141" s="441">
        <v>0</v>
      </c>
      <c r="J141" s="441">
        <v>125604.49400000001</v>
      </c>
      <c r="K141" s="443">
        <v>0</v>
      </c>
      <c r="L141" s="443">
        <v>0</v>
      </c>
      <c r="M141" s="443">
        <v>0</v>
      </c>
      <c r="N141" s="443">
        <v>0</v>
      </c>
      <c r="O141" s="443">
        <v>0</v>
      </c>
      <c r="P141" s="443">
        <v>0</v>
      </c>
      <c r="Q141" s="444">
        <v>0</v>
      </c>
    </row>
    <row r="142" spans="1:18" x14ac:dyDescent="0.25">
      <c r="A142" s="518">
        <v>76</v>
      </c>
      <c r="B142" s="519" t="s">
        <v>870</v>
      </c>
      <c r="C142" s="454"/>
      <c r="D142" s="441">
        <v>0</v>
      </c>
      <c r="E142" s="441">
        <v>0</v>
      </c>
      <c r="F142" s="441">
        <v>0</v>
      </c>
      <c r="G142" s="441">
        <v>0</v>
      </c>
      <c r="H142" s="441">
        <v>0</v>
      </c>
      <c r="I142" s="441">
        <v>0</v>
      </c>
      <c r="J142" s="441">
        <v>0</v>
      </c>
      <c r="K142" s="443">
        <v>0</v>
      </c>
      <c r="L142" s="443">
        <v>0</v>
      </c>
      <c r="M142" s="443">
        <v>0</v>
      </c>
      <c r="N142" s="443">
        <v>0</v>
      </c>
      <c r="O142" s="443">
        <v>0</v>
      </c>
      <c r="P142" s="443">
        <v>0</v>
      </c>
      <c r="Q142" s="444">
        <v>0</v>
      </c>
    </row>
    <row r="143" spans="1:18" x14ac:dyDescent="0.25">
      <c r="A143" s="518">
        <v>77</v>
      </c>
      <c r="B143" s="519" t="s">
        <v>871</v>
      </c>
      <c r="C143" s="454"/>
      <c r="D143" s="441">
        <v>0</v>
      </c>
      <c r="E143" s="441">
        <v>0</v>
      </c>
      <c r="F143" s="441">
        <v>0</v>
      </c>
      <c r="G143" s="441">
        <v>0</v>
      </c>
      <c r="H143" s="441">
        <v>0</v>
      </c>
      <c r="I143" s="441">
        <v>0</v>
      </c>
      <c r="J143" s="441">
        <v>0</v>
      </c>
      <c r="K143" s="443">
        <v>0</v>
      </c>
      <c r="L143" s="443">
        <v>0</v>
      </c>
      <c r="M143" s="443">
        <v>0</v>
      </c>
      <c r="N143" s="443">
        <v>0</v>
      </c>
      <c r="O143" s="443">
        <v>0</v>
      </c>
      <c r="P143" s="443">
        <v>0</v>
      </c>
      <c r="Q143" s="444">
        <v>0</v>
      </c>
    </row>
    <row r="144" spans="1:18" x14ac:dyDescent="0.25">
      <c r="A144" s="518">
        <v>78</v>
      </c>
      <c r="B144" s="519" t="s">
        <v>872</v>
      </c>
      <c r="C144" s="454"/>
      <c r="D144" s="441">
        <v>0</v>
      </c>
      <c r="E144" s="441">
        <v>0</v>
      </c>
      <c r="F144" s="441">
        <v>0</v>
      </c>
      <c r="G144" s="441">
        <v>0</v>
      </c>
      <c r="H144" s="441">
        <v>0</v>
      </c>
      <c r="I144" s="441">
        <v>0</v>
      </c>
      <c r="J144" s="441">
        <v>0</v>
      </c>
      <c r="K144" s="443">
        <v>0</v>
      </c>
      <c r="L144" s="443">
        <v>0</v>
      </c>
      <c r="M144" s="443">
        <v>0</v>
      </c>
      <c r="N144" s="443">
        <v>0</v>
      </c>
      <c r="O144" s="443">
        <v>0</v>
      </c>
      <c r="P144" s="443">
        <v>0</v>
      </c>
      <c r="Q144" s="444">
        <v>0</v>
      </c>
    </row>
    <row r="145" spans="1:18" x14ac:dyDescent="0.25">
      <c r="A145" s="518">
        <v>79</v>
      </c>
      <c r="B145" s="519" t="s">
        <v>873</v>
      </c>
      <c r="C145" s="454"/>
      <c r="D145" s="441">
        <v>0</v>
      </c>
      <c r="E145" s="441">
        <v>0</v>
      </c>
      <c r="F145" s="441">
        <v>0</v>
      </c>
      <c r="G145" s="441">
        <v>0</v>
      </c>
      <c r="H145" s="441">
        <v>0</v>
      </c>
      <c r="I145" s="441">
        <v>0</v>
      </c>
      <c r="J145" s="441">
        <v>0</v>
      </c>
      <c r="K145" s="443">
        <v>0</v>
      </c>
      <c r="L145" s="443">
        <v>0</v>
      </c>
      <c r="M145" s="443">
        <v>0</v>
      </c>
      <c r="N145" s="443">
        <v>0</v>
      </c>
      <c r="O145" s="443">
        <v>0</v>
      </c>
      <c r="P145" s="443">
        <v>0</v>
      </c>
      <c r="Q145" s="444">
        <v>0</v>
      </c>
    </row>
    <row r="146" spans="1:18" x14ac:dyDescent="0.25">
      <c r="A146" s="518">
        <v>80</v>
      </c>
      <c r="B146" s="519" t="s">
        <v>874</v>
      </c>
      <c r="C146" s="454"/>
      <c r="D146" s="441">
        <v>0</v>
      </c>
      <c r="E146" s="441">
        <v>0</v>
      </c>
      <c r="F146" s="441">
        <v>0</v>
      </c>
      <c r="G146" s="441">
        <v>0</v>
      </c>
      <c r="H146" s="441">
        <v>0</v>
      </c>
      <c r="I146" s="441">
        <v>0</v>
      </c>
      <c r="J146" s="441">
        <v>0</v>
      </c>
      <c r="K146" s="443">
        <v>0</v>
      </c>
      <c r="L146" s="443">
        <v>0</v>
      </c>
      <c r="M146" s="443">
        <v>0</v>
      </c>
      <c r="N146" s="443">
        <v>0</v>
      </c>
      <c r="O146" s="443">
        <v>0</v>
      </c>
      <c r="P146" s="443">
        <v>0</v>
      </c>
      <c r="Q146" s="444">
        <v>0</v>
      </c>
    </row>
    <row r="147" spans="1:18" x14ac:dyDescent="0.25">
      <c r="A147" s="518">
        <v>81</v>
      </c>
      <c r="B147" s="519" t="s">
        <v>875</v>
      </c>
      <c r="C147" s="454"/>
      <c r="D147" s="441">
        <v>0</v>
      </c>
      <c r="E147" s="441">
        <v>0</v>
      </c>
      <c r="F147" s="441">
        <v>0</v>
      </c>
      <c r="G147" s="441">
        <v>0</v>
      </c>
      <c r="H147" s="441">
        <v>0</v>
      </c>
      <c r="I147" s="441">
        <v>0</v>
      </c>
      <c r="J147" s="441">
        <v>0</v>
      </c>
      <c r="K147" s="443">
        <v>0</v>
      </c>
      <c r="L147" s="443">
        <v>0</v>
      </c>
      <c r="M147" s="443">
        <v>0</v>
      </c>
      <c r="N147" s="443">
        <v>0</v>
      </c>
      <c r="O147" s="443">
        <v>0</v>
      </c>
      <c r="P147" s="443">
        <v>0</v>
      </c>
      <c r="Q147" s="444">
        <v>0</v>
      </c>
      <c r="R147" s="498"/>
    </row>
    <row r="148" spans="1:18" s="498" customFormat="1" x14ac:dyDescent="0.25">
      <c r="A148" s="518">
        <v>82</v>
      </c>
      <c r="B148" s="519" t="s">
        <v>876</v>
      </c>
      <c r="C148" s="454"/>
      <c r="D148" s="441">
        <v>-531.072</v>
      </c>
      <c r="E148" s="441">
        <v>20.548999999999999</v>
      </c>
      <c r="F148" s="441">
        <v>41.667000000000002</v>
      </c>
      <c r="G148" s="441">
        <v>0</v>
      </c>
      <c r="H148" s="441">
        <v>-1643.0579999999998</v>
      </c>
      <c r="I148" s="441">
        <v>389.738</v>
      </c>
      <c r="J148" s="441">
        <v>-1722.1759999999997</v>
      </c>
      <c r="K148" s="443">
        <v>0</v>
      </c>
      <c r="L148" s="443">
        <v>0</v>
      </c>
      <c r="M148" s="443">
        <v>0</v>
      </c>
      <c r="N148" s="443">
        <v>0</v>
      </c>
      <c r="O148" s="443">
        <v>0</v>
      </c>
      <c r="P148" s="443">
        <v>0</v>
      </c>
      <c r="Q148" s="444">
        <v>0</v>
      </c>
    </row>
    <row r="149" spans="1:18" x14ac:dyDescent="0.25">
      <c r="A149" s="455">
        <v>83</v>
      </c>
      <c r="B149" s="456" t="s">
        <v>877</v>
      </c>
      <c r="C149" s="520">
        <v>0</v>
      </c>
      <c r="D149" s="520">
        <v>-531.072</v>
      </c>
      <c r="E149" s="520">
        <v>20.548999999999999</v>
      </c>
      <c r="F149" s="520">
        <v>41.667000000000002</v>
      </c>
      <c r="G149" s="520">
        <v>0</v>
      </c>
      <c r="H149" s="520">
        <v>233823.62900000002</v>
      </c>
      <c r="I149" s="520">
        <v>389.738</v>
      </c>
      <c r="J149" s="520">
        <v>233744.51100000003</v>
      </c>
      <c r="K149" s="520">
        <v>0</v>
      </c>
      <c r="L149" s="520">
        <v>0</v>
      </c>
      <c r="M149" s="520">
        <v>0</v>
      </c>
      <c r="N149" s="520">
        <v>0</v>
      </c>
      <c r="O149" s="520">
        <v>0</v>
      </c>
      <c r="P149" s="520">
        <v>0</v>
      </c>
      <c r="Q149" s="520">
        <v>0</v>
      </c>
    </row>
    <row r="150" spans="1:18" x14ac:dyDescent="0.25">
      <c r="A150" s="455">
        <v>84</v>
      </c>
      <c r="B150" s="456" t="s">
        <v>878</v>
      </c>
      <c r="C150" s="520">
        <v>0</v>
      </c>
      <c r="D150" s="520">
        <v>83964.703000000009</v>
      </c>
      <c r="E150" s="520">
        <v>22773.207000000002</v>
      </c>
      <c r="F150" s="520">
        <v>16621.762999999999</v>
      </c>
      <c r="G150" s="520">
        <v>4763.2980000000007</v>
      </c>
      <c r="H150" s="520">
        <v>797134.03399999999</v>
      </c>
      <c r="I150" s="520">
        <v>66140.945999999982</v>
      </c>
      <c r="J150" s="520">
        <v>991397.951</v>
      </c>
      <c r="K150" s="520">
        <v>70679.687616191994</v>
      </c>
      <c r="L150" s="520">
        <v>12934.713988976378</v>
      </c>
      <c r="M150" s="520">
        <v>7948.7669249999999</v>
      </c>
      <c r="N150" s="520">
        <v>105424.40290182046</v>
      </c>
      <c r="O150" s="520">
        <v>118359.11689079684</v>
      </c>
      <c r="P150" s="520">
        <v>75810.091716930008</v>
      </c>
      <c r="Q150" s="520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9">
        <v>272797.66314891877</v>
      </c>
    </row>
    <row r="155" spans="1:18" x14ac:dyDescent="0.25">
      <c r="D155" s="497">
        <v>0</v>
      </c>
      <c r="E155" s="497">
        <v>0</v>
      </c>
      <c r="F155" s="509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9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U83"/>
  <sheetViews>
    <sheetView topLeftCell="B1" workbookViewId="0">
      <selection activeCell="F21" sqref="F21"/>
    </sheetView>
  </sheetViews>
  <sheetFormatPr defaultColWidth="9.33203125" defaultRowHeight="15.75" x14ac:dyDescent="0.25"/>
  <cols>
    <col min="1" max="1" width="4.83203125" style="115" customWidth="1"/>
    <col min="2" max="2" width="30.33203125" style="134" bestFit="1" customWidth="1"/>
    <col min="3" max="4" width="9" style="134" customWidth="1"/>
    <col min="5" max="5" width="9.5" style="134" customWidth="1"/>
    <col min="6" max="6" width="8.83203125" style="134" customWidth="1"/>
    <col min="7" max="7" width="8.6640625" style="134" customWidth="1"/>
    <col min="8" max="8" width="8.83203125" style="134" customWidth="1"/>
    <col min="9" max="9" width="8.1640625" style="134" customWidth="1"/>
    <col min="10" max="14" width="9.5" style="134" customWidth="1"/>
    <col min="15" max="15" width="12.6640625" style="115" customWidth="1"/>
    <col min="16" max="16" width="0" style="134" hidden="1" customWidth="1"/>
    <col min="17" max="17" width="10.1640625" style="489" bestFit="1" customWidth="1"/>
    <col min="18" max="18" width="11.83203125" style="493" bestFit="1" customWidth="1"/>
    <col min="19" max="19" width="9.33203125" style="489"/>
    <col min="20" max="20" width="9.5" style="489" bestFit="1" customWidth="1"/>
    <col min="21" max="21" width="9.33203125" style="489"/>
    <col min="22" max="16384" width="9.33203125" style="134"/>
  </cols>
  <sheetData>
    <row r="1" spans="1:21" ht="31.5" customHeight="1" x14ac:dyDescent="0.25">
      <c r="A1" s="1580" t="s">
        <v>1126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</row>
    <row r="2" spans="1:21" ht="16.5" thickBot="1" x14ac:dyDescent="0.3">
      <c r="O2" s="5" t="s">
        <v>1008</v>
      </c>
      <c r="P2" s="134">
        <f>90200/99604</f>
        <v>0.90558612103931568</v>
      </c>
    </row>
    <row r="3" spans="1:21" s="115" customFormat="1" ht="26.1" customHeight="1" thickBot="1" x14ac:dyDescent="0.3">
      <c r="A3" s="112" t="s">
        <v>967</v>
      </c>
      <c r="B3" s="113" t="s">
        <v>12</v>
      </c>
      <c r="C3" s="113" t="s">
        <v>23</v>
      </c>
      <c r="D3" s="113" t="s">
        <v>24</v>
      </c>
      <c r="E3" s="113" t="s">
        <v>25</v>
      </c>
      <c r="F3" s="113" t="s">
        <v>26</v>
      </c>
      <c r="G3" s="113" t="s">
        <v>27</v>
      </c>
      <c r="H3" s="113" t="s">
        <v>28</v>
      </c>
      <c r="I3" s="113" t="s">
        <v>29</v>
      </c>
      <c r="J3" s="113" t="s">
        <v>30</v>
      </c>
      <c r="K3" s="113" t="s">
        <v>31</v>
      </c>
      <c r="L3" s="113" t="s">
        <v>32</v>
      </c>
      <c r="M3" s="113" t="s">
        <v>33</v>
      </c>
      <c r="N3" s="113" t="s">
        <v>34</v>
      </c>
      <c r="O3" s="114" t="s">
        <v>1004</v>
      </c>
      <c r="Q3" s="490"/>
      <c r="R3" s="494"/>
      <c r="S3" s="490"/>
      <c r="T3" s="490"/>
      <c r="U3" s="490"/>
    </row>
    <row r="4" spans="1:21" s="117" customFormat="1" ht="15" customHeight="1" thickBot="1" x14ac:dyDescent="0.25">
      <c r="A4" s="116" t="s">
        <v>969</v>
      </c>
      <c r="B4" s="1577" t="s">
        <v>1011</v>
      </c>
      <c r="C4" s="1578"/>
      <c r="D4" s="1578"/>
      <c r="E4" s="1578"/>
      <c r="F4" s="1578"/>
      <c r="G4" s="1578"/>
      <c r="H4" s="1578"/>
      <c r="I4" s="1578"/>
      <c r="J4" s="1578"/>
      <c r="K4" s="1578"/>
      <c r="L4" s="1578"/>
      <c r="M4" s="1578"/>
      <c r="N4" s="1578"/>
      <c r="O4" s="1579"/>
      <c r="Q4" s="491"/>
      <c r="R4" s="495"/>
      <c r="S4" s="491"/>
      <c r="T4" s="491"/>
      <c r="U4" s="491"/>
    </row>
    <row r="5" spans="1:21" s="117" customFormat="1" ht="15" customHeight="1" x14ac:dyDescent="0.2">
      <c r="A5" s="118" t="s">
        <v>970</v>
      </c>
      <c r="B5" s="119" t="s">
        <v>145</v>
      </c>
      <c r="C5" s="120">
        <f>(740+850+900)*0.905586121039316</f>
        <v>2254.909441387897</v>
      </c>
      <c r="D5" s="120">
        <f>(900+500+330)*0.905586121039316</f>
        <v>1566.6639893980166</v>
      </c>
      <c r="E5" s="120">
        <f>(16217+9400+9300)*0.905586121039316</f>
        <v>31620.350588329798</v>
      </c>
      <c r="F5" s="120">
        <f>(2452+920+500)*0.905586121039316</f>
        <v>3506.4294606642316</v>
      </c>
      <c r="G5" s="120">
        <f>(680+510+3140)*0.905586121039316</f>
        <v>3921.1879041002385</v>
      </c>
      <c r="H5" s="120">
        <f>(1393+510+1990)*0.905586121039316</f>
        <v>3525.4467692060571</v>
      </c>
      <c r="I5" s="120">
        <f>(749+270+2100)*0.905586121039316</f>
        <v>2824.5231115216266</v>
      </c>
      <c r="J5" s="120">
        <f>(2353+1100+620)*0.905586121039316</f>
        <v>3688.4522709931343</v>
      </c>
      <c r="K5" s="120">
        <f>(9581+4400+14200)*0.905586121039316</f>
        <v>25520.322477008966</v>
      </c>
      <c r="L5" s="120">
        <f>(2461+1330+980)*0.905586121039316</f>
        <v>4320.551383478577</v>
      </c>
      <c r="M5" s="120">
        <f>(2255+1400+1900)*0.905586121039316</f>
        <v>5030.5309023734007</v>
      </c>
      <c r="N5" s="120">
        <f>(783+590+1300)*0.905586121039316</f>
        <v>2420.6317015380919</v>
      </c>
      <c r="O5" s="121">
        <f t="shared" ref="O5:O27" si="0">SUM(C5:N5)</f>
        <v>90200.000000000029</v>
      </c>
      <c r="P5" s="117">
        <f>'1.1.sz.mell.'!E6</f>
        <v>90200</v>
      </c>
      <c r="Q5" s="491"/>
      <c r="R5" s="496" t="s">
        <v>1135</v>
      </c>
      <c r="S5" s="491"/>
      <c r="T5" s="491"/>
      <c r="U5" s="491"/>
    </row>
    <row r="6" spans="1:21" s="125" customFormat="1" ht="14.1" customHeight="1" x14ac:dyDescent="0.2">
      <c r="A6" s="122" t="s">
        <v>971</v>
      </c>
      <c r="B6" s="309" t="s">
        <v>1012</v>
      </c>
      <c r="C6" s="123">
        <v>297</v>
      </c>
      <c r="D6" s="123">
        <f>514+(828/2)+(636/2)+288</f>
        <v>1534</v>
      </c>
      <c r="E6" s="123">
        <f>513+598/2+288</f>
        <v>1100</v>
      </c>
      <c r="F6" s="123">
        <f>515+288</f>
        <v>803</v>
      </c>
      <c r="G6" s="123">
        <f>515+288+263</f>
        <v>1066</v>
      </c>
      <c r="H6" s="123">
        <f>515+288+577</f>
        <v>1380</v>
      </c>
      <c r="I6" s="123">
        <f>513+(828+636)/2+249+577+288</f>
        <v>2359</v>
      </c>
      <c r="J6" s="123">
        <v>288</v>
      </c>
      <c r="K6" s="123">
        <f>514+598/2+288</f>
        <v>1101</v>
      </c>
      <c r="L6" s="123">
        <f>515+577+288</f>
        <v>1380</v>
      </c>
      <c r="M6" s="123">
        <f>514+288</f>
        <v>802</v>
      </c>
      <c r="N6" s="123">
        <f>510+577+286</f>
        <v>1373</v>
      </c>
      <c r="O6" s="124">
        <f t="shared" si="0"/>
        <v>13483</v>
      </c>
      <c r="P6" s="125">
        <f>'1.1.sz.mell.'!E11</f>
        <v>13483</v>
      </c>
      <c r="Q6" s="492"/>
      <c r="R6" s="496"/>
      <c r="S6" s="492"/>
      <c r="T6" s="492"/>
      <c r="U6" s="492"/>
    </row>
    <row r="7" spans="1:21" s="125" customFormat="1" x14ac:dyDescent="0.2">
      <c r="A7" s="122" t="s">
        <v>972</v>
      </c>
      <c r="B7" s="310" t="s">
        <v>0</v>
      </c>
      <c r="C7" s="126">
        <v>116</v>
      </c>
      <c r="D7" s="126">
        <v>284</v>
      </c>
      <c r="E7" s="126">
        <v>3140</v>
      </c>
      <c r="F7" s="126">
        <v>440</v>
      </c>
      <c r="G7" s="126">
        <v>212</v>
      </c>
      <c r="H7" s="126">
        <v>340</v>
      </c>
      <c r="I7" s="126">
        <v>700</v>
      </c>
      <c r="J7" s="126">
        <v>440</v>
      </c>
      <c r="K7" s="126">
        <v>1224</v>
      </c>
      <c r="L7" s="126">
        <v>480</v>
      </c>
      <c r="M7" s="126">
        <v>496</v>
      </c>
      <c r="N7" s="126">
        <v>128</v>
      </c>
      <c r="O7" s="127">
        <f t="shared" si="0"/>
        <v>8000</v>
      </c>
      <c r="P7" s="125">
        <f>'1.1.sz.mell.'!E20</f>
        <v>8000</v>
      </c>
      <c r="Q7" s="492"/>
      <c r="R7" s="496"/>
      <c r="S7" s="492"/>
      <c r="T7" s="492"/>
      <c r="U7" s="492"/>
    </row>
    <row r="8" spans="1:21" s="125" customFormat="1" ht="14.1" customHeight="1" x14ac:dyDescent="0.2">
      <c r="A8" s="122" t="s">
        <v>973</v>
      </c>
      <c r="B8" s="309" t="s">
        <v>957</v>
      </c>
      <c r="C8" s="123">
        <f>147818/12</f>
        <v>12318.166666666666</v>
      </c>
      <c r="D8" s="123">
        <f t="shared" ref="D8:N8" si="1">147818/12</f>
        <v>12318.166666666666</v>
      </c>
      <c r="E8" s="123">
        <f t="shared" si="1"/>
        <v>12318.166666666666</v>
      </c>
      <c r="F8" s="123">
        <f t="shared" si="1"/>
        <v>12318.166666666666</v>
      </c>
      <c r="G8" s="123">
        <f t="shared" si="1"/>
        <v>12318.166666666666</v>
      </c>
      <c r="H8" s="123">
        <f t="shared" si="1"/>
        <v>12318.166666666666</v>
      </c>
      <c r="I8" s="123">
        <f t="shared" si="1"/>
        <v>12318.166666666666</v>
      </c>
      <c r="J8" s="123">
        <f t="shared" si="1"/>
        <v>12318.166666666666</v>
      </c>
      <c r="K8" s="123">
        <f t="shared" si="1"/>
        <v>12318.166666666666</v>
      </c>
      <c r="L8" s="123">
        <f t="shared" si="1"/>
        <v>12318.166666666666</v>
      </c>
      <c r="M8" s="123">
        <f t="shared" si="1"/>
        <v>12318.166666666666</v>
      </c>
      <c r="N8" s="123">
        <f t="shared" si="1"/>
        <v>12318.166666666666</v>
      </c>
      <c r="O8" s="124">
        <f t="shared" si="0"/>
        <v>147818</v>
      </c>
      <c r="P8" s="125">
        <f>'1.1.sz.mell.'!E21</f>
        <v>147818</v>
      </c>
      <c r="Q8" s="492"/>
      <c r="R8" s="496"/>
      <c r="S8" s="492"/>
      <c r="T8" s="492"/>
      <c r="U8" s="492"/>
    </row>
    <row r="9" spans="1:21" s="125" customFormat="1" ht="14.1" customHeight="1" x14ac:dyDescent="0.2">
      <c r="A9" s="122" t="s">
        <v>974</v>
      </c>
      <c r="B9" s="309" t="s">
        <v>958</v>
      </c>
      <c r="C9" s="123">
        <v>3192</v>
      </c>
      <c r="D9" s="123">
        <v>3192</v>
      </c>
      <c r="E9" s="123">
        <v>3192</v>
      </c>
      <c r="F9" s="123">
        <v>3191</v>
      </c>
      <c r="G9" s="123">
        <f t="shared" ref="G9:N9" si="2">(15431-11435)/12</f>
        <v>333</v>
      </c>
      <c r="H9" s="123">
        <f t="shared" si="2"/>
        <v>333</v>
      </c>
      <c r="I9" s="123">
        <f t="shared" si="2"/>
        <v>333</v>
      </c>
      <c r="J9" s="123">
        <f t="shared" si="2"/>
        <v>333</v>
      </c>
      <c r="K9" s="123">
        <f t="shared" si="2"/>
        <v>333</v>
      </c>
      <c r="L9" s="123">
        <f t="shared" si="2"/>
        <v>333</v>
      </c>
      <c r="M9" s="123">
        <f t="shared" si="2"/>
        <v>333</v>
      </c>
      <c r="N9" s="123">
        <f t="shared" si="2"/>
        <v>333</v>
      </c>
      <c r="O9" s="124">
        <f t="shared" si="0"/>
        <v>15431</v>
      </c>
      <c r="P9" s="125">
        <f>'1.1.sz.mell.'!E30</f>
        <v>15431</v>
      </c>
      <c r="Q9" s="492"/>
      <c r="R9" s="496"/>
      <c r="S9" s="492"/>
      <c r="T9" s="492"/>
      <c r="U9" s="492"/>
    </row>
    <row r="10" spans="1:21" s="125" customFormat="1" ht="14.1" customHeight="1" x14ac:dyDescent="0.2">
      <c r="A10" s="122" t="s">
        <v>975</v>
      </c>
      <c r="B10" s="309" t="s">
        <v>959</v>
      </c>
      <c r="C10" s="123"/>
      <c r="D10" s="123"/>
      <c r="E10" s="123"/>
      <c r="F10" s="123">
        <v>11435</v>
      </c>
      <c r="G10" s="123"/>
      <c r="H10" s="123"/>
      <c r="I10" s="123"/>
      <c r="J10" s="123"/>
      <c r="K10" s="123"/>
      <c r="L10" s="123"/>
      <c r="M10" s="123"/>
      <c r="N10" s="123"/>
      <c r="O10" s="124">
        <f t="shared" si="0"/>
        <v>11435</v>
      </c>
      <c r="P10" s="125">
        <f>'1.1.sz.mell.'!E43</f>
        <v>11435</v>
      </c>
      <c r="Q10" s="492"/>
      <c r="R10" s="496"/>
      <c r="S10" s="492"/>
      <c r="T10" s="492"/>
      <c r="U10" s="492"/>
    </row>
    <row r="11" spans="1:21" s="125" customFormat="1" ht="14.1" customHeight="1" x14ac:dyDescent="0.2">
      <c r="A11" s="122" t="s">
        <v>976</v>
      </c>
      <c r="B11" s="309" t="s">
        <v>960</v>
      </c>
      <c r="C11" s="123">
        <v>33</v>
      </c>
      <c r="D11" s="123">
        <v>47</v>
      </c>
      <c r="E11" s="123">
        <f>400/12</f>
        <v>33.333333333333336</v>
      </c>
      <c r="F11" s="123">
        <v>33</v>
      </c>
      <c r="G11" s="123">
        <f>400/12</f>
        <v>33.333333333333336</v>
      </c>
      <c r="H11" s="123">
        <v>35</v>
      </c>
      <c r="I11" s="123">
        <f>400/12</f>
        <v>33.333333333333336</v>
      </c>
      <c r="J11" s="123">
        <v>33</v>
      </c>
      <c r="K11" s="123">
        <f>400/12</f>
        <v>33.333333333333336</v>
      </c>
      <c r="L11" s="123">
        <v>33</v>
      </c>
      <c r="M11" s="123">
        <f>400/12</f>
        <v>33.333333333333336</v>
      </c>
      <c r="N11" s="123">
        <v>33</v>
      </c>
      <c r="O11" s="124">
        <f t="shared" si="0"/>
        <v>413.66666666666663</v>
      </c>
      <c r="P11" s="125">
        <f>'1.1.sz.mell.'!E46</f>
        <v>414</v>
      </c>
      <c r="Q11" s="492"/>
      <c r="R11" s="496"/>
      <c r="S11" s="492"/>
      <c r="T11" s="492"/>
      <c r="U11" s="492"/>
    </row>
    <row r="12" spans="1:21" s="125" customFormat="1" x14ac:dyDescent="0.2">
      <c r="A12" s="122" t="s">
        <v>977</v>
      </c>
      <c r="B12" s="311" t="s">
        <v>961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>
        <f t="shared" si="0"/>
        <v>0</v>
      </c>
      <c r="Q12" s="492"/>
      <c r="R12" s="496"/>
      <c r="S12" s="492"/>
      <c r="T12" s="492"/>
      <c r="U12" s="492"/>
    </row>
    <row r="13" spans="1:21" s="125" customFormat="1" ht="14.1" customHeight="1" thickBot="1" x14ac:dyDescent="0.25">
      <c r="A13" s="122" t="s">
        <v>978</v>
      </c>
      <c r="B13" s="309" t="s">
        <v>962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>
        <f t="shared" si="0"/>
        <v>0</v>
      </c>
      <c r="Q13" s="492"/>
      <c r="R13" s="496"/>
      <c r="S13" s="492"/>
      <c r="T13" s="492"/>
      <c r="U13" s="492"/>
    </row>
    <row r="14" spans="1:21" s="117" customFormat="1" ht="15.95" customHeight="1" thickBot="1" x14ac:dyDescent="0.25">
      <c r="A14" s="116" t="s">
        <v>979</v>
      </c>
      <c r="B14" s="40" t="s">
        <v>71</v>
      </c>
      <c r="C14" s="128">
        <f t="shared" ref="C14:N14" si="3">SUM(C5:C13)</f>
        <v>18211.076108054564</v>
      </c>
      <c r="D14" s="128">
        <f t="shared" si="3"/>
        <v>18941.830656064682</v>
      </c>
      <c r="E14" s="128">
        <f t="shared" si="3"/>
        <v>51403.850588329798</v>
      </c>
      <c r="F14" s="128">
        <f t="shared" si="3"/>
        <v>31726.596127330897</v>
      </c>
      <c r="G14" s="128">
        <f t="shared" si="3"/>
        <v>17883.687904100236</v>
      </c>
      <c r="H14" s="128">
        <f t="shared" si="3"/>
        <v>17931.613435872721</v>
      </c>
      <c r="I14" s="128">
        <f t="shared" si="3"/>
        <v>18568.023111521627</v>
      </c>
      <c r="J14" s="128">
        <f t="shared" si="3"/>
        <v>17100.618937659801</v>
      </c>
      <c r="K14" s="128">
        <f t="shared" si="3"/>
        <v>40529.822477008966</v>
      </c>
      <c r="L14" s="128">
        <f t="shared" si="3"/>
        <v>18864.718050145242</v>
      </c>
      <c r="M14" s="128">
        <f t="shared" si="3"/>
        <v>19013.030902373397</v>
      </c>
      <c r="N14" s="128">
        <f t="shared" si="3"/>
        <v>16605.798368204756</v>
      </c>
      <c r="O14" s="129">
        <f>SUM(C14:N14)</f>
        <v>286780.66666666663</v>
      </c>
      <c r="P14" s="117">
        <f>SUM(P5:P13)</f>
        <v>286781</v>
      </c>
      <c r="Q14" s="491"/>
      <c r="R14" s="496"/>
      <c r="S14" s="491"/>
      <c r="T14" s="491"/>
      <c r="U14" s="491"/>
    </row>
    <row r="15" spans="1:21" s="117" customFormat="1" ht="15" customHeight="1" thickBot="1" x14ac:dyDescent="0.25">
      <c r="A15" s="116" t="s">
        <v>980</v>
      </c>
      <c r="B15" s="1577" t="s">
        <v>1</v>
      </c>
      <c r="C15" s="1578"/>
      <c r="D15" s="1578"/>
      <c r="E15" s="1578"/>
      <c r="F15" s="1578"/>
      <c r="G15" s="1578"/>
      <c r="H15" s="1578"/>
      <c r="I15" s="1578"/>
      <c r="J15" s="1578"/>
      <c r="K15" s="1578"/>
      <c r="L15" s="1578"/>
      <c r="M15" s="1578"/>
      <c r="N15" s="1578"/>
      <c r="O15" s="1579"/>
      <c r="Q15" s="491"/>
      <c r="R15" s="496"/>
      <c r="S15" s="491"/>
      <c r="T15" s="491"/>
      <c r="U15" s="491"/>
    </row>
    <row r="16" spans="1:21" s="125" customFormat="1" ht="14.1" customHeight="1" x14ac:dyDescent="0.2">
      <c r="A16" s="130" t="s">
        <v>981</v>
      </c>
      <c r="B16" s="785" t="s">
        <v>13</v>
      </c>
      <c r="C16" s="786">
        <f>135641/12</f>
        <v>11303.416666666666</v>
      </c>
      <c r="D16" s="786">
        <f t="shared" ref="D16:N16" si="4">135641/12</f>
        <v>11303.416666666666</v>
      </c>
      <c r="E16" s="786">
        <f t="shared" si="4"/>
        <v>11303.416666666666</v>
      </c>
      <c r="F16" s="786">
        <f t="shared" si="4"/>
        <v>11303.416666666666</v>
      </c>
      <c r="G16" s="786">
        <f t="shared" si="4"/>
        <v>11303.416666666666</v>
      </c>
      <c r="H16" s="786">
        <f t="shared" si="4"/>
        <v>11303.416666666666</v>
      </c>
      <c r="I16" s="786">
        <f t="shared" si="4"/>
        <v>11303.416666666666</v>
      </c>
      <c r="J16" s="786">
        <f t="shared" si="4"/>
        <v>11303.416666666666</v>
      </c>
      <c r="K16" s="786">
        <f t="shared" si="4"/>
        <v>11303.416666666666</v>
      </c>
      <c r="L16" s="786">
        <f t="shared" si="4"/>
        <v>11303.416666666666</v>
      </c>
      <c r="M16" s="786">
        <f t="shared" si="4"/>
        <v>11303.416666666666</v>
      </c>
      <c r="N16" s="786">
        <f t="shared" si="4"/>
        <v>11303.416666666666</v>
      </c>
      <c r="O16" s="787">
        <f t="shared" si="0"/>
        <v>135641.00000000003</v>
      </c>
      <c r="P16" s="125">
        <f>'1.1.sz.mell.'!E74</f>
        <v>135641</v>
      </c>
      <c r="Q16" s="492"/>
      <c r="R16" s="496"/>
      <c r="S16" s="492"/>
      <c r="T16" s="492"/>
      <c r="U16" s="492"/>
    </row>
    <row r="17" spans="1:21" s="125" customFormat="1" ht="27" customHeight="1" x14ac:dyDescent="0.2">
      <c r="A17" s="122" t="s">
        <v>982</v>
      </c>
      <c r="B17" s="788" t="s">
        <v>167</v>
      </c>
      <c r="C17" s="789">
        <f>32287/12</f>
        <v>2690.5833333333335</v>
      </c>
      <c r="D17" s="789">
        <f t="shared" ref="D17:N17" si="5">32287/12</f>
        <v>2690.5833333333335</v>
      </c>
      <c r="E17" s="789">
        <f t="shared" si="5"/>
        <v>2690.5833333333335</v>
      </c>
      <c r="F17" s="789">
        <f t="shared" si="5"/>
        <v>2690.5833333333335</v>
      </c>
      <c r="G17" s="789">
        <f t="shared" si="5"/>
        <v>2690.5833333333335</v>
      </c>
      <c r="H17" s="789">
        <f t="shared" si="5"/>
        <v>2690.5833333333335</v>
      </c>
      <c r="I17" s="789">
        <f t="shared" si="5"/>
        <v>2690.5833333333335</v>
      </c>
      <c r="J17" s="789">
        <f t="shared" si="5"/>
        <v>2690.5833333333335</v>
      </c>
      <c r="K17" s="789">
        <f t="shared" si="5"/>
        <v>2690.5833333333335</v>
      </c>
      <c r="L17" s="789">
        <f t="shared" si="5"/>
        <v>2690.5833333333335</v>
      </c>
      <c r="M17" s="789">
        <f t="shared" si="5"/>
        <v>2690.5833333333335</v>
      </c>
      <c r="N17" s="789">
        <f t="shared" si="5"/>
        <v>2690.5833333333335</v>
      </c>
      <c r="O17" s="790">
        <f t="shared" si="0"/>
        <v>32286.999999999996</v>
      </c>
      <c r="P17" s="125">
        <f>'1.1.sz.mell.'!E75</f>
        <v>32287</v>
      </c>
      <c r="Q17" s="492"/>
      <c r="R17" s="496"/>
      <c r="S17" s="492"/>
      <c r="T17" s="492"/>
      <c r="U17" s="492"/>
    </row>
    <row r="18" spans="1:21" s="125" customFormat="1" ht="14.1" customHeight="1" x14ac:dyDescent="0.2">
      <c r="A18" s="122" t="s">
        <v>983</v>
      </c>
      <c r="B18" s="309" t="s">
        <v>91</v>
      </c>
      <c r="C18" s="123">
        <f>91002/12-5000</f>
        <v>2583.5</v>
      </c>
      <c r="D18" s="123">
        <f>91002/12+1500</f>
        <v>9083.5</v>
      </c>
      <c r="E18" s="123">
        <f>91002/12+1000</f>
        <v>8583.5</v>
      </c>
      <c r="F18" s="123">
        <f>91002/12+1000</f>
        <v>8583.5</v>
      </c>
      <c r="G18" s="123">
        <f t="shared" ref="G18:N18" si="6">91002/12</f>
        <v>7583.5</v>
      </c>
      <c r="H18" s="123">
        <f t="shared" si="6"/>
        <v>7583.5</v>
      </c>
      <c r="I18" s="123">
        <f t="shared" si="6"/>
        <v>7583.5</v>
      </c>
      <c r="J18" s="123">
        <f t="shared" si="6"/>
        <v>7583.5</v>
      </c>
      <c r="K18" s="123">
        <f t="shared" si="6"/>
        <v>7583.5</v>
      </c>
      <c r="L18" s="123">
        <f>91002/12+1500</f>
        <v>9083.5</v>
      </c>
      <c r="M18" s="123">
        <f t="shared" si="6"/>
        <v>7583.5</v>
      </c>
      <c r="N18" s="123">
        <f t="shared" si="6"/>
        <v>7583.5</v>
      </c>
      <c r="O18" s="124">
        <f t="shared" si="0"/>
        <v>91002</v>
      </c>
      <c r="P18" s="125">
        <f>'1.1.sz.mell.'!E76</f>
        <v>91002</v>
      </c>
      <c r="Q18" s="492"/>
      <c r="R18" s="496"/>
      <c r="S18" s="492"/>
      <c r="T18" s="492"/>
      <c r="U18" s="492"/>
    </row>
    <row r="19" spans="1:21" s="125" customFormat="1" ht="14.1" customHeight="1" x14ac:dyDescent="0.2">
      <c r="A19" s="122" t="s">
        <v>984</v>
      </c>
      <c r="B19" s="309" t="s">
        <v>168</v>
      </c>
      <c r="C19" s="123">
        <f>13247/12</f>
        <v>1103.9166666666667</v>
      </c>
      <c r="D19" s="123">
        <f t="shared" ref="D19:M19" si="7">13247/12</f>
        <v>1103.9166666666667</v>
      </c>
      <c r="E19" s="123">
        <f t="shared" si="7"/>
        <v>1103.9166666666667</v>
      </c>
      <c r="F19" s="123">
        <f t="shared" si="7"/>
        <v>1103.9166666666667</v>
      </c>
      <c r="G19" s="123">
        <f t="shared" si="7"/>
        <v>1103.9166666666667</v>
      </c>
      <c r="H19" s="123">
        <f t="shared" si="7"/>
        <v>1103.9166666666667</v>
      </c>
      <c r="I19" s="123">
        <f t="shared" si="7"/>
        <v>1103.9166666666667</v>
      </c>
      <c r="J19" s="123">
        <f t="shared" si="7"/>
        <v>1103.9166666666667</v>
      </c>
      <c r="K19" s="123">
        <f t="shared" si="7"/>
        <v>1103.9166666666667</v>
      </c>
      <c r="L19" s="123">
        <f t="shared" si="7"/>
        <v>1103.9166666666667</v>
      </c>
      <c r="M19" s="123">
        <f t="shared" si="7"/>
        <v>1103.9166666666667</v>
      </c>
      <c r="N19" s="123">
        <v>1604</v>
      </c>
      <c r="O19" s="124">
        <f t="shared" si="0"/>
        <v>13747.083333333332</v>
      </c>
      <c r="P19" s="125">
        <f>'1.1.sz.mell.'!E77</f>
        <v>13747</v>
      </c>
      <c r="Q19" s="492"/>
      <c r="R19" s="496"/>
      <c r="S19" s="492"/>
      <c r="T19" s="492"/>
      <c r="U19" s="492"/>
    </row>
    <row r="20" spans="1:21" s="125" customFormat="1" ht="14.1" customHeight="1" x14ac:dyDescent="0.2">
      <c r="A20" s="122" t="s">
        <v>985</v>
      </c>
      <c r="B20" s="309" t="s">
        <v>963</v>
      </c>
      <c r="C20" s="123">
        <f>5300/12</f>
        <v>441.66666666666669</v>
      </c>
      <c r="D20" s="123">
        <v>800</v>
      </c>
      <c r="E20" s="123">
        <v>700</v>
      </c>
      <c r="F20" s="123">
        <v>700</v>
      </c>
      <c r="G20" s="123">
        <v>341</v>
      </c>
      <c r="H20" s="123">
        <v>341</v>
      </c>
      <c r="I20" s="123">
        <v>342</v>
      </c>
      <c r="J20" s="123">
        <v>300</v>
      </c>
      <c r="K20" s="123">
        <v>341</v>
      </c>
      <c r="L20" s="123">
        <v>341</v>
      </c>
      <c r="M20" s="123">
        <v>341</v>
      </c>
      <c r="N20" s="123">
        <v>311</v>
      </c>
      <c r="O20" s="124">
        <f t="shared" si="0"/>
        <v>5299.666666666667</v>
      </c>
      <c r="P20" s="125">
        <f>'1.1.sz.mell.'!E78</f>
        <v>5300</v>
      </c>
      <c r="Q20" s="492"/>
      <c r="R20" s="496"/>
      <c r="S20" s="492"/>
      <c r="T20" s="492"/>
      <c r="U20" s="492"/>
    </row>
    <row r="21" spans="1:21" s="125" customFormat="1" ht="14.1" customHeight="1" x14ac:dyDescent="0.2">
      <c r="A21" s="122" t="s">
        <v>986</v>
      </c>
      <c r="B21" s="309" t="s">
        <v>283</v>
      </c>
      <c r="C21" s="123">
        <v>0</v>
      </c>
      <c r="D21" s="123">
        <v>174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>
        <f t="shared" si="0"/>
        <v>174</v>
      </c>
      <c r="P21" s="125">
        <f>'1.1.sz.mell.'!E87</f>
        <v>174</v>
      </c>
      <c r="Q21" s="492"/>
      <c r="R21" s="496"/>
      <c r="S21" s="492"/>
      <c r="T21" s="492"/>
      <c r="U21" s="492"/>
    </row>
    <row r="22" spans="1:21" s="125" customFormat="1" x14ac:dyDescent="0.2">
      <c r="A22" s="122" t="s">
        <v>987</v>
      </c>
      <c r="B22" s="311" t="s">
        <v>171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4">
        <f t="shared" si="0"/>
        <v>0</v>
      </c>
      <c r="Q22" s="492"/>
      <c r="R22" s="496"/>
      <c r="S22" s="492"/>
      <c r="T22" s="492"/>
      <c r="U22" s="492"/>
    </row>
    <row r="23" spans="1:21" s="125" customFormat="1" ht="14.1" customHeight="1" x14ac:dyDescent="0.2">
      <c r="A23" s="122" t="s">
        <v>988</v>
      </c>
      <c r="B23" s="309" t="s">
        <v>314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>
        <f t="shared" si="0"/>
        <v>0</v>
      </c>
      <c r="Q23" s="492"/>
      <c r="R23" s="496"/>
      <c r="S23" s="492"/>
      <c r="T23" s="492"/>
      <c r="U23" s="492"/>
    </row>
    <row r="24" spans="1:21" s="125" customFormat="1" ht="14.1" customHeight="1" x14ac:dyDescent="0.2">
      <c r="A24" s="122" t="s">
        <v>989</v>
      </c>
      <c r="B24" s="309" t="s">
        <v>1001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>
        <v>8630</v>
      </c>
      <c r="N24" s="123"/>
      <c r="O24" s="124">
        <f t="shared" si="0"/>
        <v>8630</v>
      </c>
      <c r="P24" s="125">
        <f>'1.1.sz.mell.'!E97</f>
        <v>8630</v>
      </c>
      <c r="Q24" s="492"/>
      <c r="R24" s="496"/>
      <c r="S24" s="492"/>
      <c r="T24" s="492"/>
      <c r="U24" s="492"/>
    </row>
    <row r="25" spans="1:21" s="125" customFormat="1" ht="13.5" customHeight="1" x14ac:dyDescent="0.2">
      <c r="A25" s="122" t="s">
        <v>990</v>
      </c>
      <c r="B25" s="309" t="s">
        <v>964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4">
        <f t="shared" si="0"/>
        <v>0</v>
      </c>
      <c r="Q25" s="492"/>
      <c r="R25" s="496"/>
      <c r="S25" s="492"/>
      <c r="T25" s="492"/>
      <c r="U25" s="492"/>
    </row>
    <row r="26" spans="1:21" s="125" customFormat="1" ht="14.1" customHeight="1" thickBot="1" x14ac:dyDescent="0.25">
      <c r="A26" s="122" t="s">
        <v>991</v>
      </c>
      <c r="B26" s="309" t="s">
        <v>965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>
        <f t="shared" si="0"/>
        <v>0</v>
      </c>
      <c r="Q26" s="492"/>
      <c r="R26" s="496"/>
      <c r="S26" s="492"/>
      <c r="T26" s="492"/>
      <c r="U26" s="492"/>
    </row>
    <row r="27" spans="1:21" s="117" customFormat="1" ht="15.95" customHeight="1" thickBot="1" x14ac:dyDescent="0.25">
      <c r="A27" s="131" t="s">
        <v>992</v>
      </c>
      <c r="B27" s="40" t="s">
        <v>72</v>
      </c>
      <c r="C27" s="128">
        <f t="shared" ref="C27:N27" si="8">SUM(C16:C26)</f>
        <v>18123.083333333336</v>
      </c>
      <c r="D27" s="128">
        <f t="shared" si="8"/>
        <v>25155.416666666668</v>
      </c>
      <c r="E27" s="128">
        <f t="shared" si="8"/>
        <v>24381.416666666668</v>
      </c>
      <c r="F27" s="128">
        <f t="shared" si="8"/>
        <v>24381.416666666668</v>
      </c>
      <c r="G27" s="128">
        <f t="shared" si="8"/>
        <v>23022.416666666668</v>
      </c>
      <c r="H27" s="128">
        <f t="shared" si="8"/>
        <v>23022.416666666668</v>
      </c>
      <c r="I27" s="128">
        <f t="shared" si="8"/>
        <v>23023.416666666668</v>
      </c>
      <c r="J27" s="128">
        <f t="shared" si="8"/>
        <v>22981.416666666668</v>
      </c>
      <c r="K27" s="128">
        <f t="shared" si="8"/>
        <v>23022.416666666668</v>
      </c>
      <c r="L27" s="128">
        <f t="shared" si="8"/>
        <v>24522.416666666668</v>
      </c>
      <c r="M27" s="128">
        <f t="shared" si="8"/>
        <v>31652.416666666668</v>
      </c>
      <c r="N27" s="128">
        <f t="shared" si="8"/>
        <v>23492.5</v>
      </c>
      <c r="O27" s="129">
        <f t="shared" si="0"/>
        <v>286780.75</v>
      </c>
      <c r="P27" s="117">
        <f>SUM(P16:P26)</f>
        <v>286781</v>
      </c>
      <c r="Q27" s="491"/>
      <c r="R27" s="496"/>
      <c r="S27" s="491"/>
      <c r="T27" s="491"/>
      <c r="U27" s="491"/>
    </row>
    <row r="28" spans="1:21" ht="16.5" thickBot="1" x14ac:dyDescent="0.3">
      <c r="A28" s="131" t="s">
        <v>993</v>
      </c>
      <c r="B28" s="313" t="s">
        <v>73</v>
      </c>
      <c r="C28" s="132">
        <f t="shared" ref="C28:O28" si="9">C14-C27</f>
        <v>87.992774721227761</v>
      </c>
      <c r="D28" s="132">
        <f t="shared" si="9"/>
        <v>-6213.5860106019863</v>
      </c>
      <c r="E28" s="132">
        <f t="shared" si="9"/>
        <v>27022.433921663131</v>
      </c>
      <c r="F28" s="132">
        <f t="shared" si="9"/>
        <v>7345.1794606642288</v>
      </c>
      <c r="G28" s="132">
        <f t="shared" si="9"/>
        <v>-5138.7287625664321</v>
      </c>
      <c r="H28" s="132">
        <f t="shared" si="9"/>
        <v>-5090.8032307939466</v>
      </c>
      <c r="I28" s="132">
        <f t="shared" si="9"/>
        <v>-4455.3935551450413</v>
      </c>
      <c r="J28" s="132">
        <f t="shared" si="9"/>
        <v>-5880.7977290068666</v>
      </c>
      <c r="K28" s="132">
        <f t="shared" si="9"/>
        <v>17507.405810342298</v>
      </c>
      <c r="L28" s="132">
        <f t="shared" si="9"/>
        <v>-5657.6986165214257</v>
      </c>
      <c r="M28" s="132">
        <f t="shared" si="9"/>
        <v>-12639.385764293271</v>
      </c>
      <c r="N28" s="132">
        <f t="shared" si="9"/>
        <v>-6886.7016317952439</v>
      </c>
      <c r="O28" s="133">
        <f t="shared" si="9"/>
        <v>-8.3333333372138441E-2</v>
      </c>
    </row>
    <row r="29" spans="1:21" ht="16.5" thickBot="1" x14ac:dyDescent="0.3">
      <c r="A29" s="135"/>
    </row>
    <row r="30" spans="1:21" ht="16.5" thickBot="1" x14ac:dyDescent="0.3">
      <c r="A30" s="131" t="s">
        <v>994</v>
      </c>
      <c r="B30" s="313" t="s">
        <v>896</v>
      </c>
      <c r="C30" s="775">
        <f>C28</f>
        <v>87.992774721227761</v>
      </c>
      <c r="D30" s="132">
        <f>C30+D28</f>
        <v>-6125.5932358807586</v>
      </c>
      <c r="E30" s="132">
        <f>D30+E28</f>
        <v>20896.840685782372</v>
      </c>
      <c r="F30" s="132">
        <f t="shared" ref="F30:N30" si="10">E30+F28</f>
        <v>28242.020146446601</v>
      </c>
      <c r="G30" s="132">
        <f t="shared" si="10"/>
        <v>23103.291383880169</v>
      </c>
      <c r="H30" s="132">
        <f t="shared" si="10"/>
        <v>18012.488153086222</v>
      </c>
      <c r="I30" s="132">
        <f t="shared" si="10"/>
        <v>13557.094597941181</v>
      </c>
      <c r="J30" s="132">
        <f t="shared" si="10"/>
        <v>7676.2968689343143</v>
      </c>
      <c r="K30" s="132">
        <f t="shared" si="10"/>
        <v>25183.702679276612</v>
      </c>
      <c r="L30" s="132">
        <f t="shared" si="10"/>
        <v>19526.004062755186</v>
      </c>
      <c r="M30" s="132">
        <f t="shared" si="10"/>
        <v>6886.6182984619154</v>
      </c>
      <c r="N30" s="132">
        <f t="shared" si="10"/>
        <v>-8.3333333328482695E-2</v>
      </c>
      <c r="O30" s="132">
        <v>0</v>
      </c>
    </row>
    <row r="31" spans="1:21" x14ac:dyDescent="0.25">
      <c r="O31" s="134"/>
    </row>
    <row r="32" spans="1:21" x14ac:dyDescent="0.25">
      <c r="O32" s="134"/>
    </row>
    <row r="33" spans="15:15" x14ac:dyDescent="0.25">
      <c r="O33" s="134"/>
    </row>
    <row r="34" spans="15:15" x14ac:dyDescent="0.25">
      <c r="O34" s="134"/>
    </row>
    <row r="35" spans="15:15" x14ac:dyDescent="0.25">
      <c r="O35" s="134"/>
    </row>
    <row r="36" spans="15:15" x14ac:dyDescent="0.25">
      <c r="O36" s="134"/>
    </row>
    <row r="37" spans="15:15" x14ac:dyDescent="0.25">
      <c r="O37" s="134"/>
    </row>
    <row r="38" spans="15:15" x14ac:dyDescent="0.25">
      <c r="O38" s="134"/>
    </row>
    <row r="39" spans="15:15" x14ac:dyDescent="0.25">
      <c r="O39" s="134"/>
    </row>
    <row r="40" spans="15:15" x14ac:dyDescent="0.25">
      <c r="O40" s="134"/>
    </row>
    <row r="41" spans="15:15" x14ac:dyDescent="0.25">
      <c r="O41" s="134"/>
    </row>
    <row r="42" spans="15:15" x14ac:dyDescent="0.25">
      <c r="O42" s="134"/>
    </row>
    <row r="43" spans="15:15" x14ac:dyDescent="0.25">
      <c r="O43" s="134"/>
    </row>
    <row r="44" spans="15:15" x14ac:dyDescent="0.25">
      <c r="O44" s="134"/>
    </row>
    <row r="45" spans="15:15" x14ac:dyDescent="0.25">
      <c r="O45" s="134"/>
    </row>
    <row r="46" spans="15:15" x14ac:dyDescent="0.25">
      <c r="O46" s="134"/>
    </row>
    <row r="47" spans="15:15" x14ac:dyDescent="0.25">
      <c r="O47" s="134"/>
    </row>
    <row r="48" spans="15:15" x14ac:dyDescent="0.25">
      <c r="O48" s="134"/>
    </row>
    <row r="49" spans="15:15" x14ac:dyDescent="0.25">
      <c r="O49" s="134"/>
    </row>
    <row r="50" spans="15:15" x14ac:dyDescent="0.25">
      <c r="O50" s="134"/>
    </row>
    <row r="51" spans="15:15" x14ac:dyDescent="0.25">
      <c r="O51" s="134"/>
    </row>
    <row r="52" spans="15:15" x14ac:dyDescent="0.25">
      <c r="O52" s="134"/>
    </row>
    <row r="53" spans="15:15" x14ac:dyDescent="0.25">
      <c r="O53" s="134"/>
    </row>
    <row r="54" spans="15:15" x14ac:dyDescent="0.25">
      <c r="O54" s="134"/>
    </row>
    <row r="55" spans="15:15" x14ac:dyDescent="0.25">
      <c r="O55" s="134"/>
    </row>
    <row r="56" spans="15:15" x14ac:dyDescent="0.25">
      <c r="O56" s="134"/>
    </row>
    <row r="57" spans="15:15" x14ac:dyDescent="0.25">
      <c r="O57" s="134"/>
    </row>
    <row r="58" spans="15:15" x14ac:dyDescent="0.25">
      <c r="O58" s="134"/>
    </row>
    <row r="59" spans="15:15" x14ac:dyDescent="0.25">
      <c r="O59" s="134"/>
    </row>
    <row r="60" spans="15:15" x14ac:dyDescent="0.25">
      <c r="O60" s="134"/>
    </row>
    <row r="61" spans="15:15" x14ac:dyDescent="0.25">
      <c r="O61" s="134"/>
    </row>
    <row r="62" spans="15:15" x14ac:dyDescent="0.25">
      <c r="O62" s="134"/>
    </row>
    <row r="63" spans="15:15" x14ac:dyDescent="0.25">
      <c r="O63" s="134"/>
    </row>
    <row r="64" spans="15:15" x14ac:dyDescent="0.25">
      <c r="O64" s="134"/>
    </row>
    <row r="65" spans="15:15" x14ac:dyDescent="0.25">
      <c r="O65" s="134"/>
    </row>
    <row r="66" spans="15:15" x14ac:dyDescent="0.25">
      <c r="O66" s="134"/>
    </row>
    <row r="67" spans="15:15" x14ac:dyDescent="0.25">
      <c r="O67" s="134"/>
    </row>
    <row r="68" spans="15:15" x14ac:dyDescent="0.25">
      <c r="O68" s="134"/>
    </row>
    <row r="69" spans="15:15" x14ac:dyDescent="0.25">
      <c r="O69" s="134"/>
    </row>
    <row r="70" spans="15:15" x14ac:dyDescent="0.25">
      <c r="O70" s="134"/>
    </row>
    <row r="71" spans="15:15" x14ac:dyDescent="0.25">
      <c r="O71" s="134"/>
    </row>
    <row r="72" spans="15:15" x14ac:dyDescent="0.25">
      <c r="O72" s="134"/>
    </row>
    <row r="73" spans="15:15" x14ac:dyDescent="0.25">
      <c r="O73" s="134"/>
    </row>
    <row r="74" spans="15:15" x14ac:dyDescent="0.25">
      <c r="O74" s="134"/>
    </row>
    <row r="75" spans="15:15" x14ac:dyDescent="0.25">
      <c r="O75" s="134"/>
    </row>
    <row r="76" spans="15:15" x14ac:dyDescent="0.25">
      <c r="O76" s="134"/>
    </row>
    <row r="77" spans="15:15" x14ac:dyDescent="0.25">
      <c r="O77" s="134"/>
    </row>
    <row r="78" spans="15:15" x14ac:dyDescent="0.25">
      <c r="O78" s="134"/>
    </row>
    <row r="79" spans="15:15" x14ac:dyDescent="0.25">
      <c r="O79" s="134"/>
    </row>
    <row r="80" spans="15:15" x14ac:dyDescent="0.25">
      <c r="O80" s="134"/>
    </row>
    <row r="81" spans="15:15" x14ac:dyDescent="0.25">
      <c r="O81" s="134"/>
    </row>
    <row r="82" spans="15:15" x14ac:dyDescent="0.25">
      <c r="O82" s="134"/>
    </row>
    <row r="83" spans="15:15" x14ac:dyDescent="0.25">
      <c r="O83" s="134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E11:N11 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I1"/>
    </sheetView>
  </sheetViews>
  <sheetFormatPr defaultColWidth="9.33203125" defaultRowHeight="15" x14ac:dyDescent="0.25"/>
  <cols>
    <col min="1" max="1" width="39.5" style="543" bestFit="1" customWidth="1"/>
    <col min="2" max="2" width="20.33203125" style="543" customWidth="1"/>
    <col min="3" max="3" width="21.5" style="543" customWidth="1"/>
    <col min="4" max="8" width="17" style="543" customWidth="1"/>
    <col min="9" max="9" width="12.83203125" style="545" customWidth="1"/>
    <col min="10" max="16384" width="9.33203125" style="543"/>
  </cols>
  <sheetData>
    <row r="1" spans="1:9" x14ac:dyDescent="0.25">
      <c r="A1" s="1504" t="s">
        <v>1213</v>
      </c>
      <c r="B1" s="1505"/>
      <c r="C1" s="1505"/>
      <c r="D1" s="1505"/>
      <c r="E1" s="1505"/>
      <c r="F1" s="1505"/>
      <c r="G1" s="1505"/>
      <c r="H1" s="1505"/>
      <c r="I1" s="1505"/>
    </row>
    <row r="4" spans="1:9" x14ac:dyDescent="0.25">
      <c r="A4" s="1494" t="s">
        <v>879</v>
      </c>
      <c r="B4" s="1495"/>
      <c r="C4" s="1496"/>
      <c r="D4" s="1496"/>
      <c r="E4" s="1496"/>
      <c r="F4" s="1496"/>
      <c r="G4" s="1496"/>
      <c r="H4" s="1496"/>
      <c r="I4" s="1497"/>
    </row>
    <row r="5" spans="1:9" x14ac:dyDescent="0.25">
      <c r="A5" s="1498" t="s">
        <v>1145</v>
      </c>
      <c r="B5" s="1498"/>
      <c r="C5" s="1498"/>
      <c r="D5" s="1498"/>
      <c r="E5" s="1498"/>
      <c r="F5" s="1498"/>
      <c r="G5" s="1498"/>
      <c r="H5" s="1498"/>
      <c r="I5" s="1498"/>
    </row>
    <row r="6" spans="1:9" ht="15.75" thickBot="1" x14ac:dyDescent="0.3">
      <c r="A6" s="544"/>
    </row>
    <row r="7" spans="1:9" ht="15.75" thickBot="1" x14ac:dyDescent="0.3">
      <c r="A7" s="1499" t="s">
        <v>880</v>
      </c>
      <c r="B7" s="1501" t="s">
        <v>881</v>
      </c>
      <c r="C7" s="1502"/>
      <c r="D7" s="1502"/>
      <c r="E7" s="1502"/>
      <c r="F7" s="1502"/>
      <c r="G7" s="1502"/>
      <c r="H7" s="1502"/>
      <c r="I7" s="1503"/>
    </row>
    <row r="8" spans="1:9" ht="43.5" thickBot="1" x14ac:dyDescent="0.3">
      <c r="A8" s="1500"/>
      <c r="B8" s="546" t="s">
        <v>882</v>
      </c>
      <c r="C8" s="547" t="s">
        <v>883</v>
      </c>
      <c r="D8" s="548" t="s">
        <v>884</v>
      </c>
      <c r="E8" s="547" t="s">
        <v>885</v>
      </c>
      <c r="F8" s="549" t="s">
        <v>886</v>
      </c>
      <c r="G8" s="547" t="s">
        <v>887</v>
      </c>
      <c r="H8" s="550" t="s">
        <v>888</v>
      </c>
      <c r="I8" s="550" t="s">
        <v>1002</v>
      </c>
    </row>
    <row r="9" spans="1:9" x14ac:dyDescent="0.25">
      <c r="A9" s="551" t="s">
        <v>510</v>
      </c>
      <c r="B9" s="552">
        <v>8</v>
      </c>
      <c r="C9" s="729">
        <v>12</v>
      </c>
      <c r="D9" s="731"/>
      <c r="E9" s="729"/>
      <c r="F9" s="731"/>
      <c r="G9" s="729"/>
      <c r="H9" s="554"/>
      <c r="I9" s="555">
        <f>SUM(B9:H9)</f>
        <v>20</v>
      </c>
    </row>
    <row r="10" spans="1:9" x14ac:dyDescent="0.25">
      <c r="A10" s="551" t="s">
        <v>890</v>
      </c>
      <c r="B10" s="552"/>
      <c r="C10" s="553"/>
      <c r="D10" s="731"/>
      <c r="E10" s="553">
        <v>10.75</v>
      </c>
      <c r="F10" s="731"/>
      <c r="G10" s="553"/>
      <c r="H10" s="554"/>
      <c r="I10" s="555">
        <f>SUM(B10:H10)</f>
        <v>10.75</v>
      </c>
    </row>
    <row r="11" spans="1:9" x14ac:dyDescent="0.25">
      <c r="A11" s="551"/>
      <c r="B11" s="552"/>
      <c r="C11" s="553"/>
      <c r="D11" s="731"/>
      <c r="E11" s="553"/>
      <c r="F11" s="731"/>
      <c r="G11" s="553"/>
      <c r="H11" s="554"/>
      <c r="I11" s="554"/>
    </row>
    <row r="12" spans="1:9" s="560" customFormat="1" x14ac:dyDescent="0.25">
      <c r="A12" s="556" t="s">
        <v>891</v>
      </c>
      <c r="B12" s="557">
        <f>SUM(B13:B17)</f>
        <v>2</v>
      </c>
      <c r="C12" s="558">
        <f t="shared" ref="C12:H12" si="0">SUM(C13:C17)</f>
        <v>3.5</v>
      </c>
      <c r="D12" s="557">
        <f t="shared" si="0"/>
        <v>0</v>
      </c>
      <c r="E12" s="558">
        <f t="shared" si="0"/>
        <v>2</v>
      </c>
      <c r="F12" s="557">
        <f t="shared" si="0"/>
        <v>2.5</v>
      </c>
      <c r="G12" s="558">
        <f t="shared" si="0"/>
        <v>0</v>
      </c>
      <c r="H12" s="557">
        <f t="shared" si="0"/>
        <v>7</v>
      </c>
      <c r="I12" s="559">
        <f>SUM(B12:H12)</f>
        <v>17</v>
      </c>
    </row>
    <row r="13" spans="1:9" x14ac:dyDescent="0.25">
      <c r="A13" s="551" t="s">
        <v>892</v>
      </c>
      <c r="B13" s="561"/>
      <c r="C13" s="553"/>
      <c r="D13" s="731"/>
      <c r="E13" s="553">
        <v>2</v>
      </c>
      <c r="F13" s="731"/>
      <c r="G13" s="553"/>
      <c r="H13" s="554"/>
      <c r="I13" s="554">
        <f>SUM(B13:H13)</f>
        <v>2</v>
      </c>
    </row>
    <row r="14" spans="1:9" x14ac:dyDescent="0.25">
      <c r="A14" s="551" t="s">
        <v>893</v>
      </c>
      <c r="B14" s="561">
        <v>2</v>
      </c>
      <c r="C14" s="553"/>
      <c r="D14" s="731"/>
      <c r="E14" s="553"/>
      <c r="F14" s="731">
        <v>2.5</v>
      </c>
      <c r="G14" s="553"/>
      <c r="H14" s="554">
        <v>7</v>
      </c>
      <c r="I14" s="554">
        <f>SUM(B14:H14)</f>
        <v>11.5</v>
      </c>
    </row>
    <row r="15" spans="1:9" x14ac:dyDescent="0.25">
      <c r="A15" s="551" t="s">
        <v>894</v>
      </c>
      <c r="B15" s="561"/>
      <c r="C15" s="553">
        <v>1</v>
      </c>
      <c r="D15" s="731"/>
      <c r="E15" s="553"/>
      <c r="F15" s="731"/>
      <c r="G15" s="553"/>
      <c r="H15" s="554"/>
      <c r="I15" s="554">
        <f>SUM(B15:H15)</f>
        <v>1</v>
      </c>
    </row>
    <row r="16" spans="1:9" x14ac:dyDescent="0.25">
      <c r="A16" s="726" t="s">
        <v>889</v>
      </c>
      <c r="B16" s="561"/>
      <c r="C16" s="553">
        <v>1.5</v>
      </c>
      <c r="D16" s="731"/>
      <c r="E16" s="553"/>
      <c r="F16" s="731"/>
      <c r="G16" s="553"/>
      <c r="H16" s="554"/>
      <c r="I16" s="554">
        <f t="shared" ref="I16:I17" si="1">SUM(B16:H16)</f>
        <v>1.5</v>
      </c>
    </row>
    <row r="17" spans="1:9" ht="15.75" thickBot="1" x14ac:dyDescent="0.3">
      <c r="A17" s="562" t="s">
        <v>1049</v>
      </c>
      <c r="B17" s="724"/>
      <c r="C17" s="727">
        <v>1</v>
      </c>
      <c r="D17" s="725"/>
      <c r="E17" s="732"/>
      <c r="F17" s="725"/>
      <c r="G17" s="732"/>
      <c r="H17" s="725"/>
      <c r="I17" s="554">
        <f t="shared" si="1"/>
        <v>1</v>
      </c>
    </row>
    <row r="18" spans="1:9" s="566" customFormat="1" ht="15.75" thickBot="1" x14ac:dyDescent="0.3">
      <c r="A18" s="563" t="s">
        <v>732</v>
      </c>
      <c r="B18" s="728">
        <f>SUM(B9:B12)</f>
        <v>10</v>
      </c>
      <c r="C18" s="730">
        <f t="shared" ref="C18:H18" si="2">SUM(C9:C12)</f>
        <v>15.5</v>
      </c>
      <c r="D18" s="728">
        <f t="shared" si="2"/>
        <v>0</v>
      </c>
      <c r="E18" s="730">
        <f t="shared" si="2"/>
        <v>12.75</v>
      </c>
      <c r="F18" s="728">
        <f t="shared" si="2"/>
        <v>2.5</v>
      </c>
      <c r="G18" s="730">
        <f t="shared" si="2"/>
        <v>0</v>
      </c>
      <c r="H18" s="564">
        <f t="shared" si="2"/>
        <v>7</v>
      </c>
      <c r="I18" s="565">
        <f>SUM(I9:I12)</f>
        <v>47.75</v>
      </c>
    </row>
    <row r="19" spans="1:9" x14ac:dyDescent="0.25">
      <c r="A19" s="567"/>
      <c r="B19" s="568"/>
    </row>
    <row r="20" spans="1:9" x14ac:dyDescent="0.25">
      <c r="A20" s="567"/>
      <c r="B20" s="568"/>
    </row>
    <row r="21" spans="1:9" x14ac:dyDescent="0.25">
      <c r="A21" s="1494" t="s">
        <v>879</v>
      </c>
      <c r="B21" s="1495"/>
      <c r="C21" s="1496"/>
      <c r="D21" s="1496"/>
      <c r="E21" s="1496"/>
      <c r="F21" s="1496"/>
      <c r="G21" s="1496"/>
      <c r="H21" s="1496"/>
      <c r="I21" s="1497"/>
    </row>
    <row r="22" spans="1:9" x14ac:dyDescent="0.25">
      <c r="A22" s="1498" t="s">
        <v>1174</v>
      </c>
      <c r="B22" s="1498"/>
      <c r="C22" s="1498"/>
      <c r="D22" s="1498"/>
      <c r="E22" s="1498"/>
      <c r="F22" s="1498"/>
      <c r="G22" s="1498"/>
      <c r="H22" s="1498"/>
      <c r="I22" s="1498"/>
    </row>
    <row r="23" spans="1:9" ht="15.75" thickBot="1" x14ac:dyDescent="0.3">
      <c r="A23" s="544"/>
    </row>
    <row r="24" spans="1:9" ht="15.75" thickBot="1" x14ac:dyDescent="0.3">
      <c r="A24" s="1499" t="s">
        <v>880</v>
      </c>
      <c r="B24" s="1501" t="s">
        <v>881</v>
      </c>
      <c r="C24" s="1502"/>
      <c r="D24" s="1502"/>
      <c r="E24" s="1502"/>
      <c r="F24" s="1502"/>
      <c r="G24" s="1502"/>
      <c r="H24" s="1502"/>
      <c r="I24" s="1503"/>
    </row>
    <row r="25" spans="1:9" ht="43.5" thickBot="1" x14ac:dyDescent="0.3">
      <c r="A25" s="1500"/>
      <c r="B25" s="809" t="s">
        <v>882</v>
      </c>
      <c r="C25" s="547" t="s">
        <v>883</v>
      </c>
      <c r="D25" s="548" t="s">
        <v>884</v>
      </c>
      <c r="E25" s="547" t="s">
        <v>885</v>
      </c>
      <c r="F25" s="549" t="s">
        <v>886</v>
      </c>
      <c r="G25" s="547" t="s">
        <v>887</v>
      </c>
      <c r="H25" s="550" t="s">
        <v>888</v>
      </c>
      <c r="I25" s="550" t="s">
        <v>1002</v>
      </c>
    </row>
    <row r="26" spans="1:9" x14ac:dyDescent="0.25">
      <c r="A26" s="551" t="s">
        <v>510</v>
      </c>
      <c r="B26" s="552">
        <v>8</v>
      </c>
      <c r="C26" s="729">
        <v>12</v>
      </c>
      <c r="D26" s="731"/>
      <c r="E26" s="729"/>
      <c r="F26" s="731"/>
      <c r="G26" s="729"/>
      <c r="H26" s="554"/>
      <c r="I26" s="555">
        <f>SUM(B26:H26)</f>
        <v>20</v>
      </c>
    </row>
    <row r="27" spans="1:9" x14ac:dyDescent="0.25">
      <c r="A27" s="551" t="s">
        <v>890</v>
      </c>
      <c r="B27" s="552"/>
      <c r="C27" s="553"/>
      <c r="D27" s="731"/>
      <c r="E27" s="553">
        <v>10.75</v>
      </c>
      <c r="F27" s="731"/>
      <c r="G27" s="553"/>
      <c r="H27" s="554"/>
      <c r="I27" s="555">
        <f>SUM(B27:H27)</f>
        <v>10.75</v>
      </c>
    </row>
    <row r="28" spans="1:9" x14ac:dyDescent="0.25">
      <c r="A28" s="551"/>
      <c r="B28" s="552"/>
      <c r="C28" s="553"/>
      <c r="D28" s="731"/>
      <c r="E28" s="553"/>
      <c r="F28" s="731"/>
      <c r="G28" s="553"/>
      <c r="H28" s="554"/>
      <c r="I28" s="554"/>
    </row>
    <row r="29" spans="1:9" s="560" customFormat="1" x14ac:dyDescent="0.25">
      <c r="A29" s="556" t="s">
        <v>891</v>
      </c>
      <c r="B29" s="557">
        <f>SUM(B30:B34)</f>
        <v>2</v>
      </c>
      <c r="C29" s="558">
        <f t="shared" ref="C29:H29" si="3">SUM(C30:C34)</f>
        <v>3.5</v>
      </c>
      <c r="D29" s="557">
        <f t="shared" si="3"/>
        <v>0</v>
      </c>
      <c r="E29" s="558">
        <f t="shared" si="3"/>
        <v>2</v>
      </c>
      <c r="F29" s="557">
        <f t="shared" si="3"/>
        <v>2.5</v>
      </c>
      <c r="G29" s="558">
        <f t="shared" si="3"/>
        <v>0</v>
      </c>
      <c r="H29" s="557">
        <f t="shared" si="3"/>
        <v>12</v>
      </c>
      <c r="I29" s="559">
        <f>SUM(B29:H29)</f>
        <v>22</v>
      </c>
    </row>
    <row r="30" spans="1:9" x14ac:dyDescent="0.25">
      <c r="A30" s="551" t="s">
        <v>892</v>
      </c>
      <c r="B30" s="561"/>
      <c r="C30" s="553"/>
      <c r="D30" s="731"/>
      <c r="E30" s="553">
        <v>2</v>
      </c>
      <c r="F30" s="731"/>
      <c r="G30" s="553"/>
      <c r="H30" s="554"/>
      <c r="I30" s="554">
        <f>SUM(B30:H30)</f>
        <v>2</v>
      </c>
    </row>
    <row r="31" spans="1:9" x14ac:dyDescent="0.25">
      <c r="A31" s="551" t="s">
        <v>893</v>
      </c>
      <c r="B31" s="561">
        <v>2</v>
      </c>
      <c r="C31" s="553"/>
      <c r="D31" s="731"/>
      <c r="E31" s="553"/>
      <c r="F31" s="731">
        <v>2.5</v>
      </c>
      <c r="G31" s="553"/>
      <c r="H31" s="554">
        <v>12</v>
      </c>
      <c r="I31" s="554">
        <f>SUM(B31:H31)</f>
        <v>16.5</v>
      </c>
    </row>
    <row r="32" spans="1:9" x14ac:dyDescent="0.25">
      <c r="A32" s="551" t="s">
        <v>894</v>
      </c>
      <c r="B32" s="561"/>
      <c r="C32" s="553">
        <v>1</v>
      </c>
      <c r="D32" s="731"/>
      <c r="E32" s="553"/>
      <c r="F32" s="731"/>
      <c r="G32" s="553"/>
      <c r="H32" s="554"/>
      <c r="I32" s="554">
        <f>SUM(B32:H32)</f>
        <v>1</v>
      </c>
    </row>
    <row r="33" spans="1:9" x14ac:dyDescent="0.25">
      <c r="A33" s="726" t="s">
        <v>889</v>
      </c>
      <c r="B33" s="561"/>
      <c r="C33" s="553">
        <v>1.5</v>
      </c>
      <c r="D33" s="731"/>
      <c r="E33" s="553"/>
      <c r="F33" s="731"/>
      <c r="G33" s="553"/>
      <c r="H33" s="554"/>
      <c r="I33" s="554">
        <f t="shared" ref="I33:I34" si="4">SUM(B33:H33)</f>
        <v>1.5</v>
      </c>
    </row>
    <row r="34" spans="1:9" ht="15.75" thickBot="1" x14ac:dyDescent="0.3">
      <c r="A34" s="562" t="s">
        <v>1049</v>
      </c>
      <c r="B34" s="724"/>
      <c r="C34" s="727">
        <v>1</v>
      </c>
      <c r="D34" s="725"/>
      <c r="E34" s="732"/>
      <c r="F34" s="725"/>
      <c r="G34" s="732"/>
      <c r="H34" s="725"/>
      <c r="I34" s="554">
        <f t="shared" si="4"/>
        <v>1</v>
      </c>
    </row>
    <row r="35" spans="1:9" s="566" customFormat="1" ht="15.75" thickBot="1" x14ac:dyDescent="0.3">
      <c r="A35" s="563" t="s">
        <v>732</v>
      </c>
      <c r="B35" s="728">
        <f>SUM(B26:B29)</f>
        <v>10</v>
      </c>
      <c r="C35" s="730">
        <f t="shared" ref="C35:H35" si="5">SUM(C26:C29)</f>
        <v>15.5</v>
      </c>
      <c r="D35" s="728">
        <f t="shared" si="5"/>
        <v>0</v>
      </c>
      <c r="E35" s="730">
        <f t="shared" si="5"/>
        <v>12.75</v>
      </c>
      <c r="F35" s="728">
        <f t="shared" si="5"/>
        <v>2.5</v>
      </c>
      <c r="G35" s="730">
        <f t="shared" si="5"/>
        <v>0</v>
      </c>
      <c r="H35" s="564">
        <f t="shared" si="5"/>
        <v>12</v>
      </c>
      <c r="I35" s="565">
        <f>SUM(I26:I29)</f>
        <v>52.75</v>
      </c>
    </row>
  </sheetData>
  <mergeCells count="9">
    <mergeCell ref="A21:I21"/>
    <mergeCell ref="A22:I22"/>
    <mergeCell ref="A24:A25"/>
    <mergeCell ref="B24:I24"/>
    <mergeCell ref="A1:I1"/>
    <mergeCell ref="A4:I4"/>
    <mergeCell ref="A5:I5"/>
    <mergeCell ref="A7:A8"/>
    <mergeCell ref="B7:I7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33"/>
  <sheetViews>
    <sheetView view="pageBreakPreview" zoomScaleSheetLayoutView="100" workbookViewId="0">
      <pane xSplit="4" ySplit="6" topLeftCell="E22" activePane="bottomRight" state="frozen"/>
      <selection pane="topRight" activeCell="E1" sqref="E1"/>
      <selection pane="bottomLeft" activeCell="A7" sqref="A7"/>
      <selection pane="bottomRight" activeCell="D34" sqref="D34"/>
    </sheetView>
  </sheetViews>
  <sheetFormatPr defaultColWidth="9.33203125" defaultRowHeight="12.75" x14ac:dyDescent="0.2"/>
  <cols>
    <col min="1" max="1" width="6.6640625" style="764" bestFit="1" customWidth="1"/>
    <col min="2" max="2" width="16" style="764" bestFit="1" customWidth="1"/>
    <col min="3" max="3" width="9.33203125" style="765" bestFit="1" customWidth="1"/>
    <col min="4" max="4" width="26.83203125" style="764" bestFit="1" customWidth="1"/>
    <col min="5" max="5" width="14" style="764" bestFit="1" customWidth="1"/>
    <col min="6" max="6" width="11.83203125" style="764" bestFit="1" customWidth="1"/>
    <col min="7" max="8" width="14.6640625" style="764" customWidth="1"/>
    <col min="9" max="9" width="12.5" style="764" customWidth="1"/>
    <col min="10" max="10" width="13.5" style="764" bestFit="1" customWidth="1"/>
    <col min="11" max="13" width="9.33203125" style="764"/>
    <col min="14" max="14" width="27.33203125" style="764" bestFit="1" customWidth="1"/>
    <col min="15" max="15" width="14" style="764" bestFit="1" customWidth="1"/>
    <col min="16" max="16384" width="9.33203125" style="764"/>
  </cols>
  <sheetData>
    <row r="1" spans="1:10" ht="13.5" x14ac:dyDescent="0.25">
      <c r="A1" s="1582" t="s">
        <v>745</v>
      </c>
      <c r="B1" s="1582"/>
      <c r="C1" s="1582"/>
      <c r="D1" s="1582"/>
      <c r="E1" s="1582"/>
      <c r="F1" s="1582"/>
      <c r="G1" s="1582"/>
      <c r="H1" s="1582"/>
      <c r="I1" s="1582"/>
      <c r="J1" s="1582"/>
    </row>
    <row r="2" spans="1:10" ht="13.5" x14ac:dyDescent="0.25">
      <c r="A2" s="765"/>
      <c r="B2" s="766"/>
      <c r="C2" s="767"/>
    </row>
    <row r="3" spans="1:10" ht="41.25" customHeight="1" x14ac:dyDescent="0.2">
      <c r="A3" s="1585" t="s">
        <v>1130</v>
      </c>
      <c r="B3" s="1585"/>
      <c r="C3" s="1585"/>
      <c r="D3" s="1585"/>
      <c r="E3" s="1585"/>
      <c r="F3" s="1585"/>
      <c r="G3" s="1585"/>
      <c r="H3" s="1585"/>
      <c r="I3" s="1585"/>
      <c r="J3" s="1585"/>
    </row>
    <row r="4" spans="1:10" ht="13.5" thickBot="1" x14ac:dyDescent="0.25">
      <c r="A4" s="765"/>
      <c r="B4" s="766"/>
      <c r="C4" s="768"/>
    </row>
    <row r="5" spans="1:10" ht="13.5" thickBot="1" x14ac:dyDescent="0.25">
      <c r="A5" s="1589" t="s">
        <v>1068</v>
      </c>
      <c r="B5" s="1591" t="s">
        <v>1069</v>
      </c>
      <c r="C5" s="1591" t="s">
        <v>1070</v>
      </c>
      <c r="D5" s="1591" t="s">
        <v>1071</v>
      </c>
      <c r="E5" s="1593" t="s">
        <v>1157</v>
      </c>
      <c r="F5" s="1586" t="s">
        <v>1164</v>
      </c>
      <c r="G5" s="1587"/>
      <c r="H5" s="1587"/>
      <c r="I5" s="1587"/>
      <c r="J5" s="1588"/>
    </row>
    <row r="6" spans="1:10" ht="51.75" thickBot="1" x14ac:dyDescent="0.25">
      <c r="A6" s="1590"/>
      <c r="B6" s="1592"/>
      <c r="C6" s="1592"/>
      <c r="D6" s="1592"/>
      <c r="E6" s="1594"/>
      <c r="F6" s="882" t="s">
        <v>1166</v>
      </c>
      <c r="G6" s="882" t="s">
        <v>1170</v>
      </c>
      <c r="H6" s="882" t="s">
        <v>1173</v>
      </c>
      <c r="I6" s="882" t="s">
        <v>1172</v>
      </c>
      <c r="J6" s="572" t="s">
        <v>1165</v>
      </c>
    </row>
    <row r="7" spans="1:10" x14ac:dyDescent="0.2">
      <c r="A7" s="777" t="s">
        <v>1072</v>
      </c>
      <c r="B7" s="778" t="s">
        <v>1073</v>
      </c>
      <c r="C7" s="779">
        <v>614</v>
      </c>
      <c r="D7" s="778" t="s">
        <v>1074</v>
      </c>
      <c r="E7" s="780">
        <v>200000</v>
      </c>
      <c r="F7" s="780"/>
      <c r="G7" s="885"/>
      <c r="H7" s="885">
        <v>200000</v>
      </c>
      <c r="I7" s="885"/>
      <c r="J7" s="883">
        <f>E7-F7-G7-H7-I7</f>
        <v>0</v>
      </c>
    </row>
    <row r="8" spans="1:10" x14ac:dyDescent="0.2">
      <c r="A8" s="781" t="s">
        <v>1075</v>
      </c>
      <c r="B8" s="769" t="s">
        <v>1076</v>
      </c>
      <c r="C8" s="770" t="s">
        <v>1077</v>
      </c>
      <c r="D8" s="769" t="s">
        <v>1078</v>
      </c>
      <c r="E8" s="782">
        <v>4000000</v>
      </c>
      <c r="F8" s="782"/>
      <c r="G8" s="886"/>
      <c r="H8" s="886"/>
      <c r="I8" s="886"/>
      <c r="J8" s="884">
        <f t="shared" ref="J8:J30" si="0">E8-F8-G8-H8-I8</f>
        <v>4000000</v>
      </c>
    </row>
    <row r="9" spans="1:10" x14ac:dyDescent="0.2">
      <c r="A9" s="781" t="s">
        <v>1075</v>
      </c>
      <c r="B9" s="769" t="s">
        <v>1079</v>
      </c>
      <c r="C9" s="770">
        <v>912</v>
      </c>
      <c r="D9" s="769" t="s">
        <v>1078</v>
      </c>
      <c r="E9" s="782">
        <v>2500000</v>
      </c>
      <c r="F9" s="782"/>
      <c r="G9" s="886"/>
      <c r="H9" s="886"/>
      <c r="I9" s="886"/>
      <c r="J9" s="884">
        <f t="shared" si="0"/>
        <v>2500000</v>
      </c>
    </row>
    <row r="10" spans="1:10" x14ac:dyDescent="0.2">
      <c r="A10" s="781" t="s">
        <v>1080</v>
      </c>
      <c r="B10" s="769" t="s">
        <v>1081</v>
      </c>
      <c r="C10" s="770"/>
      <c r="D10" s="769" t="s">
        <v>1082</v>
      </c>
      <c r="E10" s="782">
        <v>185000</v>
      </c>
      <c r="F10" s="782">
        <v>143000</v>
      </c>
      <c r="G10" s="886"/>
      <c r="H10" s="886"/>
      <c r="I10" s="886"/>
      <c r="J10" s="884">
        <f t="shared" si="0"/>
        <v>42000</v>
      </c>
    </row>
    <row r="11" spans="1:10" x14ac:dyDescent="0.2">
      <c r="A11" s="781" t="s">
        <v>1083</v>
      </c>
      <c r="B11" s="769" t="s">
        <v>1084</v>
      </c>
      <c r="C11" s="770" t="s">
        <v>1085</v>
      </c>
      <c r="D11" s="769" t="s">
        <v>1086</v>
      </c>
      <c r="E11" s="782">
        <v>1000000</v>
      </c>
      <c r="F11" s="782">
        <v>1000000</v>
      </c>
      <c r="G11" s="886"/>
      <c r="H11" s="886"/>
      <c r="I11" s="886"/>
      <c r="J11" s="884">
        <f t="shared" si="0"/>
        <v>0</v>
      </c>
    </row>
    <row r="12" spans="1:10" x14ac:dyDescent="0.2">
      <c r="A12" s="781" t="s">
        <v>1087</v>
      </c>
      <c r="B12" s="769" t="s">
        <v>1088</v>
      </c>
      <c r="C12" s="770" t="s">
        <v>1089</v>
      </c>
      <c r="D12" s="769" t="s">
        <v>1090</v>
      </c>
      <c r="E12" s="782">
        <v>30000</v>
      </c>
      <c r="F12" s="782"/>
      <c r="G12" s="886"/>
      <c r="H12" s="886"/>
      <c r="I12" s="886"/>
      <c r="J12" s="884">
        <f t="shared" si="0"/>
        <v>30000</v>
      </c>
    </row>
    <row r="13" spans="1:10" x14ac:dyDescent="0.2">
      <c r="A13" s="781" t="s">
        <v>1087</v>
      </c>
      <c r="B13" s="769" t="s">
        <v>1091</v>
      </c>
      <c r="C13" s="770" t="s">
        <v>1089</v>
      </c>
      <c r="D13" s="769" t="s">
        <v>1090</v>
      </c>
      <c r="E13" s="782">
        <v>50000</v>
      </c>
      <c r="F13" s="782"/>
      <c r="G13" s="886"/>
      <c r="H13" s="886"/>
      <c r="I13" s="886"/>
      <c r="J13" s="884">
        <f t="shared" si="0"/>
        <v>50000</v>
      </c>
    </row>
    <row r="14" spans="1:10" x14ac:dyDescent="0.2">
      <c r="A14" s="781" t="s">
        <v>1087</v>
      </c>
      <c r="B14" s="769" t="s">
        <v>1092</v>
      </c>
      <c r="C14" s="770">
        <v>940</v>
      </c>
      <c r="D14" s="769" t="s">
        <v>1086</v>
      </c>
      <c r="E14" s="782">
        <v>1000000</v>
      </c>
      <c r="F14" s="782"/>
      <c r="G14" s="886"/>
      <c r="H14" s="886"/>
      <c r="I14" s="886"/>
      <c r="J14" s="884">
        <f t="shared" si="0"/>
        <v>1000000</v>
      </c>
    </row>
    <row r="15" spans="1:10" x14ac:dyDescent="0.2">
      <c r="A15" s="781" t="s">
        <v>1093</v>
      </c>
      <c r="B15" s="769" t="s">
        <v>1094</v>
      </c>
      <c r="C15" s="771"/>
      <c r="D15" s="769" t="s">
        <v>1095</v>
      </c>
      <c r="E15" s="782">
        <v>50000</v>
      </c>
      <c r="F15" s="782">
        <v>50000</v>
      </c>
      <c r="G15" s="886"/>
      <c r="H15" s="886"/>
      <c r="I15" s="886"/>
      <c r="J15" s="884">
        <f t="shared" si="0"/>
        <v>0</v>
      </c>
    </row>
    <row r="16" spans="1:10" x14ac:dyDescent="0.2">
      <c r="A16" s="781" t="s">
        <v>1096</v>
      </c>
      <c r="B16" s="769" t="s">
        <v>1094</v>
      </c>
      <c r="C16" s="771"/>
      <c r="D16" s="769" t="s">
        <v>1097</v>
      </c>
      <c r="E16" s="782">
        <v>150000</v>
      </c>
      <c r="F16" s="782">
        <v>150000</v>
      </c>
      <c r="G16" s="886"/>
      <c r="H16" s="886"/>
      <c r="I16" s="886"/>
      <c r="J16" s="884">
        <f t="shared" si="0"/>
        <v>0</v>
      </c>
    </row>
    <row r="17" spans="1:10" x14ac:dyDescent="0.2">
      <c r="A17" s="783" t="s">
        <v>1098</v>
      </c>
      <c r="B17" s="772" t="s">
        <v>1094</v>
      </c>
      <c r="C17" s="773"/>
      <c r="D17" s="772" t="s">
        <v>1099</v>
      </c>
      <c r="E17" s="784">
        <v>70000</v>
      </c>
      <c r="F17" s="782">
        <v>70000</v>
      </c>
      <c r="G17" s="886"/>
      <c r="H17" s="886"/>
      <c r="I17" s="886"/>
      <c r="J17" s="884">
        <f t="shared" si="0"/>
        <v>0</v>
      </c>
    </row>
    <row r="18" spans="1:10" x14ac:dyDescent="0.2">
      <c r="A18" s="783" t="s">
        <v>1100</v>
      </c>
      <c r="B18" s="772" t="s">
        <v>1101</v>
      </c>
      <c r="C18" s="774" t="s">
        <v>1102</v>
      </c>
      <c r="D18" s="772" t="s">
        <v>1103</v>
      </c>
      <c r="E18" s="784">
        <v>50000</v>
      </c>
      <c r="F18" s="782"/>
      <c r="G18" s="886"/>
      <c r="H18" s="886"/>
      <c r="I18" s="886">
        <v>50000</v>
      </c>
      <c r="J18" s="884">
        <f t="shared" si="0"/>
        <v>0</v>
      </c>
    </row>
    <row r="19" spans="1:10" x14ac:dyDescent="0.2">
      <c r="A19" s="783" t="s">
        <v>1100</v>
      </c>
      <c r="B19" s="772" t="s">
        <v>1104</v>
      </c>
      <c r="C19" s="774">
        <v>648</v>
      </c>
      <c r="D19" s="772" t="s">
        <v>1103</v>
      </c>
      <c r="E19" s="784">
        <v>50000</v>
      </c>
      <c r="F19" s="782"/>
      <c r="G19" s="886"/>
      <c r="H19" s="886"/>
      <c r="I19" s="886">
        <v>50000</v>
      </c>
      <c r="J19" s="884">
        <f t="shared" si="0"/>
        <v>0</v>
      </c>
    </row>
    <row r="20" spans="1:10" x14ac:dyDescent="0.2">
      <c r="A20" s="781" t="s">
        <v>1105</v>
      </c>
      <c r="B20" s="769" t="s">
        <v>1092</v>
      </c>
      <c r="C20" s="770">
        <v>940</v>
      </c>
      <c r="D20" s="769" t="s">
        <v>1106</v>
      </c>
      <c r="E20" s="782">
        <v>250000</v>
      </c>
      <c r="F20" s="782"/>
      <c r="G20" s="886"/>
      <c r="H20" s="886"/>
      <c r="I20" s="886"/>
      <c r="J20" s="884">
        <f t="shared" si="0"/>
        <v>250000</v>
      </c>
    </row>
    <row r="21" spans="1:10" x14ac:dyDescent="0.2">
      <c r="A21" s="781" t="s">
        <v>1107</v>
      </c>
      <c r="B21" s="769" t="s">
        <v>1108</v>
      </c>
      <c r="C21" s="770" t="s">
        <v>1085</v>
      </c>
      <c r="D21" s="769" t="s">
        <v>1109</v>
      </c>
      <c r="E21" s="782">
        <v>500000</v>
      </c>
      <c r="F21" s="782"/>
      <c r="G21" s="886"/>
      <c r="H21" s="886"/>
      <c r="I21" s="886"/>
      <c r="J21" s="884">
        <f t="shared" si="0"/>
        <v>500000</v>
      </c>
    </row>
    <row r="22" spans="1:10" x14ac:dyDescent="0.2">
      <c r="A22" s="781" t="s">
        <v>1110</v>
      </c>
      <c r="B22" s="769" t="s">
        <v>1084</v>
      </c>
      <c r="C22" s="770" t="s">
        <v>1085</v>
      </c>
      <c r="D22" s="769" t="s">
        <v>1111</v>
      </c>
      <c r="E22" s="782">
        <v>200000</v>
      </c>
      <c r="F22" s="782">
        <v>200000</v>
      </c>
      <c r="G22" s="886"/>
      <c r="H22" s="886"/>
      <c r="I22" s="886"/>
      <c r="J22" s="884">
        <f t="shared" si="0"/>
        <v>0</v>
      </c>
    </row>
    <row r="23" spans="1:10" x14ac:dyDescent="0.2">
      <c r="A23" s="781" t="s">
        <v>1112</v>
      </c>
      <c r="B23" s="769" t="s">
        <v>1113</v>
      </c>
      <c r="C23" s="770" t="s">
        <v>1114</v>
      </c>
      <c r="D23" s="769" t="s">
        <v>1115</v>
      </c>
      <c r="E23" s="782">
        <v>100000</v>
      </c>
      <c r="F23" s="782"/>
      <c r="G23" s="886"/>
      <c r="H23" s="886"/>
      <c r="I23" s="886">
        <v>100000</v>
      </c>
      <c r="J23" s="884">
        <f t="shared" si="0"/>
        <v>0</v>
      </c>
    </row>
    <row r="24" spans="1:10" x14ac:dyDescent="0.2">
      <c r="A24" s="781" t="s">
        <v>1112</v>
      </c>
      <c r="B24" s="769" t="s">
        <v>1116</v>
      </c>
      <c r="C24" s="770" t="s">
        <v>1117</v>
      </c>
      <c r="D24" s="769" t="s">
        <v>1118</v>
      </c>
      <c r="E24" s="782">
        <v>50000</v>
      </c>
      <c r="F24" s="782"/>
      <c r="G24" s="886"/>
      <c r="H24" s="886"/>
      <c r="I24" s="886"/>
      <c r="J24" s="884">
        <f t="shared" si="0"/>
        <v>50000</v>
      </c>
    </row>
    <row r="25" spans="1:10" x14ac:dyDescent="0.2">
      <c r="A25" s="781" t="s">
        <v>1119</v>
      </c>
      <c r="B25" s="769" t="s">
        <v>1084</v>
      </c>
      <c r="C25" s="770" t="s">
        <v>1085</v>
      </c>
      <c r="D25" s="769" t="s">
        <v>1120</v>
      </c>
      <c r="E25" s="782">
        <v>100000</v>
      </c>
      <c r="F25" s="782"/>
      <c r="G25" s="886"/>
      <c r="H25" s="886"/>
      <c r="I25" s="886"/>
      <c r="J25" s="884">
        <f t="shared" si="0"/>
        <v>100000</v>
      </c>
    </row>
    <row r="26" spans="1:10" x14ac:dyDescent="0.2">
      <c r="A26" s="781" t="s">
        <v>1121</v>
      </c>
      <c r="B26" s="769" t="s">
        <v>1113</v>
      </c>
      <c r="C26" s="770" t="s">
        <v>1114</v>
      </c>
      <c r="D26" s="769" t="s">
        <v>1122</v>
      </c>
      <c r="E26" s="782">
        <v>30000</v>
      </c>
      <c r="F26" s="782"/>
      <c r="G26" s="886"/>
      <c r="H26" s="886"/>
      <c r="I26" s="886">
        <v>30000</v>
      </c>
      <c r="J26" s="884">
        <f t="shared" si="0"/>
        <v>0</v>
      </c>
    </row>
    <row r="27" spans="1:10" x14ac:dyDescent="0.2">
      <c r="A27" s="783" t="s">
        <v>1123</v>
      </c>
      <c r="B27" s="772" t="s">
        <v>1113</v>
      </c>
      <c r="C27" s="774" t="s">
        <v>1114</v>
      </c>
      <c r="D27" s="772" t="s">
        <v>1124</v>
      </c>
      <c r="E27" s="784">
        <v>150000</v>
      </c>
      <c r="F27" s="782"/>
      <c r="G27" s="886"/>
      <c r="H27" s="886"/>
      <c r="I27" s="886">
        <v>150000</v>
      </c>
      <c r="J27" s="884">
        <f t="shared" si="0"/>
        <v>0</v>
      </c>
    </row>
    <row r="28" spans="1:10" x14ac:dyDescent="0.2">
      <c r="A28" s="871" t="s">
        <v>1123</v>
      </c>
      <c r="B28" s="872" t="s">
        <v>1073</v>
      </c>
      <c r="C28" s="873">
        <v>614</v>
      </c>
      <c r="D28" s="872" t="s">
        <v>1125</v>
      </c>
      <c r="E28" s="874">
        <v>400000</v>
      </c>
      <c r="F28" s="874">
        <v>400000</v>
      </c>
      <c r="G28" s="887"/>
      <c r="H28" s="887"/>
      <c r="I28" s="887"/>
      <c r="J28" s="884">
        <f t="shared" si="0"/>
        <v>0</v>
      </c>
    </row>
    <row r="29" spans="1:10" x14ac:dyDescent="0.2">
      <c r="A29" s="781">
        <v>7</v>
      </c>
      <c r="B29" s="769" t="s">
        <v>1167</v>
      </c>
      <c r="C29" s="770" t="s">
        <v>1168</v>
      </c>
      <c r="D29" s="769" t="s">
        <v>1169</v>
      </c>
      <c r="E29" s="888">
        <v>3412000</v>
      </c>
      <c r="F29" s="782">
        <v>3412000</v>
      </c>
      <c r="G29" s="886"/>
      <c r="H29" s="886"/>
      <c r="I29" s="886"/>
      <c r="J29" s="884">
        <f t="shared" si="0"/>
        <v>0</v>
      </c>
    </row>
    <row r="30" spans="1:10" ht="13.5" thickBot="1" x14ac:dyDescent="0.25">
      <c r="A30" s="781">
        <v>8</v>
      </c>
      <c r="B30" s="769"/>
      <c r="C30" s="770"/>
      <c r="D30" s="769" t="s">
        <v>1171</v>
      </c>
      <c r="E30" s="888">
        <v>2771000</v>
      </c>
      <c r="F30" s="782">
        <v>2280000</v>
      </c>
      <c r="G30" s="886">
        <v>491000</v>
      </c>
      <c r="H30" s="886"/>
      <c r="I30" s="886"/>
      <c r="J30" s="890">
        <f t="shared" si="0"/>
        <v>0</v>
      </c>
    </row>
    <row r="31" spans="1:10" x14ac:dyDescent="0.2">
      <c r="A31" s="781">
        <v>9</v>
      </c>
      <c r="B31" s="769"/>
      <c r="C31" s="770"/>
      <c r="D31" s="892" t="s">
        <v>1175</v>
      </c>
      <c r="E31" s="888">
        <v>2921000</v>
      </c>
      <c r="F31" s="782"/>
      <c r="G31" s="886"/>
      <c r="H31" s="886">
        <v>2921000</v>
      </c>
      <c r="I31" s="886"/>
      <c r="J31" s="891"/>
    </row>
    <row r="32" spans="1:10" ht="13.5" thickBot="1" x14ac:dyDescent="0.25">
      <c r="A32" s="781">
        <v>10</v>
      </c>
      <c r="B32" s="769"/>
      <c r="C32" s="770"/>
      <c r="D32" s="893" t="s">
        <v>1176</v>
      </c>
      <c r="E32" s="888">
        <v>737000</v>
      </c>
      <c r="F32" s="782"/>
      <c r="G32" s="886"/>
      <c r="H32" s="886">
        <v>737000</v>
      </c>
      <c r="I32" s="886"/>
      <c r="J32" s="891"/>
    </row>
    <row r="33" spans="1:10" ht="13.5" thickBot="1" x14ac:dyDescent="0.25">
      <c r="A33" s="1583" t="s">
        <v>1002</v>
      </c>
      <c r="B33" s="1584"/>
      <c r="C33" s="1584"/>
      <c r="D33" s="1584"/>
      <c r="E33" s="776">
        <f>SUM(E7:E32)</f>
        <v>20956000</v>
      </c>
      <c r="F33" s="776">
        <f t="shared" ref="F33:J33" si="1">SUM(F7:F32)</f>
        <v>7705000</v>
      </c>
      <c r="G33" s="776">
        <f t="shared" si="1"/>
        <v>491000</v>
      </c>
      <c r="H33" s="776">
        <f t="shared" si="1"/>
        <v>3858000</v>
      </c>
      <c r="I33" s="776">
        <f t="shared" si="1"/>
        <v>380000</v>
      </c>
      <c r="J33" s="776">
        <f t="shared" si="1"/>
        <v>8522000</v>
      </c>
    </row>
  </sheetData>
  <mergeCells count="9">
    <mergeCell ref="A1:J1"/>
    <mergeCell ref="A33:D33"/>
    <mergeCell ref="A3:J3"/>
    <mergeCell ref="F5:J5"/>
    <mergeCell ref="A5:A6"/>
    <mergeCell ref="B5:B6"/>
    <mergeCell ref="C5:C6"/>
    <mergeCell ref="D5:D6"/>
    <mergeCell ref="E5:E6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5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596" t="s">
        <v>955</v>
      </c>
      <c r="C1" s="1596"/>
      <c r="D1" s="1596"/>
    </row>
    <row r="2" spans="1:4" s="93" customFormat="1" ht="16.5" thickBot="1" x14ac:dyDescent="0.3">
      <c r="A2" s="92"/>
      <c r="B2" s="404"/>
      <c r="D2" s="45" t="s">
        <v>11</v>
      </c>
    </row>
    <row r="3" spans="1:4" s="95" customFormat="1" ht="48" customHeight="1" thickBot="1" x14ac:dyDescent="0.25">
      <c r="A3" s="94" t="s">
        <v>967</v>
      </c>
      <c r="B3" s="215" t="s">
        <v>968</v>
      </c>
      <c r="C3" s="215" t="s">
        <v>21</v>
      </c>
      <c r="D3" s="216" t="s">
        <v>22</v>
      </c>
    </row>
    <row r="4" spans="1:4" s="95" customFormat="1" ht="14.1" customHeight="1" thickBot="1" x14ac:dyDescent="0.25">
      <c r="A4" s="38">
        <v>1</v>
      </c>
      <c r="B4" s="218">
        <v>2</v>
      </c>
      <c r="C4" s="218">
        <v>3</v>
      </c>
      <c r="D4" s="219">
        <v>4</v>
      </c>
    </row>
    <row r="5" spans="1:4" ht="18" customHeight="1" x14ac:dyDescent="0.2">
      <c r="A5" s="150" t="s">
        <v>969</v>
      </c>
      <c r="B5" s="220" t="s">
        <v>122</v>
      </c>
      <c r="C5" s="148">
        <v>0</v>
      </c>
      <c r="D5" s="96"/>
    </row>
    <row r="6" spans="1:4" ht="18" customHeight="1" x14ac:dyDescent="0.2">
      <c r="A6" s="97" t="s">
        <v>970</v>
      </c>
      <c r="B6" s="221" t="s">
        <v>123</v>
      </c>
      <c r="C6" s="149">
        <v>0</v>
      </c>
      <c r="D6" s="99"/>
    </row>
    <row r="7" spans="1:4" ht="18" customHeight="1" x14ac:dyDescent="0.2">
      <c r="A7" s="97" t="s">
        <v>971</v>
      </c>
      <c r="B7" s="221" t="s">
        <v>82</v>
      </c>
      <c r="C7" s="149">
        <v>0</v>
      </c>
      <c r="D7" s="99"/>
    </row>
    <row r="8" spans="1:4" ht="18" customHeight="1" x14ac:dyDescent="0.2">
      <c r="A8" s="97" t="s">
        <v>972</v>
      </c>
      <c r="B8" s="221" t="s">
        <v>83</v>
      </c>
      <c r="C8" s="149">
        <v>0</v>
      </c>
      <c r="D8" s="99"/>
    </row>
    <row r="9" spans="1:4" ht="18" customHeight="1" x14ac:dyDescent="0.2">
      <c r="A9" s="97" t="s">
        <v>973</v>
      </c>
      <c r="B9" s="221" t="s">
        <v>114</v>
      </c>
      <c r="C9" s="149"/>
      <c r="D9" s="99"/>
    </row>
    <row r="10" spans="1:4" ht="18" customHeight="1" x14ac:dyDescent="0.2">
      <c r="A10" s="97" t="s">
        <v>974</v>
      </c>
      <c r="B10" s="221" t="s">
        <v>115</v>
      </c>
      <c r="C10" s="149">
        <f>3310+16057+292+154+109</f>
        <v>19922</v>
      </c>
      <c r="D10" s="99">
        <v>19922</v>
      </c>
    </row>
    <row r="11" spans="1:4" ht="18" customHeight="1" x14ac:dyDescent="0.2">
      <c r="A11" s="97" t="s">
        <v>975</v>
      </c>
      <c r="B11" s="222" t="s">
        <v>116</v>
      </c>
      <c r="C11" s="149"/>
      <c r="D11" s="99"/>
    </row>
    <row r="12" spans="1:4" ht="18" customHeight="1" x14ac:dyDescent="0.2">
      <c r="A12" s="97" t="s">
        <v>976</v>
      </c>
      <c r="B12" s="222" t="s">
        <v>117</v>
      </c>
      <c r="C12" s="149"/>
      <c r="D12" s="99"/>
    </row>
    <row r="13" spans="1:4" ht="18" customHeight="1" x14ac:dyDescent="0.2">
      <c r="A13" s="97" t="s">
        <v>977</v>
      </c>
      <c r="B13" s="222" t="s">
        <v>118</v>
      </c>
      <c r="C13" s="149"/>
      <c r="D13" s="99"/>
    </row>
    <row r="14" spans="1:4" ht="18" customHeight="1" x14ac:dyDescent="0.2">
      <c r="A14" s="97" t="s">
        <v>978</v>
      </c>
      <c r="B14" s="222" t="s">
        <v>119</v>
      </c>
      <c r="C14" s="149"/>
      <c r="D14" s="99"/>
    </row>
    <row r="15" spans="1:4" ht="18" customHeight="1" x14ac:dyDescent="0.2">
      <c r="A15" s="97" t="s">
        <v>979</v>
      </c>
      <c r="B15" s="222" t="s">
        <v>120</v>
      </c>
      <c r="C15" s="149"/>
      <c r="D15" s="99"/>
    </row>
    <row r="16" spans="1:4" ht="22.5" customHeight="1" x14ac:dyDescent="0.2">
      <c r="A16" s="97" t="s">
        <v>980</v>
      </c>
      <c r="B16" s="222" t="s">
        <v>121</v>
      </c>
      <c r="C16" s="149"/>
      <c r="D16" s="99"/>
    </row>
    <row r="17" spans="1:8" ht="18" customHeight="1" x14ac:dyDescent="0.2">
      <c r="A17" s="97" t="s">
        <v>981</v>
      </c>
      <c r="B17" s="221" t="s">
        <v>84</v>
      </c>
      <c r="C17" s="149"/>
      <c r="D17" s="99"/>
    </row>
    <row r="18" spans="1:8" ht="22.5" x14ac:dyDescent="0.2">
      <c r="A18" s="97" t="s">
        <v>982</v>
      </c>
      <c r="B18" s="221" t="s">
        <v>723</v>
      </c>
      <c r="C18" s="149">
        <f>SUM(C19:C29)</f>
        <v>1665.3000000000002</v>
      </c>
      <c r="D18" s="99">
        <f>SUM(D19:D29)</f>
        <v>1665.3000000000002</v>
      </c>
      <c r="F18" s="4" t="s">
        <v>724</v>
      </c>
      <c r="G18" s="4">
        <v>3640</v>
      </c>
      <c r="H18" s="4" t="s">
        <v>725</v>
      </c>
    </row>
    <row r="19" spans="1:8" ht="18" hidden="1" customHeight="1" x14ac:dyDescent="0.2">
      <c r="A19" s="97"/>
      <c r="B19" s="222" t="s">
        <v>712</v>
      </c>
      <c r="C19" s="149">
        <f>H19</f>
        <v>660.66</v>
      </c>
      <c r="D19" s="99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7"/>
      <c r="B20" s="222" t="s">
        <v>713</v>
      </c>
      <c r="C20" s="149">
        <f t="shared" ref="C20:C29" si="0">H20</f>
        <v>305.76</v>
      </c>
      <c r="D20" s="99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7"/>
      <c r="B21" s="222" t="s">
        <v>714</v>
      </c>
      <c r="C21" s="149">
        <f t="shared" si="0"/>
        <v>145.6</v>
      </c>
      <c r="D21" s="99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7"/>
      <c r="B22" s="222" t="s">
        <v>715</v>
      </c>
      <c r="C22" s="149">
        <f t="shared" si="0"/>
        <v>72.8</v>
      </c>
      <c r="D22" s="99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7"/>
      <c r="B23" s="222" t="s">
        <v>716</v>
      </c>
      <c r="C23" s="149">
        <f t="shared" si="0"/>
        <v>182</v>
      </c>
      <c r="D23" s="99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7"/>
      <c r="B24" s="222" t="s">
        <v>717</v>
      </c>
      <c r="C24" s="149">
        <f t="shared" si="0"/>
        <v>141.96</v>
      </c>
      <c r="D24" s="99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7"/>
      <c r="B25" s="222" t="s">
        <v>718</v>
      </c>
      <c r="C25" s="149">
        <f t="shared" si="0"/>
        <v>61.88</v>
      </c>
      <c r="D25" s="99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7"/>
      <c r="B26" s="222" t="s">
        <v>719</v>
      </c>
      <c r="C26" s="149">
        <f t="shared" si="0"/>
        <v>36.4</v>
      </c>
      <c r="D26" s="99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7"/>
      <c r="B27" s="222" t="s">
        <v>720</v>
      </c>
      <c r="C27" s="149">
        <f t="shared" si="0"/>
        <v>36.4</v>
      </c>
      <c r="D27" s="99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7"/>
      <c r="B28" s="222" t="s">
        <v>721</v>
      </c>
      <c r="C28" s="149">
        <f t="shared" si="0"/>
        <v>7.28</v>
      </c>
      <c r="D28" s="99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7"/>
      <c r="B29" s="222" t="s">
        <v>722</v>
      </c>
      <c r="C29" s="149">
        <f t="shared" si="0"/>
        <v>14.56</v>
      </c>
      <c r="D29" s="99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7"/>
      <c r="B30" s="221"/>
      <c r="C30" s="149"/>
      <c r="D30" s="99"/>
    </row>
    <row r="31" spans="1:8" ht="18" customHeight="1" x14ac:dyDescent="0.2">
      <c r="A31" s="97" t="s">
        <v>983</v>
      </c>
      <c r="B31" s="221" t="s">
        <v>956</v>
      </c>
      <c r="C31" s="149"/>
      <c r="D31" s="99"/>
    </row>
    <row r="32" spans="1:8" ht="18" customHeight="1" x14ac:dyDescent="0.2">
      <c r="A32" s="97" t="s">
        <v>984</v>
      </c>
      <c r="B32" s="221" t="s">
        <v>85</v>
      </c>
      <c r="C32" s="149"/>
      <c r="D32" s="99"/>
    </row>
    <row r="33" spans="1:4" ht="18" customHeight="1" x14ac:dyDescent="0.2">
      <c r="A33" s="97" t="s">
        <v>985</v>
      </c>
      <c r="B33" s="221" t="s">
        <v>86</v>
      </c>
      <c r="C33" s="149"/>
      <c r="D33" s="99"/>
    </row>
    <row r="34" spans="1:4" ht="18" customHeight="1" x14ac:dyDescent="0.2">
      <c r="A34" s="97" t="s">
        <v>993</v>
      </c>
      <c r="B34" s="100"/>
      <c r="C34" s="98"/>
      <c r="D34" s="99"/>
    </row>
    <row r="35" spans="1:4" ht="18" customHeight="1" thickBot="1" x14ac:dyDescent="0.25">
      <c r="A35" s="151" t="s">
        <v>994</v>
      </c>
      <c r="B35" s="101"/>
      <c r="C35" s="102"/>
      <c r="D35" s="103"/>
    </row>
    <row r="36" spans="1:4" ht="18" customHeight="1" thickBot="1" x14ac:dyDescent="0.25">
      <c r="A36" s="39" t="s">
        <v>995</v>
      </c>
      <c r="B36" s="226" t="s">
        <v>1004</v>
      </c>
      <c r="C36" s="227">
        <f>SUM(C5:C35)-C18</f>
        <v>21587.3</v>
      </c>
      <c r="D36" s="227">
        <f>SUM(D5:D35)-D18</f>
        <v>21587.3</v>
      </c>
    </row>
    <row r="37" spans="1:4" ht="8.25" customHeight="1" x14ac:dyDescent="0.2">
      <c r="A37" s="104"/>
      <c r="B37" s="1595"/>
      <c r="C37" s="1595"/>
      <c r="D37" s="1595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I23"/>
  <sheetViews>
    <sheetView view="pageBreakPreview" zoomScaleSheetLayoutView="100" workbookViewId="0">
      <selection activeCell="C37" sqref="C37"/>
    </sheetView>
  </sheetViews>
  <sheetFormatPr defaultRowHeight="12.75" x14ac:dyDescent="0.2"/>
  <cols>
    <col min="1" max="1" width="6.6640625" customWidth="1"/>
    <col min="2" max="2" width="38.6640625" customWidth="1"/>
    <col min="3" max="3" width="37.5" bestFit="1" customWidth="1"/>
    <col min="4" max="4" width="12" style="484" hidden="1" customWidth="1"/>
    <col min="5" max="6" width="14.33203125" bestFit="1" customWidth="1"/>
    <col min="7" max="7" width="14.33203125" customWidth="1"/>
    <col min="8" max="8" width="14.33203125" hidden="1" customWidth="1"/>
    <col min="9" max="9" width="14.33203125" bestFit="1" customWidth="1"/>
  </cols>
  <sheetData>
    <row r="1" spans="1:9" ht="13.5" x14ac:dyDescent="0.25">
      <c r="A1" s="1582" t="s">
        <v>1133</v>
      </c>
      <c r="B1" s="1582"/>
      <c r="C1" s="1582"/>
      <c r="D1" s="1582"/>
      <c r="E1" s="1582"/>
      <c r="F1" s="1582"/>
      <c r="G1" s="1582"/>
      <c r="H1" s="1582"/>
      <c r="I1" s="1582"/>
    </row>
    <row r="2" spans="1:9" ht="35.25" customHeight="1" x14ac:dyDescent="0.25">
      <c r="A2" s="1601" t="s">
        <v>1056</v>
      </c>
      <c r="B2" s="1601"/>
      <c r="C2" s="1601"/>
      <c r="D2" s="1601"/>
      <c r="E2" s="1601"/>
      <c r="F2" s="1601"/>
      <c r="G2" s="1601"/>
      <c r="H2" s="1601"/>
      <c r="I2" s="1601"/>
    </row>
    <row r="3" spans="1:9" ht="17.25" customHeight="1" x14ac:dyDescent="0.25">
      <c r="A3" s="405"/>
      <c r="B3" s="405"/>
      <c r="C3" s="405"/>
    </row>
    <row r="4" spans="1:9" ht="13.5" thickBot="1" x14ac:dyDescent="0.25">
      <c r="A4" s="228"/>
      <c r="B4" s="228"/>
      <c r="C4" s="738"/>
      <c r="F4" s="1597" t="s">
        <v>1008</v>
      </c>
      <c r="G4" s="1597"/>
      <c r="H4" s="1597"/>
      <c r="I4" s="1597"/>
    </row>
    <row r="5" spans="1:9" ht="42.75" customHeight="1" thickBot="1" x14ac:dyDescent="0.25">
      <c r="A5" s="406" t="s">
        <v>19</v>
      </c>
      <c r="B5" s="407" t="s">
        <v>87</v>
      </c>
      <c r="C5" s="407" t="s">
        <v>88</v>
      </c>
      <c r="D5" s="722" t="s">
        <v>1038</v>
      </c>
      <c r="E5" s="845" t="s">
        <v>1039</v>
      </c>
      <c r="F5" s="571" t="s">
        <v>1148</v>
      </c>
      <c r="G5" s="898" t="s">
        <v>1189</v>
      </c>
      <c r="H5" s="898" t="s">
        <v>1190</v>
      </c>
      <c r="I5" s="571" t="s">
        <v>1147</v>
      </c>
    </row>
    <row r="6" spans="1:9" ht="15.95" customHeight="1" x14ac:dyDescent="0.2">
      <c r="A6" s="857" t="s">
        <v>969</v>
      </c>
      <c r="B6" s="858" t="s">
        <v>607</v>
      </c>
      <c r="C6" s="858" t="s">
        <v>608</v>
      </c>
      <c r="D6" s="859">
        <v>600</v>
      </c>
      <c r="E6" s="860">
        <v>600</v>
      </c>
      <c r="F6" s="859"/>
      <c r="G6" s="859">
        <v>-400</v>
      </c>
      <c r="H6" s="859"/>
      <c r="I6" s="859">
        <f>E6+F6+G6+H6</f>
        <v>200</v>
      </c>
    </row>
    <row r="7" spans="1:9" ht="15.95" customHeight="1" x14ac:dyDescent="0.2">
      <c r="A7" s="861" t="s">
        <v>970</v>
      </c>
      <c r="B7" s="862" t="s">
        <v>614</v>
      </c>
      <c r="C7" s="862" t="s">
        <v>609</v>
      </c>
      <c r="D7" s="863">
        <f>576+530+133+1</f>
        <v>1240</v>
      </c>
      <c r="E7" s="864">
        <v>717</v>
      </c>
      <c r="F7" s="865"/>
      <c r="G7" s="865"/>
      <c r="H7" s="865"/>
      <c r="I7" s="865">
        <f t="shared" ref="I7:I23" si="0">E7+F7+G7+H7</f>
        <v>717</v>
      </c>
    </row>
    <row r="8" spans="1:9" ht="15.95" customHeight="1" x14ac:dyDescent="0.2">
      <c r="A8" s="861" t="s">
        <v>971</v>
      </c>
      <c r="B8" s="862" t="s">
        <v>610</v>
      </c>
      <c r="C8" s="928" t="s">
        <v>1193</v>
      </c>
      <c r="D8" s="863">
        <v>78</v>
      </c>
      <c r="E8" s="864">
        <v>80</v>
      </c>
      <c r="F8" s="865"/>
      <c r="G8" s="865"/>
      <c r="H8" s="865"/>
      <c r="I8" s="865">
        <f t="shared" si="0"/>
        <v>80</v>
      </c>
    </row>
    <row r="9" spans="1:9" ht="15.95" hidden="1" customHeight="1" x14ac:dyDescent="0.2">
      <c r="A9" s="861" t="s">
        <v>972</v>
      </c>
      <c r="B9" s="862" t="s">
        <v>610</v>
      </c>
      <c r="C9" s="928" t="s">
        <v>1194</v>
      </c>
      <c r="D9" s="863">
        <v>900</v>
      </c>
      <c r="E9" s="864"/>
      <c r="F9" s="865"/>
      <c r="G9" s="865"/>
      <c r="H9" s="865"/>
      <c r="I9" s="865">
        <f t="shared" si="0"/>
        <v>0</v>
      </c>
    </row>
    <row r="10" spans="1:9" ht="15.95" customHeight="1" x14ac:dyDescent="0.2">
      <c r="A10" s="861" t="s">
        <v>972</v>
      </c>
      <c r="B10" s="862" t="s">
        <v>611</v>
      </c>
      <c r="C10" s="862" t="s">
        <v>612</v>
      </c>
      <c r="D10" s="863">
        <f>50*12</f>
        <v>600</v>
      </c>
      <c r="E10" s="864">
        <v>600</v>
      </c>
      <c r="F10" s="865"/>
      <c r="G10" s="865"/>
      <c r="H10" s="865"/>
      <c r="I10" s="865">
        <f t="shared" si="0"/>
        <v>600</v>
      </c>
    </row>
    <row r="11" spans="1:9" ht="15.95" hidden="1" customHeight="1" x14ac:dyDescent="0.2">
      <c r="A11" s="861" t="s">
        <v>974</v>
      </c>
      <c r="B11" s="862" t="s">
        <v>613</v>
      </c>
      <c r="C11" s="862" t="s">
        <v>1031</v>
      </c>
      <c r="D11" s="863">
        <v>0</v>
      </c>
      <c r="E11" s="864"/>
      <c r="F11" s="865"/>
      <c r="G11" s="865"/>
      <c r="H11" s="865"/>
      <c r="I11" s="865">
        <f t="shared" si="0"/>
        <v>0</v>
      </c>
    </row>
    <row r="12" spans="1:9" ht="15.95" hidden="1" customHeight="1" x14ac:dyDescent="0.2">
      <c r="A12" s="861" t="s">
        <v>975</v>
      </c>
      <c r="B12" s="862" t="s">
        <v>1023</v>
      </c>
      <c r="C12" s="862" t="s">
        <v>1024</v>
      </c>
      <c r="D12" s="863">
        <v>101</v>
      </c>
      <c r="E12" s="864"/>
      <c r="F12" s="865"/>
      <c r="G12" s="865"/>
      <c r="H12" s="865"/>
      <c r="I12" s="865">
        <f t="shared" si="0"/>
        <v>0</v>
      </c>
    </row>
    <row r="13" spans="1:9" ht="31.5" hidden="1" customHeight="1" x14ac:dyDescent="0.2">
      <c r="A13" s="861" t="s">
        <v>976</v>
      </c>
      <c r="B13" s="866" t="s">
        <v>1022</v>
      </c>
      <c r="C13" s="862" t="s">
        <v>1024</v>
      </c>
      <c r="D13" s="863">
        <v>50</v>
      </c>
      <c r="E13" s="864"/>
      <c r="F13" s="865"/>
      <c r="G13" s="865"/>
      <c r="H13" s="865"/>
      <c r="I13" s="865">
        <f t="shared" si="0"/>
        <v>0</v>
      </c>
    </row>
    <row r="14" spans="1:9" ht="15.95" hidden="1" customHeight="1" x14ac:dyDescent="0.2">
      <c r="A14" s="861" t="s">
        <v>977</v>
      </c>
      <c r="B14" s="862" t="s">
        <v>1025</v>
      </c>
      <c r="C14" s="862" t="s">
        <v>1026</v>
      </c>
      <c r="D14" s="863">
        <v>20</v>
      </c>
      <c r="E14" s="864"/>
      <c r="F14" s="865"/>
      <c r="G14" s="865"/>
      <c r="H14" s="865"/>
      <c r="I14" s="865">
        <f t="shared" si="0"/>
        <v>0</v>
      </c>
    </row>
    <row r="15" spans="1:9" ht="15.95" hidden="1" customHeight="1" x14ac:dyDescent="0.2">
      <c r="A15" s="861" t="s">
        <v>978</v>
      </c>
      <c r="B15" s="862" t="s">
        <v>613</v>
      </c>
      <c r="C15" s="862" t="s">
        <v>1026</v>
      </c>
      <c r="D15" s="863">
        <v>50</v>
      </c>
      <c r="E15" s="864"/>
      <c r="F15" s="865"/>
      <c r="G15" s="865"/>
      <c r="H15" s="865"/>
      <c r="I15" s="865">
        <f t="shared" si="0"/>
        <v>0</v>
      </c>
    </row>
    <row r="16" spans="1:9" ht="15.95" hidden="1" customHeight="1" x14ac:dyDescent="0.2">
      <c r="A16" s="861" t="s">
        <v>979</v>
      </c>
      <c r="B16" s="862" t="s">
        <v>1027</v>
      </c>
      <c r="C16" s="862" t="s">
        <v>1028</v>
      </c>
      <c r="D16" s="863">
        <v>80</v>
      </c>
      <c r="E16" s="864"/>
      <c r="F16" s="865"/>
      <c r="G16" s="865"/>
      <c r="H16" s="865"/>
      <c r="I16" s="865">
        <f t="shared" si="0"/>
        <v>0</v>
      </c>
    </row>
    <row r="17" spans="1:9" ht="15.95" hidden="1" customHeight="1" x14ac:dyDescent="0.2">
      <c r="A17" s="861" t="s">
        <v>980</v>
      </c>
      <c r="B17" s="862" t="s">
        <v>1029</v>
      </c>
      <c r="C17" s="862" t="s">
        <v>1030</v>
      </c>
      <c r="D17" s="863">
        <v>1327</v>
      </c>
      <c r="E17" s="864"/>
      <c r="F17" s="865"/>
      <c r="G17" s="865"/>
      <c r="H17" s="865"/>
      <c r="I17" s="865">
        <f t="shared" si="0"/>
        <v>0</v>
      </c>
    </row>
    <row r="18" spans="1:9" ht="15.95" customHeight="1" x14ac:dyDescent="0.2">
      <c r="A18" s="861" t="s">
        <v>973</v>
      </c>
      <c r="B18" s="862" t="s">
        <v>613</v>
      </c>
      <c r="C18" s="928" t="s">
        <v>1195</v>
      </c>
      <c r="D18" s="863">
        <v>1157</v>
      </c>
      <c r="E18" s="864">
        <v>2373</v>
      </c>
      <c r="F18" s="865"/>
      <c r="G18" s="865"/>
      <c r="H18" s="865"/>
      <c r="I18" s="865">
        <f t="shared" si="0"/>
        <v>2373</v>
      </c>
    </row>
    <row r="19" spans="1:9" ht="15.95" hidden="1" customHeight="1" x14ac:dyDescent="0.2">
      <c r="A19" s="861" t="s">
        <v>982</v>
      </c>
      <c r="B19" s="862" t="s">
        <v>1057</v>
      </c>
      <c r="C19" s="862" t="s">
        <v>1058</v>
      </c>
      <c r="D19" s="863">
        <v>90</v>
      </c>
      <c r="E19" s="864"/>
      <c r="F19" s="865"/>
      <c r="G19" s="865"/>
      <c r="H19" s="865"/>
      <c r="I19" s="865">
        <f t="shared" si="0"/>
        <v>0</v>
      </c>
    </row>
    <row r="20" spans="1:9" ht="25.5" x14ac:dyDescent="0.2">
      <c r="A20" s="861" t="s">
        <v>974</v>
      </c>
      <c r="B20" s="928" t="s">
        <v>1192</v>
      </c>
      <c r="C20" s="929" t="s">
        <v>1209</v>
      </c>
      <c r="D20" s="865">
        <v>50</v>
      </c>
      <c r="E20" s="864"/>
      <c r="F20" s="865"/>
      <c r="G20" s="865">
        <v>400</v>
      </c>
      <c r="H20" s="865"/>
      <c r="I20" s="865">
        <f t="shared" si="0"/>
        <v>400</v>
      </c>
    </row>
    <row r="21" spans="1:9" ht="15.95" customHeight="1" x14ac:dyDescent="0.2">
      <c r="A21" s="867" t="s">
        <v>975</v>
      </c>
      <c r="B21" s="868" t="s">
        <v>1064</v>
      </c>
      <c r="C21" s="868"/>
      <c r="D21" s="869"/>
      <c r="E21" s="870">
        <v>800</v>
      </c>
      <c r="F21" s="869">
        <v>700</v>
      </c>
      <c r="G21" s="869"/>
      <c r="H21" s="869"/>
      <c r="I21" s="869">
        <f t="shared" si="0"/>
        <v>1500</v>
      </c>
    </row>
    <row r="22" spans="1:9" ht="15.95" customHeight="1" thickBot="1" x14ac:dyDescent="0.25">
      <c r="A22" s="861"/>
      <c r="B22" s="862"/>
      <c r="C22" s="862"/>
      <c r="D22" s="865"/>
      <c r="E22" s="864"/>
      <c r="F22" s="865"/>
      <c r="G22" s="865"/>
      <c r="H22" s="865"/>
      <c r="I22" s="865">
        <f t="shared" si="0"/>
        <v>0</v>
      </c>
    </row>
    <row r="23" spans="1:9" ht="15.95" customHeight="1" thickBot="1" x14ac:dyDescent="0.25">
      <c r="A23" s="1598" t="s">
        <v>1004</v>
      </c>
      <c r="B23" s="1599"/>
      <c r="C23" s="1600"/>
      <c r="D23" s="723">
        <f>SUM(D6:D22)</f>
        <v>6343</v>
      </c>
      <c r="E23" s="846">
        <f>SUM(E6:E22)</f>
        <v>5170</v>
      </c>
      <c r="F23" s="723">
        <f>SUM(F6:F22)</f>
        <v>700</v>
      </c>
      <c r="G23" s="723">
        <f t="shared" ref="G23:H23" si="1">SUM(G6:G22)</f>
        <v>0</v>
      </c>
      <c r="H23" s="723">
        <f t="shared" si="1"/>
        <v>0</v>
      </c>
      <c r="I23" s="723">
        <f t="shared" si="0"/>
        <v>5870</v>
      </c>
    </row>
  </sheetData>
  <mergeCells count="4">
    <mergeCell ref="F4:I4"/>
    <mergeCell ref="A23:C23"/>
    <mergeCell ref="A1:I1"/>
    <mergeCell ref="A2:I2"/>
  </mergeCells>
  <phoneticPr fontId="30" type="noConversion"/>
  <conditionalFormatting sqref="D23:H23">
    <cfRule type="cellIs" dxfId="1" priority="6" stopIfTrue="1" operator="equal">
      <formula>0</formula>
    </cfRule>
  </conditionalFormatting>
  <conditionalFormatting sqref="I2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6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13" sqref="H13"/>
    </sheetView>
  </sheetViews>
  <sheetFormatPr defaultColWidth="9.33203125" defaultRowHeight="15.75" x14ac:dyDescent="0.25"/>
  <cols>
    <col min="1" max="1" width="4.83203125" style="115" customWidth="1"/>
    <col min="2" max="2" width="30.33203125" style="134" bestFit="1" customWidth="1"/>
    <col min="3" max="3" width="13.33203125" style="134" customWidth="1"/>
    <col min="4" max="5" width="12" style="134" bestFit="1" customWidth="1"/>
    <col min="6" max="16384" width="9.33203125" style="134"/>
  </cols>
  <sheetData>
    <row r="1" spans="1:5" x14ac:dyDescent="0.25">
      <c r="A1" s="1602" t="s">
        <v>1132</v>
      </c>
      <c r="B1" s="1602"/>
      <c r="C1" s="1602"/>
      <c r="D1" s="1602"/>
      <c r="E1" s="1602"/>
    </row>
    <row r="2" spans="1:5" ht="59.25" customHeight="1" x14ac:dyDescent="0.25">
      <c r="A2" s="1580" t="s">
        <v>1137</v>
      </c>
      <c r="B2" s="1580"/>
      <c r="C2" s="1580"/>
      <c r="D2" s="1580"/>
      <c r="E2" s="1580"/>
    </row>
    <row r="3" spans="1:5" ht="16.5" thickBot="1" x14ac:dyDescent="0.3">
      <c r="E3" s="5" t="s">
        <v>1008</v>
      </c>
    </row>
    <row r="4" spans="1:5" s="115" customFormat="1" ht="26.1" customHeight="1" thickBot="1" x14ac:dyDescent="0.3">
      <c r="A4" s="112" t="s">
        <v>967</v>
      </c>
      <c r="B4" s="113" t="s">
        <v>12</v>
      </c>
      <c r="C4" s="113" t="s">
        <v>1136</v>
      </c>
      <c r="D4" s="113" t="s">
        <v>1138</v>
      </c>
      <c r="E4" s="113" t="s">
        <v>1139</v>
      </c>
    </row>
    <row r="5" spans="1:5" s="117" customFormat="1" ht="15" customHeight="1" thickBot="1" x14ac:dyDescent="0.25">
      <c r="A5" s="816" t="s">
        <v>969</v>
      </c>
      <c r="B5" s="1578" t="s">
        <v>1011</v>
      </c>
      <c r="C5" s="1578"/>
      <c r="D5" s="1578"/>
      <c r="E5" s="1578"/>
    </row>
    <row r="6" spans="1:5" s="117" customFormat="1" ht="15" customHeight="1" x14ac:dyDescent="0.2">
      <c r="A6" s="118" t="s">
        <v>970</v>
      </c>
      <c r="B6" s="119" t="s">
        <v>145</v>
      </c>
      <c r="C6" s="120">
        <v>90200</v>
      </c>
      <c r="D6" s="120">
        <v>88114</v>
      </c>
      <c r="E6" s="120">
        <v>88114</v>
      </c>
    </row>
    <row r="7" spans="1:5" s="125" customFormat="1" ht="14.1" customHeight="1" x14ac:dyDescent="0.2">
      <c r="A7" s="122" t="s">
        <v>971</v>
      </c>
      <c r="B7" s="309" t="s">
        <v>1012</v>
      </c>
      <c r="C7" s="123">
        <v>13483</v>
      </c>
      <c r="D7" s="123">
        <v>15483</v>
      </c>
      <c r="E7" s="123">
        <v>15483</v>
      </c>
    </row>
    <row r="8" spans="1:5" s="125" customFormat="1" x14ac:dyDescent="0.2">
      <c r="A8" s="122" t="s">
        <v>972</v>
      </c>
      <c r="B8" s="310" t="s">
        <v>0</v>
      </c>
      <c r="C8" s="126">
        <v>8000</v>
      </c>
      <c r="D8" s="126">
        <v>8000</v>
      </c>
      <c r="E8" s="126">
        <v>8000</v>
      </c>
    </row>
    <row r="9" spans="1:5" s="125" customFormat="1" ht="14.1" customHeight="1" x14ac:dyDescent="0.2">
      <c r="A9" s="122" t="s">
        <v>973</v>
      </c>
      <c r="B9" s="309" t="s">
        <v>957</v>
      </c>
      <c r="C9" s="123">
        <v>147818</v>
      </c>
      <c r="D9" s="123">
        <v>147818</v>
      </c>
      <c r="E9" s="123">
        <v>147818</v>
      </c>
    </row>
    <row r="10" spans="1:5" s="125" customFormat="1" ht="14.1" customHeight="1" x14ac:dyDescent="0.2">
      <c r="A10" s="122" t="s">
        <v>974</v>
      </c>
      <c r="B10" s="309" t="s">
        <v>958</v>
      </c>
      <c r="C10" s="123">
        <v>15431</v>
      </c>
      <c r="D10" s="123">
        <v>15431</v>
      </c>
      <c r="E10" s="123">
        <v>15431</v>
      </c>
    </row>
    <row r="11" spans="1:5" s="125" customFormat="1" ht="14.1" customHeight="1" x14ac:dyDescent="0.2">
      <c r="A11" s="122" t="s">
        <v>975</v>
      </c>
      <c r="B11" s="309" t="s">
        <v>959</v>
      </c>
      <c r="C11" s="123">
        <v>11435</v>
      </c>
      <c r="D11" s="123"/>
      <c r="E11" s="123"/>
    </row>
    <row r="12" spans="1:5" s="125" customFormat="1" ht="14.1" customHeight="1" x14ac:dyDescent="0.2">
      <c r="A12" s="122" t="s">
        <v>976</v>
      </c>
      <c r="B12" s="309" t="s">
        <v>960</v>
      </c>
      <c r="C12" s="123">
        <v>413.66666666666663</v>
      </c>
      <c r="D12" s="123">
        <f>D28-274846</f>
        <v>586.08333333337214</v>
      </c>
      <c r="E12" s="123">
        <v>586</v>
      </c>
    </row>
    <row r="13" spans="1:5" s="125" customFormat="1" x14ac:dyDescent="0.2">
      <c r="A13" s="122" t="s">
        <v>977</v>
      </c>
      <c r="B13" s="311" t="s">
        <v>961</v>
      </c>
      <c r="C13" s="123">
        <v>0</v>
      </c>
      <c r="D13" s="123"/>
      <c r="E13" s="123"/>
    </row>
    <row r="14" spans="1:5" s="125" customFormat="1" ht="14.1" customHeight="1" thickBot="1" x14ac:dyDescent="0.25">
      <c r="A14" s="122" t="s">
        <v>978</v>
      </c>
      <c r="B14" s="309" t="s">
        <v>962</v>
      </c>
      <c r="C14" s="123">
        <v>0</v>
      </c>
      <c r="D14" s="123"/>
      <c r="E14" s="123"/>
    </row>
    <row r="15" spans="1:5" s="117" customFormat="1" ht="15.95" customHeight="1" thickBot="1" x14ac:dyDescent="0.25">
      <c r="A15" s="116" t="s">
        <v>979</v>
      </c>
      <c r="B15" s="40" t="s">
        <v>71</v>
      </c>
      <c r="C15" s="128">
        <v>286780.66666666663</v>
      </c>
      <c r="D15" s="128">
        <f t="shared" ref="D15:E15" si="0">SUM(D6:D14)</f>
        <v>275432.08333333337</v>
      </c>
      <c r="E15" s="128">
        <f t="shared" si="0"/>
        <v>275432</v>
      </c>
    </row>
    <row r="16" spans="1:5" s="117" customFormat="1" ht="15" customHeight="1" thickBot="1" x14ac:dyDescent="0.25">
      <c r="A16" s="816" t="s">
        <v>980</v>
      </c>
      <c r="B16" s="1578" t="s">
        <v>1</v>
      </c>
      <c r="C16" s="1578"/>
      <c r="D16" s="1578"/>
      <c r="E16" s="1578"/>
    </row>
    <row r="17" spans="1:5" s="125" customFormat="1" ht="14.1" customHeight="1" x14ac:dyDescent="0.2">
      <c r="A17" s="130" t="s">
        <v>981</v>
      </c>
      <c r="B17" s="312" t="s">
        <v>13</v>
      </c>
      <c r="C17" s="126">
        <v>135641.00000000003</v>
      </c>
      <c r="D17" s="126">
        <v>135641.00000000003</v>
      </c>
      <c r="E17" s="126">
        <v>135641.00000000003</v>
      </c>
    </row>
    <row r="18" spans="1:5" s="125" customFormat="1" ht="22.5" x14ac:dyDescent="0.2">
      <c r="A18" s="122" t="s">
        <v>982</v>
      </c>
      <c r="B18" s="311" t="s">
        <v>167</v>
      </c>
      <c r="C18" s="123">
        <v>32286.999999999996</v>
      </c>
      <c r="D18" s="123">
        <v>32286.999999999996</v>
      </c>
      <c r="E18" s="123">
        <v>32286.999999999996</v>
      </c>
    </row>
    <row r="19" spans="1:5" s="125" customFormat="1" x14ac:dyDescent="0.2">
      <c r="A19" s="122" t="s">
        <v>983</v>
      </c>
      <c r="B19" s="309" t="s">
        <v>91</v>
      </c>
      <c r="C19" s="123">
        <v>91002</v>
      </c>
      <c r="D19" s="123">
        <v>91000</v>
      </c>
      <c r="E19" s="123">
        <v>91000</v>
      </c>
    </row>
    <row r="20" spans="1:5" s="125" customFormat="1" x14ac:dyDescent="0.2">
      <c r="A20" s="122" t="s">
        <v>984</v>
      </c>
      <c r="B20" s="309" t="s">
        <v>168</v>
      </c>
      <c r="C20" s="123">
        <v>13747.083333333332</v>
      </c>
      <c r="D20" s="123">
        <v>13747.083333333332</v>
      </c>
      <c r="E20" s="123">
        <v>13747.083333333332</v>
      </c>
    </row>
    <row r="21" spans="1:5" s="125" customFormat="1" x14ac:dyDescent="0.2">
      <c r="A21" s="122" t="s">
        <v>985</v>
      </c>
      <c r="B21" s="309" t="s">
        <v>963</v>
      </c>
      <c r="C21" s="123">
        <v>5299.666666666667</v>
      </c>
      <c r="D21" s="123">
        <v>2757</v>
      </c>
      <c r="E21" s="123">
        <v>2757</v>
      </c>
    </row>
    <row r="22" spans="1:5" s="125" customFormat="1" x14ac:dyDescent="0.2">
      <c r="A22" s="122" t="s">
        <v>986</v>
      </c>
      <c r="B22" s="309" t="s">
        <v>283</v>
      </c>
      <c r="C22" s="123">
        <v>174</v>
      </c>
      <c r="D22" s="123"/>
      <c r="E22" s="123"/>
    </row>
    <row r="23" spans="1:5" s="125" customFormat="1" x14ac:dyDescent="0.2">
      <c r="A23" s="122" t="s">
        <v>987</v>
      </c>
      <c r="B23" s="311" t="s">
        <v>171</v>
      </c>
      <c r="C23" s="123">
        <v>0</v>
      </c>
      <c r="D23" s="123">
        <v>0</v>
      </c>
      <c r="E23" s="123"/>
    </row>
    <row r="24" spans="1:5" s="125" customFormat="1" x14ac:dyDescent="0.2">
      <c r="A24" s="122" t="s">
        <v>988</v>
      </c>
      <c r="B24" s="309" t="s">
        <v>314</v>
      </c>
      <c r="C24" s="123">
        <v>0</v>
      </c>
      <c r="D24" s="123">
        <v>0</v>
      </c>
      <c r="E24" s="123"/>
    </row>
    <row r="25" spans="1:5" s="125" customFormat="1" x14ac:dyDescent="0.2">
      <c r="A25" s="122" t="s">
        <v>989</v>
      </c>
      <c r="B25" s="309" t="s">
        <v>1001</v>
      </c>
      <c r="C25" s="123">
        <v>8630</v>
      </c>
      <c r="D25" s="123"/>
      <c r="E25" s="123"/>
    </row>
    <row r="26" spans="1:5" s="125" customFormat="1" x14ac:dyDescent="0.2">
      <c r="A26" s="122" t="s">
        <v>990</v>
      </c>
      <c r="B26" s="309" t="s">
        <v>964</v>
      </c>
      <c r="C26" s="123">
        <v>0</v>
      </c>
      <c r="D26" s="123"/>
      <c r="E26" s="123"/>
    </row>
    <row r="27" spans="1:5" s="125" customFormat="1" ht="16.5" thickBot="1" x14ac:dyDescent="0.25">
      <c r="A27" s="122" t="s">
        <v>991</v>
      </c>
      <c r="B27" s="309" t="s">
        <v>965</v>
      </c>
      <c r="C27" s="123">
        <v>0</v>
      </c>
      <c r="D27" s="123"/>
      <c r="E27" s="123"/>
    </row>
    <row r="28" spans="1:5" s="117" customFormat="1" ht="16.5" thickBot="1" x14ac:dyDescent="0.25">
      <c r="A28" s="131" t="s">
        <v>992</v>
      </c>
      <c r="B28" s="40" t="s">
        <v>72</v>
      </c>
      <c r="C28" s="128">
        <f>SUM(C17:C27)</f>
        <v>286780.75000000006</v>
      </c>
      <c r="D28" s="128">
        <f t="shared" ref="D28:E28" si="1">SUM(D17:D27)</f>
        <v>275432.08333333337</v>
      </c>
      <c r="E28" s="128">
        <f t="shared" si="1"/>
        <v>275432.08333333337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4" tint="0.59999389629810485"/>
    <pageSetUpPr fitToPage="1"/>
  </sheetPr>
  <dimension ref="A2:L105"/>
  <sheetViews>
    <sheetView view="pageBreakPreview" zoomScaleNormal="100" zoomScaleSheetLayoutView="100" workbookViewId="0">
      <selection activeCell="N25" sqref="N25"/>
    </sheetView>
  </sheetViews>
  <sheetFormatPr defaultColWidth="9.33203125" defaultRowHeight="12.75" x14ac:dyDescent="0.2"/>
  <cols>
    <col min="1" max="1" width="3.5" style="758" bestFit="1" customWidth="1"/>
    <col min="2" max="2" width="3.5" style="758" customWidth="1"/>
    <col min="3" max="3" width="5.5" style="758" customWidth="1"/>
    <col min="4" max="4" width="4" style="758" customWidth="1"/>
    <col min="5" max="5" width="9.33203125" style="758" customWidth="1"/>
    <col min="6" max="6" width="61.1640625" style="758" bestFit="1" customWidth="1"/>
    <col min="7" max="7" width="12.6640625" style="758" hidden="1" customWidth="1"/>
    <col min="8" max="8" width="12.6640625" style="758" bestFit="1" customWidth="1"/>
    <col min="9" max="10" width="12.1640625" style="758" bestFit="1" customWidth="1"/>
    <col min="11" max="11" width="12.6640625" style="758" customWidth="1"/>
    <col min="12" max="12" width="15.1640625" style="758" bestFit="1" customWidth="1"/>
    <col min="13" max="16" width="9.33203125" style="758"/>
    <col min="17" max="17" width="9.33203125" style="758" customWidth="1"/>
    <col min="18" max="16384" width="9.33203125" style="758"/>
  </cols>
  <sheetData>
    <row r="2" spans="1:12" ht="32.25" customHeight="1" x14ac:dyDescent="0.2">
      <c r="A2" s="1612" t="s">
        <v>1054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</row>
    <row r="3" spans="1:12" s="739" customFormat="1" ht="13.5" thickBot="1" x14ac:dyDescent="0.25">
      <c r="A3" s="931"/>
      <c r="B3" s="931"/>
      <c r="C3" s="931"/>
      <c r="D3" s="931"/>
      <c r="E3" s="931"/>
      <c r="F3" s="931"/>
      <c r="L3" s="930" t="s">
        <v>1196</v>
      </c>
    </row>
    <row r="4" spans="1:12" s="934" customFormat="1" ht="26.25" thickBot="1" x14ac:dyDescent="0.25">
      <c r="A4" s="1615" t="s">
        <v>1003</v>
      </c>
      <c r="B4" s="1616"/>
      <c r="C4" s="1616"/>
      <c r="D4" s="1616"/>
      <c r="E4" s="1616"/>
      <c r="F4" s="1617"/>
      <c r="G4" s="932" t="s">
        <v>1063</v>
      </c>
      <c r="H4" s="933" t="s">
        <v>1039</v>
      </c>
      <c r="I4" s="933" t="s">
        <v>1148</v>
      </c>
      <c r="J4" s="933" t="s">
        <v>1189</v>
      </c>
      <c r="K4" s="933" t="s">
        <v>1190</v>
      </c>
      <c r="L4" s="933" t="s">
        <v>1147</v>
      </c>
    </row>
    <row r="5" spans="1:12" ht="14.25" customHeight="1" x14ac:dyDescent="0.2">
      <c r="A5" s="1618" t="s">
        <v>615</v>
      </c>
      <c r="B5" s="1621">
        <v>1</v>
      </c>
      <c r="C5" s="1623" t="s">
        <v>616</v>
      </c>
      <c r="D5" s="1624"/>
      <c r="E5" s="1624"/>
      <c r="F5" s="1625"/>
      <c r="G5" s="740">
        <f>G6+G9+G10+G13</f>
        <v>51035884</v>
      </c>
      <c r="H5" s="740">
        <f>H6+H9+H10+H13</f>
        <v>65287243</v>
      </c>
      <c r="I5" s="740">
        <f>I6+I9+I10+I13</f>
        <v>0</v>
      </c>
      <c r="J5" s="740">
        <f t="shared" ref="J5:K5" si="0">J6+J9+J10+J13</f>
        <v>0</v>
      </c>
      <c r="K5" s="740">
        <f t="shared" si="0"/>
        <v>0</v>
      </c>
      <c r="L5" s="740">
        <f>H5+I5+J5+K5</f>
        <v>65287243</v>
      </c>
    </row>
    <row r="6" spans="1:12" ht="25.5" customHeight="1" x14ac:dyDescent="0.2">
      <c r="A6" s="1619"/>
      <c r="B6" s="1622"/>
      <c r="C6" s="935" t="s">
        <v>617</v>
      </c>
      <c r="D6" s="935"/>
      <c r="E6" s="935"/>
      <c r="F6" s="936" t="s">
        <v>618</v>
      </c>
      <c r="G6" s="734">
        <f>G7+G8</f>
        <v>38014000</v>
      </c>
      <c r="H6" s="734">
        <v>39754400</v>
      </c>
      <c r="I6" s="734"/>
      <c r="J6" s="734"/>
      <c r="K6" s="734"/>
      <c r="L6" s="734">
        <f t="shared" ref="L6:L69" si="1">H6+I6+J6+K6</f>
        <v>39754400</v>
      </c>
    </row>
    <row r="7" spans="1:12" ht="153" hidden="1" customHeight="1" x14ac:dyDescent="0.2">
      <c r="A7" s="1619"/>
      <c r="B7" s="1622"/>
      <c r="C7" s="935"/>
      <c r="D7" s="935" t="s">
        <v>619</v>
      </c>
      <c r="E7" s="935"/>
      <c r="F7" s="937" t="s">
        <v>620</v>
      </c>
      <c r="G7" s="735">
        <v>38014000</v>
      </c>
      <c r="H7" s="735">
        <v>38014000</v>
      </c>
      <c r="I7" s="735">
        <v>38014000</v>
      </c>
      <c r="J7" s="735">
        <v>38014000</v>
      </c>
      <c r="K7" s="735">
        <v>38014000</v>
      </c>
      <c r="L7" s="735">
        <f t="shared" si="1"/>
        <v>152056000</v>
      </c>
    </row>
    <row r="8" spans="1:12" ht="102" hidden="1" customHeight="1" x14ac:dyDescent="0.2">
      <c r="A8" s="1619"/>
      <c r="B8" s="1622"/>
      <c r="C8" s="935"/>
      <c r="D8" s="935" t="s">
        <v>621</v>
      </c>
      <c r="E8" s="935"/>
      <c r="F8" s="937" t="s">
        <v>622</v>
      </c>
      <c r="G8" s="735">
        <v>0</v>
      </c>
      <c r="H8" s="735">
        <v>0</v>
      </c>
      <c r="I8" s="735">
        <v>0</v>
      </c>
      <c r="J8" s="735">
        <v>0</v>
      </c>
      <c r="K8" s="735">
        <v>0</v>
      </c>
      <c r="L8" s="735">
        <f t="shared" si="1"/>
        <v>0</v>
      </c>
    </row>
    <row r="9" spans="1:12" x14ac:dyDescent="0.2">
      <c r="A9" s="1619"/>
      <c r="B9" s="1622"/>
      <c r="C9" s="935" t="s">
        <v>623</v>
      </c>
      <c r="D9" s="935"/>
      <c r="E9" s="935"/>
      <c r="F9" s="936" t="s">
        <v>624</v>
      </c>
      <c r="G9" s="734">
        <v>12448359</v>
      </c>
      <c r="H9" s="734">
        <v>16814543</v>
      </c>
      <c r="I9" s="734"/>
      <c r="J9" s="734"/>
      <c r="K9" s="734"/>
      <c r="L9" s="734">
        <f t="shared" si="1"/>
        <v>16814543</v>
      </c>
    </row>
    <row r="10" spans="1:12" x14ac:dyDescent="0.2">
      <c r="A10" s="1619"/>
      <c r="B10" s="1622"/>
      <c r="C10" s="935" t="s">
        <v>625</v>
      </c>
      <c r="D10" s="935"/>
      <c r="E10" s="935"/>
      <c r="F10" s="936" t="s">
        <v>626</v>
      </c>
      <c r="G10" s="734">
        <v>-8071875</v>
      </c>
      <c r="H10" s="734"/>
      <c r="I10" s="734"/>
      <c r="J10" s="734"/>
      <c r="K10" s="734"/>
      <c r="L10" s="734">
        <f t="shared" si="1"/>
        <v>0</v>
      </c>
    </row>
    <row r="11" spans="1:12" ht="165.75" hidden="1" customHeight="1" x14ac:dyDescent="0.2">
      <c r="A11" s="1619"/>
      <c r="B11" s="1622"/>
      <c r="C11" s="938"/>
      <c r="D11" s="938"/>
      <c r="E11" s="938"/>
      <c r="F11" s="937" t="s">
        <v>627</v>
      </c>
      <c r="G11" s="736">
        <v>42390484</v>
      </c>
      <c r="H11" s="736">
        <v>42390484</v>
      </c>
      <c r="I11" s="736">
        <v>42390484</v>
      </c>
      <c r="J11" s="736">
        <v>42390484</v>
      </c>
      <c r="K11" s="736">
        <v>42390484</v>
      </c>
      <c r="L11" s="736">
        <f t="shared" si="1"/>
        <v>169561936</v>
      </c>
    </row>
    <row r="12" spans="1:12" ht="63.75" hidden="1" customHeight="1" x14ac:dyDescent="0.2">
      <c r="A12" s="1619"/>
      <c r="B12" s="1622"/>
      <c r="C12" s="938"/>
      <c r="D12" s="938"/>
      <c r="E12" s="938"/>
      <c r="F12" s="937" t="s">
        <v>628</v>
      </c>
      <c r="G12" s="736">
        <v>0</v>
      </c>
      <c r="H12" s="736">
        <v>0</v>
      </c>
      <c r="I12" s="736">
        <v>0</v>
      </c>
      <c r="J12" s="736">
        <v>0</v>
      </c>
      <c r="K12" s="736">
        <v>0</v>
      </c>
      <c r="L12" s="736">
        <f t="shared" si="1"/>
        <v>0</v>
      </c>
    </row>
    <row r="13" spans="1:12" x14ac:dyDescent="0.2">
      <c r="A13" s="1619"/>
      <c r="B13" s="1622"/>
      <c r="C13" s="935" t="s">
        <v>629</v>
      </c>
      <c r="D13" s="935"/>
      <c r="E13" s="935"/>
      <c r="F13" s="939" t="s">
        <v>630</v>
      </c>
      <c r="G13" s="737">
        <v>8645400</v>
      </c>
      <c r="H13" s="737">
        <v>8718300</v>
      </c>
      <c r="I13" s="737"/>
      <c r="J13" s="737"/>
      <c r="K13" s="737"/>
      <c r="L13" s="737">
        <f t="shared" si="1"/>
        <v>8718300</v>
      </c>
    </row>
    <row r="14" spans="1:12" ht="13.5" thickBot="1" x14ac:dyDescent="0.25">
      <c r="A14" s="1619"/>
      <c r="B14" s="940">
        <v>2</v>
      </c>
      <c r="C14" s="1626" t="s">
        <v>631</v>
      </c>
      <c r="D14" s="1627"/>
      <c r="E14" s="1627"/>
      <c r="F14" s="1628"/>
      <c r="G14" s="741">
        <v>0</v>
      </c>
      <c r="H14" s="741">
        <v>0</v>
      </c>
      <c r="I14" s="741">
        <v>0</v>
      </c>
      <c r="J14" s="741">
        <v>0</v>
      </c>
      <c r="K14" s="741">
        <v>0</v>
      </c>
      <c r="L14" s="741">
        <f t="shared" si="1"/>
        <v>0</v>
      </c>
    </row>
    <row r="15" spans="1:12" ht="27.6" customHeight="1" thickBot="1" x14ac:dyDescent="0.25">
      <c r="A15" s="1620"/>
      <c r="B15" s="1629" t="s">
        <v>1162</v>
      </c>
      <c r="C15" s="1630"/>
      <c r="D15" s="1630"/>
      <c r="E15" s="1630"/>
      <c r="F15" s="1631"/>
      <c r="G15" s="742">
        <f>G5+G14</f>
        <v>51035884</v>
      </c>
      <c r="H15" s="742">
        <f>H5+H14</f>
        <v>65287243</v>
      </c>
      <c r="I15" s="742">
        <f>I5+I14</f>
        <v>0</v>
      </c>
      <c r="J15" s="742">
        <f t="shared" ref="J15:K15" si="2">J5+J14</f>
        <v>0</v>
      </c>
      <c r="K15" s="742">
        <f t="shared" si="2"/>
        <v>0</v>
      </c>
      <c r="L15" s="742">
        <f t="shared" si="1"/>
        <v>65287243</v>
      </c>
    </row>
    <row r="16" spans="1:12" x14ac:dyDescent="0.2">
      <c r="A16" s="1618" t="s">
        <v>632</v>
      </c>
      <c r="B16" s="1621">
        <v>1</v>
      </c>
      <c r="C16" s="1644" t="s">
        <v>1032</v>
      </c>
      <c r="D16" s="1644"/>
      <c r="E16" s="1644"/>
      <c r="F16" s="1644"/>
      <c r="G16" s="743">
        <f>G17+G20</f>
        <v>33648000</v>
      </c>
      <c r="H16" s="743">
        <f>H17+H20</f>
        <v>49017600</v>
      </c>
      <c r="I16" s="743">
        <f>I17+I20</f>
        <v>0</v>
      </c>
      <c r="J16" s="743">
        <f t="shared" ref="J16:K16" si="3">J17+J20</f>
        <v>0</v>
      </c>
      <c r="K16" s="743">
        <f t="shared" si="3"/>
        <v>0</v>
      </c>
      <c r="L16" s="743">
        <f t="shared" si="1"/>
        <v>49017600</v>
      </c>
    </row>
    <row r="17" spans="1:12" x14ac:dyDescent="0.2">
      <c r="A17" s="1619"/>
      <c r="B17" s="1622"/>
      <c r="C17" s="935" t="s">
        <v>617</v>
      </c>
      <c r="D17" s="935"/>
      <c r="E17" s="935"/>
      <c r="F17" s="939" t="s">
        <v>633</v>
      </c>
      <c r="G17" s="737">
        <f>G18+G19</f>
        <v>25488000</v>
      </c>
      <c r="H17" s="737">
        <f>H18+H19</f>
        <v>36417600</v>
      </c>
      <c r="I17" s="737">
        <f>I18+I19</f>
        <v>0</v>
      </c>
      <c r="J17" s="737">
        <f t="shared" ref="J17:K17" si="4">J18+J19</f>
        <v>0</v>
      </c>
      <c r="K17" s="737">
        <f t="shared" si="4"/>
        <v>0</v>
      </c>
      <c r="L17" s="737">
        <f t="shared" si="1"/>
        <v>36417600</v>
      </c>
    </row>
    <row r="18" spans="1:12" s="943" customFormat="1" x14ac:dyDescent="0.2">
      <c r="A18" s="1619"/>
      <c r="B18" s="1622"/>
      <c r="C18" s="941"/>
      <c r="D18" s="941"/>
      <c r="E18" s="941"/>
      <c r="F18" s="942" t="s">
        <v>635</v>
      </c>
      <c r="G18" s="744">
        <v>16992000</v>
      </c>
      <c r="H18" s="744">
        <v>24072000</v>
      </c>
      <c r="I18" s="744"/>
      <c r="J18" s="744"/>
      <c r="K18" s="744"/>
      <c r="L18" s="744">
        <f t="shared" si="1"/>
        <v>24072000</v>
      </c>
    </row>
    <row r="19" spans="1:12" s="943" customFormat="1" x14ac:dyDescent="0.2">
      <c r="A19" s="1619"/>
      <c r="B19" s="1622"/>
      <c r="C19" s="941"/>
      <c r="D19" s="941"/>
      <c r="E19" s="941"/>
      <c r="F19" s="942" t="s">
        <v>1059</v>
      </c>
      <c r="G19" s="744">
        <v>8496000</v>
      </c>
      <c r="H19" s="744">
        <f>12036000+309600</f>
        <v>12345600</v>
      </c>
      <c r="I19" s="744"/>
      <c r="J19" s="744"/>
      <c r="K19" s="744"/>
      <c r="L19" s="744">
        <f t="shared" si="1"/>
        <v>12345600</v>
      </c>
    </row>
    <row r="20" spans="1:12" ht="25.5" x14ac:dyDescent="0.2">
      <c r="A20" s="1619"/>
      <c r="B20" s="1622"/>
      <c r="C20" s="935" t="s">
        <v>623</v>
      </c>
      <c r="D20" s="935"/>
      <c r="E20" s="935"/>
      <c r="F20" s="939" t="s">
        <v>1035</v>
      </c>
      <c r="G20" s="737">
        <f>G21+G22</f>
        <v>8160000</v>
      </c>
      <c r="H20" s="737">
        <f>H21+H22</f>
        <v>12600000</v>
      </c>
      <c r="I20" s="737">
        <f>I21+I22</f>
        <v>0</v>
      </c>
      <c r="J20" s="737">
        <f t="shared" ref="J20:K20" si="5">J21+J22</f>
        <v>0</v>
      </c>
      <c r="K20" s="737">
        <f t="shared" si="5"/>
        <v>0</v>
      </c>
      <c r="L20" s="737">
        <f t="shared" si="1"/>
        <v>12600000</v>
      </c>
    </row>
    <row r="21" spans="1:12" s="943" customFormat="1" x14ac:dyDescent="0.2">
      <c r="A21" s="1619"/>
      <c r="B21" s="1622"/>
      <c r="C21" s="941"/>
      <c r="D21" s="941"/>
      <c r="E21" s="941"/>
      <c r="F21" s="942" t="s">
        <v>635</v>
      </c>
      <c r="G21" s="744">
        <v>5440000</v>
      </c>
      <c r="H21" s="744">
        <v>8400000</v>
      </c>
      <c r="I21" s="744"/>
      <c r="J21" s="744"/>
      <c r="K21" s="744"/>
      <c r="L21" s="744">
        <f t="shared" si="1"/>
        <v>8400000</v>
      </c>
    </row>
    <row r="22" spans="1:12" s="943" customFormat="1" x14ac:dyDescent="0.2">
      <c r="A22" s="1619"/>
      <c r="B22" s="1622"/>
      <c r="C22" s="941"/>
      <c r="D22" s="941"/>
      <c r="E22" s="941"/>
      <c r="F22" s="942" t="s">
        <v>1059</v>
      </c>
      <c r="G22" s="744">
        <v>2720000</v>
      </c>
      <c r="H22" s="744">
        <v>4200000</v>
      </c>
      <c r="I22" s="744"/>
      <c r="J22" s="744"/>
      <c r="K22" s="744"/>
      <c r="L22" s="744">
        <f t="shared" si="1"/>
        <v>4200000</v>
      </c>
    </row>
    <row r="23" spans="1:12" x14ac:dyDescent="0.2">
      <c r="A23" s="1619"/>
      <c r="B23" s="1622">
        <v>2</v>
      </c>
      <c r="C23" s="1641" t="s">
        <v>1033</v>
      </c>
      <c r="D23" s="1641"/>
      <c r="E23" s="1641"/>
      <c r="F23" s="1641"/>
      <c r="G23" s="737">
        <f>G24+G25</f>
        <v>5400000</v>
      </c>
      <c r="H23" s="737">
        <f>SUM(H24:H25)</f>
        <v>5600000</v>
      </c>
      <c r="I23" s="737">
        <f>SUM(I24:I25)</f>
        <v>0</v>
      </c>
      <c r="J23" s="737">
        <f t="shared" ref="J23:K23" si="6">SUM(J24:J25)</f>
        <v>0</v>
      </c>
      <c r="K23" s="737">
        <f t="shared" si="6"/>
        <v>0</v>
      </c>
      <c r="L23" s="737">
        <f t="shared" si="1"/>
        <v>5600000</v>
      </c>
    </row>
    <row r="24" spans="1:12" s="944" customFormat="1" x14ac:dyDescent="0.2">
      <c r="A24" s="1619"/>
      <c r="B24" s="1622"/>
      <c r="C24" s="941"/>
      <c r="D24" s="941"/>
      <c r="E24" s="941"/>
      <c r="F24" s="942" t="s">
        <v>635</v>
      </c>
      <c r="G24" s="744">
        <v>3600000</v>
      </c>
      <c r="H24" s="744">
        <v>3733333</v>
      </c>
      <c r="I24" s="744"/>
      <c r="J24" s="744"/>
      <c r="K24" s="744"/>
      <c r="L24" s="744">
        <f t="shared" si="1"/>
        <v>3733333</v>
      </c>
    </row>
    <row r="25" spans="1:12" s="943" customFormat="1" x14ac:dyDescent="0.2">
      <c r="A25" s="1619"/>
      <c r="B25" s="1622"/>
      <c r="C25" s="941"/>
      <c r="D25" s="941"/>
      <c r="E25" s="941"/>
      <c r="F25" s="942" t="s">
        <v>1059</v>
      </c>
      <c r="G25" s="744">
        <v>1800000</v>
      </c>
      <c r="H25" s="744">
        <v>1866667</v>
      </c>
      <c r="I25" s="744"/>
      <c r="J25" s="744"/>
      <c r="K25" s="744"/>
      <c r="L25" s="744">
        <f t="shared" si="1"/>
        <v>1866667</v>
      </c>
    </row>
    <row r="26" spans="1:12" x14ac:dyDescent="0.2">
      <c r="A26" s="1619"/>
      <c r="B26" s="1622">
        <v>3</v>
      </c>
      <c r="C26" s="1641" t="s">
        <v>1034</v>
      </c>
      <c r="D26" s="1641"/>
      <c r="E26" s="1641"/>
      <c r="F26" s="1641"/>
      <c r="G26" s="737">
        <f>G27+G28</f>
        <v>8160000</v>
      </c>
      <c r="H26" s="737"/>
      <c r="I26" s="737"/>
      <c r="J26" s="737"/>
      <c r="K26" s="737"/>
      <c r="L26" s="737">
        <f t="shared" si="1"/>
        <v>0</v>
      </c>
    </row>
    <row r="27" spans="1:12" ht="25.5" x14ac:dyDescent="0.2">
      <c r="A27" s="1619"/>
      <c r="B27" s="1622"/>
      <c r="C27" s="935" t="s">
        <v>617</v>
      </c>
      <c r="D27" s="935"/>
      <c r="E27" s="935"/>
      <c r="F27" s="939" t="s">
        <v>636</v>
      </c>
      <c r="G27" s="737">
        <v>0</v>
      </c>
      <c r="H27" s="737">
        <v>0</v>
      </c>
      <c r="I27" s="737"/>
      <c r="J27" s="737"/>
      <c r="K27" s="737"/>
      <c r="L27" s="737">
        <f t="shared" si="1"/>
        <v>0</v>
      </c>
    </row>
    <row r="28" spans="1:12" x14ac:dyDescent="0.2">
      <c r="A28" s="1619"/>
      <c r="B28" s="1622"/>
      <c r="C28" s="935" t="s">
        <v>623</v>
      </c>
      <c r="D28" s="935"/>
      <c r="E28" s="935"/>
      <c r="F28" s="939" t="s">
        <v>637</v>
      </c>
      <c r="G28" s="737">
        <v>8160000</v>
      </c>
      <c r="H28" s="737"/>
      <c r="I28" s="737"/>
      <c r="J28" s="737"/>
      <c r="K28" s="737"/>
      <c r="L28" s="737">
        <f t="shared" si="1"/>
        <v>0</v>
      </c>
    </row>
    <row r="29" spans="1:12" s="945" customFormat="1" ht="13.5" thickBot="1" x14ac:dyDescent="0.25">
      <c r="A29" s="1619"/>
      <c r="B29" s="1642">
        <v>4</v>
      </c>
      <c r="C29" s="1645" t="s">
        <v>1062</v>
      </c>
      <c r="D29" s="1645"/>
      <c r="E29" s="1645"/>
      <c r="F29" s="1645"/>
      <c r="G29" s="745">
        <f>G30+G31</f>
        <v>0</v>
      </c>
      <c r="H29" s="745">
        <f>H30+H31</f>
        <v>0</v>
      </c>
      <c r="I29" s="745">
        <f>I30+I31</f>
        <v>0</v>
      </c>
      <c r="J29" s="745">
        <f t="shared" ref="J29:K29" si="7">J30+J31</f>
        <v>0</v>
      </c>
      <c r="K29" s="745">
        <f t="shared" si="7"/>
        <v>0</v>
      </c>
      <c r="L29" s="745">
        <f t="shared" si="1"/>
        <v>0</v>
      </c>
    </row>
    <row r="30" spans="1:12" s="943" customFormat="1" ht="38.25" hidden="1" customHeight="1" x14ac:dyDescent="0.2">
      <c r="A30" s="1619"/>
      <c r="B30" s="1642"/>
      <c r="C30" s="946"/>
      <c r="D30" s="941"/>
      <c r="E30" s="941"/>
      <c r="F30" s="942" t="s">
        <v>634</v>
      </c>
      <c r="G30" s="744">
        <v>0</v>
      </c>
      <c r="H30" s="744">
        <v>0</v>
      </c>
      <c r="I30" s="744">
        <v>0</v>
      </c>
      <c r="J30" s="744">
        <v>0</v>
      </c>
      <c r="K30" s="744">
        <v>0</v>
      </c>
      <c r="L30" s="744">
        <f t="shared" si="1"/>
        <v>0</v>
      </c>
    </row>
    <row r="31" spans="1:12" s="943" customFormat="1" ht="39" hidden="1" customHeight="1" thickBot="1" x14ac:dyDescent="0.25">
      <c r="A31" s="1619"/>
      <c r="B31" s="1643"/>
      <c r="C31" s="947"/>
      <c r="D31" s="948"/>
      <c r="E31" s="948"/>
      <c r="F31" s="949" t="s">
        <v>635</v>
      </c>
      <c r="G31" s="746">
        <v>0</v>
      </c>
      <c r="H31" s="746">
        <v>0</v>
      </c>
      <c r="I31" s="746">
        <v>0</v>
      </c>
      <c r="J31" s="746">
        <v>0</v>
      </c>
      <c r="K31" s="746">
        <v>0</v>
      </c>
      <c r="L31" s="746">
        <f t="shared" si="1"/>
        <v>0</v>
      </c>
    </row>
    <row r="32" spans="1:12" ht="28.5" customHeight="1" thickBot="1" x14ac:dyDescent="0.25">
      <c r="A32" s="1620"/>
      <c r="B32" s="1646" t="s">
        <v>638</v>
      </c>
      <c r="C32" s="1633"/>
      <c r="D32" s="1633"/>
      <c r="E32" s="1633"/>
      <c r="F32" s="1634"/>
      <c r="G32" s="742">
        <f>G16+G23+G26+G29</f>
        <v>47208000</v>
      </c>
      <c r="H32" s="742">
        <f>H16+H23+H26+H29</f>
        <v>54617600</v>
      </c>
      <c r="I32" s="742">
        <f>I16+I23+I26+I29</f>
        <v>0</v>
      </c>
      <c r="J32" s="742">
        <f t="shared" ref="J32:K32" si="8">J16+J23+J26+J29</f>
        <v>0</v>
      </c>
      <c r="K32" s="742">
        <f t="shared" si="8"/>
        <v>0</v>
      </c>
      <c r="L32" s="742">
        <f t="shared" si="1"/>
        <v>54617600</v>
      </c>
    </row>
    <row r="33" spans="1:12" s="951" customFormat="1" x14ac:dyDescent="0.2">
      <c r="A33" s="1618" t="s">
        <v>639</v>
      </c>
      <c r="B33" s="950">
        <v>2</v>
      </c>
      <c r="C33" s="1653" t="s">
        <v>500</v>
      </c>
      <c r="D33" s="1654"/>
      <c r="E33" s="1654"/>
      <c r="F33" s="1655"/>
      <c r="G33" s="747">
        <v>5246099</v>
      </c>
      <c r="H33" s="747">
        <v>4674526</v>
      </c>
      <c r="I33" s="747"/>
      <c r="J33" s="747"/>
      <c r="K33" s="747"/>
      <c r="L33" s="747">
        <f t="shared" si="1"/>
        <v>4674526</v>
      </c>
    </row>
    <row r="34" spans="1:12" s="951" customFormat="1" x14ac:dyDescent="0.2">
      <c r="A34" s="1619"/>
      <c r="B34" s="1622">
        <v>3</v>
      </c>
      <c r="C34" s="1638" t="s">
        <v>640</v>
      </c>
      <c r="D34" s="1639"/>
      <c r="E34" s="1639"/>
      <c r="F34" s="1640"/>
      <c r="G34" s="748">
        <v>1214196</v>
      </c>
      <c r="H34" s="748">
        <f>SUM(H35:H46)</f>
        <v>2550910</v>
      </c>
      <c r="I34" s="748">
        <f>SUM(I35:I46)</f>
        <v>0</v>
      </c>
      <c r="J34" s="748">
        <f t="shared" ref="J34:K34" si="9">SUM(J35:J46)</f>
        <v>0</v>
      </c>
      <c r="K34" s="748">
        <f t="shared" si="9"/>
        <v>-106255</v>
      </c>
      <c r="L34" s="748">
        <f t="shared" si="1"/>
        <v>2444655</v>
      </c>
    </row>
    <row r="35" spans="1:12" x14ac:dyDescent="0.2">
      <c r="A35" s="1619"/>
      <c r="B35" s="1622"/>
      <c r="C35" s="935" t="s">
        <v>617</v>
      </c>
      <c r="D35" s="935"/>
      <c r="E35" s="935"/>
      <c r="F35" s="939" t="s">
        <v>641</v>
      </c>
      <c r="G35" s="737">
        <v>0</v>
      </c>
      <c r="H35" s="737">
        <v>1275455</v>
      </c>
      <c r="I35" s="737"/>
      <c r="J35" s="737"/>
      <c r="K35" s="737"/>
      <c r="L35" s="737">
        <f t="shared" si="1"/>
        <v>1275455</v>
      </c>
    </row>
    <row r="36" spans="1:12" x14ac:dyDescent="0.2">
      <c r="A36" s="1619"/>
      <c r="B36" s="1622"/>
      <c r="C36" s="935" t="s">
        <v>623</v>
      </c>
      <c r="D36" s="935"/>
      <c r="E36" s="935"/>
      <c r="F36" s="939" t="s">
        <v>642</v>
      </c>
      <c r="G36" s="737">
        <v>0</v>
      </c>
      <c r="H36" s="737">
        <v>1275455</v>
      </c>
      <c r="I36" s="737"/>
      <c r="J36" s="737"/>
      <c r="K36" s="737">
        <v>-106255</v>
      </c>
      <c r="L36" s="737">
        <f t="shared" si="1"/>
        <v>1169200</v>
      </c>
    </row>
    <row r="37" spans="1:12" x14ac:dyDescent="0.2">
      <c r="A37" s="1619"/>
      <c r="B37" s="1622"/>
      <c r="C37" s="935" t="s">
        <v>625</v>
      </c>
      <c r="D37" s="935"/>
      <c r="E37" s="935"/>
      <c r="F37" s="939" t="s">
        <v>643</v>
      </c>
      <c r="G37" s="737">
        <v>0</v>
      </c>
      <c r="H37" s="737">
        <v>0</v>
      </c>
      <c r="I37" s="737">
        <v>0</v>
      </c>
      <c r="J37" s="737">
        <v>0</v>
      </c>
      <c r="K37" s="737">
        <v>0</v>
      </c>
      <c r="L37" s="737">
        <f t="shared" si="1"/>
        <v>0</v>
      </c>
    </row>
    <row r="38" spans="1:12" x14ac:dyDescent="0.2">
      <c r="A38" s="1619"/>
      <c r="B38" s="1622"/>
      <c r="C38" s="935" t="s">
        <v>629</v>
      </c>
      <c r="D38" s="935"/>
      <c r="E38" s="935"/>
      <c r="F38" s="939" t="s">
        <v>644</v>
      </c>
      <c r="G38" s="737">
        <v>0</v>
      </c>
      <c r="H38" s="737">
        <v>0</v>
      </c>
      <c r="I38" s="737">
        <v>0</v>
      </c>
      <c r="J38" s="737">
        <v>0</v>
      </c>
      <c r="K38" s="737">
        <v>0</v>
      </c>
      <c r="L38" s="737">
        <f t="shared" si="1"/>
        <v>0</v>
      </c>
    </row>
    <row r="39" spans="1:12" x14ac:dyDescent="0.2">
      <c r="A39" s="1619"/>
      <c r="B39" s="1622"/>
      <c r="C39" s="935" t="s">
        <v>645</v>
      </c>
      <c r="D39" s="935"/>
      <c r="E39" s="935"/>
      <c r="F39" s="939" t="s">
        <v>646</v>
      </c>
      <c r="G39" s="737">
        <v>0</v>
      </c>
      <c r="H39" s="737">
        <v>0</v>
      </c>
      <c r="I39" s="737">
        <v>0</v>
      </c>
      <c r="J39" s="737">
        <v>0</v>
      </c>
      <c r="K39" s="737">
        <v>0</v>
      </c>
      <c r="L39" s="737">
        <f t="shared" si="1"/>
        <v>0</v>
      </c>
    </row>
    <row r="40" spans="1:12" x14ac:dyDescent="0.2">
      <c r="A40" s="1619"/>
      <c r="B40" s="1622"/>
      <c r="C40" s="935" t="s">
        <v>647</v>
      </c>
      <c r="D40" s="935"/>
      <c r="E40" s="935"/>
      <c r="F40" s="939" t="s">
        <v>648</v>
      </c>
      <c r="G40" s="737">
        <v>0</v>
      </c>
      <c r="H40" s="737">
        <v>0</v>
      </c>
      <c r="I40" s="737">
        <v>0</v>
      </c>
      <c r="J40" s="737">
        <v>0</v>
      </c>
      <c r="K40" s="737">
        <v>0</v>
      </c>
      <c r="L40" s="737">
        <f t="shared" si="1"/>
        <v>0</v>
      </c>
    </row>
    <row r="41" spans="1:12" x14ac:dyDescent="0.2">
      <c r="A41" s="1619"/>
      <c r="B41" s="1622"/>
      <c r="C41" s="935" t="s">
        <v>649</v>
      </c>
      <c r="D41" s="935"/>
      <c r="E41" s="935"/>
      <c r="F41" s="939" t="s">
        <v>650</v>
      </c>
      <c r="G41" s="737">
        <v>0</v>
      </c>
      <c r="H41" s="737">
        <v>0</v>
      </c>
      <c r="I41" s="737">
        <v>0</v>
      </c>
      <c r="J41" s="737">
        <v>0</v>
      </c>
      <c r="K41" s="737">
        <v>0</v>
      </c>
      <c r="L41" s="737">
        <f t="shared" si="1"/>
        <v>0</v>
      </c>
    </row>
    <row r="42" spans="1:12" x14ac:dyDescent="0.2">
      <c r="A42" s="1619"/>
      <c r="B42" s="1622"/>
      <c r="C42" s="935" t="s">
        <v>651</v>
      </c>
      <c r="D42" s="935"/>
      <c r="E42" s="935"/>
      <c r="F42" s="939" t="s">
        <v>652</v>
      </c>
      <c r="G42" s="737">
        <v>0</v>
      </c>
      <c r="H42" s="737">
        <v>0</v>
      </c>
      <c r="I42" s="737">
        <v>0</v>
      </c>
      <c r="J42" s="737">
        <v>0</v>
      </c>
      <c r="K42" s="737">
        <v>0</v>
      </c>
      <c r="L42" s="737">
        <f t="shared" si="1"/>
        <v>0</v>
      </c>
    </row>
    <row r="43" spans="1:12" x14ac:dyDescent="0.2">
      <c r="A43" s="1619"/>
      <c r="B43" s="1622"/>
      <c r="C43" s="935" t="s">
        <v>653</v>
      </c>
      <c r="D43" s="935"/>
      <c r="E43" s="935"/>
      <c r="F43" s="939" t="s">
        <v>654</v>
      </c>
      <c r="G43" s="737">
        <v>0</v>
      </c>
      <c r="H43" s="737">
        <v>0</v>
      </c>
      <c r="I43" s="737">
        <v>0</v>
      </c>
      <c r="J43" s="737">
        <v>0</v>
      </c>
      <c r="K43" s="737">
        <v>0</v>
      </c>
      <c r="L43" s="737">
        <f t="shared" si="1"/>
        <v>0</v>
      </c>
    </row>
    <row r="44" spans="1:12" x14ac:dyDescent="0.2">
      <c r="A44" s="1619"/>
      <c r="B44" s="1622"/>
      <c r="C44" s="935" t="s">
        <v>655</v>
      </c>
      <c r="D44" s="935"/>
      <c r="E44" s="935"/>
      <c r="F44" s="939" t="s">
        <v>656</v>
      </c>
      <c r="G44" s="737">
        <v>0</v>
      </c>
      <c r="H44" s="737">
        <v>0</v>
      </c>
      <c r="I44" s="737">
        <v>0</v>
      </c>
      <c r="J44" s="737">
        <v>0</v>
      </c>
      <c r="K44" s="737">
        <v>0</v>
      </c>
      <c r="L44" s="737">
        <f t="shared" si="1"/>
        <v>0</v>
      </c>
    </row>
    <row r="45" spans="1:12" x14ac:dyDescent="0.2">
      <c r="A45" s="1619"/>
      <c r="B45" s="1622"/>
      <c r="C45" s="935" t="s">
        <v>657</v>
      </c>
      <c r="D45" s="935"/>
      <c r="E45" s="935"/>
      <c r="F45" s="939" t="s">
        <v>658</v>
      </c>
      <c r="G45" s="737">
        <v>0</v>
      </c>
      <c r="H45" s="737">
        <v>0</v>
      </c>
      <c r="I45" s="737">
        <v>0</v>
      </c>
      <c r="J45" s="737">
        <v>0</v>
      </c>
      <c r="K45" s="737">
        <v>0</v>
      </c>
      <c r="L45" s="737">
        <f t="shared" si="1"/>
        <v>0</v>
      </c>
    </row>
    <row r="46" spans="1:12" x14ac:dyDescent="0.2">
      <c r="A46" s="1619"/>
      <c r="B46" s="1622"/>
      <c r="C46" s="935" t="s">
        <v>659</v>
      </c>
      <c r="D46" s="935"/>
      <c r="E46" s="935"/>
      <c r="F46" s="939" t="s">
        <v>660</v>
      </c>
      <c r="G46" s="737">
        <v>0</v>
      </c>
      <c r="H46" s="737">
        <v>0</v>
      </c>
      <c r="I46" s="737">
        <v>0</v>
      </c>
      <c r="J46" s="737">
        <v>0</v>
      </c>
      <c r="K46" s="737">
        <v>0</v>
      </c>
      <c r="L46" s="737">
        <f t="shared" si="1"/>
        <v>0</v>
      </c>
    </row>
    <row r="47" spans="1:12" x14ac:dyDescent="0.2">
      <c r="A47" s="1619"/>
      <c r="B47" s="1664">
        <v>5</v>
      </c>
      <c r="C47" s="1635" t="s">
        <v>1060</v>
      </c>
      <c r="D47" s="1636"/>
      <c r="E47" s="1636"/>
      <c r="F47" s="1637"/>
      <c r="G47" s="749">
        <f>G48+G49</f>
        <v>0</v>
      </c>
      <c r="H47" s="749">
        <f>H48+H49</f>
        <v>5418240</v>
      </c>
      <c r="I47" s="749">
        <f>I48+I49</f>
        <v>6475966</v>
      </c>
      <c r="J47" s="749">
        <f t="shared" ref="J47:K47" si="10">J48+J49</f>
        <v>-863632</v>
      </c>
      <c r="K47" s="749">
        <f t="shared" si="10"/>
        <v>-636480</v>
      </c>
      <c r="L47" s="749">
        <f t="shared" si="1"/>
        <v>10394094</v>
      </c>
    </row>
    <row r="48" spans="1:12" x14ac:dyDescent="0.2">
      <c r="A48" s="1619"/>
      <c r="B48" s="1664"/>
      <c r="C48" s="952" t="s">
        <v>617</v>
      </c>
      <c r="D48" s="952"/>
      <c r="E48" s="952"/>
      <c r="F48" s="953" t="s">
        <v>1061</v>
      </c>
      <c r="G48" s="750">
        <v>0</v>
      </c>
      <c r="H48" s="750">
        <v>5418240</v>
      </c>
      <c r="I48" s="750"/>
      <c r="J48" s="750">
        <v>-473280</v>
      </c>
      <c r="K48" s="750">
        <f>4308480-4944960</f>
        <v>-636480</v>
      </c>
      <c r="L48" s="750">
        <f t="shared" si="1"/>
        <v>4308480</v>
      </c>
    </row>
    <row r="49" spans="1:12" ht="13.5" thickBot="1" x14ac:dyDescent="0.25">
      <c r="A49" s="1619"/>
      <c r="B49" s="1664"/>
      <c r="C49" s="954" t="s">
        <v>623</v>
      </c>
      <c r="D49" s="954"/>
      <c r="E49" s="954"/>
      <c r="F49" s="955" t="s">
        <v>661</v>
      </c>
      <c r="G49" s="751">
        <v>0</v>
      </c>
      <c r="H49" s="751">
        <v>0</v>
      </c>
      <c r="I49" s="751">
        <v>6475966</v>
      </c>
      <c r="J49" s="751">
        <v>-390352</v>
      </c>
      <c r="K49" s="751"/>
      <c r="L49" s="751">
        <f t="shared" si="1"/>
        <v>6085614</v>
      </c>
    </row>
    <row r="50" spans="1:12" ht="37.9" customHeight="1" thickBot="1" x14ac:dyDescent="0.25">
      <c r="A50" s="1620"/>
      <c r="B50" s="1632" t="s">
        <v>1163</v>
      </c>
      <c r="C50" s="1633"/>
      <c r="D50" s="1633"/>
      <c r="E50" s="1633"/>
      <c r="F50" s="1634"/>
      <c r="G50" s="742">
        <f>G33+G34+G47</f>
        <v>6460295</v>
      </c>
      <c r="H50" s="742">
        <f>H33+H34+H47</f>
        <v>12643676</v>
      </c>
      <c r="I50" s="742">
        <f>I33+I34+I47</f>
        <v>6475966</v>
      </c>
      <c r="J50" s="742">
        <f t="shared" ref="J50:K50" si="11">J33+J34+J47</f>
        <v>-863632</v>
      </c>
      <c r="K50" s="742">
        <f t="shared" si="11"/>
        <v>-742735</v>
      </c>
      <c r="L50" s="742">
        <f t="shared" si="1"/>
        <v>17513275</v>
      </c>
    </row>
    <row r="51" spans="1:12" x14ac:dyDescent="0.2">
      <c r="A51" s="1618" t="s">
        <v>662</v>
      </c>
      <c r="B51" s="1657">
        <v>1</v>
      </c>
      <c r="C51" s="1658" t="s">
        <v>664</v>
      </c>
      <c r="D51" s="1659"/>
      <c r="E51" s="1659"/>
      <c r="F51" s="1660"/>
      <c r="G51" s="752">
        <f>SUM(G52:G59)</f>
        <v>3650280</v>
      </c>
      <c r="H51" s="752">
        <f>SUM(H52:H59)</f>
        <v>3681060</v>
      </c>
      <c r="I51" s="752">
        <f>SUM(I52:I59)</f>
        <v>0</v>
      </c>
      <c r="J51" s="752"/>
      <c r="K51" s="752"/>
      <c r="L51" s="752">
        <f t="shared" si="1"/>
        <v>3681060</v>
      </c>
    </row>
    <row r="52" spans="1:12" ht="191.25" hidden="1" customHeight="1" x14ac:dyDescent="0.2">
      <c r="A52" s="1619"/>
      <c r="B52" s="1642"/>
      <c r="C52" s="956" t="s">
        <v>617</v>
      </c>
      <c r="D52" s="956"/>
      <c r="E52" s="956"/>
      <c r="F52" s="953" t="s">
        <v>665</v>
      </c>
      <c r="G52" s="745">
        <v>0</v>
      </c>
      <c r="H52" s="745">
        <v>0</v>
      </c>
      <c r="I52" s="745">
        <v>0</v>
      </c>
      <c r="J52" s="745"/>
      <c r="K52" s="745"/>
      <c r="L52" s="745">
        <f t="shared" si="1"/>
        <v>0</v>
      </c>
    </row>
    <row r="53" spans="1:12" ht="140.25" hidden="1" customHeight="1" x14ac:dyDescent="0.2">
      <c r="A53" s="1619"/>
      <c r="B53" s="1642"/>
      <c r="C53" s="956" t="s">
        <v>623</v>
      </c>
      <c r="D53" s="956"/>
      <c r="E53" s="956"/>
      <c r="F53" s="953" t="s">
        <v>666</v>
      </c>
      <c r="G53" s="745">
        <v>0</v>
      </c>
      <c r="H53" s="745">
        <v>0</v>
      </c>
      <c r="I53" s="745">
        <v>0</v>
      </c>
      <c r="J53" s="745"/>
      <c r="K53" s="745"/>
      <c r="L53" s="745">
        <f t="shared" si="1"/>
        <v>0</v>
      </c>
    </row>
    <row r="54" spans="1:12" ht="178.5" hidden="1" customHeight="1" x14ac:dyDescent="0.2">
      <c r="A54" s="1619"/>
      <c r="B54" s="1642"/>
      <c r="C54" s="956" t="s">
        <v>625</v>
      </c>
      <c r="D54" s="956"/>
      <c r="E54" s="956"/>
      <c r="F54" s="953" t="s">
        <v>667</v>
      </c>
      <c r="G54" s="745">
        <v>0</v>
      </c>
      <c r="H54" s="745">
        <v>0</v>
      </c>
      <c r="I54" s="745">
        <v>0</v>
      </c>
      <c r="J54" s="745"/>
      <c r="K54" s="745"/>
      <c r="L54" s="745">
        <f t="shared" si="1"/>
        <v>0</v>
      </c>
    </row>
    <row r="55" spans="1:12" ht="25.5" x14ac:dyDescent="0.2">
      <c r="A55" s="1619"/>
      <c r="B55" s="1642"/>
      <c r="C55" s="956" t="s">
        <v>629</v>
      </c>
      <c r="D55" s="956"/>
      <c r="E55" s="956"/>
      <c r="F55" s="953" t="s">
        <v>668</v>
      </c>
      <c r="G55" s="745">
        <v>3650280</v>
      </c>
      <c r="H55" s="745">
        <v>3681060</v>
      </c>
      <c r="I55" s="745"/>
      <c r="J55" s="745"/>
      <c r="K55" s="745"/>
      <c r="L55" s="745">
        <f t="shared" si="1"/>
        <v>3681060</v>
      </c>
    </row>
    <row r="56" spans="1:12" ht="140.25" hidden="1" customHeight="1" x14ac:dyDescent="0.2">
      <c r="A56" s="1619"/>
      <c r="B56" s="1642"/>
      <c r="C56" s="956" t="s">
        <v>645</v>
      </c>
      <c r="D56" s="956"/>
      <c r="E56" s="956"/>
      <c r="F56" s="953" t="s">
        <v>669</v>
      </c>
      <c r="G56" s="745">
        <v>0</v>
      </c>
      <c r="H56" s="745">
        <v>0</v>
      </c>
      <c r="I56" s="745">
        <v>0</v>
      </c>
      <c r="J56" s="745"/>
      <c r="K56" s="745"/>
      <c r="L56" s="745">
        <f t="shared" si="1"/>
        <v>0</v>
      </c>
    </row>
    <row r="57" spans="1:12" ht="153" hidden="1" customHeight="1" x14ac:dyDescent="0.2">
      <c r="A57" s="1619"/>
      <c r="B57" s="1642"/>
      <c r="C57" s="956" t="s">
        <v>647</v>
      </c>
      <c r="D57" s="956"/>
      <c r="E57" s="956"/>
      <c r="F57" s="953" t="s">
        <v>670</v>
      </c>
      <c r="G57" s="745">
        <v>0</v>
      </c>
      <c r="H57" s="745">
        <v>0</v>
      </c>
      <c r="I57" s="745">
        <v>0</v>
      </c>
      <c r="J57" s="745"/>
      <c r="K57" s="745"/>
      <c r="L57" s="745">
        <f t="shared" si="1"/>
        <v>0</v>
      </c>
    </row>
    <row r="58" spans="1:12" ht="76.5" hidden="1" customHeight="1" x14ac:dyDescent="0.2">
      <c r="A58" s="1619"/>
      <c r="B58" s="1642"/>
      <c r="C58" s="956" t="s">
        <v>649</v>
      </c>
      <c r="D58" s="956"/>
      <c r="E58" s="956"/>
      <c r="F58" s="953" t="s">
        <v>671</v>
      </c>
      <c r="G58" s="745">
        <v>0</v>
      </c>
      <c r="H58" s="745">
        <v>0</v>
      </c>
      <c r="I58" s="745">
        <v>0</v>
      </c>
      <c r="J58" s="745"/>
      <c r="K58" s="745"/>
      <c r="L58" s="745">
        <f t="shared" si="1"/>
        <v>0</v>
      </c>
    </row>
    <row r="59" spans="1:12" ht="216.75" hidden="1" customHeight="1" x14ac:dyDescent="0.2">
      <c r="A59" s="1619"/>
      <c r="B59" s="1642"/>
      <c r="C59" s="956" t="s">
        <v>651</v>
      </c>
      <c r="D59" s="956"/>
      <c r="E59" s="956"/>
      <c r="F59" s="953" t="s">
        <v>672</v>
      </c>
      <c r="G59" s="745">
        <v>0</v>
      </c>
      <c r="H59" s="745">
        <v>0</v>
      </c>
      <c r="I59" s="745">
        <v>0</v>
      </c>
      <c r="J59" s="745"/>
      <c r="K59" s="745"/>
      <c r="L59" s="745">
        <f t="shared" si="1"/>
        <v>0</v>
      </c>
    </row>
    <row r="60" spans="1:12" ht="26.25" customHeight="1" thickBot="1" x14ac:dyDescent="0.25">
      <c r="A60" s="1619"/>
      <c r="B60" s="1661">
        <v>2</v>
      </c>
      <c r="C60" s="1663" t="s">
        <v>673</v>
      </c>
      <c r="D60" s="1636"/>
      <c r="E60" s="1636"/>
      <c r="F60" s="1637"/>
      <c r="G60" s="749">
        <f>G61+G68+G73</f>
        <v>0</v>
      </c>
      <c r="H60" s="749">
        <f>H61+H68+H73</f>
        <v>0</v>
      </c>
      <c r="I60" s="749">
        <f>I61+I68+I73</f>
        <v>0</v>
      </c>
      <c r="J60" s="749">
        <f t="shared" ref="J60:K60" si="12">J61+J68+J73</f>
        <v>0</v>
      </c>
      <c r="K60" s="749">
        <f t="shared" si="12"/>
        <v>0</v>
      </c>
      <c r="L60" s="749">
        <f t="shared" si="1"/>
        <v>0</v>
      </c>
    </row>
    <row r="61" spans="1:12" ht="409.5" hidden="1" customHeight="1" x14ac:dyDescent="0.2">
      <c r="A61" s="1619"/>
      <c r="B61" s="1661"/>
      <c r="C61" s="952" t="s">
        <v>617</v>
      </c>
      <c r="D61" s="952"/>
      <c r="E61" s="952"/>
      <c r="F61" s="957" t="s">
        <v>674</v>
      </c>
      <c r="G61" s="750">
        <f>G62+G65</f>
        <v>0</v>
      </c>
      <c r="H61" s="750">
        <f>H62+H65</f>
        <v>0</v>
      </c>
      <c r="I61" s="750">
        <f>I62+I65</f>
        <v>0</v>
      </c>
      <c r="J61" s="750"/>
      <c r="K61" s="750"/>
      <c r="L61" s="750">
        <f t="shared" si="1"/>
        <v>0</v>
      </c>
    </row>
    <row r="62" spans="1:12" ht="216.75" hidden="1" customHeight="1" x14ac:dyDescent="0.2">
      <c r="A62" s="1619"/>
      <c r="B62" s="1661"/>
      <c r="C62" s="952"/>
      <c r="D62" s="952" t="s">
        <v>619</v>
      </c>
      <c r="E62" s="952"/>
      <c r="F62" s="958" t="s">
        <v>675</v>
      </c>
      <c r="G62" s="753">
        <f>G63+G64</f>
        <v>0</v>
      </c>
      <c r="H62" s="753">
        <f>H63+H64</f>
        <v>0</v>
      </c>
      <c r="I62" s="753">
        <f>I63+I64</f>
        <v>0</v>
      </c>
      <c r="J62" s="753"/>
      <c r="K62" s="753"/>
      <c r="L62" s="753">
        <f t="shared" si="1"/>
        <v>0</v>
      </c>
    </row>
    <row r="63" spans="1:12" ht="409.5" hidden="1" customHeight="1" x14ac:dyDescent="0.2">
      <c r="A63" s="1619"/>
      <c r="B63" s="1661"/>
      <c r="C63" s="952"/>
      <c r="D63" s="952"/>
      <c r="E63" s="952" t="s">
        <v>676</v>
      </c>
      <c r="F63" s="959" t="s">
        <v>677</v>
      </c>
      <c r="G63" s="753">
        <v>0</v>
      </c>
      <c r="H63" s="753">
        <v>0</v>
      </c>
      <c r="I63" s="753">
        <v>0</v>
      </c>
      <c r="J63" s="753"/>
      <c r="K63" s="753"/>
      <c r="L63" s="753">
        <f t="shared" si="1"/>
        <v>0</v>
      </c>
    </row>
    <row r="64" spans="1:12" ht="409.5" hidden="1" customHeight="1" x14ac:dyDescent="0.2">
      <c r="A64" s="1619"/>
      <c r="B64" s="1661"/>
      <c r="C64" s="952"/>
      <c r="D64" s="952"/>
      <c r="E64" s="952" t="s">
        <v>678</v>
      </c>
      <c r="F64" s="959" t="s">
        <v>679</v>
      </c>
      <c r="G64" s="753">
        <v>0</v>
      </c>
      <c r="H64" s="753">
        <v>0</v>
      </c>
      <c r="I64" s="753">
        <v>0</v>
      </c>
      <c r="J64" s="753"/>
      <c r="K64" s="753"/>
      <c r="L64" s="753">
        <f t="shared" si="1"/>
        <v>0</v>
      </c>
    </row>
    <row r="65" spans="1:12" ht="76.5" hidden="1" customHeight="1" x14ac:dyDescent="0.2">
      <c r="A65" s="1619"/>
      <c r="B65" s="1661"/>
      <c r="C65" s="952"/>
      <c r="D65" s="952" t="s">
        <v>621</v>
      </c>
      <c r="E65" s="952"/>
      <c r="F65" s="958" t="s">
        <v>680</v>
      </c>
      <c r="G65" s="753">
        <f>G66+G67</f>
        <v>0</v>
      </c>
      <c r="H65" s="753">
        <f>H66+H67</f>
        <v>0</v>
      </c>
      <c r="I65" s="753">
        <f>I66+I67</f>
        <v>0</v>
      </c>
      <c r="J65" s="753"/>
      <c r="K65" s="753"/>
      <c r="L65" s="753">
        <f t="shared" si="1"/>
        <v>0</v>
      </c>
    </row>
    <row r="66" spans="1:12" ht="216.75" hidden="1" customHeight="1" x14ac:dyDescent="0.2">
      <c r="A66" s="1619"/>
      <c r="B66" s="1661"/>
      <c r="C66" s="952"/>
      <c r="D66" s="952"/>
      <c r="E66" s="952" t="s">
        <v>681</v>
      </c>
      <c r="F66" s="959" t="s">
        <v>682</v>
      </c>
      <c r="G66" s="753">
        <v>0</v>
      </c>
      <c r="H66" s="753">
        <v>0</v>
      </c>
      <c r="I66" s="753">
        <v>0</v>
      </c>
      <c r="J66" s="753"/>
      <c r="K66" s="753"/>
      <c r="L66" s="753">
        <f t="shared" si="1"/>
        <v>0</v>
      </c>
    </row>
    <row r="67" spans="1:12" ht="318.75" hidden="1" customHeight="1" x14ac:dyDescent="0.2">
      <c r="A67" s="1619"/>
      <c r="B67" s="1661"/>
      <c r="C67" s="952"/>
      <c r="D67" s="952"/>
      <c r="E67" s="952" t="s">
        <v>683</v>
      </c>
      <c r="F67" s="959" t="s">
        <v>684</v>
      </c>
      <c r="G67" s="753">
        <v>0</v>
      </c>
      <c r="H67" s="753">
        <v>0</v>
      </c>
      <c r="I67" s="753">
        <v>0</v>
      </c>
      <c r="J67" s="753"/>
      <c r="K67" s="753"/>
      <c r="L67" s="753">
        <f t="shared" si="1"/>
        <v>0</v>
      </c>
    </row>
    <row r="68" spans="1:12" ht="216.75" hidden="1" customHeight="1" x14ac:dyDescent="0.2">
      <c r="A68" s="1619"/>
      <c r="B68" s="1661"/>
      <c r="C68" s="952" t="s">
        <v>623</v>
      </c>
      <c r="D68" s="952"/>
      <c r="E68" s="952"/>
      <c r="F68" s="957" t="s">
        <v>685</v>
      </c>
      <c r="G68" s="750">
        <f>SUM(G69:G72)</f>
        <v>0</v>
      </c>
      <c r="H68" s="750">
        <f>SUM(H69:H72)</f>
        <v>0</v>
      </c>
      <c r="I68" s="750">
        <f>SUM(I69:I72)</f>
        <v>0</v>
      </c>
      <c r="J68" s="750"/>
      <c r="K68" s="750"/>
      <c r="L68" s="750">
        <f t="shared" si="1"/>
        <v>0</v>
      </c>
    </row>
    <row r="69" spans="1:12" ht="318.75" hidden="1" customHeight="1" x14ac:dyDescent="0.2">
      <c r="A69" s="1619"/>
      <c r="B69" s="1661"/>
      <c r="C69" s="952"/>
      <c r="D69" s="952" t="s">
        <v>686</v>
      </c>
      <c r="E69" s="952"/>
      <c r="F69" s="958" t="s">
        <v>687</v>
      </c>
      <c r="G69" s="753">
        <v>0</v>
      </c>
      <c r="H69" s="753">
        <v>0</v>
      </c>
      <c r="I69" s="753">
        <v>0</v>
      </c>
      <c r="J69" s="753"/>
      <c r="K69" s="753"/>
      <c r="L69" s="753">
        <f t="shared" si="1"/>
        <v>0</v>
      </c>
    </row>
    <row r="70" spans="1:12" ht="76.5" hidden="1" customHeight="1" x14ac:dyDescent="0.2">
      <c r="A70" s="1619"/>
      <c r="B70" s="1661"/>
      <c r="C70" s="952"/>
      <c r="D70" s="952" t="s">
        <v>688</v>
      </c>
      <c r="E70" s="952"/>
      <c r="F70" s="958" t="s">
        <v>689</v>
      </c>
      <c r="G70" s="753">
        <v>0</v>
      </c>
      <c r="H70" s="753">
        <v>0</v>
      </c>
      <c r="I70" s="753">
        <v>0</v>
      </c>
      <c r="J70" s="753"/>
      <c r="K70" s="753"/>
      <c r="L70" s="753">
        <f t="shared" ref="L70:L82" si="13">H70+I70+J70+K70</f>
        <v>0</v>
      </c>
    </row>
    <row r="71" spans="1:12" ht="76.5" hidden="1" customHeight="1" x14ac:dyDescent="0.2">
      <c r="A71" s="1619"/>
      <c r="B71" s="1661"/>
      <c r="C71" s="952"/>
      <c r="D71" s="952" t="s">
        <v>690</v>
      </c>
      <c r="E71" s="952"/>
      <c r="F71" s="958" t="s">
        <v>691</v>
      </c>
      <c r="G71" s="753">
        <v>0</v>
      </c>
      <c r="H71" s="753">
        <v>0</v>
      </c>
      <c r="I71" s="753">
        <v>0</v>
      </c>
      <c r="J71" s="753"/>
      <c r="K71" s="753"/>
      <c r="L71" s="753">
        <f t="shared" si="13"/>
        <v>0</v>
      </c>
    </row>
    <row r="72" spans="1:12" ht="369.75" hidden="1" customHeight="1" x14ac:dyDescent="0.2">
      <c r="A72" s="1619"/>
      <c r="B72" s="1661"/>
      <c r="C72" s="952"/>
      <c r="D72" s="952" t="s">
        <v>692</v>
      </c>
      <c r="E72" s="952"/>
      <c r="F72" s="958" t="s">
        <v>693</v>
      </c>
      <c r="G72" s="753">
        <v>0</v>
      </c>
      <c r="H72" s="753">
        <v>0</v>
      </c>
      <c r="I72" s="753">
        <v>0</v>
      </c>
      <c r="J72" s="753"/>
      <c r="K72" s="753"/>
      <c r="L72" s="753">
        <f t="shared" si="13"/>
        <v>0</v>
      </c>
    </row>
    <row r="73" spans="1:12" ht="369.75" hidden="1" customHeight="1" x14ac:dyDescent="0.2">
      <c r="A73" s="1619"/>
      <c r="B73" s="1661"/>
      <c r="C73" s="952" t="s">
        <v>625</v>
      </c>
      <c r="D73" s="952"/>
      <c r="E73" s="952"/>
      <c r="F73" s="957" t="s">
        <v>694</v>
      </c>
      <c r="G73" s="750">
        <f>G74+G77</f>
        <v>0</v>
      </c>
      <c r="H73" s="750">
        <f>H74+H77</f>
        <v>0</v>
      </c>
      <c r="I73" s="750">
        <f>I74+I77</f>
        <v>0</v>
      </c>
      <c r="J73" s="750"/>
      <c r="K73" s="750"/>
      <c r="L73" s="750">
        <f t="shared" si="13"/>
        <v>0</v>
      </c>
    </row>
    <row r="74" spans="1:12" ht="76.5" hidden="1" customHeight="1" x14ac:dyDescent="0.2">
      <c r="A74" s="1619"/>
      <c r="B74" s="1661"/>
      <c r="C74" s="952"/>
      <c r="D74" s="952" t="s">
        <v>695</v>
      </c>
      <c r="E74" s="952"/>
      <c r="F74" s="958" t="s">
        <v>696</v>
      </c>
      <c r="G74" s="753">
        <f>G75+G76</f>
        <v>0</v>
      </c>
      <c r="H74" s="753">
        <f>H75+H76</f>
        <v>0</v>
      </c>
      <c r="I74" s="753">
        <f>I75+I76</f>
        <v>0</v>
      </c>
      <c r="J74" s="753"/>
      <c r="K74" s="753"/>
      <c r="L74" s="753">
        <f t="shared" si="13"/>
        <v>0</v>
      </c>
    </row>
    <row r="75" spans="1:12" ht="382.5" hidden="1" customHeight="1" x14ac:dyDescent="0.2">
      <c r="A75" s="1619"/>
      <c r="B75" s="1661"/>
      <c r="C75" s="952"/>
      <c r="D75" s="952"/>
      <c r="E75" s="952" t="s">
        <v>697</v>
      </c>
      <c r="F75" s="959" t="s">
        <v>698</v>
      </c>
      <c r="G75" s="753">
        <v>0</v>
      </c>
      <c r="H75" s="753">
        <v>0</v>
      </c>
      <c r="I75" s="753">
        <v>0</v>
      </c>
      <c r="J75" s="753"/>
      <c r="K75" s="753"/>
      <c r="L75" s="753">
        <f t="shared" si="13"/>
        <v>0</v>
      </c>
    </row>
    <row r="76" spans="1:12" ht="382.5" hidden="1" customHeight="1" x14ac:dyDescent="0.2">
      <c r="A76" s="1619"/>
      <c r="B76" s="1661"/>
      <c r="C76" s="952"/>
      <c r="D76" s="952"/>
      <c r="E76" s="952" t="s">
        <v>699</v>
      </c>
      <c r="F76" s="959" t="s">
        <v>700</v>
      </c>
      <c r="G76" s="753">
        <v>0</v>
      </c>
      <c r="H76" s="753">
        <v>0</v>
      </c>
      <c r="I76" s="753">
        <v>0</v>
      </c>
      <c r="J76" s="753"/>
      <c r="K76" s="753"/>
      <c r="L76" s="753">
        <f t="shared" si="13"/>
        <v>0</v>
      </c>
    </row>
    <row r="77" spans="1:12" ht="230.25" hidden="1" customHeight="1" thickBot="1" x14ac:dyDescent="0.25">
      <c r="A77" s="1619"/>
      <c r="B77" s="1661"/>
      <c r="C77" s="952"/>
      <c r="D77" s="952" t="s">
        <v>701</v>
      </c>
      <c r="E77" s="952"/>
      <c r="F77" s="958" t="s">
        <v>702</v>
      </c>
      <c r="G77" s="753">
        <f>G78+G79</f>
        <v>0</v>
      </c>
      <c r="H77" s="753">
        <f>H78+H79</f>
        <v>0</v>
      </c>
      <c r="I77" s="753">
        <f>I78+I79</f>
        <v>0</v>
      </c>
      <c r="J77" s="753"/>
      <c r="K77" s="753"/>
      <c r="L77" s="753">
        <f t="shared" si="13"/>
        <v>0</v>
      </c>
    </row>
    <row r="78" spans="1:12" ht="178.5" hidden="1" customHeight="1" x14ac:dyDescent="0.2">
      <c r="A78" s="1619"/>
      <c r="B78" s="1661"/>
      <c r="C78" s="952"/>
      <c r="D78" s="952"/>
      <c r="E78" s="952" t="s">
        <v>703</v>
      </c>
      <c r="F78" s="959" t="s">
        <v>704</v>
      </c>
      <c r="G78" s="753">
        <v>0</v>
      </c>
      <c r="H78" s="753">
        <v>0</v>
      </c>
      <c r="I78" s="753">
        <v>0</v>
      </c>
      <c r="J78" s="753"/>
      <c r="K78" s="753"/>
      <c r="L78" s="753">
        <f t="shared" si="13"/>
        <v>0</v>
      </c>
    </row>
    <row r="79" spans="1:12" ht="21" hidden="1" customHeight="1" thickBot="1" x14ac:dyDescent="0.25">
      <c r="A79" s="1619"/>
      <c r="B79" s="1662"/>
      <c r="C79" s="954"/>
      <c r="D79" s="954"/>
      <c r="E79" s="954" t="s">
        <v>705</v>
      </c>
      <c r="F79" s="960" t="s">
        <v>706</v>
      </c>
      <c r="G79" s="754">
        <v>0</v>
      </c>
      <c r="H79" s="754">
        <v>0</v>
      </c>
      <c r="I79" s="754">
        <v>0</v>
      </c>
      <c r="J79" s="754"/>
      <c r="K79" s="754"/>
      <c r="L79" s="754">
        <f t="shared" si="13"/>
        <v>0</v>
      </c>
    </row>
    <row r="80" spans="1:12" ht="13.5" thickBot="1" x14ac:dyDescent="0.25">
      <c r="A80" s="1620"/>
      <c r="B80" s="1646" t="s">
        <v>707</v>
      </c>
      <c r="C80" s="1633"/>
      <c r="D80" s="1633"/>
      <c r="E80" s="1633"/>
      <c r="F80" s="1634"/>
      <c r="G80" s="742">
        <f>G51+G60</f>
        <v>3650280</v>
      </c>
      <c r="H80" s="742">
        <f>H51+H60</f>
        <v>3681060</v>
      </c>
      <c r="I80" s="742">
        <f>I51+I60</f>
        <v>0</v>
      </c>
      <c r="J80" s="742">
        <f t="shared" ref="J80:K80" si="14">J51+J60</f>
        <v>0</v>
      </c>
      <c r="K80" s="742">
        <f t="shared" si="14"/>
        <v>0</v>
      </c>
      <c r="L80" s="742">
        <f t="shared" si="13"/>
        <v>3681060</v>
      </c>
    </row>
    <row r="81" spans="1:12" ht="13.5" thickBot="1" x14ac:dyDescent="0.25">
      <c r="A81" s="961"/>
      <c r="B81" s="962"/>
      <c r="C81" s="962"/>
      <c r="D81" s="962"/>
      <c r="E81" s="962"/>
      <c r="F81" s="962"/>
      <c r="G81" s="755"/>
      <c r="H81" s="755"/>
      <c r="I81" s="755"/>
      <c r="J81" s="755"/>
      <c r="K81" s="755"/>
      <c r="L81" s="755">
        <f t="shared" si="13"/>
        <v>0</v>
      </c>
    </row>
    <row r="82" spans="1:12" ht="13.5" customHeight="1" thickBot="1" x14ac:dyDescent="0.25">
      <c r="A82" s="1615" t="s">
        <v>710</v>
      </c>
      <c r="B82" s="1616"/>
      <c r="C82" s="1616"/>
      <c r="D82" s="1616"/>
      <c r="E82" s="1616"/>
      <c r="F82" s="1656"/>
      <c r="G82" s="756">
        <f>G80+G50+G32+G15</f>
        <v>108354459</v>
      </c>
      <c r="H82" s="756">
        <f>H80+H50+H32+H15</f>
        <v>136229579</v>
      </c>
      <c r="I82" s="756">
        <f>I80+I50+I32+I15</f>
        <v>6475966</v>
      </c>
      <c r="J82" s="756">
        <f t="shared" ref="J82:K82" si="15">J80+J50+J32+J15</f>
        <v>-863632</v>
      </c>
      <c r="K82" s="756">
        <f t="shared" si="15"/>
        <v>-742735</v>
      </c>
      <c r="L82" s="756">
        <f t="shared" si="13"/>
        <v>141099178</v>
      </c>
    </row>
    <row r="83" spans="1:12" x14ac:dyDescent="0.2">
      <c r="A83" s="961"/>
      <c r="B83" s="962"/>
      <c r="C83" s="962"/>
      <c r="D83" s="962"/>
      <c r="E83" s="962"/>
      <c r="F83" s="962"/>
      <c r="H83" s="757"/>
      <c r="I83" s="757"/>
      <c r="J83" s="757"/>
      <c r="K83" s="757"/>
      <c r="L83" s="757"/>
    </row>
    <row r="84" spans="1:12" ht="46.5" customHeight="1" x14ac:dyDescent="0.2">
      <c r="A84" s="1613" t="s">
        <v>1128</v>
      </c>
      <c r="B84" s="1613"/>
      <c r="C84" s="1613"/>
      <c r="D84" s="1613"/>
      <c r="E84" s="1613"/>
      <c r="F84" s="1613"/>
      <c r="G84" s="1613"/>
      <c r="H84" s="1613"/>
      <c r="I84" s="1613"/>
      <c r="J84" s="1613"/>
      <c r="K84" s="1613"/>
      <c r="L84" s="1613"/>
    </row>
    <row r="85" spans="1:12" ht="14.25" customHeight="1" thickBot="1" x14ac:dyDescent="0.25">
      <c r="A85" s="963"/>
      <c r="B85" s="963"/>
      <c r="C85" s="963"/>
      <c r="D85" s="963"/>
      <c r="E85" s="964"/>
      <c r="F85" s="965"/>
      <c r="G85" s="875"/>
      <c r="H85" s="875"/>
      <c r="I85" s="875"/>
      <c r="J85" s="875"/>
      <c r="K85" s="875"/>
      <c r="L85" s="875"/>
    </row>
    <row r="86" spans="1:12" ht="26.25" thickBot="1" x14ac:dyDescent="0.25">
      <c r="A86" s="1609" t="s">
        <v>12</v>
      </c>
      <c r="B86" s="1610"/>
      <c r="C86" s="1610"/>
      <c r="D86" s="1610"/>
      <c r="E86" s="1610"/>
      <c r="F86" s="1614"/>
      <c r="G86" s="966" t="s">
        <v>1129</v>
      </c>
      <c r="H86" s="933" t="s">
        <v>1039</v>
      </c>
      <c r="I86" s="933" t="s">
        <v>1148</v>
      </c>
      <c r="J86" s="933" t="s">
        <v>1189</v>
      </c>
      <c r="K86" s="933" t="s">
        <v>1190</v>
      </c>
      <c r="L86" s="933" t="s">
        <v>1147</v>
      </c>
    </row>
    <row r="87" spans="1:12" ht="13.15" customHeight="1" x14ac:dyDescent="0.2">
      <c r="A87" s="967">
        <v>15</v>
      </c>
      <c r="B87" s="1650" t="s">
        <v>708</v>
      </c>
      <c r="C87" s="1651"/>
      <c r="D87" s="1651"/>
      <c r="E87" s="1651"/>
      <c r="F87" s="1652"/>
      <c r="G87" s="876">
        <v>0</v>
      </c>
      <c r="H87" s="876">
        <v>0</v>
      </c>
      <c r="I87" s="876"/>
      <c r="J87" s="876"/>
      <c r="K87" s="876"/>
      <c r="L87" s="876">
        <f>H87+I87+J87+K87</f>
        <v>0</v>
      </c>
    </row>
    <row r="88" spans="1:12" ht="13.15" customHeight="1" x14ac:dyDescent="0.2">
      <c r="A88" s="968">
        <v>16</v>
      </c>
      <c r="B88" s="1603" t="s">
        <v>1127</v>
      </c>
      <c r="C88" s="1604"/>
      <c r="D88" s="1604"/>
      <c r="E88" s="1604"/>
      <c r="F88" s="1605"/>
      <c r="G88" s="877"/>
      <c r="H88" s="877">
        <v>1800000</v>
      </c>
      <c r="I88" s="877"/>
      <c r="J88" s="877"/>
      <c r="K88" s="877"/>
      <c r="L88" s="877">
        <f t="shared" ref="L88:L90" si="16">H88+I88+J88+K88</f>
        <v>1800000</v>
      </c>
    </row>
    <row r="89" spans="1:12" ht="13.9" customHeight="1" x14ac:dyDescent="0.2">
      <c r="A89" s="968">
        <v>17</v>
      </c>
      <c r="B89" s="1606" t="s">
        <v>709</v>
      </c>
      <c r="C89" s="1607"/>
      <c r="D89" s="1607"/>
      <c r="E89" s="1607"/>
      <c r="F89" s="1608"/>
      <c r="G89" s="877">
        <v>7765</v>
      </c>
      <c r="H89" s="878">
        <v>7711</v>
      </c>
      <c r="I89" s="878"/>
      <c r="J89" s="878"/>
      <c r="K89" s="878"/>
      <c r="L89" s="878">
        <f t="shared" si="16"/>
        <v>7711</v>
      </c>
    </row>
    <row r="90" spans="1:12" x14ac:dyDescent="0.2">
      <c r="A90" s="968"/>
      <c r="B90" s="1606" t="s">
        <v>1158</v>
      </c>
      <c r="C90" s="1607"/>
      <c r="D90" s="1607"/>
      <c r="E90" s="1607"/>
      <c r="F90" s="1608"/>
      <c r="G90" s="877">
        <v>7765</v>
      </c>
      <c r="H90" s="878">
        <v>0</v>
      </c>
      <c r="I90" s="878">
        <v>128524</v>
      </c>
      <c r="J90" s="878"/>
      <c r="K90" s="878"/>
      <c r="L90" s="878">
        <f t="shared" si="16"/>
        <v>128524</v>
      </c>
    </row>
    <row r="91" spans="1:12" ht="13.5" customHeight="1" thickBot="1" x14ac:dyDescent="0.25">
      <c r="A91" s="969"/>
      <c r="B91" s="1647" t="s">
        <v>1197</v>
      </c>
      <c r="C91" s="1648"/>
      <c r="D91" s="1648"/>
      <c r="E91" s="1648"/>
      <c r="F91" s="1649"/>
      <c r="G91" s="970">
        <v>7765</v>
      </c>
      <c r="H91" s="879">
        <v>0</v>
      </c>
      <c r="I91" s="879"/>
      <c r="J91" s="879">
        <v>7000</v>
      </c>
      <c r="K91" s="879"/>
      <c r="L91" s="879">
        <f t="shared" ref="L91" si="17">H91+I91+J91+K91</f>
        <v>7000</v>
      </c>
    </row>
    <row r="92" spans="1:12" ht="13.5" thickBot="1" x14ac:dyDescent="0.25">
      <c r="A92" s="875"/>
      <c r="B92" s="875"/>
      <c r="C92" s="875"/>
      <c r="D92" s="875"/>
      <c r="E92" s="875"/>
      <c r="F92" s="875"/>
      <c r="G92" s="875"/>
      <c r="H92" s="875"/>
      <c r="I92" s="875"/>
      <c r="J92" s="875"/>
      <c r="K92" s="875"/>
      <c r="L92" s="875"/>
    </row>
    <row r="93" spans="1:12" ht="13.5" thickBot="1" x14ac:dyDescent="0.25">
      <c r="A93" s="1609" t="s">
        <v>710</v>
      </c>
      <c r="B93" s="1610"/>
      <c r="C93" s="1610"/>
      <c r="D93" s="1610"/>
      <c r="E93" s="1610"/>
      <c r="F93" s="1611"/>
      <c r="G93" s="880">
        <f>G89+G59+G41+G24</f>
        <v>3607765</v>
      </c>
      <c r="H93" s="880">
        <f>SUM(H87:H91)</f>
        <v>1807711</v>
      </c>
      <c r="I93" s="880">
        <f t="shared" ref="I93:L93" si="18">SUM(I87:I91)</f>
        <v>128524</v>
      </c>
      <c r="J93" s="880">
        <f t="shared" si="18"/>
        <v>7000</v>
      </c>
      <c r="K93" s="880">
        <f t="shared" si="18"/>
        <v>0</v>
      </c>
      <c r="L93" s="880">
        <f t="shared" si="18"/>
        <v>1943235</v>
      </c>
    </row>
    <row r="94" spans="1:12" x14ac:dyDescent="0.2">
      <c r="A94" s="875"/>
      <c r="B94" s="875"/>
      <c r="C94" s="875"/>
      <c r="D94" s="875"/>
      <c r="E94" s="875"/>
      <c r="F94" s="875"/>
      <c r="G94" s="875"/>
      <c r="H94" s="875"/>
      <c r="I94" s="875"/>
      <c r="J94" s="875"/>
      <c r="K94" s="875"/>
      <c r="L94" s="875"/>
    </row>
    <row r="95" spans="1:12" ht="15.75" x14ac:dyDescent="0.2">
      <c r="A95" s="1613" t="s">
        <v>1159</v>
      </c>
      <c r="B95" s="1613"/>
      <c r="C95" s="1613"/>
      <c r="D95" s="1613"/>
      <c r="E95" s="1613"/>
      <c r="F95" s="1613"/>
      <c r="G95" s="1613"/>
      <c r="H95" s="1613"/>
      <c r="I95" s="1613"/>
      <c r="J95" s="1613"/>
      <c r="K95" s="1613"/>
      <c r="L95" s="1613"/>
    </row>
    <row r="96" spans="1:12" ht="16.5" thickBot="1" x14ac:dyDescent="0.25">
      <c r="A96" s="971"/>
      <c r="B96" s="971"/>
      <c r="C96" s="971"/>
      <c r="D96" s="971"/>
      <c r="E96" s="971"/>
      <c r="F96" s="971"/>
      <c r="G96" s="971"/>
      <c r="H96" s="971"/>
      <c r="I96" s="971"/>
      <c r="J96" s="971"/>
      <c r="K96" s="971"/>
      <c r="L96" s="971"/>
    </row>
    <row r="97" spans="1:12" ht="26.25" thickBot="1" x14ac:dyDescent="0.25">
      <c r="A97" s="1609" t="s">
        <v>12</v>
      </c>
      <c r="B97" s="1610"/>
      <c r="C97" s="1610"/>
      <c r="D97" s="1610"/>
      <c r="E97" s="1610"/>
      <c r="F97" s="1614"/>
      <c r="G97" s="966" t="s">
        <v>1129</v>
      </c>
      <c r="H97" s="933" t="s">
        <v>1039</v>
      </c>
      <c r="I97" s="933" t="s">
        <v>1148</v>
      </c>
      <c r="J97" s="933" t="s">
        <v>1189</v>
      </c>
      <c r="K97" s="933" t="s">
        <v>1190</v>
      </c>
      <c r="L97" s="933" t="s">
        <v>1147</v>
      </c>
    </row>
    <row r="98" spans="1:12" x14ac:dyDescent="0.2">
      <c r="A98" s="972"/>
      <c r="B98" s="1603" t="s">
        <v>1160</v>
      </c>
      <c r="C98" s="1604"/>
      <c r="D98" s="1604"/>
      <c r="E98" s="1604"/>
      <c r="F98" s="1605"/>
      <c r="G98" s="973">
        <v>7765</v>
      </c>
      <c r="H98" s="881"/>
      <c r="I98" s="881">
        <v>257973</v>
      </c>
      <c r="J98" s="881">
        <v>313055</v>
      </c>
      <c r="K98" s="881">
        <f>695071-571028</f>
        <v>124043</v>
      </c>
      <c r="L98" s="881">
        <f>H98+I98+J98+K98</f>
        <v>695071</v>
      </c>
    </row>
    <row r="99" spans="1:12" x14ac:dyDescent="0.2">
      <c r="A99" s="968"/>
      <c r="B99" s="1606" t="s">
        <v>1161</v>
      </c>
      <c r="C99" s="1607"/>
      <c r="D99" s="1607"/>
      <c r="E99" s="1607"/>
      <c r="F99" s="1608"/>
      <c r="G99" s="877">
        <v>7765</v>
      </c>
      <c r="H99" s="878"/>
      <c r="I99" s="878">
        <v>70295</v>
      </c>
      <c r="J99" s="878">
        <v>87215</v>
      </c>
      <c r="K99" s="878"/>
      <c r="L99" s="878">
        <f>H99+I99+J99+K99</f>
        <v>157510</v>
      </c>
    </row>
    <row r="100" spans="1:12" x14ac:dyDescent="0.2">
      <c r="A100" s="968"/>
      <c r="B100" s="1603" t="s">
        <v>1207</v>
      </c>
      <c r="C100" s="1604"/>
      <c r="D100" s="1604"/>
      <c r="E100" s="1604"/>
      <c r="F100" s="1605"/>
      <c r="G100" s="877"/>
      <c r="H100" s="878"/>
      <c r="I100" s="878"/>
      <c r="J100" s="878"/>
      <c r="K100" s="878">
        <v>675640</v>
      </c>
      <c r="L100" s="878">
        <f>H100+I100+J100+K100</f>
        <v>675640</v>
      </c>
    </row>
    <row r="101" spans="1:12" ht="13.5" thickBot="1" x14ac:dyDescent="0.25">
      <c r="A101" s="969"/>
      <c r="B101" s="1647" t="s">
        <v>1198</v>
      </c>
      <c r="C101" s="1648"/>
      <c r="D101" s="1648"/>
      <c r="E101" s="1648"/>
      <c r="F101" s="1649"/>
      <c r="G101" s="970">
        <v>7765</v>
      </c>
      <c r="H101" s="879"/>
      <c r="I101" s="879"/>
      <c r="J101" s="879">
        <v>238000</v>
      </c>
      <c r="K101" s="879"/>
      <c r="L101" s="879">
        <f>H101+I101+J101+K101</f>
        <v>238000</v>
      </c>
    </row>
    <row r="102" spans="1:12" ht="13.5" thickBot="1" x14ac:dyDescent="0.25">
      <c r="A102" s="875"/>
      <c r="B102" s="875"/>
      <c r="C102" s="875"/>
      <c r="D102" s="875"/>
      <c r="E102" s="875"/>
      <c r="F102" s="875"/>
      <c r="G102" s="875"/>
      <c r="H102" s="875"/>
      <c r="I102" s="875"/>
      <c r="J102" s="875"/>
      <c r="K102" s="875"/>
      <c r="L102" s="875"/>
    </row>
    <row r="103" spans="1:12" ht="13.5" thickBot="1" x14ac:dyDescent="0.25">
      <c r="A103" s="1609" t="s">
        <v>710</v>
      </c>
      <c r="B103" s="1610"/>
      <c r="C103" s="1610"/>
      <c r="D103" s="1610"/>
      <c r="E103" s="1610"/>
      <c r="F103" s="1611"/>
      <c r="G103" s="880">
        <f>G98+G67+G49+G32</f>
        <v>47215765</v>
      </c>
      <c r="H103" s="880">
        <f>SUM(H98:H101)</f>
        <v>0</v>
      </c>
      <c r="I103" s="880">
        <f t="shared" ref="I103:L103" si="19">SUM(I98:I101)</f>
        <v>328268</v>
      </c>
      <c r="J103" s="880">
        <f t="shared" si="19"/>
        <v>638270</v>
      </c>
      <c r="K103" s="880">
        <f t="shared" si="19"/>
        <v>799683</v>
      </c>
      <c r="L103" s="880">
        <f t="shared" si="19"/>
        <v>1766221</v>
      </c>
    </row>
    <row r="105" spans="1:12" x14ac:dyDescent="0.2">
      <c r="L105" s="757"/>
    </row>
  </sheetData>
  <mergeCells count="46">
    <mergeCell ref="B91:F91"/>
    <mergeCell ref="B101:F101"/>
    <mergeCell ref="B88:F88"/>
    <mergeCell ref="B87:F87"/>
    <mergeCell ref="C33:F33"/>
    <mergeCell ref="B89:F89"/>
    <mergeCell ref="A82:F82"/>
    <mergeCell ref="A51:A80"/>
    <mergeCell ref="B51:B59"/>
    <mergeCell ref="C51:F51"/>
    <mergeCell ref="B60:B79"/>
    <mergeCell ref="C60:F60"/>
    <mergeCell ref="B80:F80"/>
    <mergeCell ref="A86:F86"/>
    <mergeCell ref="A33:A50"/>
    <mergeCell ref="B47:B49"/>
    <mergeCell ref="B50:F50"/>
    <mergeCell ref="C47:F47"/>
    <mergeCell ref="A16:A32"/>
    <mergeCell ref="B34:B46"/>
    <mergeCell ref="C34:F34"/>
    <mergeCell ref="C23:F23"/>
    <mergeCell ref="B26:B28"/>
    <mergeCell ref="B29:B31"/>
    <mergeCell ref="B16:B22"/>
    <mergeCell ref="C26:F26"/>
    <mergeCell ref="C16:F16"/>
    <mergeCell ref="B23:B25"/>
    <mergeCell ref="C29:F29"/>
    <mergeCell ref="B32:F32"/>
    <mergeCell ref="B100:F100"/>
    <mergeCell ref="B98:F98"/>
    <mergeCell ref="B99:F99"/>
    <mergeCell ref="A103:F103"/>
    <mergeCell ref="A2:L2"/>
    <mergeCell ref="A84:L84"/>
    <mergeCell ref="B90:F90"/>
    <mergeCell ref="A93:F93"/>
    <mergeCell ref="A95:L95"/>
    <mergeCell ref="A97:F97"/>
    <mergeCell ref="A4:F4"/>
    <mergeCell ref="A5:A15"/>
    <mergeCell ref="B5:B13"/>
    <mergeCell ref="C5:F5"/>
    <mergeCell ref="C14:F14"/>
    <mergeCell ref="B15:F1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42"/>
  <sheetViews>
    <sheetView view="pageLayout" zoomScaleNormal="120" zoomScaleSheetLayoutView="100" workbookViewId="0">
      <selection activeCell="M16" sqref="M16"/>
    </sheetView>
  </sheetViews>
  <sheetFormatPr defaultColWidth="9.33203125" defaultRowHeight="15.75" x14ac:dyDescent="0.25"/>
  <cols>
    <col min="1" max="1" width="9.6640625" style="1147" bestFit="1" customWidth="1"/>
    <col min="2" max="2" width="84.83203125" style="1147" customWidth="1"/>
    <col min="3" max="4" width="14.83203125" style="1148" hidden="1" customWidth="1"/>
    <col min="5" max="5" width="10.83203125" style="1148" bestFit="1" customWidth="1"/>
    <col min="6" max="6" width="10" style="1148" bestFit="1" customWidth="1"/>
    <col min="7" max="7" width="10.1640625" style="1148" bestFit="1" customWidth="1"/>
    <col min="8" max="8" width="10.33203125" style="1148" customWidth="1"/>
    <col min="9" max="9" width="15" style="1148" customWidth="1"/>
    <col min="10" max="16384" width="9.33203125" style="988"/>
  </cols>
  <sheetData>
    <row r="1" spans="1:9" ht="15.95" customHeight="1" x14ac:dyDescent="0.25">
      <c r="A1" s="1507" t="s">
        <v>966</v>
      </c>
      <c r="B1" s="1507"/>
      <c r="C1" s="1507"/>
      <c r="D1" s="987"/>
      <c r="E1" s="987"/>
      <c r="F1" s="987"/>
      <c r="G1" s="987"/>
      <c r="H1" s="987"/>
      <c r="I1" s="987"/>
    </row>
    <row r="2" spans="1:9" ht="15.95" customHeight="1" thickBot="1" x14ac:dyDescent="0.3">
      <c r="A2" s="1509" t="s">
        <v>102</v>
      </c>
      <c r="B2" s="1509"/>
      <c r="C2" s="989"/>
      <c r="D2" s="989"/>
      <c r="E2" s="989"/>
      <c r="F2" s="989"/>
      <c r="G2" s="989"/>
      <c r="H2" s="989"/>
      <c r="I2" s="989" t="s">
        <v>303</v>
      </c>
    </row>
    <row r="3" spans="1:9" s="994" customFormat="1" ht="38.1" customHeight="1" thickBot="1" x14ac:dyDescent="0.3">
      <c r="A3" s="990" t="s">
        <v>19</v>
      </c>
      <c r="B3" s="991" t="s">
        <v>968</v>
      </c>
      <c r="C3" s="992" t="s">
        <v>1037</v>
      </c>
      <c r="D3" s="993" t="s">
        <v>1038</v>
      </c>
      <c r="E3" s="933" t="s">
        <v>1039</v>
      </c>
      <c r="F3" s="933" t="s">
        <v>1148</v>
      </c>
      <c r="G3" s="933" t="s">
        <v>1188</v>
      </c>
      <c r="H3" s="933" t="s">
        <v>1190</v>
      </c>
      <c r="I3" s="933" t="s">
        <v>1147</v>
      </c>
    </row>
    <row r="4" spans="1:9" s="997" customFormat="1" ht="12" customHeight="1" thickBot="1" x14ac:dyDescent="0.25">
      <c r="A4" s="995">
        <v>1</v>
      </c>
      <c r="B4" s="996">
        <v>2</v>
      </c>
      <c r="C4" s="992">
        <v>3</v>
      </c>
      <c r="D4" s="993">
        <v>4</v>
      </c>
      <c r="E4" s="933">
        <v>3</v>
      </c>
      <c r="F4" s="933">
        <v>4</v>
      </c>
      <c r="G4" s="933"/>
      <c r="H4" s="933"/>
      <c r="I4" s="933">
        <v>5</v>
      </c>
    </row>
    <row r="5" spans="1:9" s="1003" customFormat="1" ht="12" customHeight="1" thickBot="1" x14ac:dyDescent="0.25">
      <c r="A5" s="998" t="s">
        <v>969</v>
      </c>
      <c r="B5" s="999" t="s">
        <v>128</v>
      </c>
      <c r="C5" s="1000">
        <f>+C6+C11+C20</f>
        <v>239184</v>
      </c>
      <c r="D5" s="1001">
        <f>+D6+D11+D20</f>
        <v>116623</v>
      </c>
      <c r="E5" s="1002">
        <f>+E6+E11+E20</f>
        <v>111683</v>
      </c>
      <c r="F5" s="1002">
        <f t="shared" ref="F5:I5" si="0">+F6+F11+F20</f>
        <v>-11130</v>
      </c>
      <c r="G5" s="1002">
        <f t="shared" si="0"/>
        <v>0</v>
      </c>
      <c r="H5" s="1002">
        <f t="shared" si="0"/>
        <v>11184</v>
      </c>
      <c r="I5" s="1002">
        <f t="shared" si="0"/>
        <v>111737</v>
      </c>
    </row>
    <row r="6" spans="1:9" s="1003" customFormat="1" ht="12" customHeight="1" thickBot="1" x14ac:dyDescent="0.25">
      <c r="A6" s="1004" t="s">
        <v>970</v>
      </c>
      <c r="B6" s="1005" t="s">
        <v>380</v>
      </c>
      <c r="C6" s="1006">
        <f>+C7+C8+C9+C10</f>
        <v>84681</v>
      </c>
      <c r="D6" s="1007">
        <f>+D7+D8+D9+D10</f>
        <v>95825</v>
      </c>
      <c r="E6" s="1008">
        <f>+E7+E8+E9+E10</f>
        <v>90200</v>
      </c>
      <c r="F6" s="1008">
        <f t="shared" ref="F6:I6" si="1">+F7+F8+F9+F10</f>
        <v>-11130</v>
      </c>
      <c r="G6" s="1008">
        <f t="shared" si="1"/>
        <v>0</v>
      </c>
      <c r="H6" s="1008">
        <f t="shared" si="1"/>
        <v>11130</v>
      </c>
      <c r="I6" s="1008">
        <f t="shared" si="1"/>
        <v>90200</v>
      </c>
    </row>
    <row r="7" spans="1:9" s="1003" customFormat="1" ht="12" customHeight="1" x14ac:dyDescent="0.2">
      <c r="A7" s="1009" t="s">
        <v>66</v>
      </c>
      <c r="B7" s="1010" t="s">
        <v>1013</v>
      </c>
      <c r="C7" s="1011">
        <f>'1.2.sz.mell. _köt'!C7+'1.3.sz.mell._önk'!C7+'1.4.sz.mell._állig'!C7</f>
        <v>81677</v>
      </c>
      <c r="D7" s="1012">
        <f>'1.2.sz.mell. _köt'!D7+'1.3.sz.mell._önk'!D7+'1.4.sz.mell._állig'!D7</f>
        <v>92783</v>
      </c>
      <c r="E7" s="1013">
        <f>'1.2.sz.mell. _köt'!E7+'1.3.sz.mell._önk'!E7+'1.4.sz.mell._állig'!E7</f>
        <v>87700</v>
      </c>
      <c r="F7" s="1013">
        <f>'1.2.sz.mell. _köt'!F7+'1.3.sz.mell._önk'!F7+'1.4.sz.mell._állig'!F7</f>
        <v>-11130</v>
      </c>
      <c r="G7" s="1013">
        <f>'1.2.sz.mell. _köt'!G7+'1.3.sz.mell._önk'!G7+'1.4.sz.mell._állig'!G7</f>
        <v>0</v>
      </c>
      <c r="H7" s="1013">
        <f>'1.2.sz.mell. _köt'!H7+'1.3.sz.mell._önk'!H7+'1.4.sz.mell._állig'!H7</f>
        <v>11130</v>
      </c>
      <c r="I7" s="1013">
        <f>'1.2.sz.mell. _köt'!I7+'1.3.sz.mell._önk'!I7+'1.4.sz.mell._állig'!I7</f>
        <v>87700</v>
      </c>
    </row>
    <row r="8" spans="1:9" s="1003" customFormat="1" ht="12" customHeight="1" x14ac:dyDescent="0.2">
      <c r="A8" s="1009" t="s">
        <v>67</v>
      </c>
      <c r="B8" s="1014" t="s">
        <v>35</v>
      </c>
      <c r="C8" s="1011">
        <f>'1.2.sz.mell. _köt'!C8+'1.3.sz.mell._önk'!C8+'1.4.sz.mell._állig'!C8</f>
        <v>0</v>
      </c>
      <c r="D8" s="1012">
        <f>'1.2.sz.mell. _köt'!D8+'1.3.sz.mell._önk'!D8+'1.4.sz.mell._állig'!D8</f>
        <v>0</v>
      </c>
      <c r="E8" s="1013">
        <f>'1.2.sz.mell. _köt'!E8+'1.3.sz.mell._önk'!E8+'1.4.sz.mell._állig'!E8</f>
        <v>0</v>
      </c>
      <c r="F8" s="1013">
        <f>'1.2.sz.mell. _köt'!F8+'1.3.sz.mell._önk'!F8+'1.4.sz.mell._állig'!F8</f>
        <v>0</v>
      </c>
      <c r="G8" s="1013">
        <f>'1.2.sz.mell. _köt'!G8+'1.3.sz.mell._önk'!G8+'1.4.sz.mell._állig'!G8</f>
        <v>0</v>
      </c>
      <c r="H8" s="1013">
        <f>'1.2.sz.mell. _köt'!H8+'1.3.sz.mell._önk'!H8+'1.4.sz.mell._állig'!H8</f>
        <v>0</v>
      </c>
      <c r="I8" s="1013">
        <f>'1.2.sz.mell. _köt'!I8+'1.3.sz.mell._önk'!I8+'1.4.sz.mell._állig'!I8</f>
        <v>0</v>
      </c>
    </row>
    <row r="9" spans="1:9" s="1003" customFormat="1" ht="12" customHeight="1" x14ac:dyDescent="0.2">
      <c r="A9" s="1009" t="s">
        <v>68</v>
      </c>
      <c r="B9" s="1014" t="s">
        <v>129</v>
      </c>
      <c r="C9" s="1011">
        <f>'1.2.sz.mell. _köt'!C9+'1.3.sz.mell._önk'!C9+'1.4.sz.mell._állig'!C9</f>
        <v>2816</v>
      </c>
      <c r="D9" s="1012">
        <f>'1.2.sz.mell. _köt'!D9+'1.3.sz.mell._önk'!D9+'1.4.sz.mell._állig'!D9</f>
        <v>2174</v>
      </c>
      <c r="E9" s="1013">
        <f>'1.2.sz.mell. _köt'!E9+'1.3.sz.mell._önk'!E9+'1.4.sz.mell._állig'!E9</f>
        <v>2000</v>
      </c>
      <c r="F9" s="1013">
        <f>'1.2.sz.mell. _köt'!F9+'1.3.sz.mell._önk'!F9+'1.4.sz.mell._állig'!F9</f>
        <v>0</v>
      </c>
      <c r="G9" s="1013">
        <f>'1.2.sz.mell. _köt'!G9+'1.3.sz.mell._önk'!G9+'1.4.sz.mell._állig'!G9</f>
        <v>0</v>
      </c>
      <c r="H9" s="1013">
        <f>'1.2.sz.mell. _köt'!H9+'1.3.sz.mell._önk'!H9+'1.4.sz.mell._állig'!H9</f>
        <v>0</v>
      </c>
      <c r="I9" s="1013">
        <f>'1.2.sz.mell. _köt'!I9+'1.3.sz.mell._önk'!I9+'1.4.sz.mell._állig'!I9</f>
        <v>2000</v>
      </c>
    </row>
    <row r="10" spans="1:9" s="1003" customFormat="1" ht="12" customHeight="1" thickBot="1" x14ac:dyDescent="0.25">
      <c r="A10" s="1009" t="s">
        <v>69</v>
      </c>
      <c r="B10" s="1015" t="s">
        <v>130</v>
      </c>
      <c r="C10" s="1011">
        <f>'1.2.sz.mell. _köt'!C10+'1.3.sz.mell._önk'!C10+'1.4.sz.mell._állig'!C10</f>
        <v>188</v>
      </c>
      <c r="D10" s="1012">
        <f>'1.2.sz.mell. _köt'!D10+'1.3.sz.mell._önk'!D10+'1.4.sz.mell._állig'!D10</f>
        <v>868</v>
      </c>
      <c r="E10" s="1013">
        <f>'1.2.sz.mell. _köt'!E10+'1.3.sz.mell._önk'!E10+'1.4.sz.mell._állig'!E10</f>
        <v>500</v>
      </c>
      <c r="F10" s="1013">
        <f>'1.2.sz.mell. _köt'!F10+'1.3.sz.mell._önk'!F10+'1.4.sz.mell._állig'!F10</f>
        <v>0</v>
      </c>
      <c r="G10" s="1013">
        <f>'1.2.sz.mell. _köt'!G10+'1.3.sz.mell._önk'!G10+'1.4.sz.mell._állig'!G10</f>
        <v>0</v>
      </c>
      <c r="H10" s="1013">
        <f>'1.2.sz.mell. _köt'!H10+'1.3.sz.mell._önk'!H10+'1.4.sz.mell._állig'!H10</f>
        <v>0</v>
      </c>
      <c r="I10" s="1013">
        <f>'1.2.sz.mell. _köt'!I10+'1.3.sz.mell._önk'!I10+'1.4.sz.mell._állig'!I10</f>
        <v>500</v>
      </c>
    </row>
    <row r="11" spans="1:9" s="1003" customFormat="1" ht="12" customHeight="1" thickBot="1" x14ac:dyDescent="0.25">
      <c r="A11" s="1004" t="s">
        <v>971</v>
      </c>
      <c r="B11" s="999" t="s">
        <v>131</v>
      </c>
      <c r="C11" s="1016">
        <f>+C12+C13+C14+C15+C16+C17+C18+C19</f>
        <v>42354</v>
      </c>
      <c r="D11" s="1007">
        <f>+D12+D13+D14+D15+D16+D17+D18+D19</f>
        <v>12966</v>
      </c>
      <c r="E11" s="1008">
        <f>+E12+E13+E14+E15+E16+E17+E18+E19</f>
        <v>13483</v>
      </c>
      <c r="F11" s="1008">
        <f t="shared" ref="F11:I11" si="2">+F12+F13+F14+F15+F16+F17+F18+F19</f>
        <v>0</v>
      </c>
      <c r="G11" s="1008">
        <f t="shared" si="2"/>
        <v>0</v>
      </c>
      <c r="H11" s="1008">
        <f t="shared" si="2"/>
        <v>54</v>
      </c>
      <c r="I11" s="1008">
        <f t="shared" si="2"/>
        <v>13537</v>
      </c>
    </row>
    <row r="12" spans="1:9" s="1003" customFormat="1" ht="12" customHeight="1" x14ac:dyDescent="0.2">
      <c r="A12" s="1017" t="s">
        <v>40</v>
      </c>
      <c r="B12" s="1018" t="s">
        <v>136</v>
      </c>
      <c r="C12" s="1011">
        <f>'1.2.sz.mell. _köt'!C12+'1.3.sz.mell._önk'!C12+'1.4.sz.mell._állig'!C12</f>
        <v>51</v>
      </c>
      <c r="D12" s="1012">
        <f>'1.2.sz.mell. _köt'!D12+'1.3.sz.mell._önk'!D12+'1.4.sz.mell._állig'!D12</f>
        <v>0</v>
      </c>
      <c r="E12" s="1013">
        <f>'1.2.sz.mell. _köt'!E12+'1.3.sz.mell._önk'!E12+'1.4.sz.mell._állig'!E12</f>
        <v>0</v>
      </c>
      <c r="F12" s="1013">
        <f>'1.2.sz.mell. _köt'!F12+'1.3.sz.mell._önk'!F12+'1.4.sz.mell._állig'!F12</f>
        <v>0</v>
      </c>
      <c r="G12" s="1013">
        <f>'1.2.sz.mell. _köt'!G12+'1.3.sz.mell._önk'!G12+'1.4.sz.mell._állig'!G12</f>
        <v>0</v>
      </c>
      <c r="H12" s="1013">
        <f>'1.2.sz.mell. _köt'!H12+'1.3.sz.mell._önk'!H12+'1.4.sz.mell._állig'!H12</f>
        <v>0</v>
      </c>
      <c r="I12" s="1013">
        <f>'1.2.sz.mell. _köt'!I12+'1.3.sz.mell._önk'!I12+'1.4.sz.mell._állig'!I12</f>
        <v>0</v>
      </c>
    </row>
    <row r="13" spans="1:9" s="1003" customFormat="1" ht="12" customHeight="1" x14ac:dyDescent="0.2">
      <c r="A13" s="1009" t="s">
        <v>41</v>
      </c>
      <c r="B13" s="1019" t="s">
        <v>137</v>
      </c>
      <c r="C13" s="1011">
        <f>'1.2.sz.mell. _köt'!C13+'1.3.sz.mell._önk'!C13+'1.4.sz.mell._állig'!C13</f>
        <v>940</v>
      </c>
      <c r="D13" s="1012">
        <f>'1.2.sz.mell. _köt'!D13+'1.3.sz.mell._önk'!D13+'1.4.sz.mell._állig'!D13</f>
        <v>0</v>
      </c>
      <c r="E13" s="1013">
        <f>'1.2.sz.mell. _köt'!E13+'1.3.sz.mell._önk'!E13+'1.4.sz.mell._állig'!E13</f>
        <v>50</v>
      </c>
      <c r="F13" s="1013">
        <f>'1.2.sz.mell. _köt'!F13+'1.3.sz.mell._önk'!F13+'1.4.sz.mell._állig'!F13</f>
        <v>0</v>
      </c>
      <c r="G13" s="1013">
        <f>'1.2.sz.mell. _köt'!G13+'1.3.sz.mell._önk'!G13+'1.4.sz.mell._állig'!G13</f>
        <v>0</v>
      </c>
      <c r="H13" s="1013">
        <f>'1.2.sz.mell. _köt'!H13+'1.3.sz.mell._önk'!H13+'1.4.sz.mell._állig'!H13</f>
        <v>54</v>
      </c>
      <c r="I13" s="1013">
        <f>'1.2.sz.mell. _köt'!I13+'1.3.sz.mell._önk'!I13+'1.4.sz.mell._állig'!I13</f>
        <v>104</v>
      </c>
    </row>
    <row r="14" spans="1:9" s="1003" customFormat="1" ht="12" customHeight="1" x14ac:dyDescent="0.2">
      <c r="A14" s="1009" t="s">
        <v>42</v>
      </c>
      <c r="B14" s="1019" t="s">
        <v>138</v>
      </c>
      <c r="C14" s="1011">
        <f>'1.2.sz.mell. _köt'!C14+'1.3.sz.mell._önk'!C14+'1.4.sz.mell._állig'!C14</f>
        <v>7711</v>
      </c>
      <c r="D14" s="1012">
        <f>'1.2.sz.mell. _köt'!D14+'1.3.sz.mell._önk'!D14+'1.4.sz.mell._állig'!D14</f>
        <v>6337</v>
      </c>
      <c r="E14" s="1013">
        <f>'1.2.sz.mell. _köt'!E14+'1.3.sz.mell._önk'!E14+'1.4.sz.mell._állig'!E14</f>
        <v>7223</v>
      </c>
      <c r="F14" s="1013">
        <f>'1.2.sz.mell. _köt'!F14+'1.3.sz.mell._önk'!F14+'1.4.sz.mell._állig'!F14</f>
        <v>0</v>
      </c>
      <c r="G14" s="1013">
        <f>'1.2.sz.mell. _köt'!G14+'1.3.sz.mell._önk'!G14+'1.4.sz.mell._állig'!G14</f>
        <v>0</v>
      </c>
      <c r="H14" s="1013">
        <f>'1.2.sz.mell. _köt'!H14+'1.3.sz.mell._önk'!H14+'1.4.sz.mell._állig'!H14</f>
        <v>0</v>
      </c>
      <c r="I14" s="1013">
        <f>'1.2.sz.mell. _köt'!I14+'1.3.sz.mell._önk'!I14+'1.4.sz.mell._állig'!I14</f>
        <v>7223</v>
      </c>
    </row>
    <row r="15" spans="1:9" s="1003" customFormat="1" ht="12" customHeight="1" x14ac:dyDescent="0.2">
      <c r="A15" s="1009" t="s">
        <v>43</v>
      </c>
      <c r="B15" s="1019" t="s">
        <v>139</v>
      </c>
      <c r="C15" s="1011">
        <f>'1.2.sz.mell. _köt'!C15+'1.3.sz.mell._önk'!C15+'1.4.sz.mell._állig'!C15</f>
        <v>4213</v>
      </c>
      <c r="D15" s="1012">
        <f>'1.2.sz.mell. _köt'!D15+'1.3.sz.mell._önk'!D15+'1.4.sz.mell._állig'!D15</f>
        <v>4780</v>
      </c>
      <c r="E15" s="1013">
        <f>'1.2.sz.mell. _köt'!E15+'1.3.sz.mell._önk'!E15+'1.4.sz.mell._állig'!E15</f>
        <v>4996</v>
      </c>
      <c r="F15" s="1013">
        <f>'1.2.sz.mell. _köt'!F15+'1.3.sz.mell._önk'!F15+'1.4.sz.mell._állig'!F15</f>
        <v>0</v>
      </c>
      <c r="G15" s="1013">
        <f>'1.2.sz.mell. _köt'!G15+'1.3.sz.mell._önk'!G15+'1.4.sz.mell._állig'!G15</f>
        <v>0</v>
      </c>
      <c r="H15" s="1013">
        <f>'1.2.sz.mell. _köt'!H15+'1.3.sz.mell._önk'!H15+'1.4.sz.mell._állig'!H15</f>
        <v>0</v>
      </c>
      <c r="I15" s="1013">
        <f>'1.2.sz.mell. _köt'!I15+'1.3.sz.mell._önk'!I15+'1.4.sz.mell._állig'!I15</f>
        <v>4996</v>
      </c>
    </row>
    <row r="16" spans="1:9" s="1003" customFormat="1" ht="12" customHeight="1" x14ac:dyDescent="0.2">
      <c r="A16" s="1020" t="s">
        <v>132</v>
      </c>
      <c r="B16" s="1021" t="s">
        <v>140</v>
      </c>
      <c r="C16" s="1011">
        <f>'1.2.sz.mell. _köt'!C16+'1.3.sz.mell._önk'!C16+'1.4.sz.mell._állig'!C16</f>
        <v>2527</v>
      </c>
      <c r="D16" s="1012">
        <f>'1.2.sz.mell. _köt'!D16+'1.3.sz.mell._önk'!D16+'1.4.sz.mell._állig'!D16</f>
        <v>17</v>
      </c>
      <c r="E16" s="1013">
        <f>'1.2.sz.mell. _köt'!E16+'1.3.sz.mell._önk'!E16+'1.4.sz.mell._állig'!E16</f>
        <v>0</v>
      </c>
      <c r="F16" s="1013">
        <f>'1.2.sz.mell. _köt'!F16+'1.3.sz.mell._önk'!F16+'1.4.sz.mell._állig'!F16</f>
        <v>0</v>
      </c>
      <c r="G16" s="1013">
        <f>'1.2.sz.mell. _köt'!G16+'1.3.sz.mell._önk'!G16+'1.4.sz.mell._állig'!G16</f>
        <v>0</v>
      </c>
      <c r="H16" s="1013">
        <f>'1.2.sz.mell. _köt'!H16+'1.3.sz.mell._önk'!H16+'1.4.sz.mell._állig'!H16</f>
        <v>0</v>
      </c>
      <c r="I16" s="1013">
        <f>'1.2.sz.mell. _köt'!I16+'1.3.sz.mell._önk'!I16+'1.4.sz.mell._állig'!I16</f>
        <v>0</v>
      </c>
    </row>
    <row r="17" spans="1:11" s="1003" customFormat="1" ht="12" customHeight="1" x14ac:dyDescent="0.2">
      <c r="A17" s="1009" t="s">
        <v>133</v>
      </c>
      <c r="B17" s="1019" t="s">
        <v>243</v>
      </c>
      <c r="C17" s="1011">
        <f>'1.2.sz.mell. _köt'!C17+'1.3.sz.mell._önk'!C17+'1.4.sz.mell._állig'!C17</f>
        <v>26460</v>
      </c>
      <c r="D17" s="1012">
        <f>'1.2.sz.mell. _köt'!D17+'1.3.sz.mell._önk'!D17+'1.4.sz.mell._állig'!D17</f>
        <v>1254</v>
      </c>
      <c r="E17" s="1013">
        <f>'1.2.sz.mell. _köt'!E17+'1.3.sz.mell._önk'!E17+'1.4.sz.mell._állig'!E17</f>
        <v>1214</v>
      </c>
      <c r="F17" s="1013">
        <f>'1.2.sz.mell. _köt'!F17+'1.3.sz.mell._önk'!F17+'1.4.sz.mell._állig'!F17</f>
        <v>0</v>
      </c>
      <c r="G17" s="1013">
        <f>'1.2.sz.mell. _köt'!G17+'1.3.sz.mell._önk'!G17+'1.4.sz.mell._állig'!G17</f>
        <v>0</v>
      </c>
      <c r="H17" s="1013">
        <f>'1.2.sz.mell. _köt'!H17+'1.3.sz.mell._önk'!H17+'1.4.sz.mell._állig'!H17</f>
        <v>0</v>
      </c>
      <c r="I17" s="1013">
        <f>'1.2.sz.mell. _köt'!I17+'1.3.sz.mell._önk'!I17+'1.4.sz.mell._állig'!I17</f>
        <v>1214</v>
      </c>
    </row>
    <row r="18" spans="1:11" s="1003" customFormat="1" ht="12" customHeight="1" x14ac:dyDescent="0.2">
      <c r="A18" s="1009" t="s">
        <v>134</v>
      </c>
      <c r="B18" s="1019" t="s">
        <v>142</v>
      </c>
      <c r="C18" s="1011">
        <f>'1.2.sz.mell. _köt'!C18+'1.3.sz.mell._önk'!C18+'1.4.sz.mell._állig'!C18</f>
        <v>230</v>
      </c>
      <c r="D18" s="1012">
        <f>'1.2.sz.mell. _köt'!D18+'1.3.sz.mell._önk'!D18+'1.4.sz.mell._állig'!D18</f>
        <v>475</v>
      </c>
      <c r="E18" s="1013">
        <f>'1.2.sz.mell. _köt'!E18+'1.3.sz.mell._önk'!E18+'1.4.sz.mell._állig'!E18</f>
        <v>0</v>
      </c>
      <c r="F18" s="1013">
        <f>'1.2.sz.mell. _köt'!F18+'1.3.sz.mell._önk'!F18+'1.4.sz.mell._állig'!F18</f>
        <v>0</v>
      </c>
      <c r="G18" s="1013">
        <f>'1.2.sz.mell. _köt'!G18+'1.3.sz.mell._önk'!G18+'1.4.sz.mell._állig'!G18</f>
        <v>0</v>
      </c>
      <c r="H18" s="1013">
        <f>'1.2.sz.mell. _köt'!H18+'1.3.sz.mell._önk'!H18+'1.4.sz.mell._állig'!H18</f>
        <v>0</v>
      </c>
      <c r="I18" s="1013">
        <f>'1.2.sz.mell. _köt'!I18+'1.3.sz.mell._önk'!I18+'1.4.sz.mell._állig'!I18</f>
        <v>0</v>
      </c>
    </row>
    <row r="19" spans="1:11" s="1003" customFormat="1" ht="12" customHeight="1" thickBot="1" x14ac:dyDescent="0.25">
      <c r="A19" s="1022" t="s">
        <v>135</v>
      </c>
      <c r="B19" s="1023" t="s">
        <v>143</v>
      </c>
      <c r="C19" s="1011">
        <f>'1.2.sz.mell. _köt'!C19+'1.3.sz.mell._önk'!C19+'1.4.sz.mell._állig'!C19</f>
        <v>222</v>
      </c>
      <c r="D19" s="1012">
        <f>'1.2.sz.mell. _köt'!D19+'1.3.sz.mell._önk'!D19+'1.4.sz.mell._állig'!D19</f>
        <v>103</v>
      </c>
      <c r="E19" s="1013">
        <f>'1.2.sz.mell. _köt'!E19+'1.3.sz.mell._önk'!E19+'1.4.sz.mell._állig'!E19</f>
        <v>0</v>
      </c>
      <c r="F19" s="1013">
        <f>'1.2.sz.mell. _köt'!F19+'1.3.sz.mell._önk'!F19+'1.4.sz.mell._állig'!F19</f>
        <v>0</v>
      </c>
      <c r="G19" s="1013">
        <f>'1.2.sz.mell. _köt'!G19+'1.3.sz.mell._önk'!G19+'1.4.sz.mell._állig'!G19</f>
        <v>0</v>
      </c>
      <c r="H19" s="1013">
        <f>'1.2.sz.mell. _köt'!H19+'1.3.sz.mell._önk'!H19+'1.4.sz.mell._állig'!H19</f>
        <v>0</v>
      </c>
      <c r="I19" s="1013">
        <f>'1.2.sz.mell. _köt'!I19+'1.3.sz.mell._önk'!I19+'1.4.sz.mell._állig'!I19</f>
        <v>0</v>
      </c>
    </row>
    <row r="20" spans="1:11" s="1003" customFormat="1" ht="12" customHeight="1" thickBot="1" x14ac:dyDescent="0.25">
      <c r="A20" s="1004" t="s">
        <v>144</v>
      </c>
      <c r="B20" s="999" t="s">
        <v>244</v>
      </c>
      <c r="C20" s="1024">
        <f>'1.2.sz.mell. _köt'!C20+'1.3.sz.mell._önk'!C20+'1.4.sz.mell._állig'!C20</f>
        <v>112149</v>
      </c>
      <c r="D20" s="1025">
        <f>'1.2.sz.mell. _köt'!D20+'1.3.sz.mell._önk'!D20+'1.4.sz.mell._állig'!D20</f>
        <v>7832</v>
      </c>
      <c r="E20" s="1026">
        <f>'1.2.sz.mell. _köt'!E20+'1.3.sz.mell._önk'!E20+'1.4.sz.mell._állig'!E20</f>
        <v>8000</v>
      </c>
      <c r="F20" s="1026">
        <f>'1.2.sz.mell. _köt'!F20+'1.3.sz.mell._önk'!F20+'1.4.sz.mell._állig'!F20</f>
        <v>0</v>
      </c>
      <c r="G20" s="1026">
        <f>'1.2.sz.mell. _köt'!G20+'1.3.sz.mell._önk'!G20+'1.4.sz.mell._állig'!G20</f>
        <v>0</v>
      </c>
      <c r="H20" s="1026">
        <f>'1.2.sz.mell. _köt'!H20+'1.3.sz.mell._önk'!H20+'1.4.sz.mell._állig'!H20</f>
        <v>0</v>
      </c>
      <c r="I20" s="1026">
        <f>'1.2.sz.mell. _köt'!I20+'1.3.sz.mell._önk'!I20+'1.4.sz.mell._állig'!I20</f>
        <v>8000</v>
      </c>
    </row>
    <row r="21" spans="1:11" s="1003" customFormat="1" ht="12" customHeight="1" thickBot="1" x14ac:dyDescent="0.25">
      <c r="A21" s="1004" t="s">
        <v>973</v>
      </c>
      <c r="B21" s="999" t="s">
        <v>146</v>
      </c>
      <c r="C21" s="1016">
        <f>+C22+C23+C24+C25+C26+C27+C28+C29</f>
        <v>262575</v>
      </c>
      <c r="D21" s="1007">
        <f>+D22+D23+D24+D25+D26+D27+D28+D29</f>
        <v>115921</v>
      </c>
      <c r="E21" s="1008">
        <f>+E22+E23+E24+E25+E26+E27+E28+E29</f>
        <v>147818</v>
      </c>
      <c r="F21" s="1008">
        <f t="shared" ref="F21:I21" si="3">+F22+F23+F24+F25+F26+F27+F28+F29</f>
        <v>6933</v>
      </c>
      <c r="G21" s="1008">
        <f t="shared" si="3"/>
        <v>-341</v>
      </c>
      <c r="H21" s="1008">
        <f t="shared" si="3"/>
        <v>1622</v>
      </c>
      <c r="I21" s="1008">
        <f t="shared" si="3"/>
        <v>156032</v>
      </c>
    </row>
    <row r="22" spans="1:11" s="1003" customFormat="1" ht="12" customHeight="1" x14ac:dyDescent="0.2">
      <c r="A22" s="1027" t="s">
        <v>44</v>
      </c>
      <c r="B22" s="1028" t="s">
        <v>902</v>
      </c>
      <c r="C22" s="1011">
        <f>'1.2.sz.mell. _köt'!C22+'1.3.sz.mell._önk'!C22+'1.4.sz.mell._állig'!C22</f>
        <v>54633</v>
      </c>
      <c r="D22" s="1012">
        <f>'1.2.sz.mell. _köt'!D22+'1.3.sz.mell._önk'!D22+'1.4.sz.mell._állig'!D22</f>
        <v>101515</v>
      </c>
      <c r="E22" s="1013">
        <f>'1.2.sz.mell. _köt'!E22+'1.3.sz.mell._önk'!E22+'1.4.sz.mell._állig'!E22</f>
        <v>147818</v>
      </c>
      <c r="F22" s="1013">
        <f>'1.2.sz.mell. _köt'!F22+'1.3.sz.mell._önk'!F22+'1.4.sz.mell._állig'!F22</f>
        <v>4668</v>
      </c>
      <c r="G22" s="1013">
        <f>'1.2.sz.mell. _köt'!G22+'1.3.sz.mell._önk'!G22+'1.4.sz.mell._állig'!G22</f>
        <v>-2922</v>
      </c>
      <c r="H22" s="1013">
        <f>'1.2.sz.mell. _köt'!H22+'1.3.sz.mell._önk'!H22+'1.4.sz.mell._állig'!H22</f>
        <v>822</v>
      </c>
      <c r="I22" s="1013">
        <f>'1.2.sz.mell. _köt'!I22+'1.3.sz.mell._önk'!I22+'1.4.sz.mell._állig'!I22</f>
        <v>150386</v>
      </c>
      <c r="K22" s="1176"/>
    </row>
    <row r="23" spans="1:11" s="1003" customFormat="1" ht="12" customHeight="1" x14ac:dyDescent="0.2">
      <c r="A23" s="1009" t="s">
        <v>45</v>
      </c>
      <c r="B23" s="1019" t="s">
        <v>152</v>
      </c>
      <c r="C23" s="1011">
        <f>'1.2.sz.mell. _köt'!C23+'1.3.sz.mell._önk'!C23+'1.4.sz.mell._állig'!C23</f>
        <v>10150</v>
      </c>
      <c r="D23" s="1012">
        <f>'1.2.sz.mell. _köt'!D23+'1.3.sz.mell._önk'!D23+'1.4.sz.mell._állig'!D23</f>
        <v>0</v>
      </c>
      <c r="E23" s="1013">
        <f>'1.2.sz.mell. _köt'!E23+'1.3.sz.mell._önk'!E23+'1.4.sz.mell._állig'!E23</f>
        <v>0</v>
      </c>
      <c r="F23" s="1013">
        <f>'1.2.sz.mell. _köt'!F23+'1.3.sz.mell._önk'!F23+'1.4.sz.mell._állig'!F23</f>
        <v>1937</v>
      </c>
      <c r="G23" s="1013">
        <f>'1.2.sz.mell. _köt'!G23+'1.3.sz.mell._önk'!G23+'1.4.sz.mell._állig'!G23</f>
        <v>6</v>
      </c>
      <c r="H23" s="1013">
        <f>'1.2.sz.mell. _köt'!H23+'1.3.sz.mell._önk'!H23+'1.4.sz.mell._állig'!H23</f>
        <v>0</v>
      </c>
      <c r="I23" s="1013">
        <f>'1.2.sz.mell. _köt'!I23+'1.3.sz.mell._önk'!I23+'1.4.sz.mell._állig'!I23</f>
        <v>1943</v>
      </c>
    </row>
    <row r="24" spans="1:11" s="1003" customFormat="1" ht="12" customHeight="1" x14ac:dyDescent="0.2">
      <c r="A24" s="1009" t="s">
        <v>46</v>
      </c>
      <c r="B24" s="1019" t="s">
        <v>49</v>
      </c>
      <c r="C24" s="1011">
        <f>'1.2.sz.mell. _köt'!C24+'1.3.sz.mell._önk'!C24+'1.4.sz.mell._állig'!C24</f>
        <v>20962</v>
      </c>
      <c r="D24" s="1012">
        <f>'1.2.sz.mell. _köt'!D24+'1.3.sz.mell._önk'!D24+'1.4.sz.mell._állig'!D24</f>
        <v>0</v>
      </c>
      <c r="E24" s="1013">
        <f>'1.2.sz.mell. _köt'!E24+'1.3.sz.mell._önk'!E24+'1.4.sz.mell._állig'!E24</f>
        <v>0</v>
      </c>
      <c r="F24" s="1013">
        <f>'1.2.sz.mell. _köt'!F24+'1.3.sz.mell._önk'!F24+'1.4.sz.mell._állig'!F24</f>
        <v>328</v>
      </c>
      <c r="G24" s="1013">
        <f>'1.2.sz.mell. _köt'!G24+'1.3.sz.mell._önk'!G24+'1.4.sz.mell._állig'!G24</f>
        <v>638</v>
      </c>
      <c r="H24" s="1013">
        <f>'1.2.sz.mell. _köt'!H24+'1.3.sz.mell._önk'!H24+'1.4.sz.mell._állig'!H24</f>
        <v>800</v>
      </c>
      <c r="I24" s="1013">
        <f>'1.2.sz.mell. _köt'!I24+'1.3.sz.mell._önk'!I24+'1.4.sz.mell._állig'!I24</f>
        <v>1766</v>
      </c>
    </row>
    <row r="25" spans="1:11" s="1003" customFormat="1" ht="12" customHeight="1" x14ac:dyDescent="0.2">
      <c r="A25" s="1029" t="s">
        <v>147</v>
      </c>
      <c r="B25" s="1019" t="s">
        <v>153</v>
      </c>
      <c r="C25" s="1011">
        <f>'1.2.sz.mell. _köt'!C25+'1.3.sz.mell._önk'!C25+'1.4.sz.mell._állig'!C25</f>
        <v>0</v>
      </c>
      <c r="D25" s="1012">
        <f>'1.2.sz.mell. _köt'!D25+'1.3.sz.mell._önk'!D25+'1.4.sz.mell._állig'!D25</f>
        <v>9420</v>
      </c>
      <c r="E25" s="1013">
        <f>'1.2.sz.mell. _köt'!E25+'1.3.sz.mell._önk'!E25+'1.4.sz.mell._állig'!E25</f>
        <v>0</v>
      </c>
      <c r="F25" s="1013">
        <f>'1.2.sz.mell. _köt'!F25+'1.3.sz.mell._önk'!F25+'1.4.sz.mell._állig'!F25</f>
        <v>0</v>
      </c>
      <c r="G25" s="1013">
        <f>'1.2.sz.mell. _köt'!G25+'1.3.sz.mell._önk'!G25+'1.4.sz.mell._állig'!G25</f>
        <v>0</v>
      </c>
      <c r="H25" s="1013">
        <f>'1.2.sz.mell. _köt'!H25+'1.3.sz.mell._önk'!H25+'1.4.sz.mell._állig'!H25</f>
        <v>0</v>
      </c>
      <c r="I25" s="1013">
        <f>'1.2.sz.mell. _köt'!I25+'1.3.sz.mell._önk'!I25+'1.4.sz.mell._állig'!I25</f>
        <v>0</v>
      </c>
    </row>
    <row r="26" spans="1:11" s="1003" customFormat="1" ht="12" customHeight="1" x14ac:dyDescent="0.2">
      <c r="A26" s="1029" t="s">
        <v>148</v>
      </c>
      <c r="B26" s="1019" t="s">
        <v>154</v>
      </c>
      <c r="C26" s="1011">
        <f>'1.2.sz.mell. _köt'!C26+'1.3.sz.mell._önk'!C26+'1.4.sz.mell._állig'!C26</f>
        <v>0</v>
      </c>
      <c r="D26" s="1012">
        <f>'1.2.sz.mell. _köt'!D26+'1.3.sz.mell._önk'!D26+'1.4.sz.mell._állig'!D26</f>
        <v>0</v>
      </c>
      <c r="E26" s="1013">
        <f>'1.2.sz.mell. _köt'!E26+'1.3.sz.mell._önk'!E26+'1.4.sz.mell._állig'!E26</f>
        <v>0</v>
      </c>
      <c r="F26" s="1013">
        <f>'1.2.sz.mell. _köt'!F26+'1.3.sz.mell._önk'!F26+'1.4.sz.mell._állig'!F26</f>
        <v>0</v>
      </c>
      <c r="G26" s="1013">
        <f>'1.2.sz.mell. _köt'!G26+'1.3.sz.mell._önk'!G26+'1.4.sz.mell._állig'!G26</f>
        <v>0</v>
      </c>
      <c r="H26" s="1013">
        <f>'1.2.sz.mell. _köt'!H26+'1.3.sz.mell._önk'!H26+'1.4.sz.mell._állig'!H26</f>
        <v>0</v>
      </c>
      <c r="I26" s="1013">
        <f>'1.2.sz.mell. _köt'!I26+'1.3.sz.mell._önk'!I26+'1.4.sz.mell._állig'!I26</f>
        <v>0</v>
      </c>
    </row>
    <row r="27" spans="1:11" s="1003" customFormat="1" ht="12" customHeight="1" x14ac:dyDescent="0.2">
      <c r="A27" s="1009" t="s">
        <v>149</v>
      </c>
      <c r="B27" s="1019" t="s">
        <v>155</v>
      </c>
      <c r="C27" s="1011">
        <f>'1.2.sz.mell. _köt'!C27+'1.3.sz.mell._önk'!C27+'1.4.sz.mell._állig'!C27</f>
        <v>0</v>
      </c>
      <c r="D27" s="1012">
        <f>'1.2.sz.mell. _köt'!D27+'1.3.sz.mell._önk'!D27+'1.4.sz.mell._állig'!D27</f>
        <v>0</v>
      </c>
      <c r="E27" s="1013">
        <f>'1.2.sz.mell. _köt'!E27+'1.3.sz.mell._önk'!E27+'1.4.sz.mell._állig'!E27</f>
        <v>0</v>
      </c>
      <c r="F27" s="1013">
        <f>'1.2.sz.mell. _köt'!F27+'1.3.sz.mell._önk'!F27+'1.4.sz.mell._állig'!F27</f>
        <v>0</v>
      </c>
      <c r="G27" s="1013">
        <f>'1.2.sz.mell. _köt'!G27+'1.3.sz.mell._önk'!G27+'1.4.sz.mell._állig'!G27</f>
        <v>0</v>
      </c>
      <c r="H27" s="1013">
        <f>'1.2.sz.mell. _köt'!H27+'1.3.sz.mell._önk'!H27+'1.4.sz.mell._állig'!H27</f>
        <v>0</v>
      </c>
      <c r="I27" s="1013">
        <f>'1.2.sz.mell. _köt'!I27+'1.3.sz.mell._önk'!I27+'1.4.sz.mell._állig'!I27</f>
        <v>0</v>
      </c>
    </row>
    <row r="28" spans="1:11" s="1003" customFormat="1" ht="12" customHeight="1" x14ac:dyDescent="0.2">
      <c r="A28" s="1009" t="s">
        <v>150</v>
      </c>
      <c r="B28" s="1019" t="s">
        <v>245</v>
      </c>
      <c r="C28" s="1011">
        <f>'1.2.sz.mell. _köt'!C28+'1.3.sz.mell._önk'!C28+'1.4.sz.mell._állig'!C28</f>
        <v>0</v>
      </c>
      <c r="D28" s="1012">
        <f>'1.2.sz.mell. _köt'!D28+'1.3.sz.mell._önk'!D28+'1.4.sz.mell._állig'!D28</f>
        <v>0</v>
      </c>
      <c r="E28" s="1013">
        <f>'1.2.sz.mell. _köt'!E28+'1.3.sz.mell._önk'!E28+'1.4.sz.mell._állig'!E28</f>
        <v>0</v>
      </c>
      <c r="F28" s="1013">
        <f>'1.2.sz.mell. _köt'!F28+'1.3.sz.mell._önk'!F28+'1.4.sz.mell._állig'!F28</f>
        <v>0</v>
      </c>
      <c r="G28" s="1013">
        <f>'1.2.sz.mell. _köt'!G28+'1.3.sz.mell._önk'!G28+'1.4.sz.mell._állig'!G28</f>
        <v>0</v>
      </c>
      <c r="H28" s="1013">
        <f>'1.2.sz.mell. _köt'!H28+'1.3.sz.mell._önk'!H28+'1.4.sz.mell._állig'!H28</f>
        <v>0</v>
      </c>
      <c r="I28" s="1013">
        <f>'1.2.sz.mell. _köt'!I28+'1.3.sz.mell._önk'!I28+'1.4.sz.mell._állig'!I28</f>
        <v>0</v>
      </c>
    </row>
    <row r="29" spans="1:11" s="1003" customFormat="1" ht="12" customHeight="1" thickBot="1" x14ac:dyDescent="0.25">
      <c r="A29" s="1009" t="s">
        <v>151</v>
      </c>
      <c r="B29" s="1030" t="s">
        <v>156</v>
      </c>
      <c r="C29" s="1011">
        <f>'1.2.sz.mell. _köt'!C29+'1.3.sz.mell._önk'!C29+'1.4.sz.mell._állig'!C29</f>
        <v>176830</v>
      </c>
      <c r="D29" s="1012">
        <f>'1.2.sz.mell. _köt'!D29+'1.3.sz.mell._önk'!D29+'1.4.sz.mell._állig'!D29</f>
        <v>4986</v>
      </c>
      <c r="E29" s="1013">
        <f>'1.2.sz.mell. _köt'!E29+'1.3.sz.mell._önk'!E29+'1.4.sz.mell._állig'!E29</f>
        <v>0</v>
      </c>
      <c r="F29" s="1013">
        <f>'1.2.sz.mell. _köt'!F29+'1.3.sz.mell._önk'!F29+'1.4.sz.mell._állig'!F29</f>
        <v>0</v>
      </c>
      <c r="G29" s="1013">
        <f>'1.2.sz.mell. _köt'!G29+'1.3.sz.mell._önk'!G29+'1.4.sz.mell._állig'!G29</f>
        <v>1937</v>
      </c>
      <c r="H29" s="1013">
        <f>'1.2.sz.mell. _köt'!H29+'1.3.sz.mell._önk'!H29+'1.4.sz.mell._állig'!H29</f>
        <v>0</v>
      </c>
      <c r="I29" s="1013">
        <f>'1.2.sz.mell. _köt'!I29+'1.3.sz.mell._önk'!I29+'1.4.sz.mell._állig'!I29</f>
        <v>1937</v>
      </c>
    </row>
    <row r="30" spans="1:11" s="1003" customFormat="1" ht="12" customHeight="1" thickBot="1" x14ac:dyDescent="0.25">
      <c r="A30" s="1031" t="s">
        <v>974</v>
      </c>
      <c r="B30" s="999" t="s">
        <v>381</v>
      </c>
      <c r="C30" s="1006">
        <f>+C31+C37</f>
        <v>188510</v>
      </c>
      <c r="D30" s="1007">
        <f>+D31+D37</f>
        <v>16009</v>
      </c>
      <c r="E30" s="1008">
        <f>+E31+E37</f>
        <v>15431</v>
      </c>
      <c r="F30" s="1008">
        <f t="shared" ref="F30:I30" si="4">+F31+F37</f>
        <v>5782</v>
      </c>
      <c r="G30" s="1008">
        <f t="shared" si="4"/>
        <v>16682</v>
      </c>
      <c r="H30" s="1008">
        <f t="shared" si="4"/>
        <v>0</v>
      </c>
      <c r="I30" s="1008">
        <f t="shared" si="4"/>
        <v>37895</v>
      </c>
    </row>
    <row r="31" spans="1:11" s="1003" customFormat="1" ht="12" customHeight="1" x14ac:dyDescent="0.2">
      <c r="A31" s="1032" t="s">
        <v>47</v>
      </c>
      <c r="B31" s="1033" t="s">
        <v>382</v>
      </c>
      <c r="C31" s="1034">
        <f>+C32+C33+C34+C35+C36</f>
        <v>12712</v>
      </c>
      <c r="D31" s="1035">
        <f>+D32+D33+D34+D35+D36</f>
        <v>14556</v>
      </c>
      <c r="E31" s="1036">
        <f>+E32+E33+E34+E35+E36</f>
        <v>15431</v>
      </c>
      <c r="F31" s="1036">
        <f t="shared" ref="F31:I31" si="5">+F32+F33+F34+F35+F36</f>
        <v>5782</v>
      </c>
      <c r="G31" s="1013">
        <f>'1.2.sz.mell. _köt'!G31+'1.3.sz.mell._önk'!G31+'1.4.sz.mell._állig'!G31</f>
        <v>921</v>
      </c>
      <c r="H31" s="1036">
        <f t="shared" si="5"/>
        <v>0</v>
      </c>
      <c r="I31" s="1036">
        <f t="shared" si="5"/>
        <v>22134</v>
      </c>
    </row>
    <row r="32" spans="1:11" s="1003" customFormat="1" ht="12" customHeight="1" x14ac:dyDescent="0.2">
      <c r="A32" s="1037" t="s">
        <v>50</v>
      </c>
      <c r="B32" s="1038" t="s">
        <v>246</v>
      </c>
      <c r="C32" s="1011">
        <f>'1.2.sz.mell. _köt'!C32+'1.3.sz.mell._önk'!C32+'1.4.sz.mell._állig'!C32</f>
        <v>3646</v>
      </c>
      <c r="D32" s="1012">
        <f>'1.2.sz.mell. _köt'!D32+'1.3.sz.mell._önk'!D32+'1.4.sz.mell._állig'!D32</f>
        <v>3858</v>
      </c>
      <c r="E32" s="1013">
        <f>'1.2.sz.mell. _köt'!E32+'1.3.sz.mell._önk'!E32+'1.4.sz.mell._állig'!E32</f>
        <v>3996</v>
      </c>
      <c r="F32" s="1013">
        <f>'1.2.sz.mell. _köt'!F32+'1.3.sz.mell._önk'!F32+'1.4.sz.mell._állig'!F32</f>
        <v>0</v>
      </c>
      <c r="G32" s="1013">
        <f>'1.2.sz.mell. _köt'!G32+'1.3.sz.mell._önk'!G32+'1.4.sz.mell._állig'!G32</f>
        <v>0</v>
      </c>
      <c r="H32" s="1013">
        <f>'1.2.sz.mell. _köt'!H32+'1.3.sz.mell._önk'!H32+'1.4.sz.mell._állig'!H32</f>
        <v>0</v>
      </c>
      <c r="I32" s="1013">
        <f>'1.2.sz.mell. _köt'!I32+'1.3.sz.mell._önk'!I32+'1.4.sz.mell._állig'!I32</f>
        <v>3996</v>
      </c>
    </row>
    <row r="33" spans="1:9" s="1003" customFormat="1" ht="12" customHeight="1" x14ac:dyDescent="0.2">
      <c r="A33" s="1037" t="s">
        <v>51</v>
      </c>
      <c r="B33" s="1038" t="s">
        <v>247</v>
      </c>
      <c r="C33" s="1011">
        <f>'1.2.sz.mell. _köt'!C33+'1.3.sz.mell._önk'!C33+'1.4.sz.mell._állig'!C33</f>
        <v>0</v>
      </c>
      <c r="D33" s="1012">
        <f>'1.2.sz.mell. _köt'!D33+'1.3.sz.mell._önk'!D33+'1.4.sz.mell._állig'!D33</f>
        <v>0</v>
      </c>
      <c r="E33" s="1013">
        <f>'1.2.sz.mell. _köt'!E33+'1.3.sz.mell._önk'!E33+'1.4.sz.mell._állig'!E33</f>
        <v>0</v>
      </c>
      <c r="F33" s="1013">
        <f>'1.2.sz.mell. _köt'!F33+'1.3.sz.mell._önk'!F33+'1.4.sz.mell._állig'!F33</f>
        <v>0</v>
      </c>
      <c r="G33" s="1013">
        <f>'1.2.sz.mell. _köt'!G33+'1.3.sz.mell._önk'!G33+'1.4.sz.mell._állig'!G33</f>
        <v>0</v>
      </c>
      <c r="H33" s="1013">
        <f>'1.2.sz.mell. _köt'!H33+'1.3.sz.mell._önk'!H33+'1.4.sz.mell._állig'!H33</f>
        <v>0</v>
      </c>
      <c r="I33" s="1013">
        <f>'1.2.sz.mell. _köt'!I33+'1.3.sz.mell._önk'!I33+'1.4.sz.mell._állig'!I33</f>
        <v>0</v>
      </c>
    </row>
    <row r="34" spans="1:9" s="1003" customFormat="1" ht="12" customHeight="1" x14ac:dyDescent="0.2">
      <c r="A34" s="1037" t="s">
        <v>52</v>
      </c>
      <c r="B34" s="1038" t="s">
        <v>248</v>
      </c>
      <c r="C34" s="1011">
        <f>'1.2.sz.mell. _köt'!C34+'1.3.sz.mell._önk'!C34+'1.4.sz.mell._állig'!C34</f>
        <v>0</v>
      </c>
      <c r="D34" s="1012">
        <f>'1.2.sz.mell. _köt'!D34+'1.3.sz.mell._önk'!D34+'1.4.sz.mell._állig'!D34</f>
        <v>0</v>
      </c>
      <c r="E34" s="1013">
        <f>'1.2.sz.mell. _köt'!E34+'1.3.sz.mell._önk'!E34+'1.4.sz.mell._állig'!E34</f>
        <v>0</v>
      </c>
      <c r="F34" s="1013">
        <f>'1.2.sz.mell. _köt'!F34+'1.3.sz.mell._önk'!F34+'1.4.sz.mell._állig'!F34</f>
        <v>0</v>
      </c>
      <c r="G34" s="1013">
        <f>'1.2.sz.mell. _köt'!G34+'1.3.sz.mell._önk'!G34+'1.4.sz.mell._állig'!G34</f>
        <v>0</v>
      </c>
      <c r="H34" s="1013">
        <f>'1.2.sz.mell. _köt'!H34+'1.3.sz.mell._önk'!H34+'1.4.sz.mell._állig'!H34</f>
        <v>0</v>
      </c>
      <c r="I34" s="1013">
        <f>'1.2.sz.mell. _köt'!I34+'1.3.sz.mell._önk'!I34+'1.4.sz.mell._állig'!I34</f>
        <v>0</v>
      </c>
    </row>
    <row r="35" spans="1:9" s="1003" customFormat="1" ht="12" customHeight="1" x14ac:dyDescent="0.2">
      <c r="A35" s="1037" t="s">
        <v>53</v>
      </c>
      <c r="B35" s="1038" t="s">
        <v>249</v>
      </c>
      <c r="C35" s="1011">
        <f>'1.2.sz.mell. _köt'!C35+'1.3.sz.mell._önk'!C35+'1.4.sz.mell._állig'!C35</f>
        <v>0</v>
      </c>
      <c r="D35" s="1012">
        <f>'1.2.sz.mell. _köt'!D35+'1.3.sz.mell._önk'!D35+'1.4.sz.mell._állig'!D35</f>
        <v>0</v>
      </c>
      <c r="E35" s="1013">
        <f>'1.2.sz.mell. _köt'!E35+'1.3.sz.mell._önk'!E35+'1.4.sz.mell._állig'!E35</f>
        <v>0</v>
      </c>
      <c r="F35" s="1013">
        <f>'1.2.sz.mell. _köt'!F35+'1.3.sz.mell._önk'!F35+'1.4.sz.mell._állig'!F35</f>
        <v>0</v>
      </c>
      <c r="G35" s="1013">
        <f>'1.2.sz.mell. _köt'!G35+'1.3.sz.mell._önk'!G35+'1.4.sz.mell._állig'!G35</f>
        <v>0</v>
      </c>
      <c r="H35" s="1013">
        <f>'1.2.sz.mell. _köt'!H35+'1.3.sz.mell._önk'!H35+'1.4.sz.mell._állig'!H35</f>
        <v>0</v>
      </c>
      <c r="I35" s="1013">
        <f>'1.2.sz.mell. _köt'!I35+'1.3.sz.mell._önk'!I35+'1.4.sz.mell._állig'!I35</f>
        <v>0</v>
      </c>
    </row>
    <row r="36" spans="1:9" s="1003" customFormat="1" ht="12" customHeight="1" x14ac:dyDescent="0.2">
      <c r="A36" s="1037" t="s">
        <v>157</v>
      </c>
      <c r="B36" s="1038" t="s">
        <v>383</v>
      </c>
      <c r="C36" s="1011">
        <f>'1.2.sz.mell. _köt'!C36+'1.3.sz.mell._önk'!C36+'1.4.sz.mell._állig'!C36</f>
        <v>9066</v>
      </c>
      <c r="D36" s="1012">
        <f>'1.2.sz.mell. _köt'!D36+'1.3.sz.mell._önk'!D36+'1.4.sz.mell._állig'!D36</f>
        <v>10698</v>
      </c>
      <c r="E36" s="1013">
        <f>'1.2.sz.mell. _köt'!E36+'1.3.sz.mell._önk'!E36+'1.4.sz.mell._állig'!E36</f>
        <v>11435</v>
      </c>
      <c r="F36" s="1013">
        <f>'1.2.sz.mell. _köt'!F36+'1.3.sz.mell._önk'!F36+'1.4.sz.mell._állig'!F36</f>
        <v>5782</v>
      </c>
      <c r="G36" s="1013">
        <f>'1.2.sz.mell. _köt'!G36+'1.3.sz.mell._önk'!G36+'1.4.sz.mell._állig'!G36</f>
        <v>921</v>
      </c>
      <c r="H36" s="1013">
        <f>'1.2.sz.mell. _köt'!H36+'1.3.sz.mell._önk'!H36+'1.4.sz.mell._állig'!H36</f>
        <v>0</v>
      </c>
      <c r="I36" s="1013">
        <f>'1.2.sz.mell. _köt'!I36+'1.3.sz.mell._önk'!I36+'1.4.sz.mell._állig'!I36</f>
        <v>18138</v>
      </c>
    </row>
    <row r="37" spans="1:9" s="1003" customFormat="1" ht="12" customHeight="1" x14ac:dyDescent="0.2">
      <c r="A37" s="1037" t="s">
        <v>48</v>
      </c>
      <c r="B37" s="1039" t="s">
        <v>384</v>
      </c>
      <c r="C37" s="1040">
        <f>+C38+C39+C40+C41+C42</f>
        <v>175798</v>
      </c>
      <c r="D37" s="1041">
        <f>+D38+D39+D40+D41+D42</f>
        <v>1453</v>
      </c>
      <c r="E37" s="1042">
        <f>+E38+E39+E40+E41+E42</f>
        <v>0</v>
      </c>
      <c r="F37" s="1042">
        <f t="shared" ref="F37:I37" si="6">+F38+F39+F40+F41+F42</f>
        <v>0</v>
      </c>
      <c r="G37" s="1042">
        <f t="shared" si="6"/>
        <v>15761</v>
      </c>
      <c r="H37" s="1042">
        <f t="shared" si="6"/>
        <v>0</v>
      </c>
      <c r="I37" s="1042">
        <f t="shared" si="6"/>
        <v>15761</v>
      </c>
    </row>
    <row r="38" spans="1:9" s="1003" customFormat="1" ht="12" customHeight="1" x14ac:dyDescent="0.2">
      <c r="A38" s="1037" t="s">
        <v>56</v>
      </c>
      <c r="B38" s="1038" t="s">
        <v>246</v>
      </c>
      <c r="C38" s="1011">
        <f>'1.2.sz.mell. _köt'!C38+'1.3.sz.mell._önk'!C38+'1.4.sz.mell._állig'!C38</f>
        <v>0</v>
      </c>
      <c r="D38" s="1012">
        <f>'1.2.sz.mell. _köt'!D38+'1.3.sz.mell._önk'!D38+'1.4.sz.mell._állig'!D38</f>
        <v>0</v>
      </c>
      <c r="E38" s="1013">
        <f>'1.2.sz.mell. _köt'!E38+'1.3.sz.mell._önk'!E38+'1.4.sz.mell._állig'!E38</f>
        <v>0</v>
      </c>
      <c r="F38" s="1013">
        <f>'1.2.sz.mell. _köt'!F38+'1.3.sz.mell._önk'!F38+'1.4.sz.mell._állig'!F38</f>
        <v>0</v>
      </c>
      <c r="G38" s="1013">
        <f>'1.2.sz.mell. _köt'!G38+'1.3.sz.mell._önk'!G38+'1.4.sz.mell._állig'!G38</f>
        <v>0</v>
      </c>
      <c r="H38" s="1013">
        <f>'1.2.sz.mell. _köt'!H38+'1.3.sz.mell._önk'!H38+'1.4.sz.mell._állig'!H38</f>
        <v>0</v>
      </c>
      <c r="I38" s="1013">
        <f>'1.2.sz.mell. _köt'!I38+'1.3.sz.mell._önk'!I38+'1.4.sz.mell._állig'!I38</f>
        <v>0</v>
      </c>
    </row>
    <row r="39" spans="1:9" s="1003" customFormat="1" ht="12" customHeight="1" x14ac:dyDescent="0.2">
      <c r="A39" s="1037" t="s">
        <v>57</v>
      </c>
      <c r="B39" s="1038" t="s">
        <v>247</v>
      </c>
      <c r="C39" s="1011">
        <f>'1.2.sz.mell. _köt'!C39+'1.3.sz.mell._önk'!C39+'1.4.sz.mell._állig'!C39</f>
        <v>0</v>
      </c>
      <c r="D39" s="1012">
        <f>'1.2.sz.mell. _köt'!D39+'1.3.sz.mell._önk'!D39+'1.4.sz.mell._állig'!D39</f>
        <v>0</v>
      </c>
      <c r="E39" s="1013">
        <f>'1.2.sz.mell. _köt'!E39+'1.3.sz.mell._önk'!E39+'1.4.sz.mell._állig'!E39</f>
        <v>0</v>
      </c>
      <c r="F39" s="1013">
        <f>'1.2.sz.mell. _köt'!F39+'1.3.sz.mell._önk'!F39+'1.4.sz.mell._állig'!F39</f>
        <v>0</v>
      </c>
      <c r="G39" s="1013">
        <f>'1.2.sz.mell. _köt'!G39+'1.3.sz.mell._önk'!G39+'1.4.sz.mell._állig'!G39</f>
        <v>0</v>
      </c>
      <c r="H39" s="1013">
        <f>'1.2.sz.mell. _köt'!H39+'1.3.sz.mell._önk'!H39+'1.4.sz.mell._állig'!H39</f>
        <v>0</v>
      </c>
      <c r="I39" s="1013">
        <f>'1.2.sz.mell. _köt'!I39+'1.3.sz.mell._önk'!I39+'1.4.sz.mell._állig'!I39</f>
        <v>0</v>
      </c>
    </row>
    <row r="40" spans="1:9" s="1003" customFormat="1" ht="12" customHeight="1" x14ac:dyDescent="0.2">
      <c r="A40" s="1037" t="s">
        <v>58</v>
      </c>
      <c r="B40" s="1038" t="s">
        <v>248</v>
      </c>
      <c r="C40" s="1011">
        <f>'1.2.sz.mell. _köt'!C40+'1.3.sz.mell._önk'!C40+'1.4.sz.mell._állig'!C40</f>
        <v>0</v>
      </c>
      <c r="D40" s="1012">
        <f>'1.2.sz.mell. _köt'!D40+'1.3.sz.mell._önk'!D40+'1.4.sz.mell._állig'!D40</f>
        <v>0</v>
      </c>
      <c r="E40" s="1013">
        <f>'1.2.sz.mell. _köt'!E40+'1.3.sz.mell._önk'!E40+'1.4.sz.mell._állig'!E40</f>
        <v>0</v>
      </c>
      <c r="F40" s="1013">
        <f>'1.2.sz.mell. _köt'!F40+'1.3.sz.mell._önk'!F40+'1.4.sz.mell._állig'!F40</f>
        <v>0</v>
      </c>
      <c r="G40" s="1013">
        <f>'1.2.sz.mell. _köt'!G40+'1.3.sz.mell._önk'!G40+'1.4.sz.mell._állig'!G40</f>
        <v>0</v>
      </c>
      <c r="H40" s="1013">
        <f>'1.2.sz.mell. _köt'!H40+'1.3.sz.mell._önk'!H40+'1.4.sz.mell._állig'!H40</f>
        <v>0</v>
      </c>
      <c r="I40" s="1013">
        <f>'1.2.sz.mell. _köt'!I40+'1.3.sz.mell._önk'!I40+'1.4.sz.mell._állig'!I40</f>
        <v>0</v>
      </c>
    </row>
    <row r="41" spans="1:9" s="1003" customFormat="1" ht="12" customHeight="1" x14ac:dyDescent="0.2">
      <c r="A41" s="1037" t="s">
        <v>59</v>
      </c>
      <c r="B41" s="1043" t="s">
        <v>249</v>
      </c>
      <c r="C41" s="1011">
        <f>'1.2.sz.mell. _köt'!C41+'1.3.sz.mell._önk'!C41+'1.4.sz.mell._állig'!C41</f>
        <v>166716</v>
      </c>
      <c r="D41" s="1012">
        <f>'1.2.sz.mell. _köt'!D41+'1.3.sz.mell._önk'!D41+'1.4.sz.mell._állig'!D41</f>
        <v>1453</v>
      </c>
      <c r="E41" s="1013">
        <f>'1.2.sz.mell. _köt'!E41+'1.3.sz.mell._önk'!E41+'1.4.sz.mell._állig'!E41</f>
        <v>0</v>
      </c>
      <c r="F41" s="1013">
        <f>'1.2.sz.mell. _köt'!F41+'1.3.sz.mell._önk'!F41+'1.4.sz.mell._állig'!F41</f>
        <v>0</v>
      </c>
      <c r="G41" s="1013">
        <f>'1.2.sz.mell. _köt'!G41+'1.3.sz.mell._önk'!G41+'1.4.sz.mell._állig'!G41</f>
        <v>15111</v>
      </c>
      <c r="H41" s="1013">
        <f>'1.2.sz.mell. _köt'!H41+'1.3.sz.mell._önk'!H41+'1.4.sz.mell._állig'!H41</f>
        <v>0</v>
      </c>
      <c r="I41" s="1013">
        <f>'1.2.sz.mell. _köt'!I41+'1.3.sz.mell._önk'!I41+'1.4.sz.mell._állig'!I41</f>
        <v>15111</v>
      </c>
    </row>
    <row r="42" spans="1:9" s="1003" customFormat="1" ht="12" customHeight="1" thickBot="1" x14ac:dyDescent="0.25">
      <c r="A42" s="1044" t="s">
        <v>158</v>
      </c>
      <c r="B42" s="1045" t="s">
        <v>385</v>
      </c>
      <c r="C42" s="1011">
        <f>'1.2.sz.mell. _köt'!C42+'1.3.sz.mell._önk'!C42+'1.4.sz.mell._állig'!C42</f>
        <v>9082</v>
      </c>
      <c r="D42" s="1012">
        <f>'1.2.sz.mell. _köt'!D42+'1.3.sz.mell._önk'!D42+'1.4.sz.mell._állig'!D42</f>
        <v>0</v>
      </c>
      <c r="E42" s="1013">
        <f>'1.2.sz.mell. _köt'!E42+'1.3.sz.mell._önk'!E42+'1.4.sz.mell._állig'!E42</f>
        <v>0</v>
      </c>
      <c r="F42" s="1013">
        <f>'1.2.sz.mell. _köt'!F42+'1.3.sz.mell._önk'!F42+'1.4.sz.mell._állig'!F42</f>
        <v>0</v>
      </c>
      <c r="G42" s="1013">
        <f>'1.2.sz.mell. _köt'!G42+'1.3.sz.mell._önk'!G42+'1.4.sz.mell._állig'!G42</f>
        <v>650</v>
      </c>
      <c r="H42" s="1013">
        <f>'1.2.sz.mell. _köt'!H42+'1.3.sz.mell._önk'!H42+'1.4.sz.mell._állig'!H42</f>
        <v>0</v>
      </c>
      <c r="I42" s="1013">
        <f>'1.2.sz.mell. _köt'!I42+'1.3.sz.mell._önk'!I42+'1.4.sz.mell._állig'!I42</f>
        <v>650</v>
      </c>
    </row>
    <row r="43" spans="1:9" s="1003" customFormat="1" ht="12" customHeight="1" thickBot="1" x14ac:dyDescent="0.25">
      <c r="A43" s="1004" t="s">
        <v>159</v>
      </c>
      <c r="B43" s="1046" t="s">
        <v>250</v>
      </c>
      <c r="C43" s="1006">
        <f>+C44+C45</f>
        <v>430</v>
      </c>
      <c r="D43" s="1007">
        <f>+D44+D45</f>
        <v>400</v>
      </c>
      <c r="E43" s="1008">
        <f>+E44+E45</f>
        <v>11435</v>
      </c>
      <c r="F43" s="1008">
        <f t="shared" ref="F43:I43" si="7">+F44+F45</f>
        <v>-11435</v>
      </c>
      <c r="G43" s="1008">
        <f t="shared" si="7"/>
        <v>0</v>
      </c>
      <c r="H43" s="1008">
        <f t="shared" si="7"/>
        <v>0</v>
      </c>
      <c r="I43" s="1008">
        <f t="shared" si="7"/>
        <v>0</v>
      </c>
    </row>
    <row r="44" spans="1:9" s="1003" customFormat="1" ht="12" customHeight="1" x14ac:dyDescent="0.2">
      <c r="A44" s="1027" t="s">
        <v>54</v>
      </c>
      <c r="B44" s="1014" t="s">
        <v>251</v>
      </c>
      <c r="C44" s="1011">
        <f>'1.2.sz.mell. _köt'!C44+'1.3.sz.mell._önk'!C44+'1.4.sz.mell._állig'!C44</f>
        <v>430</v>
      </c>
      <c r="D44" s="1012">
        <f>'1.2.sz.mell. _köt'!D44+'1.3.sz.mell._önk'!D44+'1.4.sz.mell._állig'!D44</f>
        <v>400</v>
      </c>
      <c r="E44" s="1013">
        <f>'1.2.sz.mell. _köt'!E44+'1.3.sz.mell._önk'!E44+'1.4.sz.mell._állig'!E44</f>
        <v>11435</v>
      </c>
      <c r="F44" s="1013">
        <f>'1.2.sz.mell. _köt'!F44+'1.3.sz.mell._önk'!F44+'1.4.sz.mell._állig'!F44</f>
        <v>-11435</v>
      </c>
      <c r="G44" s="1013">
        <f>'1.2.sz.mell. _köt'!G44+'1.3.sz.mell._önk'!G44+'1.4.sz.mell._állig'!G44</f>
        <v>0</v>
      </c>
      <c r="H44" s="1013">
        <f>'1.2.sz.mell. _köt'!H44+'1.3.sz.mell._önk'!H44+'1.4.sz.mell._állig'!H44</f>
        <v>0</v>
      </c>
      <c r="I44" s="1013">
        <f>'1.2.sz.mell. _köt'!I44+'1.3.sz.mell._önk'!I44+'1.4.sz.mell._állig'!I44</f>
        <v>0</v>
      </c>
    </row>
    <row r="45" spans="1:9" s="1003" customFormat="1" ht="12" customHeight="1" thickBot="1" x14ac:dyDescent="0.25">
      <c r="A45" s="1020" t="s">
        <v>55</v>
      </c>
      <c r="B45" s="1047" t="s">
        <v>255</v>
      </c>
      <c r="C45" s="1011">
        <f>'1.2.sz.mell. _köt'!C45+'1.3.sz.mell._önk'!C45+'1.4.sz.mell._állig'!C45</f>
        <v>0</v>
      </c>
      <c r="D45" s="1012">
        <f>'1.2.sz.mell. _köt'!D45+'1.3.sz.mell._önk'!D45+'1.4.sz.mell._állig'!D45</f>
        <v>0</v>
      </c>
      <c r="E45" s="1013">
        <f>'1.2.sz.mell. _köt'!E45+'1.3.sz.mell._önk'!E45+'1.4.sz.mell._állig'!E45</f>
        <v>0</v>
      </c>
      <c r="F45" s="1013">
        <f>'1.2.sz.mell. _köt'!F45+'1.3.sz.mell._önk'!F45+'1.4.sz.mell._állig'!F45</f>
        <v>0</v>
      </c>
      <c r="G45" s="1013">
        <f>'1.2.sz.mell. _köt'!G45+'1.3.sz.mell._önk'!G45+'1.4.sz.mell._állig'!G45</f>
        <v>0</v>
      </c>
      <c r="H45" s="1013">
        <f>'1.2.sz.mell. _köt'!H45+'1.3.sz.mell._önk'!H45+'1.4.sz.mell._állig'!H45</f>
        <v>0</v>
      </c>
      <c r="I45" s="1013">
        <f>'1.2.sz.mell. _köt'!I45+'1.3.sz.mell._önk'!I45+'1.4.sz.mell._állig'!I45</f>
        <v>0</v>
      </c>
    </row>
    <row r="46" spans="1:9" s="1003" customFormat="1" ht="12" customHeight="1" thickBot="1" x14ac:dyDescent="0.25">
      <c r="A46" s="1004" t="s">
        <v>976</v>
      </c>
      <c r="B46" s="1046" t="s">
        <v>254</v>
      </c>
      <c r="C46" s="1006">
        <f>+C47+C48+C49</f>
        <v>332</v>
      </c>
      <c r="D46" s="1007">
        <f>+D47+D48+D49</f>
        <v>7184</v>
      </c>
      <c r="E46" s="1008">
        <f>+E47+E48+E49</f>
        <v>414</v>
      </c>
      <c r="F46" s="1008">
        <f t="shared" ref="F46:I46" si="8">+F47+F48+F49</f>
        <v>0</v>
      </c>
      <c r="G46" s="1008">
        <f t="shared" si="8"/>
        <v>0</v>
      </c>
      <c r="H46" s="1008">
        <f t="shared" si="8"/>
        <v>0</v>
      </c>
      <c r="I46" s="1008">
        <f t="shared" si="8"/>
        <v>414</v>
      </c>
    </row>
    <row r="47" spans="1:9" s="1003" customFormat="1" ht="12" customHeight="1" x14ac:dyDescent="0.2">
      <c r="A47" s="1027" t="s">
        <v>162</v>
      </c>
      <c r="B47" s="1014" t="s">
        <v>160</v>
      </c>
      <c r="C47" s="1011">
        <f>'1.2.sz.mell. _köt'!C47+'1.3.sz.mell._önk'!C47+'1.4.sz.mell._állig'!C47</f>
        <v>0</v>
      </c>
      <c r="D47" s="1012">
        <f>'1.2.sz.mell. _köt'!D47+'1.3.sz.mell._önk'!D47+'1.4.sz.mell._állig'!D47</f>
        <v>0</v>
      </c>
      <c r="E47" s="1013">
        <f>'1.2.sz.mell. _köt'!E47+'1.3.sz.mell._önk'!E47+'1.4.sz.mell._állig'!E47</f>
        <v>0</v>
      </c>
      <c r="F47" s="1013">
        <f>'1.2.sz.mell. _köt'!F47+'1.3.sz.mell._önk'!F47+'1.4.sz.mell._állig'!F47</f>
        <v>0</v>
      </c>
      <c r="G47" s="1013">
        <f>'1.2.sz.mell. _köt'!G47+'1.3.sz.mell._önk'!G47+'1.4.sz.mell._állig'!G47</f>
        <v>0</v>
      </c>
      <c r="H47" s="1013">
        <f>'1.2.sz.mell. _köt'!H47+'1.3.sz.mell._önk'!H47+'1.4.sz.mell._állig'!H47</f>
        <v>0</v>
      </c>
      <c r="I47" s="1013">
        <f>'1.2.sz.mell. _köt'!I47+'1.3.sz.mell._önk'!I47+'1.4.sz.mell._állig'!I47</f>
        <v>0</v>
      </c>
    </row>
    <row r="48" spans="1:9" s="1003" customFormat="1" ht="12" customHeight="1" x14ac:dyDescent="0.2">
      <c r="A48" s="1009" t="s">
        <v>163</v>
      </c>
      <c r="B48" s="1038" t="s">
        <v>1050</v>
      </c>
      <c r="C48" s="1011">
        <f>'1.2.sz.mell. _köt'!C48+'1.3.sz.mell._önk'!C48+'1.4.sz.mell._állig'!C48</f>
        <v>332</v>
      </c>
      <c r="D48" s="1012">
        <f>'1.2.sz.mell. _köt'!D48+'1.3.sz.mell._önk'!D48+'1.4.sz.mell._állig'!D48</f>
        <v>7184</v>
      </c>
      <c r="E48" s="1013">
        <f>'1.2.sz.mell. _köt'!E48+'1.3.sz.mell._önk'!E48+'1.4.sz.mell._állig'!E48</f>
        <v>414</v>
      </c>
      <c r="F48" s="1013">
        <f>'1.2.sz.mell. _köt'!F48+'1.3.sz.mell._önk'!F48+'1.4.sz.mell._állig'!F48</f>
        <v>0</v>
      </c>
      <c r="G48" s="1013">
        <f>'1.2.sz.mell. _köt'!G48+'1.3.sz.mell._önk'!G48+'1.4.sz.mell._állig'!G48</f>
        <v>0</v>
      </c>
      <c r="H48" s="1013">
        <f>'1.2.sz.mell. _köt'!H48+'1.3.sz.mell._önk'!H48+'1.4.sz.mell._állig'!H48</f>
        <v>0</v>
      </c>
      <c r="I48" s="1013">
        <f>'1.2.sz.mell. _köt'!I48+'1.3.sz.mell._önk'!I48+'1.4.sz.mell._állig'!I48</f>
        <v>414</v>
      </c>
    </row>
    <row r="49" spans="1:9" s="1003" customFormat="1" ht="12" customHeight="1" thickBot="1" x14ac:dyDescent="0.25">
      <c r="A49" s="1020" t="s">
        <v>312</v>
      </c>
      <c r="B49" s="1047" t="s">
        <v>252</v>
      </c>
      <c r="C49" s="1011">
        <f>'1.2.sz.mell. _köt'!C49+'1.3.sz.mell._önk'!C49+'1.4.sz.mell._állig'!C49</f>
        <v>0</v>
      </c>
      <c r="D49" s="1012">
        <f>'1.2.sz.mell. _köt'!D49+'1.3.sz.mell._önk'!D49+'1.4.sz.mell._állig'!D49</f>
        <v>0</v>
      </c>
      <c r="E49" s="1013">
        <f>'1.2.sz.mell. _köt'!E49+'1.3.sz.mell._önk'!E49+'1.4.sz.mell._állig'!E49</f>
        <v>0</v>
      </c>
      <c r="F49" s="1013">
        <f>'1.2.sz.mell. _köt'!F49+'1.3.sz.mell._önk'!F49+'1.4.sz.mell._állig'!F49</f>
        <v>0</v>
      </c>
      <c r="G49" s="1013">
        <f>'1.2.sz.mell. _köt'!G49+'1.3.sz.mell._önk'!G49+'1.4.sz.mell._állig'!G49</f>
        <v>0</v>
      </c>
      <c r="H49" s="1013">
        <f>'1.2.sz.mell. _köt'!H49+'1.3.sz.mell._önk'!H49+'1.4.sz.mell._állig'!H49</f>
        <v>0</v>
      </c>
      <c r="I49" s="1013">
        <f>'1.2.sz.mell. _köt'!I49+'1.3.sz.mell._önk'!I49+'1.4.sz.mell._állig'!I49</f>
        <v>0</v>
      </c>
    </row>
    <row r="50" spans="1:9" s="1003" customFormat="1" ht="17.25" customHeight="1" thickBot="1" x14ac:dyDescent="0.25">
      <c r="A50" s="1004" t="s">
        <v>164</v>
      </c>
      <c r="B50" s="1048" t="s">
        <v>253</v>
      </c>
      <c r="C50" s="1049">
        <f>'1.2.sz.mell. _köt'!C50+'1.3.sz.mell._önk'!C50+'1.4.sz.mell._állig'!C50</f>
        <v>0</v>
      </c>
      <c r="D50" s="1025">
        <f>'1.2.sz.mell. _köt'!D50+'1.3.sz.mell._önk'!D50+'1.4.sz.mell._állig'!D50</f>
        <v>0</v>
      </c>
      <c r="E50" s="1026">
        <f>'1.2.sz.mell. _köt'!E50+'1.3.sz.mell._önk'!E50+'1.4.sz.mell._állig'!E50</f>
        <v>0</v>
      </c>
      <c r="F50" s="1026">
        <f>'1.2.sz.mell. _köt'!F50+'1.3.sz.mell._önk'!F50+'1.4.sz.mell._állig'!F50</f>
        <v>0</v>
      </c>
      <c r="G50" s="1026">
        <f>'1.2.sz.mell. _köt'!G50+'1.3.sz.mell._önk'!G50+'1.4.sz.mell._állig'!G50</f>
        <v>0</v>
      </c>
      <c r="H50" s="1026">
        <f>'1.2.sz.mell. _köt'!H50+'1.3.sz.mell._önk'!H50+'1.4.sz.mell._állig'!H50</f>
        <v>0</v>
      </c>
      <c r="I50" s="1026">
        <f>'1.2.sz.mell. _köt'!I50+'1.3.sz.mell._önk'!I50+'1.4.sz.mell._állig'!I50</f>
        <v>0</v>
      </c>
    </row>
    <row r="51" spans="1:9" s="1003" customFormat="1" ht="12" customHeight="1" thickBot="1" x14ac:dyDescent="0.25">
      <c r="A51" s="1004" t="s">
        <v>978</v>
      </c>
      <c r="B51" s="1050" t="s">
        <v>165</v>
      </c>
      <c r="C51" s="1051">
        <f>+C6+C11+C20+C21+C30+C43+C46+C50</f>
        <v>691031</v>
      </c>
      <c r="D51" s="1052">
        <f>+D6+D11+D20+D21+D30+D43+D46+D50</f>
        <v>256137</v>
      </c>
      <c r="E51" s="1053">
        <f>+E6+E11+E20+E21+E30+E43+E46+E50</f>
        <v>286781</v>
      </c>
      <c r="F51" s="1053">
        <f t="shared" ref="F51:I51" si="9">+F6+F11+F20+F21+F30+F43+F46+F50</f>
        <v>-9850</v>
      </c>
      <c r="G51" s="1053">
        <f t="shared" si="9"/>
        <v>16341</v>
      </c>
      <c r="H51" s="1053">
        <f t="shared" si="9"/>
        <v>12806</v>
      </c>
      <c r="I51" s="1053">
        <f t="shared" si="9"/>
        <v>306078</v>
      </c>
    </row>
    <row r="52" spans="1:9" s="1003" customFormat="1" ht="12" customHeight="1" thickBot="1" x14ac:dyDescent="0.25">
      <c r="A52" s="1054" t="s">
        <v>979</v>
      </c>
      <c r="B52" s="1005" t="s">
        <v>256</v>
      </c>
      <c r="C52" s="1055">
        <f>+C53+C59</f>
        <v>143843</v>
      </c>
      <c r="D52" s="1056">
        <f>+D53+D59</f>
        <v>52550</v>
      </c>
      <c r="E52" s="1057">
        <f>+E53+E59</f>
        <v>0</v>
      </c>
      <c r="F52" s="1057">
        <f t="shared" ref="F52:I52" si="10">+F53+F59</f>
        <v>48271</v>
      </c>
      <c r="G52" s="1057">
        <f t="shared" si="10"/>
        <v>0</v>
      </c>
      <c r="H52" s="1057">
        <f t="shared" si="10"/>
        <v>-7488</v>
      </c>
      <c r="I52" s="1057">
        <f t="shared" si="10"/>
        <v>40783</v>
      </c>
    </row>
    <row r="53" spans="1:9" s="1003" customFormat="1" ht="12" customHeight="1" x14ac:dyDescent="0.2">
      <c r="A53" s="1058" t="s">
        <v>95</v>
      </c>
      <c r="B53" s="1033" t="s">
        <v>342</v>
      </c>
      <c r="C53" s="1059">
        <f>+C54+C55+C56+C57+C58</f>
        <v>8513</v>
      </c>
      <c r="D53" s="1035">
        <f>+D54+D55+D56+D57+D58</f>
        <v>52550</v>
      </c>
      <c r="E53" s="1036">
        <f>+E54+E55+E56+E57+E58</f>
        <v>0</v>
      </c>
      <c r="F53" s="1036">
        <f t="shared" ref="F53:I53" si="11">+F54+F55+F56+F57+F58</f>
        <v>48271</v>
      </c>
      <c r="G53" s="1036">
        <f t="shared" si="11"/>
        <v>0</v>
      </c>
      <c r="H53" s="1036">
        <f t="shared" si="11"/>
        <v>-13192</v>
      </c>
      <c r="I53" s="1036">
        <f t="shared" si="11"/>
        <v>35079</v>
      </c>
    </row>
    <row r="54" spans="1:9" s="1003" customFormat="1" ht="12" customHeight="1" x14ac:dyDescent="0.2">
      <c r="A54" s="1060" t="s">
        <v>272</v>
      </c>
      <c r="B54" s="1038" t="s">
        <v>258</v>
      </c>
      <c r="C54" s="1011">
        <f>'1.2.sz.mell. _köt'!C54+'1.3.sz.mell._önk'!C54+'1.4.sz.mell._állig'!C54</f>
        <v>8513</v>
      </c>
      <c r="D54" s="1012">
        <f>'1.2.sz.mell. _köt'!D54+'1.3.sz.mell._önk'!D54+'1.4.sz.mell._állig'!D54</f>
        <v>52550</v>
      </c>
      <c r="E54" s="1013">
        <f>'1.2.sz.mell. _köt'!E54+'1.3.sz.mell._önk'!E54+'1.4.sz.mell._állig'!E54</f>
        <v>0</v>
      </c>
      <c r="F54" s="1013">
        <f>'1.2.sz.mell. _köt'!F54+'1.3.sz.mell._önk'!F54+'1.4.sz.mell._állig'!F54</f>
        <v>48271</v>
      </c>
      <c r="G54" s="1013">
        <f>'1.2.sz.mell. _köt'!G54+'1.3.sz.mell._önk'!G54+'1.4.sz.mell._állig'!G54</f>
        <v>0</v>
      </c>
      <c r="H54" s="1013">
        <f>'1.2.sz.mell. _köt'!H54+'1.3.sz.mell._önk'!H54+'1.4.sz.mell._állig'!H54</f>
        <v>-13192</v>
      </c>
      <c r="I54" s="1013">
        <f>'1.2.sz.mell. _köt'!I54+'1.3.sz.mell._önk'!I54+'1.4.sz.mell._állig'!I54</f>
        <v>35079</v>
      </c>
    </row>
    <row r="55" spans="1:9" s="1003" customFormat="1" ht="12" customHeight="1" x14ac:dyDescent="0.2">
      <c r="A55" s="1060" t="s">
        <v>273</v>
      </c>
      <c r="B55" s="1038" t="s">
        <v>259</v>
      </c>
      <c r="C55" s="1011">
        <f>'1.2.sz.mell. _köt'!C55+'1.3.sz.mell._önk'!C55+'1.4.sz.mell._állig'!C55</f>
        <v>0</v>
      </c>
      <c r="D55" s="1012">
        <f>'1.2.sz.mell. _köt'!D55+'1.3.sz.mell._önk'!D55+'1.4.sz.mell._állig'!D55</f>
        <v>0</v>
      </c>
      <c r="E55" s="1013">
        <f>'1.2.sz.mell. _köt'!E55+'1.3.sz.mell._önk'!E55+'1.4.sz.mell._állig'!E55</f>
        <v>0</v>
      </c>
      <c r="F55" s="1013">
        <f>'1.2.sz.mell. _köt'!F55+'1.3.sz.mell._önk'!F55+'1.4.sz.mell._állig'!F55</f>
        <v>0</v>
      </c>
      <c r="G55" s="1013">
        <f>'1.2.sz.mell. _köt'!G55+'1.3.sz.mell._önk'!G55+'1.4.sz.mell._állig'!G55</f>
        <v>0</v>
      </c>
      <c r="H55" s="1013">
        <f>'1.2.sz.mell. _köt'!H55+'1.3.sz.mell._önk'!H55+'1.4.sz.mell._állig'!H55</f>
        <v>0</v>
      </c>
      <c r="I55" s="1013">
        <f>'1.2.sz.mell. _köt'!I55+'1.3.sz.mell._önk'!I55+'1.4.sz.mell._állig'!I55</f>
        <v>0</v>
      </c>
    </row>
    <row r="56" spans="1:9" s="1003" customFormat="1" ht="12" customHeight="1" x14ac:dyDescent="0.2">
      <c r="A56" s="1060" t="s">
        <v>274</v>
      </c>
      <c r="B56" s="1038" t="s">
        <v>260</v>
      </c>
      <c r="C56" s="1011">
        <f>'1.2.sz.mell. _köt'!C56+'1.3.sz.mell._önk'!C56+'1.4.sz.mell._állig'!C56</f>
        <v>0</v>
      </c>
      <c r="D56" s="1012">
        <f>'1.2.sz.mell. _köt'!D56+'1.3.sz.mell._önk'!D56+'1.4.sz.mell._állig'!D56</f>
        <v>0</v>
      </c>
      <c r="E56" s="1013">
        <f>'1.2.sz.mell. _köt'!E56+'1.3.sz.mell._önk'!E56+'1.4.sz.mell._állig'!E56</f>
        <v>0</v>
      </c>
      <c r="F56" s="1013">
        <f>'1.2.sz.mell. _köt'!F56+'1.3.sz.mell._önk'!F56+'1.4.sz.mell._állig'!F56</f>
        <v>0</v>
      </c>
      <c r="G56" s="1013">
        <f>'1.2.sz.mell. _köt'!G56+'1.3.sz.mell._önk'!G56+'1.4.sz.mell._állig'!G56</f>
        <v>0</v>
      </c>
      <c r="H56" s="1013">
        <f>'1.2.sz.mell. _köt'!H56+'1.3.sz.mell._önk'!H56+'1.4.sz.mell._állig'!H56</f>
        <v>0</v>
      </c>
      <c r="I56" s="1013">
        <f>'1.2.sz.mell. _köt'!I56+'1.3.sz.mell._önk'!I56+'1.4.sz.mell._állig'!I56</f>
        <v>0</v>
      </c>
    </row>
    <row r="57" spans="1:9" s="1003" customFormat="1" ht="12" customHeight="1" x14ac:dyDescent="0.2">
      <c r="A57" s="1060" t="s">
        <v>275</v>
      </c>
      <c r="B57" s="1038" t="s">
        <v>261</v>
      </c>
      <c r="C57" s="1011">
        <f>'1.2.sz.mell. _köt'!C57+'1.3.sz.mell._önk'!C57+'1.4.sz.mell._állig'!C57</f>
        <v>0</v>
      </c>
      <c r="D57" s="1012">
        <f>'1.2.sz.mell. _köt'!D57+'1.3.sz.mell._önk'!D57+'1.4.sz.mell._állig'!D57</f>
        <v>0</v>
      </c>
      <c r="E57" s="1013">
        <f>'1.2.sz.mell. _köt'!E57+'1.3.sz.mell._önk'!E57+'1.4.sz.mell._állig'!E57</f>
        <v>0</v>
      </c>
      <c r="F57" s="1013">
        <f>'1.2.sz.mell. _köt'!F57+'1.3.sz.mell._önk'!F57+'1.4.sz.mell._állig'!F57</f>
        <v>0</v>
      </c>
      <c r="G57" s="1013">
        <f>'1.2.sz.mell. _köt'!G57+'1.3.sz.mell._önk'!G57+'1.4.sz.mell._állig'!G57</f>
        <v>0</v>
      </c>
      <c r="H57" s="1013">
        <f>'1.2.sz.mell. _köt'!H57+'1.3.sz.mell._önk'!H57+'1.4.sz.mell._állig'!H57</f>
        <v>0</v>
      </c>
      <c r="I57" s="1013">
        <f>'1.2.sz.mell. _köt'!I57+'1.3.sz.mell._önk'!I57+'1.4.sz.mell._állig'!I57</f>
        <v>0</v>
      </c>
    </row>
    <row r="58" spans="1:9" s="1003" customFormat="1" ht="12" customHeight="1" x14ac:dyDescent="0.2">
      <c r="A58" s="1060" t="s">
        <v>276</v>
      </c>
      <c r="B58" s="1038" t="s">
        <v>262</v>
      </c>
      <c r="C58" s="1011">
        <f>'1.2.sz.mell. _köt'!C58+'1.3.sz.mell._önk'!C58+'1.4.sz.mell._állig'!C58</f>
        <v>0</v>
      </c>
      <c r="D58" s="1012">
        <f>'1.2.sz.mell. _köt'!D58+'1.3.sz.mell._önk'!D58+'1.4.sz.mell._állig'!D58</f>
        <v>0</v>
      </c>
      <c r="E58" s="1013">
        <f>'1.2.sz.mell. _köt'!E58+'1.3.sz.mell._önk'!E58+'1.4.sz.mell._állig'!E58</f>
        <v>0</v>
      </c>
      <c r="F58" s="1013">
        <f>'1.2.sz.mell. _köt'!F58+'1.3.sz.mell._önk'!F58+'1.4.sz.mell._állig'!F58</f>
        <v>0</v>
      </c>
      <c r="G58" s="1013">
        <f>'1.2.sz.mell. _köt'!G58+'1.3.sz.mell._önk'!G58+'1.4.sz.mell._állig'!G58</f>
        <v>0</v>
      </c>
      <c r="H58" s="1013">
        <f>'1.2.sz.mell. _köt'!H58+'1.3.sz.mell._önk'!H58+'1.4.sz.mell._állig'!H58</f>
        <v>0</v>
      </c>
      <c r="I58" s="1013">
        <f>'1.2.sz.mell. _köt'!I58+'1.3.sz.mell._önk'!I58+'1.4.sz.mell._állig'!I58</f>
        <v>0</v>
      </c>
    </row>
    <row r="59" spans="1:9" s="1003" customFormat="1" ht="12" customHeight="1" x14ac:dyDescent="0.2">
      <c r="A59" s="1061" t="s">
        <v>96</v>
      </c>
      <c r="B59" s="1039" t="s">
        <v>341</v>
      </c>
      <c r="C59" s="1062">
        <f>+C60+C61+C62+C63+C64</f>
        <v>135330</v>
      </c>
      <c r="D59" s="1041">
        <f>+D60+D61+D62+D63+D64</f>
        <v>0</v>
      </c>
      <c r="E59" s="1042">
        <f>+E60+E61+E62+E63+E64</f>
        <v>0</v>
      </c>
      <c r="F59" s="1042">
        <f t="shared" ref="F59:I59" si="12">+F60+F61+F62+F63+F64</f>
        <v>0</v>
      </c>
      <c r="G59" s="1042">
        <f t="shared" si="12"/>
        <v>0</v>
      </c>
      <c r="H59" s="1042">
        <f t="shared" si="12"/>
        <v>5704</v>
      </c>
      <c r="I59" s="1042">
        <f t="shared" si="12"/>
        <v>5704</v>
      </c>
    </row>
    <row r="60" spans="1:9" s="1003" customFormat="1" ht="12" customHeight="1" x14ac:dyDescent="0.2">
      <c r="A60" s="1060" t="s">
        <v>277</v>
      </c>
      <c r="B60" s="1038" t="s">
        <v>264</v>
      </c>
      <c r="C60" s="1011">
        <f>'1.2.sz.mell. _köt'!C60+'1.3.sz.mell._önk'!C60+'1.4.sz.mell._állig'!C60</f>
        <v>58202</v>
      </c>
      <c r="D60" s="1012">
        <f>'1.2.sz.mell. _köt'!D60+'1.3.sz.mell._önk'!D60+'1.4.sz.mell._állig'!D60</f>
        <v>0</v>
      </c>
      <c r="E60" s="1013">
        <f>'1.2.sz.mell. _köt'!E60+'1.3.sz.mell._önk'!E60+'1.4.sz.mell._állig'!E60</f>
        <v>0</v>
      </c>
      <c r="F60" s="1013">
        <f>'1.2.sz.mell. _köt'!F60+'1.3.sz.mell._önk'!F60+'1.4.sz.mell._állig'!F60</f>
        <v>0</v>
      </c>
      <c r="G60" s="1013">
        <f>'1.2.sz.mell. _köt'!G60+'1.3.sz.mell._önk'!G60+'1.4.sz.mell._állig'!G60</f>
        <v>0</v>
      </c>
      <c r="H60" s="1013">
        <f>'1.2.sz.mell. _köt'!H60+'1.3.sz.mell._önk'!H60+'1.4.sz.mell._állig'!H60</f>
        <v>0</v>
      </c>
      <c r="I60" s="1013">
        <f>'1.2.sz.mell. _köt'!I60+'1.3.sz.mell._önk'!I60+'1.4.sz.mell._állig'!I60</f>
        <v>0</v>
      </c>
    </row>
    <row r="61" spans="1:9" s="1003" customFormat="1" ht="12" customHeight="1" x14ac:dyDescent="0.2">
      <c r="A61" s="1060" t="s">
        <v>278</v>
      </c>
      <c r="B61" s="1038" t="s">
        <v>265</v>
      </c>
      <c r="C61" s="1011">
        <f>'1.2.sz.mell. _köt'!C61+'1.3.sz.mell._önk'!C61+'1.4.sz.mell._állig'!C61</f>
        <v>77128</v>
      </c>
      <c r="D61" s="1012">
        <f>'1.2.sz.mell. _köt'!D61+'1.3.sz.mell._önk'!D61+'1.4.sz.mell._állig'!D61</f>
        <v>0</v>
      </c>
      <c r="E61" s="1013">
        <f>'1.2.sz.mell. _köt'!E61+'1.3.sz.mell._önk'!E61+'1.4.sz.mell._állig'!E61</f>
        <v>0</v>
      </c>
      <c r="F61" s="1013">
        <f>'1.2.sz.mell. _köt'!F61+'1.3.sz.mell._önk'!F61+'1.4.sz.mell._állig'!F61</f>
        <v>0</v>
      </c>
      <c r="G61" s="1013">
        <f>'1.2.sz.mell. _köt'!G61+'1.3.sz.mell._önk'!G61+'1.4.sz.mell._állig'!G61</f>
        <v>0</v>
      </c>
      <c r="H61" s="1013">
        <f>'1.2.sz.mell. _köt'!H61+'1.3.sz.mell._önk'!H61+'1.4.sz.mell._állig'!H61</f>
        <v>0</v>
      </c>
      <c r="I61" s="1013">
        <f>'1.2.sz.mell. _köt'!I61+'1.3.sz.mell._önk'!I61+'1.4.sz.mell._állig'!I61</f>
        <v>0</v>
      </c>
    </row>
    <row r="62" spans="1:9" s="1003" customFormat="1" ht="12" customHeight="1" x14ac:dyDescent="0.2">
      <c r="A62" s="1060" t="s">
        <v>279</v>
      </c>
      <c r="B62" s="1038" t="s">
        <v>266</v>
      </c>
      <c r="C62" s="1011">
        <f>'1.2.sz.mell. _köt'!C62+'1.3.sz.mell._önk'!C62+'1.4.sz.mell._állig'!C62</f>
        <v>0</v>
      </c>
      <c r="D62" s="1012">
        <f>'1.2.sz.mell. _köt'!D62+'1.3.sz.mell._önk'!D62+'1.4.sz.mell._állig'!D62</f>
        <v>0</v>
      </c>
      <c r="E62" s="1013">
        <f>'1.2.sz.mell. _köt'!E62+'1.3.sz.mell._önk'!E62+'1.4.sz.mell._állig'!E62</f>
        <v>0</v>
      </c>
      <c r="F62" s="1013">
        <f>'1.2.sz.mell. _köt'!F62+'1.3.sz.mell._önk'!F62+'1.4.sz.mell._állig'!F62</f>
        <v>0</v>
      </c>
      <c r="G62" s="1013">
        <f>'1.2.sz.mell. _köt'!G62+'1.3.sz.mell._önk'!G62+'1.4.sz.mell._állig'!G62</f>
        <v>0</v>
      </c>
      <c r="H62" s="1013">
        <f>'1.2.sz.mell. _köt'!H62+'1.3.sz.mell._önk'!H62+'1.4.sz.mell._állig'!H62</f>
        <v>0</v>
      </c>
      <c r="I62" s="1013">
        <f>'1.2.sz.mell. _köt'!I62+'1.3.sz.mell._önk'!I62+'1.4.sz.mell._állig'!I62</f>
        <v>0</v>
      </c>
    </row>
    <row r="63" spans="1:9" s="1003" customFormat="1" ht="12" customHeight="1" x14ac:dyDescent="0.2">
      <c r="A63" s="1060" t="s">
        <v>280</v>
      </c>
      <c r="B63" s="1038" t="s">
        <v>267</v>
      </c>
      <c r="C63" s="1011">
        <f>'1.2.sz.mell. _köt'!C63+'1.3.sz.mell._önk'!C63+'1.4.sz.mell._állig'!C63</f>
        <v>0</v>
      </c>
      <c r="D63" s="1012">
        <f>'1.2.sz.mell. _köt'!D63+'1.3.sz.mell._önk'!D63+'1.4.sz.mell._állig'!D63</f>
        <v>0</v>
      </c>
      <c r="E63" s="1013">
        <f>'1.2.sz.mell. _köt'!E63+'1.3.sz.mell._önk'!E63+'1.4.sz.mell._állig'!E63</f>
        <v>0</v>
      </c>
      <c r="F63" s="1013">
        <f>'1.2.sz.mell. _köt'!F63+'1.3.sz.mell._önk'!F63+'1.4.sz.mell._állig'!F63</f>
        <v>0</v>
      </c>
      <c r="G63" s="1013">
        <f>'1.2.sz.mell. _köt'!G63+'1.3.sz.mell._önk'!G63+'1.4.sz.mell._állig'!G63</f>
        <v>0</v>
      </c>
      <c r="H63" s="1013">
        <f>'1.2.sz.mell. _köt'!H63+'1.3.sz.mell._önk'!H63+'1.4.sz.mell._állig'!H63</f>
        <v>0</v>
      </c>
      <c r="I63" s="1013">
        <f>'1.2.sz.mell. _köt'!I63+'1.3.sz.mell._önk'!I63+'1.4.sz.mell._állig'!I63</f>
        <v>0</v>
      </c>
    </row>
    <row r="64" spans="1:9" s="1003" customFormat="1" ht="12" customHeight="1" thickBot="1" x14ac:dyDescent="0.25">
      <c r="A64" s="1063" t="s">
        <v>281</v>
      </c>
      <c r="B64" s="1047" t="s">
        <v>268</v>
      </c>
      <c r="C64" s="1011">
        <f>'1.2.sz.mell. _köt'!C64+'1.3.sz.mell._önk'!C64+'1.4.sz.mell._állig'!C64</f>
        <v>0</v>
      </c>
      <c r="D64" s="1012">
        <f>'1.2.sz.mell. _köt'!D64+'1.3.sz.mell._önk'!D64+'1.4.sz.mell._állig'!D64</f>
        <v>0</v>
      </c>
      <c r="E64" s="1013">
        <f>'1.2.sz.mell. _köt'!E64+'1.3.sz.mell._önk'!E64+'1.4.sz.mell._állig'!E64</f>
        <v>0</v>
      </c>
      <c r="F64" s="1013">
        <f>'1.2.sz.mell. _köt'!F64+'1.3.sz.mell._önk'!F64+'1.4.sz.mell._állig'!F64</f>
        <v>0</v>
      </c>
      <c r="G64" s="1013">
        <f>'1.2.sz.mell. _köt'!G64+'1.3.sz.mell._önk'!G64+'1.4.sz.mell._állig'!G64</f>
        <v>0</v>
      </c>
      <c r="H64" s="1013">
        <f>'1.2.sz.mell. _köt'!H64+'1.3.sz.mell._önk'!H64+'1.4.sz.mell._állig'!H64</f>
        <v>5704</v>
      </c>
      <c r="I64" s="1013">
        <f>'1.2.sz.mell. _köt'!I64+'1.3.sz.mell._önk'!I64+'1.4.sz.mell._állig'!I64</f>
        <v>5704</v>
      </c>
    </row>
    <row r="65" spans="1:9" s="1003" customFormat="1" ht="12" customHeight="1" thickBot="1" x14ac:dyDescent="0.25">
      <c r="A65" s="1064" t="s">
        <v>980</v>
      </c>
      <c r="B65" s="1065" t="s">
        <v>339</v>
      </c>
      <c r="C65" s="1055">
        <f>+C51+C52</f>
        <v>834874</v>
      </c>
      <c r="D65" s="1056">
        <f>+D51+D52</f>
        <v>308687</v>
      </c>
      <c r="E65" s="1057">
        <f>+E51+E52</f>
        <v>286781</v>
      </c>
      <c r="F65" s="1057">
        <f t="shared" ref="F65:I65" si="13">+F51+F52</f>
        <v>38421</v>
      </c>
      <c r="G65" s="1057">
        <f t="shared" si="13"/>
        <v>16341</v>
      </c>
      <c r="H65" s="1057">
        <f t="shared" si="13"/>
        <v>5318</v>
      </c>
      <c r="I65" s="1057">
        <f t="shared" si="13"/>
        <v>346861</v>
      </c>
    </row>
    <row r="66" spans="1:9" s="1003" customFormat="1" ht="13.5" customHeight="1" thickBot="1" x14ac:dyDescent="0.25">
      <c r="A66" s="1066" t="s">
        <v>981</v>
      </c>
      <c r="B66" s="1067" t="s">
        <v>270</v>
      </c>
      <c r="C66" s="1011">
        <f>'1.2.sz.mell. _köt'!C66+'1.3.sz.mell._önk'!C66+'1.4.sz.mell._állig'!C66</f>
        <v>55</v>
      </c>
      <c r="D66" s="1012">
        <f>'1.2.sz.mell. _köt'!D66+'1.3.sz.mell._önk'!D66+'1.4.sz.mell._állig'!D66+103</f>
        <v>9364</v>
      </c>
      <c r="E66" s="1013">
        <f>'1.2.sz.mell. _köt'!E66+'1.3.sz.mell._önk'!E66+'1.4.sz.mell._állig'!E66</f>
        <v>0</v>
      </c>
      <c r="F66" s="1013">
        <f>'1.2.sz.mell. _köt'!F66+'1.3.sz.mell._önk'!F66+'1.4.sz.mell._állig'!F66</f>
        <v>0</v>
      </c>
      <c r="G66" s="1013">
        <f>'1.2.sz.mell. _köt'!G66+'1.3.sz.mell._önk'!G66+'1.4.sz.mell._állig'!G66</f>
        <v>0</v>
      </c>
      <c r="H66" s="1013">
        <f>'1.2.sz.mell. _köt'!H66+'1.3.sz.mell._önk'!H66+'1.4.sz.mell._állig'!H66</f>
        <v>0</v>
      </c>
      <c r="I66" s="1013">
        <f>'1.2.sz.mell. _köt'!I66+'1.3.sz.mell._önk'!I66+'1.4.sz.mell._állig'!I66</f>
        <v>0</v>
      </c>
    </row>
    <row r="67" spans="1:9" s="1003" customFormat="1" ht="12" customHeight="1" thickBot="1" x14ac:dyDescent="0.25">
      <c r="A67" s="1064" t="s">
        <v>982</v>
      </c>
      <c r="B67" s="1065" t="s">
        <v>340</v>
      </c>
      <c r="C67" s="1055">
        <f>+C65+C66</f>
        <v>834929</v>
      </c>
      <c r="D67" s="1056">
        <f>+D65+D66</f>
        <v>318051</v>
      </c>
      <c r="E67" s="1057">
        <f>+E65+E66</f>
        <v>286781</v>
      </c>
      <c r="F67" s="1057">
        <f t="shared" ref="F67:I67" si="14">+F65+F66</f>
        <v>38421</v>
      </c>
      <c r="G67" s="1057">
        <f t="shared" si="14"/>
        <v>16341</v>
      </c>
      <c r="H67" s="1057">
        <f t="shared" si="14"/>
        <v>5318</v>
      </c>
      <c r="I67" s="1057">
        <f t="shared" si="14"/>
        <v>346861</v>
      </c>
    </row>
    <row r="68" spans="1:9" s="1003" customFormat="1" x14ac:dyDescent="0.2">
      <c r="A68" s="1068"/>
      <c r="B68" s="1069"/>
      <c r="C68" s="1070"/>
      <c r="D68" s="1070"/>
      <c r="E68" s="1070"/>
      <c r="F68" s="1070"/>
      <c r="G68" s="1070"/>
      <c r="H68" s="1070"/>
      <c r="I68" s="1070"/>
    </row>
    <row r="69" spans="1:9" ht="16.5" customHeight="1" x14ac:dyDescent="0.25">
      <c r="A69" s="1507" t="s">
        <v>998</v>
      </c>
      <c r="B69" s="1507"/>
      <c r="C69" s="1507"/>
      <c r="D69" s="987"/>
      <c r="E69" s="987"/>
      <c r="F69" s="987"/>
      <c r="G69" s="987"/>
      <c r="H69" s="987"/>
      <c r="I69" s="987"/>
    </row>
    <row r="70" spans="1:9" s="1072" customFormat="1" ht="16.5" customHeight="1" thickBot="1" x14ac:dyDescent="0.3">
      <c r="A70" s="1510" t="s">
        <v>103</v>
      </c>
      <c r="B70" s="1510"/>
      <c r="C70" s="1071"/>
      <c r="D70" s="1071"/>
      <c r="E70" s="1071"/>
      <c r="F70" s="1071"/>
      <c r="G70" s="1071"/>
      <c r="H70" s="1071"/>
      <c r="I70" s="1071" t="s">
        <v>303</v>
      </c>
    </row>
    <row r="71" spans="1:9" ht="38.1" customHeight="1" thickBot="1" x14ac:dyDescent="0.3">
      <c r="A71" s="990" t="s">
        <v>967</v>
      </c>
      <c r="B71" s="991" t="s">
        <v>999</v>
      </c>
      <c r="C71" s="992" t="s">
        <v>1037</v>
      </c>
      <c r="D71" s="993" t="s">
        <v>1038</v>
      </c>
      <c r="E71" s="933" t="s">
        <v>1039</v>
      </c>
      <c r="F71" s="933" t="s">
        <v>1148</v>
      </c>
      <c r="G71" s="933" t="s">
        <v>1189</v>
      </c>
      <c r="H71" s="933" t="s">
        <v>1190</v>
      </c>
      <c r="I71" s="933" t="s">
        <v>1147</v>
      </c>
    </row>
    <row r="72" spans="1:9" s="997" customFormat="1" ht="12" customHeight="1" thickBot="1" x14ac:dyDescent="0.25">
      <c r="A72" s="995">
        <v>1</v>
      </c>
      <c r="B72" s="996">
        <v>2</v>
      </c>
      <c r="C72" s="992">
        <v>3</v>
      </c>
      <c r="D72" s="993">
        <v>4</v>
      </c>
      <c r="E72" s="933">
        <v>3</v>
      </c>
      <c r="F72" s="933">
        <v>4</v>
      </c>
      <c r="G72" s="933"/>
      <c r="H72" s="933"/>
      <c r="I72" s="933">
        <v>5</v>
      </c>
    </row>
    <row r="73" spans="1:9" ht="12" customHeight="1" thickBot="1" x14ac:dyDescent="0.3">
      <c r="A73" s="998" t="s">
        <v>969</v>
      </c>
      <c r="B73" s="1073" t="s">
        <v>166</v>
      </c>
      <c r="C73" s="1000">
        <f>+C74+C75+C76+C77+C78</f>
        <v>275392</v>
      </c>
      <c r="D73" s="1001">
        <f>+D74+D75+D76+D77+D78</f>
        <v>253595</v>
      </c>
      <c r="E73" s="1002">
        <f>+E74+E75+E76+E77+E78</f>
        <v>277977</v>
      </c>
      <c r="F73" s="1002">
        <f t="shared" ref="F73:I73" si="15">+F74+F75+F76+F77+F78</f>
        <v>18760</v>
      </c>
      <c r="G73" s="1002">
        <f t="shared" si="15"/>
        <v>10930</v>
      </c>
      <c r="H73" s="1002">
        <f t="shared" si="15"/>
        <v>925</v>
      </c>
      <c r="I73" s="1002">
        <f t="shared" si="15"/>
        <v>308592</v>
      </c>
    </row>
    <row r="74" spans="1:9" ht="12" customHeight="1" x14ac:dyDescent="0.25">
      <c r="A74" s="1017" t="s">
        <v>60</v>
      </c>
      <c r="B74" s="1018" t="s">
        <v>1000</v>
      </c>
      <c r="C74" s="1074">
        <f>'1.2.sz.mell. _köt'!C74+'1.3.sz.mell._önk'!C74+'1.4.sz.mell._állig'!C74</f>
        <v>133527</v>
      </c>
      <c r="D74" s="1075">
        <f>'1.2.sz.mell. _köt'!D74+'1.3.sz.mell._önk'!D74+'1.4.sz.mell._állig'!D74</f>
        <v>105454</v>
      </c>
      <c r="E74" s="1076">
        <f>'1.2.sz.mell. _köt'!E74+'1.3.sz.mell._önk'!E74+'1.4.sz.mell._állig'!E74</f>
        <v>135641</v>
      </c>
      <c r="F74" s="1076">
        <f>'1.2.sz.mell. _köt'!F74+'1.3.sz.mell._önk'!F74+'1.4.sz.mell._állig'!F74</f>
        <v>5058</v>
      </c>
      <c r="G74" s="1076">
        <f>'1.2.sz.mell. _köt'!G74+'1.3.sz.mell._önk'!G74+'1.4.sz.mell._állig'!G74</f>
        <v>2763</v>
      </c>
      <c r="H74" s="1076">
        <f>'1.2.sz.mell. _köt'!H74+'1.3.sz.mell._önk'!H74+'1.4.sz.mell._állig'!H74</f>
        <v>98</v>
      </c>
      <c r="I74" s="1076">
        <f>'1.2.sz.mell. _köt'!I74+'1.3.sz.mell._önk'!I74+'1.4.sz.mell._állig'!I74</f>
        <v>143560</v>
      </c>
    </row>
    <row r="75" spans="1:9" ht="12" customHeight="1" x14ac:dyDescent="0.25">
      <c r="A75" s="1009" t="s">
        <v>61</v>
      </c>
      <c r="B75" s="1019" t="s">
        <v>167</v>
      </c>
      <c r="C75" s="1077">
        <f>'1.2.sz.mell. _köt'!C75+'1.3.sz.mell._önk'!C75+'1.4.sz.mell._állig'!C75</f>
        <v>35899</v>
      </c>
      <c r="D75" s="1012">
        <f>'1.2.sz.mell. _köt'!D75+'1.3.sz.mell._önk'!D75+'1.4.sz.mell._állig'!D75</f>
        <v>25668</v>
      </c>
      <c r="E75" s="1013">
        <f>'1.2.sz.mell. _köt'!E75+'1.3.sz.mell._önk'!E75+'1.4.sz.mell._állig'!E75</f>
        <v>32287</v>
      </c>
      <c r="F75" s="1013">
        <f>'1.2.sz.mell. _köt'!F75+'1.3.sz.mell._önk'!F75+'1.4.sz.mell._állig'!F75</f>
        <v>4502</v>
      </c>
      <c r="G75" s="1013">
        <f>'1.2.sz.mell. _köt'!G75+'1.3.sz.mell._önk'!G75+'1.4.sz.mell._állig'!G75</f>
        <v>870</v>
      </c>
      <c r="H75" s="1013">
        <f>'1.2.sz.mell. _köt'!H75+'1.3.sz.mell._önk'!H75+'1.4.sz.mell._állig'!H75</f>
        <v>26</v>
      </c>
      <c r="I75" s="1013">
        <f>'1.2.sz.mell. _köt'!I75+'1.3.sz.mell._önk'!I75+'1.4.sz.mell._állig'!I75</f>
        <v>37685</v>
      </c>
    </row>
    <row r="76" spans="1:9" ht="12" customHeight="1" x14ac:dyDescent="0.25">
      <c r="A76" s="1009" t="s">
        <v>62</v>
      </c>
      <c r="B76" s="1019" t="s">
        <v>91</v>
      </c>
      <c r="C76" s="1078">
        <f>'1.2.sz.mell. _köt'!C76+'1.3.sz.mell._önk'!C76+'1.4.sz.mell._állig'!C76</f>
        <v>77816</v>
      </c>
      <c r="D76" s="1079">
        <f>'1.2.sz.mell. _köt'!D76+'1.3.sz.mell._önk'!D76+'1.4.sz.mell._állig'!D76</f>
        <v>99187</v>
      </c>
      <c r="E76" s="1080">
        <f>'1.2.sz.mell. _köt'!E76+'1.3.sz.mell._önk'!E76+'1.4.sz.mell._állig'!E76</f>
        <v>91002</v>
      </c>
      <c r="F76" s="1080">
        <f>'1.2.sz.mell. _köt'!F76+'1.3.sz.mell._önk'!F76+'1.4.sz.mell._állig'!F76</f>
        <v>6910</v>
      </c>
      <c r="G76" s="1080">
        <f>'1.2.sz.mell. _köt'!G76+'1.3.sz.mell._önk'!G76+'1.4.sz.mell._állig'!G76</f>
        <v>7418</v>
      </c>
      <c r="H76" s="1080">
        <f>'1.2.sz.mell. _köt'!H76+'1.3.sz.mell._önk'!H76+'1.4.sz.mell._állig'!H76</f>
        <v>-1769</v>
      </c>
      <c r="I76" s="1080">
        <f>'1.2.sz.mell. _köt'!I76+'1.3.sz.mell._önk'!I76+'1.4.sz.mell._állig'!I76</f>
        <v>103561</v>
      </c>
    </row>
    <row r="77" spans="1:9" ht="12" customHeight="1" x14ac:dyDescent="0.25">
      <c r="A77" s="1009" t="s">
        <v>63</v>
      </c>
      <c r="B77" s="1081" t="s">
        <v>168</v>
      </c>
      <c r="C77" s="1078">
        <f>'1.2.sz.mell. _köt'!C77+'1.3.sz.mell._önk'!C77+'1.4.sz.mell._állig'!C77</f>
        <v>21960</v>
      </c>
      <c r="D77" s="1079">
        <f>'1.2.sz.mell. _köt'!D77+'1.3.sz.mell._önk'!D77+'1.4.sz.mell._állig'!D77</f>
        <v>16490</v>
      </c>
      <c r="E77" s="1080">
        <f>'1.2.sz.mell. _köt'!E77+'1.3.sz.mell._önk'!E77+'1.4.sz.mell._állig'!E77</f>
        <v>13747</v>
      </c>
      <c r="F77" s="1080">
        <f>'1.2.sz.mell. _köt'!F77+'1.3.sz.mell._önk'!F77+'1.4.sz.mell._állig'!F77</f>
        <v>0</v>
      </c>
      <c r="G77" s="1080">
        <f>'1.2.sz.mell. _köt'!G77+'1.3.sz.mell._önk'!G77+'1.4.sz.mell._állig'!G77</f>
        <v>-121</v>
      </c>
      <c r="H77" s="1080">
        <f>'1.2.sz.mell. _köt'!H77+'1.3.sz.mell._önk'!H77+'1.4.sz.mell._állig'!H77</f>
        <v>2570</v>
      </c>
      <c r="I77" s="1080">
        <f>'1.2.sz.mell. _köt'!I77+'1.3.sz.mell._önk'!I77+'1.4.sz.mell._állig'!I77</f>
        <v>16196</v>
      </c>
    </row>
    <row r="78" spans="1:9" ht="12" customHeight="1" x14ac:dyDescent="0.25">
      <c r="A78" s="1009" t="s">
        <v>74</v>
      </c>
      <c r="B78" s="1082" t="s">
        <v>169</v>
      </c>
      <c r="C78" s="1078">
        <f>'1.2.sz.mell. _köt'!C78+'1.3.sz.mell._önk'!C78+'1.4.sz.mell._állig'!C78</f>
        <v>6190</v>
      </c>
      <c r="D78" s="1079">
        <f>'1.2.sz.mell. _köt'!D78+'1.3.sz.mell._önk'!D78+'1.4.sz.mell._állig'!D78</f>
        <v>6796</v>
      </c>
      <c r="E78" s="1080">
        <f>'1.2.sz.mell. _köt'!E78+'1.3.sz.mell._önk'!E78+'1.4.sz.mell._állig'!E78</f>
        <v>5300</v>
      </c>
      <c r="F78" s="1080">
        <f>'1.2.sz.mell. _köt'!F78+'1.3.sz.mell._önk'!F78+'1.4.sz.mell._állig'!F78</f>
        <v>2290</v>
      </c>
      <c r="G78" s="1080">
        <f>'1.2.sz.mell. _köt'!G78+'1.3.sz.mell._önk'!G78+'1.4.sz.mell._állig'!G78</f>
        <v>0</v>
      </c>
      <c r="H78" s="1080">
        <f>'1.2.sz.mell. _köt'!H78+'1.3.sz.mell._önk'!H78+'1.4.sz.mell._állig'!H78</f>
        <v>0</v>
      </c>
      <c r="I78" s="1080">
        <f>'1.2.sz.mell. _köt'!I78+'1.3.sz.mell._önk'!I78+'1.4.sz.mell._állig'!I78</f>
        <v>7590</v>
      </c>
    </row>
    <row r="79" spans="1:9" ht="12" customHeight="1" x14ac:dyDescent="0.25">
      <c r="A79" s="1009" t="s">
        <v>64</v>
      </c>
      <c r="B79" s="1019" t="s">
        <v>191</v>
      </c>
      <c r="C79" s="1078">
        <f>'1.2.sz.mell. _köt'!C79+'1.3.sz.mell._önk'!C79+'1.4.sz.mell._állig'!C79</f>
        <v>0</v>
      </c>
      <c r="D79" s="1079">
        <f>'1.2.sz.mell. _köt'!D79+'1.3.sz.mell._önk'!D79+'1.4.sz.mell._állig'!D79</f>
        <v>0</v>
      </c>
      <c r="E79" s="1080">
        <f>'1.2.sz.mell. _köt'!E79+'1.3.sz.mell._önk'!E79+'1.4.sz.mell._állig'!E79</f>
        <v>0</v>
      </c>
      <c r="F79" s="1080">
        <f>'1.2.sz.mell. _köt'!F79+'1.3.sz.mell._önk'!F79+'1.4.sz.mell._állig'!F79</f>
        <v>0</v>
      </c>
      <c r="G79" s="1080">
        <f>'1.2.sz.mell. _köt'!G79+'1.3.sz.mell._önk'!G79+'1.4.sz.mell._állig'!G79</f>
        <v>0</v>
      </c>
      <c r="H79" s="1080">
        <f>'1.2.sz.mell. _köt'!H79+'1.3.sz.mell._önk'!H79+'1.4.sz.mell._állig'!H79</f>
        <v>0</v>
      </c>
      <c r="I79" s="1080">
        <f>'1.2.sz.mell. _köt'!I79+'1.3.sz.mell._önk'!I79+'1.4.sz.mell._állig'!I79</f>
        <v>0</v>
      </c>
    </row>
    <row r="80" spans="1:9" ht="12" customHeight="1" x14ac:dyDescent="0.25">
      <c r="A80" s="1009" t="s">
        <v>65</v>
      </c>
      <c r="B80" s="1083" t="s">
        <v>192</v>
      </c>
      <c r="C80" s="1078">
        <f>'1.2.sz.mell. _köt'!C80+'1.3.sz.mell._önk'!C80+'1.4.sz.mell._állig'!C80</f>
        <v>0</v>
      </c>
      <c r="D80" s="1079">
        <f>'1.2.sz.mell. _köt'!D80+'1.3.sz.mell._önk'!D80+'1.4.sz.mell._állig'!D80</f>
        <v>0</v>
      </c>
      <c r="E80" s="1080">
        <f>'1.2.sz.mell. _köt'!E80+'1.3.sz.mell._önk'!E80+'1.4.sz.mell._állig'!E80</f>
        <v>0</v>
      </c>
      <c r="F80" s="1080">
        <f>'1.2.sz.mell. _köt'!F80+'1.3.sz.mell._önk'!F80+'1.4.sz.mell._állig'!F80</f>
        <v>0</v>
      </c>
      <c r="G80" s="1080">
        <f>'1.2.sz.mell. _köt'!G80+'1.3.sz.mell._önk'!G80+'1.4.sz.mell._állig'!G80</f>
        <v>0</v>
      </c>
      <c r="H80" s="1080">
        <f>'1.2.sz.mell. _köt'!H80+'1.3.sz.mell._önk'!H80+'1.4.sz.mell._állig'!H80</f>
        <v>0</v>
      </c>
      <c r="I80" s="1080">
        <f>'1.2.sz.mell. _köt'!I80+'1.3.sz.mell._önk'!I80+'1.4.sz.mell._állig'!I80</f>
        <v>0</v>
      </c>
    </row>
    <row r="81" spans="1:9" ht="12" customHeight="1" x14ac:dyDescent="0.25">
      <c r="A81" s="1009" t="s">
        <v>75</v>
      </c>
      <c r="B81" s="1083" t="s">
        <v>282</v>
      </c>
      <c r="C81" s="1078">
        <f>'1.2.sz.mell. _köt'!C81+'1.3.sz.mell._önk'!C81+'1.4.sz.mell._állig'!C81</f>
        <v>5248</v>
      </c>
      <c r="D81" s="1079">
        <f>'1.2.sz.mell. _köt'!D81+'1.3.sz.mell._önk'!D81+'1.4.sz.mell._állig'!D81</f>
        <v>564</v>
      </c>
      <c r="E81" s="1080">
        <f>'1.2.sz.mell. _köt'!E81+'1.3.sz.mell._önk'!E81+'1.4.sz.mell._állig'!E81</f>
        <v>0</v>
      </c>
      <c r="F81" s="1080">
        <f>'1.2.sz.mell. _köt'!F81+'1.3.sz.mell._önk'!F81+'1.4.sz.mell._állig'!F81</f>
        <v>0</v>
      </c>
      <c r="G81" s="1080">
        <f>'1.2.sz.mell. _köt'!G81+'1.3.sz.mell._önk'!G81+'1.4.sz.mell._állig'!G81</f>
        <v>0</v>
      </c>
      <c r="H81" s="1080">
        <f>'1.2.sz.mell. _köt'!H81+'1.3.sz.mell._önk'!H81+'1.4.sz.mell._állig'!H81</f>
        <v>0</v>
      </c>
      <c r="I81" s="1080">
        <f>'1.2.sz.mell. _köt'!I81+'1.3.sz.mell._önk'!I81+'1.4.sz.mell._állig'!I81</f>
        <v>0</v>
      </c>
    </row>
    <row r="82" spans="1:9" ht="12" customHeight="1" x14ac:dyDescent="0.25">
      <c r="A82" s="1009" t="s">
        <v>76</v>
      </c>
      <c r="B82" s="1084" t="s">
        <v>193</v>
      </c>
      <c r="C82" s="1078">
        <f>'1.2.sz.mell. _köt'!C82+'1.3.sz.mell._önk'!C82+'1.4.sz.mell._állig'!C82</f>
        <v>632</v>
      </c>
      <c r="D82" s="1079">
        <f>'1.2.sz.mell. _köt'!D82+'1.3.sz.mell._önk'!D82+'1.4.sz.mell._állig'!D82</f>
        <v>5781</v>
      </c>
      <c r="E82" s="1080">
        <f>'1.2.sz.mell. _köt'!E82+'1.3.sz.mell._önk'!E82+'1.4.sz.mell._állig'!E82+'9. sz. mell'!F74</f>
        <v>5970</v>
      </c>
      <c r="F82" s="1080">
        <f>'1.2.sz.mell. _köt'!F82+'1.3.sz.mell._önk'!F82+'1.4.sz.mell._állig'!F82+'9. sz. mell'!G74</f>
        <v>1490</v>
      </c>
      <c r="G82" s="1080">
        <f>'1.2.sz.mell. _köt'!G82+'1.3.sz.mell._önk'!G82+'1.4.sz.mell._állig'!G82+'9. sz. mell'!H74</f>
        <v>0</v>
      </c>
      <c r="H82" s="1080">
        <f>'1.2.sz.mell. _köt'!H82+'1.3.sz.mell._önk'!H82+'1.4.sz.mell._állig'!H82+'9. sz. mell'!I74</f>
        <v>0</v>
      </c>
      <c r="I82" s="1080">
        <f>'1.2.sz.mell. _köt'!I82+'1.3.sz.mell._önk'!I82+'1.4.sz.mell._állig'!I82+'9. sz. mell'!J74</f>
        <v>7460</v>
      </c>
    </row>
    <row r="83" spans="1:9" ht="12" customHeight="1" x14ac:dyDescent="0.25">
      <c r="A83" s="1020" t="s">
        <v>77</v>
      </c>
      <c r="B83" s="1085" t="s">
        <v>194</v>
      </c>
      <c r="C83" s="1078">
        <f>'1.2.sz.mell. _köt'!C83+'1.3.sz.mell._önk'!C83+'1.4.sz.mell._állig'!C83</f>
        <v>0</v>
      </c>
      <c r="D83" s="1079">
        <f>'1.2.sz.mell. _köt'!D83+'1.3.sz.mell._önk'!D83+'1.4.sz.mell._állig'!D83</f>
        <v>130</v>
      </c>
      <c r="E83" s="1080">
        <f>'1.2.sz.mell. _köt'!E83+'1.3.sz.mell._önk'!E83+'1.4.sz.mell._állig'!E83</f>
        <v>0</v>
      </c>
      <c r="F83" s="1080">
        <f>'1.2.sz.mell. _köt'!F83+'1.3.sz.mell._önk'!F83+'1.4.sz.mell._állig'!F83</f>
        <v>0</v>
      </c>
      <c r="G83" s="1080">
        <f>'1.2.sz.mell. _köt'!G83+'1.3.sz.mell._önk'!G83+'1.4.sz.mell._állig'!G83</f>
        <v>0</v>
      </c>
      <c r="H83" s="1080">
        <f>'1.2.sz.mell. _köt'!H83+'1.3.sz.mell._önk'!H83+'1.4.sz.mell._állig'!H83</f>
        <v>0</v>
      </c>
      <c r="I83" s="1080">
        <f>'1.2.sz.mell. _köt'!I83+'1.3.sz.mell._önk'!I83+'1.4.sz.mell._állig'!I83</f>
        <v>0</v>
      </c>
    </row>
    <row r="84" spans="1:9" ht="12" customHeight="1" x14ac:dyDescent="0.25">
      <c r="A84" s="1009" t="s">
        <v>78</v>
      </c>
      <c r="B84" s="1085" t="s">
        <v>195</v>
      </c>
      <c r="C84" s="1078">
        <f>'1.2.sz.mell. _köt'!C84+'1.3.sz.mell._önk'!C84+'1.4.sz.mell._állig'!C84</f>
        <v>310</v>
      </c>
      <c r="D84" s="1079">
        <f>'1.2.sz.mell. _köt'!D84+'1.3.sz.mell._önk'!D84+'1.4.sz.mell._állig'!D84</f>
        <v>321</v>
      </c>
      <c r="E84" s="1080">
        <f>'1.2.sz.mell. _köt'!E84+'1.3.sz.mell._önk'!E84+'1.4.sz.mell._állig'!E84</f>
        <v>130</v>
      </c>
      <c r="F84" s="1080">
        <f>'1.2.sz.mell. _köt'!F84+'1.3.sz.mell._önk'!F84+'1.4.sz.mell._állig'!F84</f>
        <v>0</v>
      </c>
      <c r="G84" s="1080">
        <f>'1.2.sz.mell. _köt'!G84+'1.3.sz.mell._önk'!G84+'1.4.sz.mell._állig'!G84</f>
        <v>0</v>
      </c>
      <c r="H84" s="1080">
        <f>'1.2.sz.mell. _köt'!H84+'1.3.sz.mell._önk'!H84+'1.4.sz.mell._állig'!H84</f>
        <v>0</v>
      </c>
      <c r="I84" s="1080">
        <f>'1.2.sz.mell. _köt'!I84+'1.3.sz.mell._önk'!I84+'1.4.sz.mell._állig'!I84</f>
        <v>130</v>
      </c>
    </row>
    <row r="85" spans="1:9" ht="12" customHeight="1" thickBot="1" x14ac:dyDescent="0.3">
      <c r="A85" s="1086" t="s">
        <v>80</v>
      </c>
      <c r="B85" s="1087" t="s">
        <v>196</v>
      </c>
      <c r="C85" s="1088">
        <f>'1.2.sz.mell. _köt'!C85+'1.3.sz.mell._önk'!C85+'1.4.sz.mell._állig'!C85</f>
        <v>0</v>
      </c>
      <c r="D85" s="1089">
        <f>'1.2.sz.mell. _köt'!D85+'1.3.sz.mell._önk'!D85+'1.4.sz.mell._állig'!D85</f>
        <v>0</v>
      </c>
      <c r="E85" s="1090">
        <f>'1.2.sz.mell. _köt'!E85+'1.3.sz.mell._önk'!E85+'1.4.sz.mell._állig'!E85</f>
        <v>0</v>
      </c>
      <c r="F85" s="1090">
        <f>'1.2.sz.mell. _köt'!F85+'1.3.sz.mell._önk'!F85+'1.4.sz.mell._állig'!F85</f>
        <v>1500</v>
      </c>
      <c r="G85" s="1090">
        <f>'1.2.sz.mell. _köt'!G85+'1.3.sz.mell._önk'!G85+'1.4.sz.mell._állig'!G85</f>
        <v>0</v>
      </c>
      <c r="H85" s="1090">
        <f>'1.2.sz.mell. _köt'!H85+'1.3.sz.mell._önk'!H85+'1.4.sz.mell._állig'!H85</f>
        <v>0</v>
      </c>
      <c r="I85" s="1090">
        <f>'1.2.sz.mell. _köt'!I85+'1.3.sz.mell._önk'!I85+'1.4.sz.mell._állig'!I85</f>
        <v>1500</v>
      </c>
    </row>
    <row r="86" spans="1:9" ht="12" customHeight="1" thickBot="1" x14ac:dyDescent="0.3">
      <c r="A86" s="1004" t="s">
        <v>970</v>
      </c>
      <c r="B86" s="1091" t="s">
        <v>313</v>
      </c>
      <c r="C86" s="1016">
        <f>+C87+C88+C89</f>
        <v>208999</v>
      </c>
      <c r="D86" s="1007">
        <f>+D87+D88+D89</f>
        <v>17736</v>
      </c>
      <c r="E86" s="1008">
        <f>+E87+E88+E89</f>
        <v>174</v>
      </c>
      <c r="F86" s="1008">
        <f t="shared" ref="F86:I86" si="16">+F87+F88+F89</f>
        <v>12334</v>
      </c>
      <c r="G86" s="1008">
        <f t="shared" si="16"/>
        <v>5667</v>
      </c>
      <c r="H86" s="1008">
        <f t="shared" si="16"/>
        <v>1133</v>
      </c>
      <c r="I86" s="1008">
        <f t="shared" si="16"/>
        <v>19308</v>
      </c>
    </row>
    <row r="87" spans="1:9" ht="12" customHeight="1" x14ac:dyDescent="0.25">
      <c r="A87" s="1027" t="s">
        <v>66</v>
      </c>
      <c r="B87" s="1019" t="s">
        <v>283</v>
      </c>
      <c r="C87" s="1092">
        <f>'1.2.sz.mell. _köt'!C87+'1.3.sz.mell._önk'!C87+'1.4.sz.mell._állig'!C87</f>
        <v>208999</v>
      </c>
      <c r="D87" s="1093">
        <f>'1.2.sz.mell. _köt'!D87+'1.3.sz.mell._önk'!D87+'1.4.sz.mell._állig'!D87</f>
        <v>17725</v>
      </c>
      <c r="E87" s="1094">
        <f>'1.2.sz.mell. _köt'!E87+'1.3.sz.mell._önk'!E87+'1.4.sz.mell._állig'!E87</f>
        <v>174</v>
      </c>
      <c r="F87" s="1094">
        <f>'1.2.sz.mell. _köt'!F87+'1.3.sz.mell._önk'!F87+'1.4.sz.mell._állig'!F87</f>
        <v>4258</v>
      </c>
      <c r="G87" s="1094">
        <f>'1.2.sz.mell. _köt'!G87+'1.3.sz.mell._önk'!G87+'1.4.sz.mell._állig'!G87</f>
        <v>5667</v>
      </c>
      <c r="H87" s="1094">
        <f>'1.2.sz.mell. _köt'!H87+'1.3.sz.mell._önk'!H87+'1.4.sz.mell._állig'!H87</f>
        <v>1133</v>
      </c>
      <c r="I87" s="1094">
        <f>'1.2.sz.mell. _köt'!I87+'1.3.sz.mell._önk'!I87+'1.4.sz.mell._állig'!I87</f>
        <v>11232</v>
      </c>
    </row>
    <row r="88" spans="1:9" ht="12" customHeight="1" x14ac:dyDescent="0.25">
      <c r="A88" s="1027" t="s">
        <v>67</v>
      </c>
      <c r="B88" s="1030" t="s">
        <v>171</v>
      </c>
      <c r="C88" s="1077">
        <f>'1.2.sz.mell. _köt'!C88+'1.3.sz.mell._önk'!C88+'1.4.sz.mell._állig'!C88</f>
        <v>0</v>
      </c>
      <c r="D88" s="1012">
        <f>'1.2.sz.mell. _köt'!D88+'1.3.sz.mell._önk'!D88+'1.4.sz.mell._állig'!D88</f>
        <v>0</v>
      </c>
      <c r="E88" s="1013">
        <f>'1.2.sz.mell. _köt'!E88+'1.3.sz.mell._önk'!E88+'1.4.sz.mell._állig'!E88</f>
        <v>0</v>
      </c>
      <c r="F88" s="1013">
        <f>'1.2.sz.mell. _köt'!F88+'1.3.sz.mell._önk'!F88+'1.4.sz.mell._állig'!F88</f>
        <v>8076</v>
      </c>
      <c r="G88" s="1013">
        <f>'1.2.sz.mell. _köt'!G88+'1.3.sz.mell._önk'!G88+'1.4.sz.mell._állig'!G88</f>
        <v>0</v>
      </c>
      <c r="H88" s="1013">
        <f>'1.2.sz.mell. _köt'!H88+'1.3.sz.mell._önk'!H88+'1.4.sz.mell._állig'!H88</f>
        <v>0</v>
      </c>
      <c r="I88" s="1013">
        <f>'1.2.sz.mell. _köt'!I88+'1.3.sz.mell._önk'!I88+'1.4.sz.mell._állig'!I88</f>
        <v>8076</v>
      </c>
    </row>
    <row r="89" spans="1:9" ht="12" customHeight="1" x14ac:dyDescent="0.25">
      <c r="A89" s="1027" t="s">
        <v>68</v>
      </c>
      <c r="B89" s="1038" t="s">
        <v>314</v>
      </c>
      <c r="C89" s="1011">
        <f>'1.2.sz.mell. _köt'!C89+'1.3.sz.mell._önk'!C89+'1.4.sz.mell._állig'!C89</f>
        <v>0</v>
      </c>
      <c r="D89" s="1012">
        <f>'1.2.sz.mell. _köt'!D89+'1.3.sz.mell._önk'!D89+'1.4.sz.mell._állig'!D89</f>
        <v>11</v>
      </c>
      <c r="E89" s="1013">
        <f>'1.2.sz.mell. _köt'!E89+'1.3.sz.mell._önk'!E89+'1.4.sz.mell._állig'!E89</f>
        <v>0</v>
      </c>
      <c r="F89" s="1013">
        <f>'1.2.sz.mell. _köt'!F89+'1.3.sz.mell._önk'!F89+'1.4.sz.mell._állig'!F89</f>
        <v>0</v>
      </c>
      <c r="G89" s="1013">
        <f>'1.2.sz.mell. _köt'!G89+'1.3.sz.mell._önk'!G89+'1.4.sz.mell._állig'!G89</f>
        <v>0</v>
      </c>
      <c r="H89" s="1013">
        <f>'1.2.sz.mell. _köt'!H89+'1.3.sz.mell._önk'!H89+'1.4.sz.mell._állig'!H89</f>
        <v>0</v>
      </c>
      <c r="I89" s="1013">
        <f>'1.2.sz.mell. _köt'!I89+'1.3.sz.mell._önk'!I89+'1.4.sz.mell._állig'!I89</f>
        <v>0</v>
      </c>
    </row>
    <row r="90" spans="1:9" ht="12" customHeight="1" x14ac:dyDescent="0.25">
      <c r="A90" s="1027" t="s">
        <v>69</v>
      </c>
      <c r="B90" s="1038" t="s">
        <v>386</v>
      </c>
      <c r="C90" s="1011">
        <f>'1.2.sz.mell. _köt'!C90+'1.3.sz.mell._önk'!C90+'1.4.sz.mell._állig'!C90</f>
        <v>0</v>
      </c>
      <c r="D90" s="1012">
        <f>'1.2.sz.mell. _köt'!D90+'1.3.sz.mell._önk'!D90+'1.4.sz.mell._állig'!D90</f>
        <v>0</v>
      </c>
      <c r="E90" s="1013">
        <f>'1.2.sz.mell. _köt'!E90+'1.3.sz.mell._önk'!E90+'1.4.sz.mell._állig'!E90</f>
        <v>0</v>
      </c>
      <c r="F90" s="1013">
        <f>'1.2.sz.mell. _köt'!F90+'1.3.sz.mell._önk'!F90+'1.4.sz.mell._állig'!F90</f>
        <v>0</v>
      </c>
      <c r="G90" s="1013">
        <f>'1.2.sz.mell. _köt'!G90+'1.3.sz.mell._önk'!G90+'1.4.sz.mell._állig'!G90</f>
        <v>0</v>
      </c>
      <c r="H90" s="1013">
        <f>'1.2.sz.mell. _köt'!H90+'1.3.sz.mell._önk'!H90+'1.4.sz.mell._állig'!H90</f>
        <v>0</v>
      </c>
      <c r="I90" s="1013">
        <f>'1.2.sz.mell. _köt'!I90+'1.3.sz.mell._önk'!I90+'1.4.sz.mell._állig'!I90</f>
        <v>0</v>
      </c>
    </row>
    <row r="91" spans="1:9" ht="12" customHeight="1" x14ac:dyDescent="0.25">
      <c r="A91" s="1027" t="s">
        <v>70</v>
      </c>
      <c r="B91" s="1038" t="s">
        <v>315</v>
      </c>
      <c r="C91" s="1011">
        <f>'1.2.sz.mell. _köt'!C91+'1.3.sz.mell._önk'!C91+'1.4.sz.mell._állig'!C91</f>
        <v>0</v>
      </c>
      <c r="D91" s="1012">
        <f>'1.2.sz.mell. _köt'!D91+'1.3.sz.mell._önk'!D91+'1.4.sz.mell._állig'!D91</f>
        <v>0</v>
      </c>
      <c r="E91" s="1013">
        <f>'1.2.sz.mell. _köt'!E91+'1.3.sz.mell._önk'!E91+'1.4.sz.mell._állig'!E91</f>
        <v>0</v>
      </c>
      <c r="F91" s="1013">
        <f>'1.2.sz.mell. _köt'!F91+'1.3.sz.mell._önk'!F91+'1.4.sz.mell._állig'!F91</f>
        <v>0</v>
      </c>
      <c r="G91" s="1013">
        <f>'1.2.sz.mell. _köt'!G91+'1.3.sz.mell._önk'!G91+'1.4.sz.mell._állig'!G91</f>
        <v>0</v>
      </c>
      <c r="H91" s="1013">
        <f>'1.2.sz.mell. _köt'!H91+'1.3.sz.mell._önk'!H91+'1.4.sz.mell._állig'!H91</f>
        <v>0</v>
      </c>
      <c r="I91" s="1013">
        <f>'1.2.sz.mell. _köt'!I91+'1.3.sz.mell._önk'!I91+'1.4.sz.mell._állig'!I91</f>
        <v>0</v>
      </c>
    </row>
    <row r="92" spans="1:9" x14ac:dyDescent="0.25">
      <c r="A92" s="1027" t="s">
        <v>79</v>
      </c>
      <c r="B92" s="1038" t="s">
        <v>316</v>
      </c>
      <c r="C92" s="1011">
        <f>'1.2.sz.mell. _köt'!C92+'1.3.sz.mell._önk'!C92+'1.4.sz.mell._állig'!C92</f>
        <v>0</v>
      </c>
      <c r="D92" s="1012">
        <f>'1.2.sz.mell. _köt'!D92+'1.3.sz.mell._önk'!D92+'1.4.sz.mell._állig'!D92</f>
        <v>11</v>
      </c>
      <c r="E92" s="1013">
        <f>'1.2.sz.mell. _köt'!E92+'1.3.sz.mell._önk'!E92+'1.4.sz.mell._állig'!E92</f>
        <v>0</v>
      </c>
      <c r="F92" s="1013">
        <f>'1.2.sz.mell. _köt'!F92+'1.3.sz.mell._önk'!F92+'1.4.sz.mell._állig'!F92</f>
        <v>0</v>
      </c>
      <c r="G92" s="1013">
        <f>'1.2.sz.mell. _köt'!G92+'1.3.sz.mell._önk'!G92+'1.4.sz.mell._állig'!G92</f>
        <v>0</v>
      </c>
      <c r="H92" s="1013">
        <f>'1.2.sz.mell. _köt'!H92+'1.3.sz.mell._önk'!H92+'1.4.sz.mell._állig'!H92</f>
        <v>0</v>
      </c>
      <c r="I92" s="1013">
        <f>'1.2.sz.mell. _köt'!I92+'1.3.sz.mell._önk'!I92+'1.4.sz.mell._állig'!I92</f>
        <v>0</v>
      </c>
    </row>
    <row r="93" spans="1:9" ht="12" customHeight="1" x14ac:dyDescent="0.25">
      <c r="A93" s="1027" t="s">
        <v>81</v>
      </c>
      <c r="B93" s="1095" t="s">
        <v>287</v>
      </c>
      <c r="C93" s="1011">
        <f>'1.2.sz.mell. _köt'!C93+'1.3.sz.mell._önk'!C93+'1.4.sz.mell._állig'!C93</f>
        <v>0</v>
      </c>
      <c r="D93" s="1012">
        <f>'1.2.sz.mell. _köt'!D93+'1.3.sz.mell._önk'!D93+'1.4.sz.mell._állig'!D93</f>
        <v>0</v>
      </c>
      <c r="E93" s="1013">
        <f>'1.2.sz.mell. _köt'!E93+'1.3.sz.mell._önk'!E93+'1.4.sz.mell._állig'!E93</f>
        <v>0</v>
      </c>
      <c r="F93" s="1013">
        <f>'1.2.sz.mell. _köt'!F93+'1.3.sz.mell._önk'!F93+'1.4.sz.mell._állig'!F93</f>
        <v>0</v>
      </c>
      <c r="G93" s="1013">
        <f>'1.2.sz.mell. _köt'!G93+'1.3.sz.mell._önk'!G93+'1.4.sz.mell._állig'!G93</f>
        <v>0</v>
      </c>
      <c r="H93" s="1013">
        <f>'1.2.sz.mell. _köt'!H93+'1.3.sz.mell._önk'!H93+'1.4.sz.mell._állig'!H93</f>
        <v>0</v>
      </c>
      <c r="I93" s="1013">
        <f>'1.2.sz.mell. _köt'!I93+'1.3.sz.mell._önk'!I93+'1.4.sz.mell._állig'!I93</f>
        <v>0</v>
      </c>
    </row>
    <row r="94" spans="1:9" ht="12" customHeight="1" x14ac:dyDescent="0.25">
      <c r="A94" s="1027" t="s">
        <v>172</v>
      </c>
      <c r="B94" s="1095" t="s">
        <v>288</v>
      </c>
      <c r="C94" s="1011">
        <f>'1.2.sz.mell. _köt'!C94+'1.3.sz.mell._önk'!C94+'1.4.sz.mell._állig'!C94</f>
        <v>0</v>
      </c>
      <c r="D94" s="1012">
        <f>'1.2.sz.mell. _köt'!D94+'1.3.sz.mell._önk'!D94+'1.4.sz.mell._állig'!D94</f>
        <v>0</v>
      </c>
      <c r="E94" s="1013">
        <f>'1.2.sz.mell. _köt'!E94+'1.3.sz.mell._önk'!E94+'1.4.sz.mell._állig'!E94</f>
        <v>0</v>
      </c>
      <c r="F94" s="1013">
        <f>'1.2.sz.mell. _köt'!F94+'1.3.sz.mell._önk'!F94+'1.4.sz.mell._állig'!F94</f>
        <v>0</v>
      </c>
      <c r="G94" s="1013">
        <f>'1.2.sz.mell. _köt'!G94+'1.3.sz.mell._önk'!G94+'1.4.sz.mell._állig'!G94</f>
        <v>0</v>
      </c>
      <c r="H94" s="1013">
        <f>'1.2.sz.mell. _köt'!H94+'1.3.sz.mell._önk'!H94+'1.4.sz.mell._állig'!H94</f>
        <v>0</v>
      </c>
      <c r="I94" s="1013">
        <f>'1.2.sz.mell. _köt'!I94+'1.3.sz.mell._önk'!I94+'1.4.sz.mell._állig'!I94</f>
        <v>0</v>
      </c>
    </row>
    <row r="95" spans="1:9" ht="12" customHeight="1" x14ac:dyDescent="0.25">
      <c r="A95" s="1027" t="s">
        <v>173</v>
      </c>
      <c r="B95" s="1095" t="s">
        <v>286</v>
      </c>
      <c r="C95" s="1011">
        <f>'1.2.sz.mell. _köt'!C95+'1.3.sz.mell._önk'!C95+'1.4.sz.mell._állig'!C95</f>
        <v>0</v>
      </c>
      <c r="D95" s="1012">
        <f>'1.2.sz.mell. _köt'!D95+'1.3.sz.mell._önk'!D95+'1.4.sz.mell._állig'!D95</f>
        <v>0</v>
      </c>
      <c r="E95" s="1013">
        <f>'1.2.sz.mell. _köt'!E95+'1.3.sz.mell._önk'!E95+'1.4.sz.mell._állig'!E95</f>
        <v>0</v>
      </c>
      <c r="F95" s="1013">
        <f>'1.2.sz.mell. _köt'!F95+'1.3.sz.mell._önk'!F95+'1.4.sz.mell._állig'!F95</f>
        <v>0</v>
      </c>
      <c r="G95" s="1013">
        <f>'1.2.sz.mell. _köt'!G95+'1.3.sz.mell._önk'!G95+'1.4.sz.mell._állig'!G95</f>
        <v>0</v>
      </c>
      <c r="H95" s="1013">
        <f>'1.2.sz.mell. _köt'!H95+'1.3.sz.mell._önk'!H95+'1.4.sz.mell._állig'!H95</f>
        <v>0</v>
      </c>
      <c r="I95" s="1013">
        <f>'1.2.sz.mell. _köt'!I95+'1.3.sz.mell._önk'!I95+'1.4.sz.mell._állig'!I95</f>
        <v>0</v>
      </c>
    </row>
    <row r="96" spans="1:9" ht="24" customHeight="1" thickBot="1" x14ac:dyDescent="0.3">
      <c r="A96" s="1020" t="s">
        <v>174</v>
      </c>
      <c r="B96" s="1096" t="s">
        <v>285</v>
      </c>
      <c r="C96" s="1097">
        <f>'1.2.sz.mell. _köt'!C96+'1.3.sz.mell._önk'!C96+'1.4.sz.mell._állig'!C96</f>
        <v>0</v>
      </c>
      <c r="D96" s="1079">
        <f>'1.2.sz.mell. _köt'!D96+'1.3.sz.mell._önk'!D96+'1.4.sz.mell._állig'!D96</f>
        <v>0</v>
      </c>
      <c r="E96" s="1080">
        <f>'1.2.sz.mell. _köt'!E96+'1.3.sz.mell._önk'!E96+'1.4.sz.mell._állig'!E96</f>
        <v>0</v>
      </c>
      <c r="F96" s="1080">
        <f>'1.2.sz.mell. _köt'!F96+'1.3.sz.mell._önk'!F96+'1.4.sz.mell._állig'!F96</f>
        <v>0</v>
      </c>
      <c r="G96" s="1080">
        <f>'1.2.sz.mell. _köt'!G96+'1.3.sz.mell._önk'!G96+'1.4.sz.mell._állig'!G96</f>
        <v>0</v>
      </c>
      <c r="H96" s="1080">
        <f>'1.2.sz.mell. _köt'!H96+'1.3.sz.mell._önk'!H96+'1.4.sz.mell._állig'!H96</f>
        <v>0</v>
      </c>
      <c r="I96" s="1080">
        <f>'1.2.sz.mell. _köt'!I96+'1.3.sz.mell._önk'!I96+'1.4.sz.mell._állig'!I96</f>
        <v>0</v>
      </c>
    </row>
    <row r="97" spans="1:9" ht="12" customHeight="1" thickBot="1" x14ac:dyDescent="0.3">
      <c r="A97" s="1004" t="s">
        <v>971</v>
      </c>
      <c r="B97" s="1098" t="s">
        <v>317</v>
      </c>
      <c r="C97" s="1016">
        <f>+C98+C99</f>
        <v>0</v>
      </c>
      <c r="D97" s="1007">
        <f>+D98+D99</f>
        <v>0</v>
      </c>
      <c r="E97" s="1008">
        <f>+E98+E99</f>
        <v>8630</v>
      </c>
      <c r="F97" s="1008">
        <f t="shared" ref="F97:I97" si="17">+F98+F99</f>
        <v>7327</v>
      </c>
      <c r="G97" s="1008">
        <f t="shared" si="17"/>
        <v>-256</v>
      </c>
      <c r="H97" s="1008">
        <f t="shared" si="17"/>
        <v>-2444</v>
      </c>
      <c r="I97" s="1008">
        <f t="shared" si="17"/>
        <v>13257</v>
      </c>
    </row>
    <row r="98" spans="1:9" ht="12" customHeight="1" x14ac:dyDescent="0.25">
      <c r="A98" s="1027" t="s">
        <v>40</v>
      </c>
      <c r="B98" s="1028" t="s">
        <v>3</v>
      </c>
      <c r="C98" s="1092">
        <f>'1.2.sz.mell. _köt'!C98+'1.3.sz.mell._önk'!C98+'1.4.sz.mell._állig'!C98</f>
        <v>0</v>
      </c>
      <c r="D98" s="1093">
        <f>'1.2.sz.mell. _köt'!D98+'1.3.sz.mell._önk'!D98+'1.4.sz.mell._állig'!D98</f>
        <v>0</v>
      </c>
      <c r="E98" s="1094">
        <f>'1.2.sz.mell. _köt'!E98+'1.3.sz.mell._önk'!E98+'1.4.sz.mell._állig'!E98</f>
        <v>1955</v>
      </c>
      <c r="F98" s="1094">
        <f>'1.2.sz.mell. _köt'!F98+'1.3.sz.mell._önk'!F98+'1.4.sz.mell._állig'!F98</f>
        <v>11185</v>
      </c>
      <c r="G98" s="1094">
        <f>'1.2.sz.mell. _köt'!G98+'1.3.sz.mell._önk'!G98+'1.4.sz.mell._állig'!G98</f>
        <v>-256</v>
      </c>
      <c r="H98" s="1094">
        <f>'1.2.sz.mell. _köt'!H98+'1.3.sz.mell._önk'!H98+'1.4.sz.mell._állig'!H98</f>
        <v>-2444</v>
      </c>
      <c r="I98" s="1094">
        <f>'1.2.sz.mell. _köt'!I98+'1.3.sz.mell._önk'!I98+'1.4.sz.mell._állig'!I98</f>
        <v>10440</v>
      </c>
    </row>
    <row r="99" spans="1:9" ht="12" customHeight="1" thickBot="1" x14ac:dyDescent="0.3">
      <c r="A99" s="1029" t="s">
        <v>41</v>
      </c>
      <c r="B99" s="1030" t="s">
        <v>4</v>
      </c>
      <c r="C99" s="1078">
        <f>'1.2.sz.mell. _köt'!C99+'1.3.sz.mell._önk'!C99+'1.4.sz.mell._állig'!C99</f>
        <v>0</v>
      </c>
      <c r="D99" s="1079">
        <f>'1.2.sz.mell. _köt'!D99+'1.3.sz.mell._önk'!D99+'1.4.sz.mell._állig'!D99</f>
        <v>0</v>
      </c>
      <c r="E99" s="1080">
        <f>'1.2.sz.mell. _köt'!E99+'1.3.sz.mell._önk'!E99+'1.4.sz.mell._állig'!E99</f>
        <v>6675</v>
      </c>
      <c r="F99" s="1080">
        <f>'1.2.sz.mell. _köt'!F99+'1.3.sz.mell._önk'!F99+'1.4.sz.mell._állig'!F99</f>
        <v>-3858</v>
      </c>
      <c r="G99" s="1080">
        <f>'1.2.sz.mell. _köt'!G99+'1.3.sz.mell._önk'!G99+'1.4.sz.mell._állig'!G99</f>
        <v>0</v>
      </c>
      <c r="H99" s="1080">
        <f>'1.2.sz.mell. _köt'!H99+'1.3.sz.mell._önk'!H99+'1.4.sz.mell._állig'!H99</f>
        <v>0</v>
      </c>
      <c r="I99" s="1080">
        <f>'1.2.sz.mell. _köt'!I99+'1.3.sz.mell._önk'!I99+'1.4.sz.mell._állig'!I99</f>
        <v>2817</v>
      </c>
    </row>
    <row r="100" spans="1:9" s="1102" customFormat="1" ht="12" customHeight="1" thickBot="1" x14ac:dyDescent="0.25">
      <c r="A100" s="1054" t="s">
        <v>972</v>
      </c>
      <c r="B100" s="1005" t="s">
        <v>289</v>
      </c>
      <c r="C100" s="1099"/>
      <c r="D100" s="1100"/>
      <c r="E100" s="1101"/>
      <c r="F100" s="1101"/>
      <c r="G100" s="1101"/>
      <c r="H100" s="1101"/>
      <c r="I100" s="1101"/>
    </row>
    <row r="101" spans="1:9" ht="12" customHeight="1" thickBot="1" x14ac:dyDescent="0.3">
      <c r="A101" s="1103" t="s">
        <v>973</v>
      </c>
      <c r="B101" s="1104" t="s">
        <v>108</v>
      </c>
      <c r="C101" s="1000">
        <f>+C73+C86+C97+C100</f>
        <v>484391</v>
      </c>
      <c r="D101" s="1001">
        <f>+D73+D86+D97+D100</f>
        <v>271331</v>
      </c>
      <c r="E101" s="1002">
        <f>+E73+E86+E97+E100</f>
        <v>286781</v>
      </c>
      <c r="F101" s="1002">
        <f t="shared" ref="F101:I101" si="18">+F73+F86+F97+F100</f>
        <v>38421</v>
      </c>
      <c r="G101" s="1002">
        <f t="shared" si="18"/>
        <v>16341</v>
      </c>
      <c r="H101" s="1002">
        <f t="shared" si="18"/>
        <v>-386</v>
      </c>
      <c r="I101" s="1002">
        <f t="shared" si="18"/>
        <v>341157</v>
      </c>
    </row>
    <row r="102" spans="1:9" ht="12" customHeight="1" thickBot="1" x14ac:dyDescent="0.3">
      <c r="A102" s="1054" t="s">
        <v>974</v>
      </c>
      <c r="B102" s="1005" t="s">
        <v>387</v>
      </c>
      <c r="C102" s="1016">
        <f>+C103+C111</f>
        <v>234161</v>
      </c>
      <c r="D102" s="1007">
        <f>+D103+D111</f>
        <v>0</v>
      </c>
      <c r="E102" s="1008">
        <f>+E103+E111</f>
        <v>0</v>
      </c>
      <c r="F102" s="1008">
        <f t="shared" ref="F102:I102" si="19">+F103+F111</f>
        <v>0</v>
      </c>
      <c r="G102" s="1008">
        <f t="shared" si="19"/>
        <v>0</v>
      </c>
      <c r="H102" s="1008">
        <f t="shared" si="19"/>
        <v>5704</v>
      </c>
      <c r="I102" s="1008">
        <f t="shared" si="19"/>
        <v>5704</v>
      </c>
    </row>
    <row r="103" spans="1:9" ht="12" customHeight="1" thickBot="1" x14ac:dyDescent="0.3">
      <c r="A103" s="1105" t="s">
        <v>47</v>
      </c>
      <c r="B103" s="1106" t="s">
        <v>388</v>
      </c>
      <c r="C103" s="1107">
        <f>+C104+C105+C106+C107+C108+C109+C110</f>
        <v>108404</v>
      </c>
      <c r="D103" s="1108">
        <f>+D104+D105+D106+D107+D108+D109+D110</f>
        <v>0</v>
      </c>
      <c r="E103" s="1109">
        <f>+E104+E105+E106+E107+E108+E109+E110</f>
        <v>0</v>
      </c>
      <c r="F103" s="1109">
        <f t="shared" ref="F103:I103" si="20">+F104+F105+F106+F107+F108+F109+F110</f>
        <v>0</v>
      </c>
      <c r="G103" s="1109">
        <f t="shared" si="20"/>
        <v>0</v>
      </c>
      <c r="H103" s="1109">
        <f t="shared" si="20"/>
        <v>5704</v>
      </c>
      <c r="I103" s="1109">
        <f t="shared" si="20"/>
        <v>5704</v>
      </c>
    </row>
    <row r="104" spans="1:9" ht="12" customHeight="1" x14ac:dyDescent="0.25">
      <c r="A104" s="1110" t="s">
        <v>50</v>
      </c>
      <c r="B104" s="1014" t="s">
        <v>290</v>
      </c>
      <c r="C104" s="1111">
        <f>'1.2.sz.mell. _köt'!C104+'1.3.sz.mell._önk'!C104+'1.4.sz.mell._állig'!C104</f>
        <v>0</v>
      </c>
      <c r="D104" s="1112">
        <f>'1.2.sz.mell. _köt'!D104+'1.3.sz.mell._önk'!D104+'1.4.sz.mell._állig'!D104</f>
        <v>0</v>
      </c>
      <c r="E104" s="1113">
        <f>'1.2.sz.mell. _köt'!E104+'1.3.sz.mell._önk'!E104+'1.4.sz.mell._állig'!E104</f>
        <v>0</v>
      </c>
      <c r="F104" s="1113">
        <f>'1.2.sz.mell. _köt'!F104+'1.3.sz.mell._önk'!F104+'1.4.sz.mell._állig'!F104</f>
        <v>0</v>
      </c>
      <c r="G104" s="1113">
        <f>'1.2.sz.mell. _köt'!G104+'1.3.sz.mell._önk'!G104+'1.4.sz.mell._állig'!G104</f>
        <v>0</v>
      </c>
      <c r="H104" s="1113">
        <f>'1.2.sz.mell. _köt'!H104+'1.3.sz.mell._önk'!H104+'1.4.sz.mell._állig'!H104</f>
        <v>0</v>
      </c>
      <c r="I104" s="1113">
        <f>'1.2.sz.mell. _köt'!I104+'1.3.sz.mell._önk'!I104+'1.4.sz.mell._állig'!I104</f>
        <v>0</v>
      </c>
    </row>
    <row r="105" spans="1:9" ht="12" customHeight="1" x14ac:dyDescent="0.25">
      <c r="A105" s="1060" t="s">
        <v>51</v>
      </c>
      <c r="B105" s="1038" t="s">
        <v>291</v>
      </c>
      <c r="C105" s="1114">
        <f>'1.2.sz.mell. _köt'!C105+'1.3.sz.mell._önk'!C105+'1.4.sz.mell._állig'!C105</f>
        <v>0</v>
      </c>
      <c r="D105" s="1115">
        <f>'1.2.sz.mell. _köt'!D105+'1.3.sz.mell._önk'!D105+'1.4.sz.mell._állig'!D105</f>
        <v>0</v>
      </c>
      <c r="E105" s="1116">
        <f>'1.2.sz.mell. _köt'!E105+'1.3.sz.mell._önk'!E105+'1.4.sz.mell._állig'!E105</f>
        <v>0</v>
      </c>
      <c r="F105" s="1116">
        <f>'1.2.sz.mell. _köt'!F105+'1.3.sz.mell._önk'!F105+'1.4.sz.mell._állig'!F105</f>
        <v>0</v>
      </c>
      <c r="G105" s="1116">
        <f>'1.2.sz.mell. _köt'!G105+'1.3.sz.mell._önk'!G105+'1.4.sz.mell._állig'!G105</f>
        <v>0</v>
      </c>
      <c r="H105" s="1116">
        <f>'1.2.sz.mell. _köt'!H105+'1.3.sz.mell._önk'!H105+'1.4.sz.mell._állig'!H105</f>
        <v>0</v>
      </c>
      <c r="I105" s="1116">
        <f>'1.2.sz.mell. _köt'!I105+'1.3.sz.mell._önk'!I105+'1.4.sz.mell._állig'!I105</f>
        <v>0</v>
      </c>
    </row>
    <row r="106" spans="1:9" ht="12" customHeight="1" x14ac:dyDescent="0.25">
      <c r="A106" s="1060" t="s">
        <v>52</v>
      </c>
      <c r="B106" s="1038" t="s">
        <v>292</v>
      </c>
      <c r="C106" s="1114">
        <f>'1.2.sz.mell. _köt'!C106+'1.3.sz.mell._önk'!C106+'1.4.sz.mell._állig'!C106</f>
        <v>108404</v>
      </c>
      <c r="D106" s="1115">
        <f>'1.2.sz.mell. _köt'!D106+'1.3.sz.mell._önk'!D106+'1.4.sz.mell._állig'!D106</f>
        <v>0</v>
      </c>
      <c r="E106" s="1116">
        <f>'1.2.sz.mell. _köt'!E106+'1.3.sz.mell._önk'!E106+'1.4.sz.mell._állig'!E106</f>
        <v>0</v>
      </c>
      <c r="F106" s="1116">
        <f>'1.2.sz.mell. _köt'!F106+'1.3.sz.mell._önk'!F106+'1.4.sz.mell._állig'!F106</f>
        <v>0</v>
      </c>
      <c r="G106" s="1116">
        <f>'1.2.sz.mell. _köt'!G106+'1.3.sz.mell._önk'!G106+'1.4.sz.mell._állig'!G106</f>
        <v>0</v>
      </c>
      <c r="H106" s="1116">
        <f>'1.2.sz.mell. _köt'!H106+'1.3.sz.mell._önk'!H106+'1.4.sz.mell._állig'!H106</f>
        <v>0</v>
      </c>
      <c r="I106" s="1116">
        <f>'1.2.sz.mell. _köt'!I106+'1.3.sz.mell._önk'!I106+'1.4.sz.mell._állig'!I106</f>
        <v>0</v>
      </c>
    </row>
    <row r="107" spans="1:9" ht="12" customHeight="1" x14ac:dyDescent="0.25">
      <c r="A107" s="1060" t="s">
        <v>53</v>
      </c>
      <c r="B107" s="1038" t="s">
        <v>293</v>
      </c>
      <c r="C107" s="1114">
        <f>'1.2.sz.mell. _köt'!C107+'1.3.sz.mell._önk'!C107+'1.4.sz.mell._állig'!C107</f>
        <v>0</v>
      </c>
      <c r="D107" s="1115">
        <f>'1.2.sz.mell. _köt'!D107+'1.3.sz.mell._önk'!D107+'1.4.sz.mell._állig'!D107</f>
        <v>0</v>
      </c>
      <c r="E107" s="1116">
        <f>'1.2.sz.mell. _köt'!E107+'1.3.sz.mell._önk'!E107+'1.4.sz.mell._állig'!E107</f>
        <v>0</v>
      </c>
      <c r="F107" s="1116">
        <f>'1.2.sz.mell. _köt'!F107+'1.3.sz.mell._önk'!F107+'1.4.sz.mell._állig'!F107</f>
        <v>0</v>
      </c>
      <c r="G107" s="1116">
        <f>'1.2.sz.mell. _köt'!G107+'1.3.sz.mell._önk'!G107+'1.4.sz.mell._állig'!G107</f>
        <v>0</v>
      </c>
      <c r="H107" s="1116">
        <f>'1.2.sz.mell. _köt'!H107+'1.3.sz.mell._önk'!H107+'1.4.sz.mell._állig'!H107</f>
        <v>0</v>
      </c>
      <c r="I107" s="1116">
        <f>'1.2.sz.mell. _köt'!I107+'1.3.sz.mell._önk'!I107+'1.4.sz.mell._állig'!I107</f>
        <v>0</v>
      </c>
    </row>
    <row r="108" spans="1:9" ht="12" customHeight="1" x14ac:dyDescent="0.25">
      <c r="A108" s="1060" t="s">
        <v>157</v>
      </c>
      <c r="B108" s="1038" t="s">
        <v>294</v>
      </c>
      <c r="C108" s="1114">
        <f>'1.2.sz.mell. _köt'!C108+'1.3.sz.mell._önk'!C108+'1.4.sz.mell._állig'!C108</f>
        <v>0</v>
      </c>
      <c r="D108" s="1115">
        <f>'1.2.sz.mell. _köt'!D108+'1.3.sz.mell._önk'!D108+'1.4.sz.mell._állig'!D108</f>
        <v>0</v>
      </c>
      <c r="E108" s="1116">
        <f>'1.2.sz.mell. _köt'!E108+'1.3.sz.mell._önk'!E108+'1.4.sz.mell._állig'!E108</f>
        <v>0</v>
      </c>
      <c r="F108" s="1116">
        <f>'1.2.sz.mell. _köt'!F108+'1.3.sz.mell._önk'!F108+'1.4.sz.mell._állig'!F108</f>
        <v>0</v>
      </c>
      <c r="G108" s="1116">
        <f>'1.2.sz.mell. _köt'!G108+'1.3.sz.mell._önk'!G108+'1.4.sz.mell._állig'!G108</f>
        <v>0</v>
      </c>
      <c r="H108" s="1116">
        <f>'1.2.sz.mell. _köt'!H108+'1.3.sz.mell._önk'!H108+'1.4.sz.mell._állig'!H108</f>
        <v>0</v>
      </c>
      <c r="I108" s="1116">
        <f>'1.2.sz.mell. _köt'!I108+'1.3.sz.mell._önk'!I108+'1.4.sz.mell._állig'!I108</f>
        <v>0</v>
      </c>
    </row>
    <row r="109" spans="1:9" ht="12" customHeight="1" x14ac:dyDescent="0.25">
      <c r="A109" s="1060" t="s">
        <v>175</v>
      </c>
      <c r="B109" s="1038" t="s">
        <v>295</v>
      </c>
      <c r="C109" s="1114">
        <f>'1.2.sz.mell. _köt'!C109+'1.3.sz.mell._önk'!C109+'1.4.sz.mell._állig'!C109</f>
        <v>0</v>
      </c>
      <c r="D109" s="1115">
        <f>'1.2.sz.mell. _köt'!D109+'1.3.sz.mell._önk'!D109+'1.4.sz.mell._állig'!D109</f>
        <v>0</v>
      </c>
      <c r="E109" s="1116">
        <f>'1.2.sz.mell. _köt'!E109+'1.3.sz.mell._önk'!E109+'1.4.sz.mell._állig'!E109</f>
        <v>0</v>
      </c>
      <c r="F109" s="1116">
        <f>'1.2.sz.mell. _köt'!F109+'1.3.sz.mell._önk'!F109+'1.4.sz.mell._állig'!F109</f>
        <v>0</v>
      </c>
      <c r="G109" s="1116">
        <f>'1.2.sz.mell. _köt'!G109+'1.3.sz.mell._önk'!G109+'1.4.sz.mell._állig'!G109</f>
        <v>0</v>
      </c>
      <c r="H109" s="1116">
        <f>'1.2.sz.mell. _köt'!H109+'1.3.sz.mell._önk'!H109+'1.4.sz.mell._állig'!H109</f>
        <v>0</v>
      </c>
      <c r="I109" s="1116">
        <f>'1.2.sz.mell. _köt'!I109+'1.3.sz.mell._önk'!I109+'1.4.sz.mell._állig'!I109</f>
        <v>0</v>
      </c>
    </row>
    <row r="110" spans="1:9" ht="12" customHeight="1" thickBot="1" x14ac:dyDescent="0.3">
      <c r="A110" s="1117" t="s">
        <v>176</v>
      </c>
      <c r="B110" s="1118" t="s">
        <v>296</v>
      </c>
      <c r="C110" s="1119">
        <f>'1.2.sz.mell. _köt'!C110+'1.3.sz.mell._önk'!C110+'1.4.sz.mell._állig'!C110</f>
        <v>0</v>
      </c>
      <c r="D110" s="1120">
        <f>'1.2.sz.mell. _köt'!D110+'1.3.sz.mell._önk'!D110+'1.4.sz.mell._állig'!D110</f>
        <v>0</v>
      </c>
      <c r="E110" s="1121">
        <f>'1.2.sz.mell. _köt'!E110+'1.3.sz.mell._önk'!E110+'1.4.sz.mell._állig'!E110</f>
        <v>0</v>
      </c>
      <c r="F110" s="1121">
        <f>'1.2.sz.mell. _köt'!F110+'1.3.sz.mell._önk'!F110+'1.4.sz.mell._állig'!F110</f>
        <v>0</v>
      </c>
      <c r="G110" s="1121">
        <f>'1.2.sz.mell. _köt'!G110+'1.3.sz.mell._önk'!G110+'1.4.sz.mell._állig'!G110</f>
        <v>0</v>
      </c>
      <c r="H110" s="1121">
        <f>'1.2.sz.mell. _köt'!H110+'1.3.sz.mell._önk'!H110+'1.4.sz.mell._állig'!H110</f>
        <v>5704</v>
      </c>
      <c r="I110" s="1121">
        <f>'1.2.sz.mell. _köt'!I110+'1.3.sz.mell._önk'!I110+'1.4.sz.mell._állig'!I110</f>
        <v>5704</v>
      </c>
    </row>
    <row r="111" spans="1:9" ht="12" customHeight="1" thickBot="1" x14ac:dyDescent="0.3">
      <c r="A111" s="1105" t="s">
        <v>48</v>
      </c>
      <c r="B111" s="1106" t="s">
        <v>389</v>
      </c>
      <c r="C111" s="1107">
        <f>+C112+C113+C114+C115+C116+C117+C118+C119</f>
        <v>125757</v>
      </c>
      <c r="D111" s="1108">
        <f>+D112+D113+D114+D115+D116+D117+D118+D119</f>
        <v>0</v>
      </c>
      <c r="E111" s="1109">
        <f>+E112+E113+E114+E115+E116+E117+E118+E119</f>
        <v>0</v>
      </c>
      <c r="F111" s="1109">
        <f t="shared" ref="F111:I111" si="21">+F112+F113+F114+F115+F116+F117+F118+F119</f>
        <v>0</v>
      </c>
      <c r="G111" s="1109">
        <f t="shared" si="21"/>
        <v>0</v>
      </c>
      <c r="H111" s="1109">
        <f t="shared" si="21"/>
        <v>0</v>
      </c>
      <c r="I111" s="1109">
        <f t="shared" si="21"/>
        <v>0</v>
      </c>
    </row>
    <row r="112" spans="1:9" ht="12" customHeight="1" x14ac:dyDescent="0.25">
      <c r="A112" s="1110" t="s">
        <v>56</v>
      </c>
      <c r="B112" s="1014" t="s">
        <v>290</v>
      </c>
      <c r="C112" s="1111">
        <f>'1.2.sz.mell. _köt'!C112+'1.3.sz.mell._önk'!C112+'1.4.sz.mell._állig'!C112</f>
        <v>0</v>
      </c>
      <c r="D112" s="1112">
        <f>'1.2.sz.mell. _köt'!D112+'1.3.sz.mell._önk'!D112+'1.4.sz.mell._állig'!D112</f>
        <v>0</v>
      </c>
      <c r="E112" s="1113">
        <f>'1.2.sz.mell. _köt'!E112+'1.3.sz.mell._önk'!E112+'1.4.sz.mell._állig'!E112</f>
        <v>0</v>
      </c>
      <c r="F112" s="1113">
        <f>'1.2.sz.mell. _köt'!F112+'1.3.sz.mell._önk'!F112+'1.4.sz.mell._állig'!F112</f>
        <v>0</v>
      </c>
      <c r="G112" s="1113">
        <f>'1.2.sz.mell. _köt'!G112+'1.3.sz.mell._önk'!G112+'1.4.sz.mell._állig'!G112</f>
        <v>0</v>
      </c>
      <c r="H112" s="1113">
        <f>'1.2.sz.mell. _köt'!H112+'1.3.sz.mell._önk'!H112+'1.4.sz.mell._állig'!H112</f>
        <v>0</v>
      </c>
      <c r="I112" s="1113">
        <f>'1.2.sz.mell. _köt'!I112+'1.3.sz.mell._önk'!I112+'1.4.sz.mell._állig'!I112</f>
        <v>0</v>
      </c>
    </row>
    <row r="113" spans="1:10" ht="12" customHeight="1" x14ac:dyDescent="0.25">
      <c r="A113" s="1060" t="s">
        <v>57</v>
      </c>
      <c r="B113" s="1038" t="s">
        <v>297</v>
      </c>
      <c r="C113" s="1114">
        <f>'1.2.sz.mell. _köt'!C113+'1.3.sz.mell._önk'!C113+'1.4.sz.mell._állig'!C113</f>
        <v>125757</v>
      </c>
      <c r="D113" s="1115">
        <f>'1.2.sz.mell. _köt'!D113+'1.3.sz.mell._önk'!D113+'1.4.sz.mell._állig'!D113</f>
        <v>0</v>
      </c>
      <c r="E113" s="1116">
        <f>'1.2.sz.mell. _köt'!E113+'1.3.sz.mell._önk'!E113+'1.4.sz.mell._állig'!E113</f>
        <v>0</v>
      </c>
      <c r="F113" s="1116">
        <f>'1.2.sz.mell. _köt'!F113+'1.3.sz.mell._önk'!F113+'1.4.sz.mell._állig'!F113</f>
        <v>0</v>
      </c>
      <c r="G113" s="1116">
        <f>'1.2.sz.mell. _köt'!G113+'1.3.sz.mell._önk'!G113+'1.4.sz.mell._állig'!G113</f>
        <v>0</v>
      </c>
      <c r="H113" s="1116">
        <f>'1.2.sz.mell. _köt'!H113+'1.3.sz.mell._önk'!H113+'1.4.sz.mell._állig'!H113</f>
        <v>0</v>
      </c>
      <c r="I113" s="1116">
        <f>'1.2.sz.mell. _köt'!I113+'1.3.sz.mell._önk'!I113+'1.4.sz.mell._állig'!I113</f>
        <v>0</v>
      </c>
    </row>
    <row r="114" spans="1:10" ht="12" customHeight="1" x14ac:dyDescent="0.25">
      <c r="A114" s="1060" t="s">
        <v>58</v>
      </c>
      <c r="B114" s="1038" t="s">
        <v>292</v>
      </c>
      <c r="C114" s="1114">
        <f>'1.2.sz.mell. _köt'!C114+'1.3.sz.mell._önk'!C114+'1.4.sz.mell._állig'!C114</f>
        <v>0</v>
      </c>
      <c r="D114" s="1115">
        <f>'1.2.sz.mell. _köt'!D114+'1.3.sz.mell._önk'!D114+'1.4.sz.mell._állig'!D114</f>
        <v>0</v>
      </c>
      <c r="E114" s="1116">
        <f>'1.2.sz.mell. _köt'!E114+'1.3.sz.mell._önk'!E114+'1.4.sz.mell._állig'!E114</f>
        <v>0</v>
      </c>
      <c r="F114" s="1116">
        <f>'1.2.sz.mell. _köt'!F114+'1.3.sz.mell._önk'!F114+'1.4.sz.mell._állig'!F114</f>
        <v>0</v>
      </c>
      <c r="G114" s="1116">
        <f>'1.2.sz.mell. _köt'!G114+'1.3.sz.mell._önk'!G114+'1.4.sz.mell._állig'!G114</f>
        <v>0</v>
      </c>
      <c r="H114" s="1116">
        <f>'1.2.sz.mell. _köt'!H114+'1.3.sz.mell._önk'!H114+'1.4.sz.mell._állig'!H114</f>
        <v>0</v>
      </c>
      <c r="I114" s="1116">
        <f>'1.2.sz.mell. _köt'!I114+'1.3.sz.mell._önk'!I114+'1.4.sz.mell._állig'!I114</f>
        <v>0</v>
      </c>
    </row>
    <row r="115" spans="1:10" ht="12" customHeight="1" x14ac:dyDescent="0.25">
      <c r="A115" s="1060" t="s">
        <v>59</v>
      </c>
      <c r="B115" s="1038" t="s">
        <v>293</v>
      </c>
      <c r="C115" s="1114">
        <f>'1.2.sz.mell. _köt'!C115+'1.3.sz.mell._önk'!C115+'1.4.sz.mell._állig'!C115</f>
        <v>0</v>
      </c>
      <c r="D115" s="1115">
        <f>'1.2.sz.mell. _köt'!D115+'1.3.sz.mell._önk'!D115+'1.4.sz.mell._állig'!D115</f>
        <v>0</v>
      </c>
      <c r="E115" s="1116">
        <f>'1.2.sz.mell. _köt'!E115+'1.3.sz.mell._önk'!E115+'1.4.sz.mell._állig'!E115</f>
        <v>0</v>
      </c>
      <c r="F115" s="1116">
        <f>'1.2.sz.mell. _köt'!F115+'1.3.sz.mell._önk'!F115+'1.4.sz.mell._állig'!F115</f>
        <v>0</v>
      </c>
      <c r="G115" s="1116">
        <f>'1.2.sz.mell. _köt'!G115+'1.3.sz.mell._önk'!G115+'1.4.sz.mell._állig'!G115</f>
        <v>0</v>
      </c>
      <c r="H115" s="1116">
        <f>'1.2.sz.mell. _köt'!H115+'1.3.sz.mell._önk'!H115+'1.4.sz.mell._állig'!H115</f>
        <v>0</v>
      </c>
      <c r="I115" s="1116">
        <f>'1.2.sz.mell. _köt'!I115+'1.3.sz.mell._önk'!I115+'1.4.sz.mell._állig'!I115</f>
        <v>0</v>
      </c>
    </row>
    <row r="116" spans="1:10" ht="12" customHeight="1" x14ac:dyDescent="0.25">
      <c r="A116" s="1060" t="s">
        <v>158</v>
      </c>
      <c r="B116" s="1038" t="s">
        <v>294</v>
      </c>
      <c r="C116" s="1114">
        <f>'1.2.sz.mell. _köt'!C116+'1.3.sz.mell._önk'!C116+'1.4.sz.mell._állig'!C116</f>
        <v>0</v>
      </c>
      <c r="D116" s="1115">
        <f>'1.2.sz.mell. _köt'!D116+'1.3.sz.mell._önk'!D116+'1.4.sz.mell._állig'!D116</f>
        <v>0</v>
      </c>
      <c r="E116" s="1116">
        <f>'1.2.sz.mell. _köt'!E116+'1.3.sz.mell._önk'!E116+'1.4.sz.mell._állig'!E116</f>
        <v>0</v>
      </c>
      <c r="F116" s="1116">
        <f>'1.2.sz.mell. _köt'!F116+'1.3.sz.mell._önk'!F116+'1.4.sz.mell._állig'!F116</f>
        <v>0</v>
      </c>
      <c r="G116" s="1116">
        <f>'1.2.sz.mell. _köt'!G116+'1.3.sz.mell._önk'!G116+'1.4.sz.mell._állig'!G116</f>
        <v>0</v>
      </c>
      <c r="H116" s="1116">
        <f>'1.2.sz.mell. _köt'!H116+'1.3.sz.mell._önk'!H116+'1.4.sz.mell._állig'!H116</f>
        <v>0</v>
      </c>
      <c r="I116" s="1116">
        <f>'1.2.sz.mell. _köt'!I116+'1.3.sz.mell._önk'!I116+'1.4.sz.mell._állig'!I116</f>
        <v>0</v>
      </c>
    </row>
    <row r="117" spans="1:10" ht="12" customHeight="1" x14ac:dyDescent="0.25">
      <c r="A117" s="1060" t="s">
        <v>177</v>
      </c>
      <c r="B117" s="1038" t="s">
        <v>298</v>
      </c>
      <c r="C117" s="1114">
        <f>'1.2.sz.mell. _köt'!C117+'1.3.sz.mell._önk'!C117+'1.4.sz.mell._állig'!C117</f>
        <v>0</v>
      </c>
      <c r="D117" s="1115">
        <f>'1.2.sz.mell. _köt'!D117+'1.3.sz.mell._önk'!D117+'1.4.sz.mell._állig'!D117</f>
        <v>0</v>
      </c>
      <c r="E117" s="1116">
        <f>'1.2.sz.mell. _köt'!E117+'1.3.sz.mell._önk'!E117+'1.4.sz.mell._állig'!E117</f>
        <v>0</v>
      </c>
      <c r="F117" s="1116">
        <f>'1.2.sz.mell. _köt'!F117+'1.3.sz.mell._önk'!F117+'1.4.sz.mell._állig'!F117</f>
        <v>0</v>
      </c>
      <c r="G117" s="1116">
        <f>'1.2.sz.mell. _köt'!G117+'1.3.sz.mell._önk'!G117+'1.4.sz.mell._állig'!G117</f>
        <v>0</v>
      </c>
      <c r="H117" s="1116">
        <f>'1.2.sz.mell. _köt'!H117+'1.3.sz.mell._önk'!H117+'1.4.sz.mell._állig'!H117</f>
        <v>0</v>
      </c>
      <c r="I117" s="1116">
        <f>'1.2.sz.mell. _köt'!I117+'1.3.sz.mell._önk'!I117+'1.4.sz.mell._állig'!I117</f>
        <v>0</v>
      </c>
    </row>
    <row r="118" spans="1:10" ht="12" customHeight="1" x14ac:dyDescent="0.25">
      <c r="A118" s="1060" t="s">
        <v>178</v>
      </c>
      <c r="B118" s="1038" t="s">
        <v>296</v>
      </c>
      <c r="C118" s="1114">
        <f>'1.2.sz.mell. _köt'!C118+'1.3.sz.mell._önk'!C118+'1.4.sz.mell._állig'!C118</f>
        <v>0</v>
      </c>
      <c r="D118" s="1115">
        <f>'1.2.sz.mell. _köt'!D118+'1.3.sz.mell._önk'!D118+'1.4.sz.mell._állig'!D118</f>
        <v>0</v>
      </c>
      <c r="E118" s="1116">
        <f>'1.2.sz.mell. _köt'!E118+'1.3.sz.mell._önk'!E118+'1.4.sz.mell._állig'!E118</f>
        <v>0</v>
      </c>
      <c r="F118" s="1116">
        <f>'1.2.sz.mell. _köt'!F118+'1.3.sz.mell._önk'!F118+'1.4.sz.mell._állig'!F118</f>
        <v>0</v>
      </c>
      <c r="G118" s="1116">
        <f>'1.2.sz.mell. _köt'!G118+'1.3.sz.mell._önk'!G118+'1.4.sz.mell._állig'!G118</f>
        <v>0</v>
      </c>
      <c r="H118" s="1116">
        <f>'1.2.sz.mell. _köt'!H118+'1.3.sz.mell._önk'!H118+'1.4.sz.mell._állig'!H118</f>
        <v>0</v>
      </c>
      <c r="I118" s="1116">
        <f>'1.2.sz.mell. _köt'!I118+'1.3.sz.mell._önk'!I118+'1.4.sz.mell._állig'!I118</f>
        <v>0</v>
      </c>
    </row>
    <row r="119" spans="1:10" ht="12" customHeight="1" thickBot="1" x14ac:dyDescent="0.3">
      <c r="A119" s="1117" t="s">
        <v>179</v>
      </c>
      <c r="B119" s="1118" t="s">
        <v>390</v>
      </c>
      <c r="C119" s="1119">
        <f>'1.2.sz.mell. _köt'!C119+'1.3.sz.mell._önk'!C119+'1.4.sz.mell._állig'!C119</f>
        <v>0</v>
      </c>
      <c r="D119" s="1120">
        <f>'1.2.sz.mell. _köt'!D119+'1.3.sz.mell._önk'!D119+'1.4.sz.mell._állig'!D119</f>
        <v>0</v>
      </c>
      <c r="E119" s="1121">
        <f>'1.2.sz.mell. _köt'!E119+'1.3.sz.mell._önk'!E119+'1.4.sz.mell._állig'!E119</f>
        <v>0</v>
      </c>
      <c r="F119" s="1121">
        <f>'1.2.sz.mell. _köt'!F119+'1.3.sz.mell._önk'!F119+'1.4.sz.mell._állig'!F119</f>
        <v>0</v>
      </c>
      <c r="G119" s="1121">
        <f>'1.2.sz.mell. _köt'!G119+'1.3.sz.mell._önk'!G119+'1.4.sz.mell._állig'!G119</f>
        <v>0</v>
      </c>
      <c r="H119" s="1121">
        <f>'1.2.sz.mell. _köt'!H119+'1.3.sz.mell._önk'!H119+'1.4.sz.mell._állig'!H119</f>
        <v>0</v>
      </c>
      <c r="I119" s="1121">
        <f>'1.2.sz.mell. _köt'!I119+'1.3.sz.mell._önk'!I119+'1.4.sz.mell._állig'!I119</f>
        <v>0</v>
      </c>
    </row>
    <row r="120" spans="1:10" ht="12" customHeight="1" thickBot="1" x14ac:dyDescent="0.3">
      <c r="A120" s="1054" t="s">
        <v>975</v>
      </c>
      <c r="B120" s="1065" t="s">
        <v>299</v>
      </c>
      <c r="C120" s="1122">
        <f>+C101+C102</f>
        <v>718552</v>
      </c>
      <c r="D120" s="1123">
        <f>+D101+D102</f>
        <v>271331</v>
      </c>
      <c r="E120" s="1124">
        <f>+E101+E102</f>
        <v>286781</v>
      </c>
      <c r="F120" s="1124">
        <f t="shared" ref="F120:I120" si="22">+F101+F102</f>
        <v>38421</v>
      </c>
      <c r="G120" s="1124">
        <f t="shared" si="22"/>
        <v>16341</v>
      </c>
      <c r="H120" s="1124">
        <f t="shared" si="22"/>
        <v>5318</v>
      </c>
      <c r="I120" s="1124">
        <f t="shared" si="22"/>
        <v>346861</v>
      </c>
    </row>
    <row r="121" spans="1:10" ht="15" customHeight="1" thickBot="1" x14ac:dyDescent="0.3">
      <c r="A121" s="1054" t="s">
        <v>976</v>
      </c>
      <c r="B121" s="1065" t="s">
        <v>300</v>
      </c>
      <c r="C121" s="1114">
        <f>'1.2.sz.mell. _köt'!C121+'1.3.sz.mell._önk'!C121+'1.4.sz.mell._állig'!C121</f>
        <v>-8210</v>
      </c>
      <c r="D121" s="1115">
        <f>'1.2.sz.mell. _köt'!D121+'1.3.sz.mell._önk'!D121+'1.4.sz.mell._állig'!D121</f>
        <v>14698</v>
      </c>
      <c r="E121" s="1125"/>
      <c r="F121" s="1125"/>
      <c r="G121" s="1125"/>
      <c r="H121" s="1125"/>
      <c r="I121" s="1125"/>
      <c r="J121" s="1126"/>
    </row>
    <row r="122" spans="1:10" s="1003" customFormat="1" ht="12.95" customHeight="1" thickBot="1" x14ac:dyDescent="0.25">
      <c r="A122" s="1127" t="s">
        <v>977</v>
      </c>
      <c r="B122" s="1067" t="s">
        <v>301</v>
      </c>
      <c r="C122" s="1055">
        <f>+C120+C121</f>
        <v>710342</v>
      </c>
      <c r="D122" s="1056">
        <f>+D120+D121</f>
        <v>286029</v>
      </c>
      <c r="E122" s="1057">
        <f>+E120+E121</f>
        <v>286781</v>
      </c>
      <c r="F122" s="1057">
        <f t="shared" ref="F122:I122" si="23">+F120+F121</f>
        <v>38421</v>
      </c>
      <c r="G122" s="1057">
        <f t="shared" si="23"/>
        <v>16341</v>
      </c>
      <c r="H122" s="1057">
        <f t="shared" si="23"/>
        <v>5318</v>
      </c>
      <c r="I122" s="1057">
        <f t="shared" si="23"/>
        <v>346861</v>
      </c>
    </row>
    <row r="123" spans="1:10" ht="19.5" customHeight="1" x14ac:dyDescent="0.25">
      <c r="A123" s="1128"/>
      <c r="B123" s="1128"/>
      <c r="C123" s="1129"/>
      <c r="D123" s="1129"/>
      <c r="E123" s="1129"/>
      <c r="F123" s="1129"/>
      <c r="G123" s="1129"/>
      <c r="H123" s="1129"/>
      <c r="I123" s="1129"/>
    </row>
    <row r="124" spans="1:10" x14ac:dyDescent="0.25">
      <c r="A124" s="1511" t="s">
        <v>111</v>
      </c>
      <c r="B124" s="1511"/>
      <c r="C124" s="1511"/>
      <c r="D124" s="987"/>
      <c r="E124" s="987"/>
      <c r="F124" s="987"/>
      <c r="G124" s="987"/>
      <c r="H124" s="987"/>
      <c r="I124" s="987"/>
    </row>
    <row r="125" spans="1:10" ht="15" customHeight="1" thickBot="1" x14ac:dyDescent="0.3">
      <c r="A125" s="1509" t="s">
        <v>104</v>
      </c>
      <c r="B125" s="1509"/>
      <c r="C125" s="989"/>
      <c r="D125" s="989"/>
      <c r="E125" s="989"/>
      <c r="F125" s="989"/>
      <c r="G125" s="989"/>
      <c r="H125" s="989"/>
      <c r="I125" s="989" t="s">
        <v>303</v>
      </c>
    </row>
    <row r="126" spans="1:10" ht="13.5" customHeight="1" thickBot="1" x14ac:dyDescent="0.3">
      <c r="A126" s="1004">
        <v>1</v>
      </c>
      <c r="B126" s="1091" t="s">
        <v>186</v>
      </c>
      <c r="C126" s="1016">
        <f>+C51-C101</f>
        <v>206640</v>
      </c>
      <c r="D126" s="1130">
        <f>+D51-D101</f>
        <v>-15194</v>
      </c>
      <c r="E126" s="1130">
        <f>+E51-E101</f>
        <v>0</v>
      </c>
      <c r="F126" s="1130">
        <f>+F51-F101</f>
        <v>-48271</v>
      </c>
      <c r="G126" s="1130">
        <f>+G51-G101</f>
        <v>0</v>
      </c>
      <c r="H126" s="1130">
        <f t="shared" ref="H126:I126" si="24">+H51-H101</f>
        <v>13192</v>
      </c>
      <c r="I126" s="1130">
        <f t="shared" si="24"/>
        <v>-35079</v>
      </c>
    </row>
    <row r="127" spans="1:10" ht="7.5" customHeight="1" x14ac:dyDescent="0.25">
      <c r="A127" s="1128"/>
      <c r="B127" s="1128"/>
      <c r="C127" s="1129"/>
      <c r="D127" s="1129"/>
      <c r="E127" s="1129"/>
      <c r="F127" s="1129"/>
      <c r="G127" s="1129"/>
      <c r="H127" s="1129"/>
      <c r="I127" s="1129"/>
    </row>
    <row r="128" spans="1:10" x14ac:dyDescent="0.25">
      <c r="A128" s="1506" t="s">
        <v>302</v>
      </c>
      <c r="B128" s="1506"/>
      <c r="C128" s="1506"/>
      <c r="D128" s="1506"/>
      <c r="E128" s="1506"/>
      <c r="F128" s="1506"/>
      <c r="G128" s="1506"/>
      <c r="H128" s="1506"/>
      <c r="I128" s="1506"/>
    </row>
    <row r="129" spans="1:9" ht="12.75" customHeight="1" thickBot="1" x14ac:dyDescent="0.3">
      <c r="A129" s="1508" t="s">
        <v>105</v>
      </c>
      <c r="B129" s="1508"/>
      <c r="C129" s="1131"/>
      <c r="D129" s="1131"/>
      <c r="E129" s="1131"/>
      <c r="F129" s="1131"/>
      <c r="G129" s="1131"/>
      <c r="H129" s="1131"/>
      <c r="I129" s="1131" t="s">
        <v>303</v>
      </c>
    </row>
    <row r="130" spans="1:9" ht="13.5" customHeight="1" thickBot="1" x14ac:dyDescent="0.3">
      <c r="A130" s="1054" t="s">
        <v>969</v>
      </c>
      <c r="B130" s="1132" t="s">
        <v>391</v>
      </c>
      <c r="C130" s="1133">
        <f>IF('2.1.sz.mell  '!C32&lt;&gt;"-",'2.1.sz.mell  '!C32,0)</f>
        <v>0</v>
      </c>
      <c r="D130" s="1133">
        <f>IF('2.1.sz.mell  '!D32&lt;&gt;"-",'2.1.sz.mell  '!D32,0)</f>
        <v>0</v>
      </c>
      <c r="E130" s="1133">
        <f>IF('2.1.sz.mell  '!E32&lt;&gt;"-",'2.1.sz.mell  '!E32,0)</f>
        <v>0</v>
      </c>
      <c r="F130" s="1133">
        <f>IF('2.1.sz.mell  '!F32&lt;&gt;"-",'2.1.sz.mell  '!F32,0)</f>
        <v>0</v>
      </c>
      <c r="G130" s="1133">
        <f>IF('2.1.sz.mell  '!G32&lt;&gt;"-",'2.1.sz.mell  '!G32,0)</f>
        <v>0</v>
      </c>
      <c r="H130" s="1133">
        <f>IF('2.1.sz.mell  '!H32&lt;&gt;"-",'2.1.sz.mell  '!H32,0)</f>
        <v>0</v>
      </c>
      <c r="I130" s="1133">
        <f>IF('2.1.sz.mell  '!I32&lt;&gt;"-",'2.1.sz.mell  '!I32,0)</f>
        <v>0</v>
      </c>
    </row>
    <row r="131" spans="1:9" ht="13.5" customHeight="1" thickBot="1" x14ac:dyDescent="0.3">
      <c r="A131" s="1054" t="s">
        <v>970</v>
      </c>
      <c r="B131" s="1132" t="s">
        <v>392</v>
      </c>
      <c r="C131" s="1133">
        <f>IF('2.2.sz.mell  '!C36&lt;&gt;"-",'2.2.sz.mell  '!C36,0)</f>
        <v>150113</v>
      </c>
      <c r="D131" s="1133">
        <f>IF('2.2.sz.mell  '!D36&lt;&gt;"-",'2.2.sz.mell  '!D36,0)</f>
        <v>0</v>
      </c>
      <c r="E131" s="1133">
        <f>IF('2.2.sz.mell  '!E36&lt;&gt;"-",'2.2.sz.mell  '!E36,0)</f>
        <v>6435</v>
      </c>
      <c r="F131" s="1133">
        <f>IF('2.2.sz.mell  '!F36&lt;&gt;"-",'2.2.sz.mell  '!F36,0)</f>
        <v>-6435</v>
      </c>
      <c r="G131" s="1133">
        <f>IF('2.2.sz.mell  '!G36&lt;&gt;"-",'2.2.sz.mell  '!G36,0)</f>
        <v>0</v>
      </c>
      <c r="H131" s="1133">
        <f>IF('2.2.sz.mell  '!H36&lt;&gt;"-",'2.2.sz.mell  '!H36,0)</f>
        <v>0</v>
      </c>
      <c r="I131" s="1133">
        <f>IF('2.2.sz.mell  '!I36&lt;&gt;"-",'2.2.sz.mell  '!I36,0)</f>
        <v>0</v>
      </c>
    </row>
    <row r="132" spans="1:9" ht="13.5" customHeight="1" thickBot="1" x14ac:dyDescent="0.3">
      <c r="A132" s="1054" t="s">
        <v>971</v>
      </c>
      <c r="B132" s="1132" t="s">
        <v>318</v>
      </c>
      <c r="C132" s="1133">
        <f>C131+C130</f>
        <v>150113</v>
      </c>
      <c r="D132" s="1133">
        <f t="shared" ref="D132:E132" si="25">D131+D130</f>
        <v>0</v>
      </c>
      <c r="E132" s="1133">
        <f t="shared" si="25"/>
        <v>6435</v>
      </c>
      <c r="F132" s="1133">
        <f t="shared" ref="F132" si="26">F131+F130</f>
        <v>-6435</v>
      </c>
      <c r="G132" s="1133">
        <f t="shared" ref="G132:I132" si="27">G131+G130</f>
        <v>0</v>
      </c>
      <c r="H132" s="1133">
        <f t="shared" si="27"/>
        <v>0</v>
      </c>
      <c r="I132" s="1133">
        <f t="shared" si="27"/>
        <v>0</v>
      </c>
    </row>
    <row r="133" spans="1:9" ht="7.5" customHeight="1" x14ac:dyDescent="0.25">
      <c r="A133" s="1134"/>
      <c r="B133" s="1135"/>
      <c r="C133" s="1136"/>
      <c r="D133" s="1136"/>
      <c r="E133" s="1136"/>
      <c r="F133" s="1136"/>
      <c r="G133" s="1136"/>
      <c r="H133" s="1136"/>
      <c r="I133" s="1136"/>
    </row>
    <row r="134" spans="1:9" x14ac:dyDescent="0.25">
      <c r="A134" s="1506" t="s">
        <v>304</v>
      </c>
      <c r="B134" s="1506"/>
      <c r="C134" s="1506"/>
      <c r="D134" s="987"/>
      <c r="E134" s="987"/>
      <c r="F134" s="987"/>
      <c r="G134" s="987"/>
      <c r="H134" s="987"/>
      <c r="I134" s="987"/>
    </row>
    <row r="135" spans="1:9" ht="12.75" customHeight="1" thickBot="1" x14ac:dyDescent="0.3">
      <c r="A135" s="1508" t="s">
        <v>305</v>
      </c>
      <c r="B135" s="1508"/>
      <c r="C135" s="1131"/>
      <c r="D135" s="1131"/>
      <c r="E135" s="1131"/>
      <c r="F135" s="1131"/>
      <c r="G135" s="1131"/>
      <c r="H135" s="1131"/>
      <c r="I135" s="1131" t="s">
        <v>303</v>
      </c>
    </row>
    <row r="136" spans="1:9" ht="12.75" customHeight="1" thickBot="1" x14ac:dyDescent="0.3">
      <c r="A136" s="1054" t="s">
        <v>969</v>
      </c>
      <c r="B136" s="1132" t="s">
        <v>393</v>
      </c>
      <c r="C136" s="1133">
        <f>+C137-C140</f>
        <v>-90318</v>
      </c>
      <c r="D136" s="1133">
        <f>+D137-D140</f>
        <v>52550</v>
      </c>
      <c r="E136" s="1133">
        <f>+E137-E140</f>
        <v>0</v>
      </c>
      <c r="F136" s="1133">
        <f t="shared" ref="F136:I136" si="28">+F137-F140</f>
        <v>48271</v>
      </c>
      <c r="G136" s="1133">
        <f t="shared" ref="G136:H136" si="29">+G137-G140</f>
        <v>0</v>
      </c>
      <c r="H136" s="1133">
        <f t="shared" si="29"/>
        <v>-13192</v>
      </c>
      <c r="I136" s="1133">
        <f t="shared" si="28"/>
        <v>35079</v>
      </c>
    </row>
    <row r="137" spans="1:9" ht="12.75" customHeight="1" thickBot="1" x14ac:dyDescent="0.3">
      <c r="A137" s="1137" t="s">
        <v>60</v>
      </c>
      <c r="B137" s="1138" t="s">
        <v>306</v>
      </c>
      <c r="C137" s="1139">
        <f>+C52</f>
        <v>143843</v>
      </c>
      <c r="D137" s="1139">
        <f>+D52</f>
        <v>52550</v>
      </c>
      <c r="E137" s="1139">
        <f>+E52</f>
        <v>0</v>
      </c>
      <c r="F137" s="1139">
        <f t="shared" ref="F137:I137" si="30">+F52</f>
        <v>48271</v>
      </c>
      <c r="G137" s="1139">
        <f t="shared" ref="G137:H137" si="31">+G52</f>
        <v>0</v>
      </c>
      <c r="H137" s="1139">
        <f t="shared" si="31"/>
        <v>-7488</v>
      </c>
      <c r="I137" s="1139">
        <f t="shared" si="30"/>
        <v>40783</v>
      </c>
    </row>
    <row r="138" spans="1:9" s="1144" customFormat="1" ht="12.75" customHeight="1" thickBot="1" x14ac:dyDescent="0.25">
      <c r="A138" s="1140" t="s">
        <v>187</v>
      </c>
      <c r="B138" s="1141" t="s">
        <v>307</v>
      </c>
      <c r="C138" s="1142">
        <f>+'2.1.sz.mell  '!C27</f>
        <v>77128</v>
      </c>
      <c r="D138" s="1143">
        <f>+'2.1.sz.mell  '!D27</f>
        <v>26281</v>
      </c>
      <c r="E138" s="1142">
        <f>+'2.1.sz.mell  '!E27</f>
        <v>0</v>
      </c>
      <c r="F138" s="1142">
        <f>+'2.1.sz.mell  '!F27</f>
        <v>41596</v>
      </c>
      <c r="G138" s="1142">
        <f>+'2.1.sz.mell  '!G27</f>
        <v>0</v>
      </c>
      <c r="H138" s="1142">
        <f>+'2.1.sz.mell  '!H27</f>
        <v>-7488</v>
      </c>
      <c r="I138" s="1142">
        <f>+'2.1.sz.mell  '!I27</f>
        <v>34108</v>
      </c>
    </row>
    <row r="139" spans="1:9" s="1144" customFormat="1" ht="12.75" customHeight="1" thickBot="1" x14ac:dyDescent="0.25">
      <c r="A139" s="1140" t="s">
        <v>188</v>
      </c>
      <c r="B139" s="1141" t="s">
        <v>308</v>
      </c>
      <c r="C139" s="1145">
        <f>+'2.2.sz.mell  '!C31</f>
        <v>66715</v>
      </c>
      <c r="D139" s="1145">
        <f>+'2.2.sz.mell  '!D31</f>
        <v>26269</v>
      </c>
      <c r="E139" s="1145">
        <f>+'2.2.sz.mell  '!E31</f>
        <v>0</v>
      </c>
      <c r="F139" s="1145">
        <f>+'2.2.sz.mell  '!F31</f>
        <v>6675</v>
      </c>
      <c r="G139" s="1145">
        <f>+'2.2.sz.mell  '!G31</f>
        <v>0</v>
      </c>
      <c r="H139" s="1145">
        <f>+'2.2.sz.mell  '!H31</f>
        <v>0</v>
      </c>
      <c r="I139" s="1145">
        <f>+'2.2.sz.mell  '!I31</f>
        <v>6675</v>
      </c>
    </row>
    <row r="140" spans="1:9" ht="12.75" customHeight="1" thickBot="1" x14ac:dyDescent="0.3">
      <c r="A140" s="1137" t="s">
        <v>61</v>
      </c>
      <c r="B140" s="1138" t="s">
        <v>309</v>
      </c>
      <c r="C140" s="1139">
        <f>+C102</f>
        <v>234161</v>
      </c>
      <c r="D140" s="1139">
        <f>+D102</f>
        <v>0</v>
      </c>
      <c r="E140" s="1139">
        <f>+E102</f>
        <v>0</v>
      </c>
      <c r="F140" s="1139">
        <f t="shared" ref="F140:I140" si="32">+F102</f>
        <v>0</v>
      </c>
      <c r="G140" s="1139">
        <f t="shared" ref="G140:H140" si="33">+G102</f>
        <v>0</v>
      </c>
      <c r="H140" s="1139">
        <f t="shared" si="33"/>
        <v>5704</v>
      </c>
      <c r="I140" s="1139">
        <f t="shared" si="32"/>
        <v>5704</v>
      </c>
    </row>
    <row r="141" spans="1:9" s="1144" customFormat="1" ht="12.75" customHeight="1" thickBot="1" x14ac:dyDescent="0.25">
      <c r="A141" s="1140" t="s">
        <v>189</v>
      </c>
      <c r="B141" s="1141" t="s">
        <v>310</v>
      </c>
      <c r="C141" s="1146">
        <f>+'2.1.sz.mell  '!K27</f>
        <v>108404</v>
      </c>
      <c r="D141" s="1146">
        <f>+'2.1.sz.mell  '!L27</f>
        <v>0</v>
      </c>
      <c r="E141" s="1146">
        <f>+'2.1.sz.mell  '!R27</f>
        <v>0</v>
      </c>
      <c r="F141" s="1146">
        <f>+'2.1.sz.mell  '!S27</f>
        <v>0</v>
      </c>
      <c r="G141" s="1146">
        <f>+'2.1.sz.mell  '!T27</f>
        <v>0</v>
      </c>
      <c r="H141" s="1146">
        <f>+'2.1.sz.mell  '!U27</f>
        <v>0</v>
      </c>
      <c r="I141" s="1146">
        <f>+'2.1.sz.mell  '!T27</f>
        <v>0</v>
      </c>
    </row>
    <row r="142" spans="1:9" s="1144" customFormat="1" ht="12.75" customHeight="1" thickBot="1" x14ac:dyDescent="0.25">
      <c r="A142" s="1140" t="s">
        <v>190</v>
      </c>
      <c r="B142" s="1141" t="s">
        <v>311</v>
      </c>
      <c r="C142" s="1146">
        <f>+'2.2.sz.mell  '!K31</f>
        <v>125757</v>
      </c>
      <c r="D142" s="1146">
        <f>+'2.2.sz.mell  '!L31</f>
        <v>11</v>
      </c>
      <c r="E142" s="1146">
        <f>+'2.2.sz.mell  '!R31</f>
        <v>0</v>
      </c>
      <c r="F142" s="1146">
        <f>+'2.2.sz.mell  '!S31</f>
        <v>0</v>
      </c>
      <c r="G142" s="1146">
        <f>+'2.2.sz.mell  '!T31</f>
        <v>0</v>
      </c>
      <c r="H142" s="1146">
        <f>+'2.2.sz.mell  '!U31</f>
        <v>0</v>
      </c>
      <c r="I142" s="1146">
        <f>+'2.2.sz.mell  '!T31</f>
        <v>0</v>
      </c>
    </row>
  </sheetData>
  <mergeCells count="10"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  <mergeCell ref="A128:I128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2" fitToHeight="2" orientation="portrait" r:id="rId1"/>
  <headerFooter alignWithMargins="0">
    <oddHeader>&amp;C&amp;"Times New Roman CE,Félkövér"&amp;12
Csobánka Község Önkormányzat 
2014. ÉVI KÖLTSÉGVETÉSÉNEK ÖSSZEVONT MÉRLEGE&amp;R&amp;"Times New Roman CE,Félkövér dőlt"&amp;11 &amp;"Times New Roman CE,Félkövér"1.1. melléklet a 3/2015. (II.20.) önkormányzati rendelethez</oddHeader>
  </headerFooter>
  <rowBreaks count="1" manualBreakCount="1">
    <brk id="6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27"/>
  <sheetViews>
    <sheetView view="pageLayout" topLeftCell="A68" zoomScaleNormal="120" zoomScaleSheetLayoutView="100" workbookViewId="0">
      <selection activeCell="H87" sqref="H87"/>
    </sheetView>
  </sheetViews>
  <sheetFormatPr defaultColWidth="9.33203125" defaultRowHeight="15.75" x14ac:dyDescent="0.25"/>
  <cols>
    <col min="1" max="1" width="9" style="1147" customWidth="1"/>
    <col min="2" max="2" width="84.83203125" style="1147" customWidth="1"/>
    <col min="3" max="4" width="14.83203125" style="1148" hidden="1" customWidth="1"/>
    <col min="5" max="5" width="10.83203125" style="1148" bestFit="1" customWidth="1"/>
    <col min="6" max="6" width="10" style="1148" bestFit="1" customWidth="1"/>
    <col min="7" max="7" width="9.6640625" style="1148" bestFit="1" customWidth="1"/>
    <col min="8" max="8" width="10.33203125" style="1148" customWidth="1"/>
    <col min="9" max="9" width="15.33203125" style="1148" bestFit="1" customWidth="1"/>
    <col min="10" max="16384" width="9.33203125" style="988"/>
  </cols>
  <sheetData>
    <row r="1" spans="1:9" ht="15.95" customHeight="1" x14ac:dyDescent="0.25">
      <c r="A1" s="1507" t="s">
        <v>966</v>
      </c>
      <c r="B1" s="1507"/>
      <c r="C1" s="1507"/>
      <c r="D1" s="987"/>
      <c r="E1" s="987"/>
      <c r="F1" s="987"/>
      <c r="G1" s="987"/>
      <c r="H1" s="987"/>
      <c r="I1" s="987"/>
    </row>
    <row r="2" spans="1:9" ht="15.95" customHeight="1" thickBot="1" x14ac:dyDescent="0.3">
      <c r="A2" s="1509" t="s">
        <v>102</v>
      </c>
      <c r="B2" s="1509"/>
      <c r="C2" s="989"/>
      <c r="D2" s="989"/>
      <c r="E2" s="989"/>
      <c r="F2" s="989"/>
      <c r="G2" s="989"/>
      <c r="H2" s="989"/>
      <c r="I2" s="989" t="s">
        <v>303</v>
      </c>
    </row>
    <row r="3" spans="1:9" s="994" customFormat="1" ht="38.1" customHeight="1" thickBot="1" x14ac:dyDescent="0.3">
      <c r="A3" s="990" t="s">
        <v>19</v>
      </c>
      <c r="B3" s="991" t="s">
        <v>968</v>
      </c>
      <c r="C3" s="992" t="s">
        <v>1037</v>
      </c>
      <c r="D3" s="993" t="s">
        <v>1038</v>
      </c>
      <c r="E3" s="933" t="s">
        <v>1039</v>
      </c>
      <c r="F3" s="933" t="s">
        <v>1148</v>
      </c>
      <c r="G3" s="933" t="s">
        <v>1189</v>
      </c>
      <c r="H3" s="933" t="s">
        <v>1190</v>
      </c>
      <c r="I3" s="933" t="s">
        <v>1147</v>
      </c>
    </row>
    <row r="4" spans="1:9" s="997" customFormat="1" ht="12" customHeight="1" thickBot="1" x14ac:dyDescent="0.25">
      <c r="A4" s="995">
        <v>1</v>
      </c>
      <c r="B4" s="996">
        <v>2</v>
      </c>
      <c r="C4" s="992">
        <v>3</v>
      </c>
      <c r="D4" s="993">
        <v>4</v>
      </c>
      <c r="E4" s="933">
        <v>3</v>
      </c>
      <c r="F4" s="933">
        <v>4</v>
      </c>
      <c r="G4" s="933">
        <v>5</v>
      </c>
      <c r="H4" s="933"/>
      <c r="I4" s="933">
        <v>6</v>
      </c>
    </row>
    <row r="5" spans="1:9" s="1003" customFormat="1" ht="12" customHeight="1" thickBot="1" x14ac:dyDescent="0.25">
      <c r="A5" s="998" t="s">
        <v>969</v>
      </c>
      <c r="B5" s="999" t="s">
        <v>128</v>
      </c>
      <c r="C5" s="1000">
        <f>+C6+C11+C20</f>
        <v>239184</v>
      </c>
      <c r="D5" s="1001">
        <f>+D6+D11+D20</f>
        <v>115665</v>
      </c>
      <c r="E5" s="1002">
        <f>+E6+E11+E20</f>
        <v>111683</v>
      </c>
      <c r="F5" s="1002">
        <f>+F6+F11+F20</f>
        <v>-11130</v>
      </c>
      <c r="G5" s="1002">
        <f t="shared" ref="G5:H5" si="0">+G6+G11+G20</f>
        <v>0</v>
      </c>
      <c r="H5" s="1002">
        <f t="shared" si="0"/>
        <v>11184</v>
      </c>
      <c r="I5" s="1002">
        <f>E5+F5+G5+H5</f>
        <v>111737</v>
      </c>
    </row>
    <row r="6" spans="1:9" s="1003" customFormat="1" ht="12" customHeight="1" thickBot="1" x14ac:dyDescent="0.25">
      <c r="A6" s="1004" t="s">
        <v>970</v>
      </c>
      <c r="B6" s="1005" t="s">
        <v>380</v>
      </c>
      <c r="C6" s="1006">
        <f>+C7+C8+C9+C10</f>
        <v>84681</v>
      </c>
      <c r="D6" s="1007">
        <f>+D7+D8+D9+D10</f>
        <v>94867</v>
      </c>
      <c r="E6" s="1008">
        <f>+E7+E8+E9+E10</f>
        <v>90200</v>
      </c>
      <c r="F6" s="1008">
        <f>+F7+F8+F9+F10</f>
        <v>-11130</v>
      </c>
      <c r="G6" s="1008">
        <f t="shared" ref="G6:H6" si="1">+G7+G8+G9+G10</f>
        <v>0</v>
      </c>
      <c r="H6" s="1008">
        <f t="shared" si="1"/>
        <v>11130</v>
      </c>
      <c r="I6" s="1008">
        <f t="shared" ref="I6:I67" si="2">E6+F6+G6+H6</f>
        <v>90200</v>
      </c>
    </row>
    <row r="7" spans="1:9" s="1003" customFormat="1" ht="12" customHeight="1" x14ac:dyDescent="0.2">
      <c r="A7" s="1009" t="s">
        <v>66</v>
      </c>
      <c r="B7" s="1010" t="s">
        <v>1013</v>
      </c>
      <c r="C7" s="1011">
        <v>81677</v>
      </c>
      <c r="D7" s="1012">
        <f>92783-958</f>
        <v>91825</v>
      </c>
      <c r="E7" s="1013">
        <f>87700</f>
        <v>87700</v>
      </c>
      <c r="F7" s="1013">
        <v>-11130</v>
      </c>
      <c r="G7" s="1013"/>
      <c r="H7" s="1013">
        <v>11130</v>
      </c>
      <c r="I7" s="1013">
        <f t="shared" si="2"/>
        <v>87700</v>
      </c>
    </row>
    <row r="8" spans="1:9" s="1003" customFormat="1" ht="12" customHeight="1" x14ac:dyDescent="0.2">
      <c r="A8" s="1009" t="s">
        <v>67</v>
      </c>
      <c r="B8" s="1014" t="s">
        <v>35</v>
      </c>
      <c r="C8" s="1011"/>
      <c r="D8" s="1012"/>
      <c r="E8" s="1013"/>
      <c r="F8" s="1013"/>
      <c r="G8" s="1013"/>
      <c r="H8" s="1013"/>
      <c r="I8" s="1013">
        <f t="shared" si="2"/>
        <v>0</v>
      </c>
    </row>
    <row r="9" spans="1:9" s="1003" customFormat="1" ht="12" customHeight="1" x14ac:dyDescent="0.2">
      <c r="A9" s="1009" t="s">
        <v>68</v>
      </c>
      <c r="B9" s="1014" t="s">
        <v>129</v>
      </c>
      <c r="C9" s="1011">
        <v>2816</v>
      </c>
      <c r="D9" s="1012">
        <f>2095+79</f>
        <v>2174</v>
      </c>
      <c r="E9" s="1013">
        <v>2000</v>
      </c>
      <c r="F9" s="1013"/>
      <c r="G9" s="1013"/>
      <c r="H9" s="1013"/>
      <c r="I9" s="1013">
        <f t="shared" si="2"/>
        <v>2000</v>
      </c>
    </row>
    <row r="10" spans="1:9" s="1003" customFormat="1" ht="12" customHeight="1" thickBot="1" x14ac:dyDescent="0.25">
      <c r="A10" s="1009" t="s">
        <v>69</v>
      </c>
      <c r="B10" s="1015" t="s">
        <v>130</v>
      </c>
      <c r="C10" s="1011">
        <f>10+178</f>
        <v>188</v>
      </c>
      <c r="D10" s="1012">
        <v>868</v>
      </c>
      <c r="E10" s="1013">
        <v>500</v>
      </c>
      <c r="F10" s="1013"/>
      <c r="G10" s="1013"/>
      <c r="H10" s="1013"/>
      <c r="I10" s="1013">
        <f t="shared" si="2"/>
        <v>500</v>
      </c>
    </row>
    <row r="11" spans="1:9" s="1003" customFormat="1" ht="12" customHeight="1" thickBot="1" x14ac:dyDescent="0.25">
      <c r="A11" s="1004" t="s">
        <v>971</v>
      </c>
      <c r="B11" s="999" t="s">
        <v>131</v>
      </c>
      <c r="C11" s="1016">
        <f>+C12+C13+C14+C15+C16+C17+C18+C19</f>
        <v>42354</v>
      </c>
      <c r="D11" s="1007">
        <f>+D12+D13+D14+D15+D16+D17+D18+D19</f>
        <v>12966</v>
      </c>
      <c r="E11" s="1008">
        <f>+E12+E13+E14+E15+E16+E17+E18+E19</f>
        <v>13483</v>
      </c>
      <c r="F11" s="1008">
        <f t="shared" ref="F11:H11" si="3">+F12+F13+F14+F15+F16+F17+F18+F19</f>
        <v>0</v>
      </c>
      <c r="G11" s="1008">
        <f t="shared" si="3"/>
        <v>0</v>
      </c>
      <c r="H11" s="1008">
        <f t="shared" si="3"/>
        <v>54</v>
      </c>
      <c r="I11" s="1008">
        <f t="shared" si="2"/>
        <v>13537</v>
      </c>
    </row>
    <row r="12" spans="1:9" s="1003" customFormat="1" ht="12" customHeight="1" x14ac:dyDescent="0.2">
      <c r="A12" s="1017" t="s">
        <v>40</v>
      </c>
      <c r="B12" s="1018" t="s">
        <v>136</v>
      </c>
      <c r="C12" s="1074">
        <v>51</v>
      </c>
      <c r="D12" s="1075"/>
      <c r="E12" s="1013">
        <f>'9. sz. mell'!F15+'10. sz. mell.'!F9+'11. sz. mell.'!F9</f>
        <v>0</v>
      </c>
      <c r="F12" s="1013">
        <f>'9. sz. mell'!G15+'10. sz. mell.'!G9+'11. sz. mell.'!G9</f>
        <v>0</v>
      </c>
      <c r="G12" s="1013"/>
      <c r="H12" s="1013"/>
      <c r="I12" s="1013">
        <f t="shared" si="2"/>
        <v>0</v>
      </c>
    </row>
    <row r="13" spans="1:9" s="1003" customFormat="1" ht="12" customHeight="1" x14ac:dyDescent="0.2">
      <c r="A13" s="1009" t="s">
        <v>41</v>
      </c>
      <c r="B13" s="1019" t="s">
        <v>137</v>
      </c>
      <c r="C13" s="1011">
        <v>940</v>
      </c>
      <c r="D13" s="1012"/>
      <c r="E13" s="1013">
        <f>'9. sz. mell'!F16+'10. sz. mell.'!F10+'11. sz. mell.'!F10</f>
        <v>50</v>
      </c>
      <c r="F13" s="1013">
        <f>'9. sz. mell'!G16+'10. sz. mell.'!G10+'11. sz. mell.'!G10</f>
        <v>0</v>
      </c>
      <c r="G13" s="1013"/>
      <c r="H13" s="1013">
        <f>'10. sz. mell.'!I10</f>
        <v>54</v>
      </c>
      <c r="I13" s="1013">
        <f t="shared" si="2"/>
        <v>104</v>
      </c>
    </row>
    <row r="14" spans="1:9" s="1003" customFormat="1" ht="12" customHeight="1" x14ac:dyDescent="0.2">
      <c r="A14" s="1009" t="s">
        <v>42</v>
      </c>
      <c r="B14" s="1019" t="s">
        <v>138</v>
      </c>
      <c r="C14" s="1011">
        <v>7711</v>
      </c>
      <c r="D14" s="1012">
        <f>'9. sz. mell'!E17+'10. sz. mell.'!E11+'11. sz. mell.'!E11</f>
        <v>6337</v>
      </c>
      <c r="E14" s="1013">
        <f>'9. sz. mell'!F17+'10. sz. mell.'!F11+'11. sz. mell.'!F11</f>
        <v>7223</v>
      </c>
      <c r="F14" s="1013">
        <f>'9. sz. mell'!G17+'10. sz. mell.'!G11+'11. sz. mell.'!G11</f>
        <v>0</v>
      </c>
      <c r="G14" s="1013"/>
      <c r="H14" s="1013"/>
      <c r="I14" s="1013">
        <f t="shared" si="2"/>
        <v>7223</v>
      </c>
    </row>
    <row r="15" spans="1:9" s="1003" customFormat="1" ht="12" customHeight="1" x14ac:dyDescent="0.2">
      <c r="A15" s="1009" t="s">
        <v>43</v>
      </c>
      <c r="B15" s="1019" t="s">
        <v>139</v>
      </c>
      <c r="C15" s="1077">
        <f>4152+61</f>
        <v>4213</v>
      </c>
      <c r="D15" s="1012">
        <f>'9. sz. mell'!E18+'10. sz. mell.'!E12+'11. sz. mell.'!E12</f>
        <v>4780</v>
      </c>
      <c r="E15" s="1013">
        <f>'9. sz. mell'!F18+'10. sz. mell.'!F12+'11. sz. mell.'!F12</f>
        <v>4996</v>
      </c>
      <c r="F15" s="1013">
        <f>'9. sz. mell'!G18+'10. sz. mell.'!G12+'11. sz. mell.'!G12</f>
        <v>0</v>
      </c>
      <c r="G15" s="1013"/>
      <c r="H15" s="1013"/>
      <c r="I15" s="1013">
        <f t="shared" si="2"/>
        <v>4996</v>
      </c>
    </row>
    <row r="16" spans="1:9" s="1003" customFormat="1" ht="12" customHeight="1" x14ac:dyDescent="0.2">
      <c r="A16" s="1020" t="s">
        <v>132</v>
      </c>
      <c r="B16" s="1021" t="s">
        <v>140</v>
      </c>
      <c r="C16" s="1149">
        <f>2404+9+114</f>
        <v>2527</v>
      </c>
      <c r="D16" s="1012">
        <f>'9. sz. mell'!E19+'10. sz. mell.'!E13+'11. sz. mell.'!E13</f>
        <v>17</v>
      </c>
      <c r="E16" s="1013">
        <f>'9. sz. mell'!F19+'10. sz. mell.'!F13+'11. sz. mell.'!F13</f>
        <v>0</v>
      </c>
      <c r="F16" s="1013">
        <f>'9. sz. mell'!G19+'10. sz. mell.'!G13+'11. sz. mell.'!G13</f>
        <v>0</v>
      </c>
      <c r="G16" s="1013"/>
      <c r="H16" s="1013"/>
      <c r="I16" s="1013">
        <f t="shared" si="2"/>
        <v>0</v>
      </c>
    </row>
    <row r="17" spans="1:9" s="1003" customFormat="1" ht="12" customHeight="1" x14ac:dyDescent="0.2">
      <c r="A17" s="1009" t="s">
        <v>133</v>
      </c>
      <c r="B17" s="1019" t="s">
        <v>243</v>
      </c>
      <c r="C17" s="1077">
        <v>26460</v>
      </c>
      <c r="D17" s="1012">
        <f>'9. sz. mell'!E20+'10. sz. mell.'!E14+'11. sz. mell.'!E14</f>
        <v>1254</v>
      </c>
      <c r="E17" s="1013">
        <f>'9. sz. mell'!F20+'10. sz. mell.'!F14+'11. sz. mell.'!F14</f>
        <v>1214</v>
      </c>
      <c r="F17" s="1013">
        <f>'9. sz. mell'!G20+'10. sz. mell.'!G14+'11. sz. mell.'!G14</f>
        <v>0</v>
      </c>
      <c r="G17" s="1013"/>
      <c r="H17" s="1013"/>
      <c r="I17" s="1013">
        <f t="shared" si="2"/>
        <v>1214</v>
      </c>
    </row>
    <row r="18" spans="1:9" s="1003" customFormat="1" ht="12" customHeight="1" x14ac:dyDescent="0.2">
      <c r="A18" s="1009" t="s">
        <v>134</v>
      </c>
      <c r="B18" s="1019" t="s">
        <v>142</v>
      </c>
      <c r="C18" s="1077">
        <v>230</v>
      </c>
      <c r="D18" s="1012">
        <f>'9. sz. mell'!E21+'10. sz. mell.'!E15+'11. sz. mell.'!E15</f>
        <v>475</v>
      </c>
      <c r="E18" s="1013">
        <f>'9. sz. mell'!F21+'10. sz. mell.'!F15+'11. sz. mell.'!F15</f>
        <v>0</v>
      </c>
      <c r="F18" s="1013">
        <f>'9. sz. mell'!G21+'10. sz. mell.'!G15+'11. sz. mell.'!G15</f>
        <v>0</v>
      </c>
      <c r="G18" s="1013"/>
      <c r="H18" s="1013"/>
      <c r="I18" s="1013">
        <f t="shared" si="2"/>
        <v>0</v>
      </c>
    </row>
    <row r="19" spans="1:9" s="1003" customFormat="1" ht="12" customHeight="1" thickBot="1" x14ac:dyDescent="0.25">
      <c r="A19" s="1022" t="s">
        <v>135</v>
      </c>
      <c r="B19" s="1023" t="s">
        <v>143</v>
      </c>
      <c r="C19" s="1150">
        <v>222</v>
      </c>
      <c r="D19" s="1012">
        <f>'9. sz. mell'!E22+'10. sz. mell.'!E16+'11. sz. mell.'!E16</f>
        <v>103</v>
      </c>
      <c r="E19" s="1080">
        <f>'9. sz. mell'!F22+'10. sz. mell.'!F16+'11. sz. mell.'!F16</f>
        <v>0</v>
      </c>
      <c r="F19" s="1080">
        <f>'9. sz. mell'!G22+'10. sz. mell.'!G16+'11. sz. mell.'!G16</f>
        <v>0</v>
      </c>
      <c r="G19" s="1080"/>
      <c r="H19" s="1080"/>
      <c r="I19" s="1080">
        <f t="shared" si="2"/>
        <v>0</v>
      </c>
    </row>
    <row r="20" spans="1:9" s="1003" customFormat="1" ht="12" customHeight="1" thickBot="1" x14ac:dyDescent="0.25">
      <c r="A20" s="1004" t="s">
        <v>144</v>
      </c>
      <c r="B20" s="999" t="s">
        <v>1052</v>
      </c>
      <c r="C20" s="1151">
        <f>20561+91588</f>
        <v>112149</v>
      </c>
      <c r="D20" s="1152">
        <v>7832</v>
      </c>
      <c r="E20" s="1153">
        <v>8000</v>
      </c>
      <c r="F20" s="1153"/>
      <c r="G20" s="1153"/>
      <c r="H20" s="1153"/>
      <c r="I20" s="1153">
        <f t="shared" si="2"/>
        <v>8000</v>
      </c>
    </row>
    <row r="21" spans="1:9" s="1003" customFormat="1" ht="12" customHeight="1" thickBot="1" x14ac:dyDescent="0.25">
      <c r="A21" s="1004" t="s">
        <v>973</v>
      </c>
      <c r="B21" s="999" t="s">
        <v>146</v>
      </c>
      <c r="C21" s="1016">
        <f>+C22+C23+C24+C25+C26+C27+C28+C29</f>
        <v>262575</v>
      </c>
      <c r="D21" s="1007">
        <f>+D22+D23+D24+D25+D26+D27+D28+D29</f>
        <v>115921</v>
      </c>
      <c r="E21" s="1008">
        <f>+E22+E23+E24+E25+E26+E27+E28+E29</f>
        <v>147818</v>
      </c>
      <c r="F21" s="1008">
        <f t="shared" ref="F21:H21" si="4">+F22+F23+F24+F25+F26+F27+F28+F29</f>
        <v>6933</v>
      </c>
      <c r="G21" s="1008">
        <f t="shared" si="4"/>
        <v>-341</v>
      </c>
      <c r="H21" s="1008">
        <f t="shared" si="4"/>
        <v>1622</v>
      </c>
      <c r="I21" s="1008">
        <f t="shared" si="2"/>
        <v>156032</v>
      </c>
    </row>
    <row r="22" spans="1:9" s="1003" customFormat="1" ht="12" customHeight="1" x14ac:dyDescent="0.2">
      <c r="A22" s="1027" t="s">
        <v>44</v>
      </c>
      <c r="B22" s="1028" t="s">
        <v>902</v>
      </c>
      <c r="C22" s="1092">
        <f>262575-207942</f>
        <v>54633</v>
      </c>
      <c r="D22" s="1093">
        <v>101515</v>
      </c>
      <c r="E22" s="1094">
        <f>145863+1955</f>
        <v>147818</v>
      </c>
      <c r="F22" s="1094">
        <f>'9. sz. mell'!G25</f>
        <v>4668</v>
      </c>
      <c r="G22" s="1094">
        <f>141842+7722-152486</f>
        <v>-2922</v>
      </c>
      <c r="H22" s="1094">
        <f>'9. sz. mell'!I25</f>
        <v>822</v>
      </c>
      <c r="I22" s="1094">
        <f t="shared" si="2"/>
        <v>150386</v>
      </c>
    </row>
    <row r="23" spans="1:9" s="1003" customFormat="1" ht="12" customHeight="1" x14ac:dyDescent="0.2">
      <c r="A23" s="1009" t="s">
        <v>45</v>
      </c>
      <c r="B23" s="1019" t="s">
        <v>152</v>
      </c>
      <c r="C23" s="1077">
        <f>10150</f>
        <v>10150</v>
      </c>
      <c r="D23" s="1012"/>
      <c r="E23" s="1013"/>
      <c r="F23" s="1094">
        <f>'9. sz. mell'!G26</f>
        <v>1937</v>
      </c>
      <c r="G23" s="1094">
        <f>1943-1937</f>
        <v>6</v>
      </c>
      <c r="H23" s="1094">
        <f>'9. sz. mell'!I26</f>
        <v>0</v>
      </c>
      <c r="I23" s="1094">
        <f t="shared" si="2"/>
        <v>1943</v>
      </c>
    </row>
    <row r="24" spans="1:9" s="1003" customFormat="1" ht="12" customHeight="1" x14ac:dyDescent="0.2">
      <c r="A24" s="1009" t="s">
        <v>46</v>
      </c>
      <c r="B24" s="1019" t="s">
        <v>49</v>
      </c>
      <c r="C24" s="1077">
        <f>6866+14096</f>
        <v>20962</v>
      </c>
      <c r="D24" s="1012"/>
      <c r="E24" s="1013"/>
      <c r="F24" s="1094">
        <f>'9. sz. mell'!G27</f>
        <v>328</v>
      </c>
      <c r="G24" s="1094">
        <v>638</v>
      </c>
      <c r="H24" s="1094">
        <f>'9. sz. mell'!I27</f>
        <v>800</v>
      </c>
      <c r="I24" s="1094">
        <f t="shared" si="2"/>
        <v>1766</v>
      </c>
    </row>
    <row r="25" spans="1:9" s="1003" customFormat="1" ht="12" customHeight="1" x14ac:dyDescent="0.2">
      <c r="A25" s="1029" t="s">
        <v>147</v>
      </c>
      <c r="B25" s="1019" t="s">
        <v>1017</v>
      </c>
      <c r="C25" s="1078"/>
      <c r="D25" s="1079">
        <v>9420</v>
      </c>
      <c r="E25" s="1080"/>
      <c r="F25" s="1080"/>
      <c r="G25" s="1080"/>
      <c r="H25" s="1094">
        <f>'9. sz. mell'!I28</f>
        <v>0</v>
      </c>
      <c r="I25" s="1080">
        <f t="shared" si="2"/>
        <v>0</v>
      </c>
    </row>
    <row r="26" spans="1:9" s="1003" customFormat="1" ht="12" customHeight="1" x14ac:dyDescent="0.2">
      <c r="A26" s="1029" t="s">
        <v>148</v>
      </c>
      <c r="B26" s="1019" t="s">
        <v>154</v>
      </c>
      <c r="C26" s="1078"/>
      <c r="D26" s="1079"/>
      <c r="E26" s="1080"/>
      <c r="F26" s="1080"/>
      <c r="G26" s="1080"/>
      <c r="H26" s="1094">
        <f>'9. sz. mell'!I29</f>
        <v>0</v>
      </c>
      <c r="I26" s="1080">
        <f t="shared" si="2"/>
        <v>0</v>
      </c>
    </row>
    <row r="27" spans="1:9" s="1003" customFormat="1" ht="12" customHeight="1" x14ac:dyDescent="0.2">
      <c r="A27" s="1009" t="s">
        <v>149</v>
      </c>
      <c r="B27" s="1019" t="s">
        <v>155</v>
      </c>
      <c r="C27" s="1077"/>
      <c r="D27" s="1012"/>
      <c r="E27" s="1013"/>
      <c r="F27" s="1013"/>
      <c r="G27" s="1013"/>
      <c r="H27" s="1094">
        <f>'9. sz. mell'!I30</f>
        <v>0</v>
      </c>
      <c r="I27" s="1013">
        <f t="shared" si="2"/>
        <v>0</v>
      </c>
    </row>
    <row r="28" spans="1:9" s="1003" customFormat="1" ht="12" customHeight="1" x14ac:dyDescent="0.2">
      <c r="A28" s="1009" t="s">
        <v>150</v>
      </c>
      <c r="B28" s="1019" t="s">
        <v>245</v>
      </c>
      <c r="C28" s="1154"/>
      <c r="D28" s="1155"/>
      <c r="E28" s="1156"/>
      <c r="F28" s="1156"/>
      <c r="G28" s="1156"/>
      <c r="H28" s="1156"/>
      <c r="I28" s="1156">
        <f t="shared" si="2"/>
        <v>0</v>
      </c>
    </row>
    <row r="29" spans="1:9" s="1003" customFormat="1" ht="12" customHeight="1" thickBot="1" x14ac:dyDescent="0.25">
      <c r="A29" s="1009" t="s">
        <v>151</v>
      </c>
      <c r="B29" s="1030" t="s">
        <v>1053</v>
      </c>
      <c r="C29" s="1154">
        <f>176830</f>
        <v>176830</v>
      </c>
      <c r="D29" s="1155">
        <v>4986</v>
      </c>
      <c r="E29" s="1156"/>
      <c r="F29" s="1156"/>
      <c r="G29" s="1156">
        <v>1937</v>
      </c>
      <c r="H29" s="1156"/>
      <c r="I29" s="1156">
        <f t="shared" si="2"/>
        <v>1937</v>
      </c>
    </row>
    <row r="30" spans="1:9" s="1003" customFormat="1" ht="12" customHeight="1" thickBot="1" x14ac:dyDescent="0.25">
      <c r="A30" s="1031" t="s">
        <v>974</v>
      </c>
      <c r="B30" s="999" t="s">
        <v>381</v>
      </c>
      <c r="C30" s="1006">
        <f>+C31+C37</f>
        <v>188510</v>
      </c>
      <c r="D30" s="1007">
        <f>+D31+D37</f>
        <v>16009</v>
      </c>
      <c r="E30" s="1008">
        <f>+E31+E37</f>
        <v>15431</v>
      </c>
      <c r="F30" s="1008">
        <f t="shared" ref="F30:H30" si="5">+F31+F37</f>
        <v>5782</v>
      </c>
      <c r="G30" s="1008">
        <f t="shared" si="5"/>
        <v>16682</v>
      </c>
      <c r="H30" s="1008">
        <f t="shared" si="5"/>
        <v>0</v>
      </c>
      <c r="I30" s="1008">
        <f t="shared" si="2"/>
        <v>37895</v>
      </c>
    </row>
    <row r="31" spans="1:9" s="1003" customFormat="1" ht="12" customHeight="1" x14ac:dyDescent="0.2">
      <c r="A31" s="1032" t="s">
        <v>47</v>
      </c>
      <c r="B31" s="1033" t="s">
        <v>382</v>
      </c>
      <c r="C31" s="1034">
        <f>+C32+C33+C34+C35+C36</f>
        <v>12712</v>
      </c>
      <c r="D31" s="1035">
        <f>+D32+D33+D34+D35+D36</f>
        <v>14556</v>
      </c>
      <c r="E31" s="1036">
        <f>+E32+E33+E34+E35+E36</f>
        <v>15431</v>
      </c>
      <c r="F31" s="1036">
        <f>+F32+F33+F34+F35+F36</f>
        <v>5782</v>
      </c>
      <c r="G31" s="1036">
        <f>+G32+G33+G34+G35+G36</f>
        <v>921</v>
      </c>
      <c r="H31" s="1036"/>
      <c r="I31" s="1036">
        <f t="shared" si="2"/>
        <v>22134</v>
      </c>
    </row>
    <row r="32" spans="1:9" s="1003" customFormat="1" ht="12" customHeight="1" x14ac:dyDescent="0.2">
      <c r="A32" s="1037" t="s">
        <v>50</v>
      </c>
      <c r="B32" s="1038" t="s">
        <v>246</v>
      </c>
      <c r="C32" s="1157">
        <v>3646</v>
      </c>
      <c r="D32" s="1155">
        <v>3858</v>
      </c>
      <c r="E32" s="1156">
        <v>3996</v>
      </c>
      <c r="F32" s="1156"/>
      <c r="G32" s="1156"/>
      <c r="H32" s="1156"/>
      <c r="I32" s="1156">
        <f t="shared" si="2"/>
        <v>3996</v>
      </c>
    </row>
    <row r="33" spans="1:9" s="1003" customFormat="1" ht="12" customHeight="1" x14ac:dyDescent="0.2">
      <c r="A33" s="1037" t="s">
        <v>51</v>
      </c>
      <c r="B33" s="1038" t="s">
        <v>247</v>
      </c>
      <c r="C33" s="1157"/>
      <c r="D33" s="1155"/>
      <c r="E33" s="1156"/>
      <c r="F33" s="1156"/>
      <c r="G33" s="1156"/>
      <c r="H33" s="1156"/>
      <c r="I33" s="1156">
        <f t="shared" si="2"/>
        <v>0</v>
      </c>
    </row>
    <row r="34" spans="1:9" s="1003" customFormat="1" ht="12" customHeight="1" x14ac:dyDescent="0.2">
      <c r="A34" s="1037" t="s">
        <v>52</v>
      </c>
      <c r="B34" s="1038" t="s">
        <v>248</v>
      </c>
      <c r="C34" s="1157"/>
      <c r="D34" s="1155"/>
      <c r="E34" s="1156"/>
      <c r="F34" s="1156"/>
      <c r="G34" s="1156"/>
      <c r="H34" s="1156"/>
      <c r="I34" s="1156">
        <f t="shared" si="2"/>
        <v>0</v>
      </c>
    </row>
    <row r="35" spans="1:9" s="1003" customFormat="1" ht="12" customHeight="1" x14ac:dyDescent="0.2">
      <c r="A35" s="1037" t="s">
        <v>53</v>
      </c>
      <c r="B35" s="1038" t="s">
        <v>249</v>
      </c>
      <c r="C35" s="1157"/>
      <c r="D35" s="1155"/>
      <c r="E35" s="1156"/>
      <c r="F35" s="1156"/>
      <c r="G35" s="1156"/>
      <c r="H35" s="1156"/>
      <c r="I35" s="1156">
        <f t="shared" si="2"/>
        <v>0</v>
      </c>
    </row>
    <row r="36" spans="1:9" s="1003" customFormat="1" ht="12" customHeight="1" x14ac:dyDescent="0.2">
      <c r="A36" s="1037" t="s">
        <v>157</v>
      </c>
      <c r="B36" s="1038" t="s">
        <v>383</v>
      </c>
      <c r="C36" s="1157">
        <v>9066</v>
      </c>
      <c r="D36" s="1155">
        <v>10698</v>
      </c>
      <c r="E36" s="1156">
        <v>11435</v>
      </c>
      <c r="F36" s="1156">
        <v>5782</v>
      </c>
      <c r="G36" s="1156">
        <v>921</v>
      </c>
      <c r="H36" s="1156"/>
      <c r="I36" s="1156">
        <f t="shared" si="2"/>
        <v>18138</v>
      </c>
    </row>
    <row r="37" spans="1:9" s="1003" customFormat="1" ht="12" customHeight="1" x14ac:dyDescent="0.2">
      <c r="A37" s="1037" t="s">
        <v>48</v>
      </c>
      <c r="B37" s="1039" t="s">
        <v>384</v>
      </c>
      <c r="C37" s="1040">
        <f>+C38+C39+C40+C41+C42</f>
        <v>175798</v>
      </c>
      <c r="D37" s="1041">
        <f>+D38+D39+D40+D41+D42</f>
        <v>1453</v>
      </c>
      <c r="E37" s="1042">
        <f>+E38+E39+E40+E41+E42</f>
        <v>0</v>
      </c>
      <c r="F37" s="1042">
        <f>+F38+F39+F40+F41+F42</f>
        <v>0</v>
      </c>
      <c r="G37" s="1042">
        <f>+G38+G39+G40+G41+G42</f>
        <v>15761</v>
      </c>
      <c r="H37" s="1042"/>
      <c r="I37" s="1042">
        <f t="shared" si="2"/>
        <v>15761</v>
      </c>
    </row>
    <row r="38" spans="1:9" s="1003" customFormat="1" ht="12" customHeight="1" x14ac:dyDescent="0.2">
      <c r="A38" s="1037" t="s">
        <v>56</v>
      </c>
      <c r="B38" s="1038" t="s">
        <v>246</v>
      </c>
      <c r="C38" s="1157"/>
      <c r="D38" s="1155"/>
      <c r="E38" s="1156"/>
      <c r="F38" s="1156"/>
      <c r="G38" s="1156"/>
      <c r="H38" s="1156"/>
      <c r="I38" s="1156">
        <f t="shared" si="2"/>
        <v>0</v>
      </c>
    </row>
    <row r="39" spans="1:9" s="1003" customFormat="1" ht="12" customHeight="1" x14ac:dyDescent="0.2">
      <c r="A39" s="1037" t="s">
        <v>57</v>
      </c>
      <c r="B39" s="1038" t="s">
        <v>247</v>
      </c>
      <c r="C39" s="1157"/>
      <c r="D39" s="1155"/>
      <c r="E39" s="1156"/>
      <c r="F39" s="1156"/>
      <c r="G39" s="1156"/>
      <c r="H39" s="1156"/>
      <c r="I39" s="1156">
        <f t="shared" si="2"/>
        <v>0</v>
      </c>
    </row>
    <row r="40" spans="1:9" s="1003" customFormat="1" ht="12" customHeight="1" x14ac:dyDescent="0.2">
      <c r="A40" s="1037" t="s">
        <v>58</v>
      </c>
      <c r="B40" s="1038" t="s">
        <v>248</v>
      </c>
      <c r="C40" s="1157"/>
      <c r="D40" s="1155"/>
      <c r="E40" s="1156"/>
      <c r="F40" s="1156"/>
      <c r="G40" s="1156"/>
      <c r="H40" s="1156"/>
      <c r="I40" s="1156">
        <f t="shared" si="2"/>
        <v>0</v>
      </c>
    </row>
    <row r="41" spans="1:9" s="1003" customFormat="1" ht="12" customHeight="1" x14ac:dyDescent="0.2">
      <c r="A41" s="1037" t="s">
        <v>59</v>
      </c>
      <c r="B41" s="1043" t="s">
        <v>249</v>
      </c>
      <c r="C41" s="1157">
        <v>166716</v>
      </c>
      <c r="D41" s="1155">
        <v>1453</v>
      </c>
      <c r="E41" s="1156"/>
      <c r="F41" s="1156"/>
      <c r="G41" s="1156">
        <v>15111</v>
      </c>
      <c r="H41" s="1156"/>
      <c r="I41" s="1156">
        <f t="shared" si="2"/>
        <v>15111</v>
      </c>
    </row>
    <row r="42" spans="1:9" s="1003" customFormat="1" ht="12" customHeight="1" thickBot="1" x14ac:dyDescent="0.25">
      <c r="A42" s="1044" t="s">
        <v>158</v>
      </c>
      <c r="B42" s="1045" t="s">
        <v>385</v>
      </c>
      <c r="C42" s="1158">
        <v>9082</v>
      </c>
      <c r="D42" s="1159"/>
      <c r="E42" s="1160"/>
      <c r="F42" s="1160"/>
      <c r="G42" s="1160">
        <v>650</v>
      </c>
      <c r="H42" s="1160"/>
      <c r="I42" s="1160">
        <f t="shared" si="2"/>
        <v>650</v>
      </c>
    </row>
    <row r="43" spans="1:9" s="1003" customFormat="1" ht="12" customHeight="1" thickBot="1" x14ac:dyDescent="0.25">
      <c r="A43" s="1004" t="s">
        <v>159</v>
      </c>
      <c r="B43" s="1046" t="s">
        <v>250</v>
      </c>
      <c r="C43" s="1006">
        <f>+C44+C45</f>
        <v>430</v>
      </c>
      <c r="D43" s="1007">
        <f>+D44+D45</f>
        <v>400</v>
      </c>
      <c r="E43" s="1008">
        <f>+E44+E45</f>
        <v>11435</v>
      </c>
      <c r="F43" s="1008">
        <f t="shared" ref="F43:H43" si="6">+F44+F45</f>
        <v>-11435</v>
      </c>
      <c r="G43" s="1008">
        <f t="shared" si="6"/>
        <v>0</v>
      </c>
      <c r="H43" s="1008">
        <f t="shared" si="6"/>
        <v>0</v>
      </c>
      <c r="I43" s="1008">
        <f t="shared" si="2"/>
        <v>0</v>
      </c>
    </row>
    <row r="44" spans="1:9" s="1003" customFormat="1" ht="12" customHeight="1" x14ac:dyDescent="0.2">
      <c r="A44" s="1027" t="s">
        <v>54</v>
      </c>
      <c r="B44" s="1014" t="s">
        <v>251</v>
      </c>
      <c r="C44" s="1161">
        <v>430</v>
      </c>
      <c r="D44" s="1093">
        <v>400</v>
      </c>
      <c r="E44" s="1094">
        <v>11435</v>
      </c>
      <c r="F44" s="1094">
        <v>-11435</v>
      </c>
      <c r="G44" s="1094"/>
      <c r="H44" s="1094"/>
      <c r="I44" s="1094">
        <f t="shared" si="2"/>
        <v>0</v>
      </c>
    </row>
    <row r="45" spans="1:9" s="1003" customFormat="1" ht="12" customHeight="1" thickBot="1" x14ac:dyDescent="0.25">
      <c r="A45" s="1020" t="s">
        <v>55</v>
      </c>
      <c r="B45" s="1047" t="s">
        <v>255</v>
      </c>
      <c r="C45" s="1162"/>
      <c r="D45" s="1163"/>
      <c r="E45" s="1164"/>
      <c r="F45" s="1164"/>
      <c r="G45" s="1164"/>
      <c r="H45" s="1164"/>
      <c r="I45" s="1164">
        <f t="shared" si="2"/>
        <v>0</v>
      </c>
    </row>
    <row r="46" spans="1:9" s="1003" customFormat="1" ht="12" customHeight="1" thickBot="1" x14ac:dyDescent="0.25">
      <c r="A46" s="1004" t="s">
        <v>976</v>
      </c>
      <c r="B46" s="1046" t="s">
        <v>254</v>
      </c>
      <c r="C46" s="1006">
        <f>+C47+C48+C49</f>
        <v>332</v>
      </c>
      <c r="D46" s="1007">
        <f>+D47+D48+D49</f>
        <v>7184</v>
      </c>
      <c r="E46" s="1008">
        <f>+E47+E48+E49</f>
        <v>414</v>
      </c>
      <c r="F46" s="1008">
        <f t="shared" ref="F46:H46" si="7">+F47+F48+F49</f>
        <v>0</v>
      </c>
      <c r="G46" s="1008">
        <f t="shared" si="7"/>
        <v>0</v>
      </c>
      <c r="H46" s="1008">
        <f t="shared" si="7"/>
        <v>0</v>
      </c>
      <c r="I46" s="1008">
        <f t="shared" si="2"/>
        <v>414</v>
      </c>
    </row>
    <row r="47" spans="1:9" s="1003" customFormat="1" ht="12" customHeight="1" x14ac:dyDescent="0.2">
      <c r="A47" s="1027" t="s">
        <v>162</v>
      </c>
      <c r="B47" s="1014" t="s">
        <v>160</v>
      </c>
      <c r="C47" s="1165"/>
      <c r="D47" s="1166"/>
      <c r="E47" s="1167"/>
      <c r="F47" s="1167"/>
      <c r="G47" s="1167"/>
      <c r="H47" s="1167"/>
      <c r="I47" s="1167">
        <f t="shared" si="2"/>
        <v>0</v>
      </c>
    </row>
    <row r="48" spans="1:9" s="1003" customFormat="1" ht="12" customHeight="1" x14ac:dyDescent="0.2">
      <c r="A48" s="1009" t="s">
        <v>163</v>
      </c>
      <c r="B48" s="1038" t="s">
        <v>1050</v>
      </c>
      <c r="C48" s="1154">
        <v>332</v>
      </c>
      <c r="D48" s="1155">
        <f>'9. sz. mell'!E51</f>
        <v>7184</v>
      </c>
      <c r="E48" s="1156">
        <v>414</v>
      </c>
      <c r="F48" s="1156"/>
      <c r="G48" s="1156"/>
      <c r="H48" s="1156"/>
      <c r="I48" s="1156">
        <f t="shared" si="2"/>
        <v>414</v>
      </c>
    </row>
    <row r="49" spans="1:9" s="1003" customFormat="1" ht="12" customHeight="1" thickBot="1" x14ac:dyDescent="0.25">
      <c r="A49" s="1020" t="s">
        <v>312</v>
      </c>
      <c r="B49" s="1047" t="s">
        <v>252</v>
      </c>
      <c r="C49" s="1168"/>
      <c r="D49" s="1169"/>
      <c r="E49" s="1170"/>
      <c r="F49" s="1170"/>
      <c r="G49" s="1170"/>
      <c r="H49" s="1170"/>
      <c r="I49" s="1170">
        <f t="shared" si="2"/>
        <v>0</v>
      </c>
    </row>
    <row r="50" spans="1:9" s="1003" customFormat="1" ht="17.25" customHeight="1" thickBot="1" x14ac:dyDescent="0.25">
      <c r="A50" s="1004" t="s">
        <v>164</v>
      </c>
      <c r="B50" s="1048" t="s">
        <v>253</v>
      </c>
      <c r="C50" s="1171"/>
      <c r="D50" s="1100"/>
      <c r="E50" s="1101"/>
      <c r="F50" s="1101"/>
      <c r="G50" s="1101"/>
      <c r="H50" s="1101"/>
      <c r="I50" s="1101">
        <f t="shared" si="2"/>
        <v>0</v>
      </c>
    </row>
    <row r="51" spans="1:9" s="1003" customFormat="1" ht="12" customHeight="1" thickBot="1" x14ac:dyDescent="0.25">
      <c r="A51" s="1004" t="s">
        <v>978</v>
      </c>
      <c r="B51" s="1050" t="s">
        <v>165</v>
      </c>
      <c r="C51" s="1051">
        <f>+C6+C11+C20+C21+C30+C43+C46+C50</f>
        <v>691031</v>
      </c>
      <c r="D51" s="1052">
        <f>+D6+D11+D20+D21+D30+D43+D46+D50</f>
        <v>255179</v>
      </c>
      <c r="E51" s="1053">
        <f>+E6+E11+E20+E21+E30+E43+E46+E50</f>
        <v>286781</v>
      </c>
      <c r="F51" s="1053">
        <f t="shared" ref="F51:H51" si="8">+F6+F11+F20+F21+F30+F43+F46+F50</f>
        <v>-9850</v>
      </c>
      <c r="G51" s="1053">
        <f t="shared" si="8"/>
        <v>16341</v>
      </c>
      <c r="H51" s="1053">
        <f t="shared" si="8"/>
        <v>12806</v>
      </c>
      <c r="I51" s="1053">
        <f t="shared" si="2"/>
        <v>306078</v>
      </c>
    </row>
    <row r="52" spans="1:9" s="1003" customFormat="1" ht="12" customHeight="1" thickBot="1" x14ac:dyDescent="0.25">
      <c r="A52" s="1054" t="s">
        <v>979</v>
      </c>
      <c r="B52" s="1005" t="s">
        <v>256</v>
      </c>
      <c r="C52" s="1055">
        <f>+C53+C59</f>
        <v>143843</v>
      </c>
      <c r="D52" s="1056">
        <f>+D53+D59</f>
        <v>52550</v>
      </c>
      <c r="E52" s="1057">
        <f>+E53+E59</f>
        <v>0</v>
      </c>
      <c r="F52" s="1057">
        <f>+F53+F59</f>
        <v>48271</v>
      </c>
      <c r="G52" s="1057">
        <f t="shared" ref="G52:H52" si="9">+G53+G59</f>
        <v>0</v>
      </c>
      <c r="H52" s="1057">
        <f t="shared" si="9"/>
        <v>-7488</v>
      </c>
      <c r="I52" s="1057">
        <f t="shared" si="2"/>
        <v>40783</v>
      </c>
    </row>
    <row r="53" spans="1:9" s="1003" customFormat="1" ht="12" customHeight="1" x14ac:dyDescent="0.2">
      <c r="A53" s="1058" t="s">
        <v>95</v>
      </c>
      <c r="B53" s="1033" t="s">
        <v>257</v>
      </c>
      <c r="C53" s="1059">
        <f>+C54+C55+C56+C57+C58</f>
        <v>8513</v>
      </c>
      <c r="D53" s="1035">
        <f>+D54+D55+D56+D57+D58</f>
        <v>52550</v>
      </c>
      <c r="E53" s="1036">
        <f>+E54+E55+E56+E57+E58</f>
        <v>0</v>
      </c>
      <c r="F53" s="1036">
        <f>+F54+F55+F56+F57+F58</f>
        <v>48271</v>
      </c>
      <c r="G53" s="1036"/>
      <c r="H53" s="1036">
        <v>-13192</v>
      </c>
      <c r="I53" s="1036">
        <f t="shared" si="2"/>
        <v>35079</v>
      </c>
    </row>
    <row r="54" spans="1:9" s="1003" customFormat="1" ht="12" customHeight="1" x14ac:dyDescent="0.2">
      <c r="A54" s="1172" t="s">
        <v>272</v>
      </c>
      <c r="B54" s="1038" t="s">
        <v>258</v>
      </c>
      <c r="C54" s="1154">
        <v>8513</v>
      </c>
      <c r="D54" s="1155">
        <f>'9. sz. mell'!E56+'10. sz. mell.'!E28+'11. sz. mell.'!E28</f>
        <v>52550</v>
      </c>
      <c r="E54" s="1156"/>
      <c r="F54" s="1156">
        <f>'9. sz. mell'!G56+'10. sz. mell.'!G28+'11. sz. mell.'!G28</f>
        <v>48271</v>
      </c>
      <c r="G54" s="1156"/>
      <c r="H54" s="1156">
        <v>-13192</v>
      </c>
      <c r="I54" s="1156">
        <f t="shared" si="2"/>
        <v>35079</v>
      </c>
    </row>
    <row r="55" spans="1:9" s="1003" customFormat="1" ht="12" customHeight="1" x14ac:dyDescent="0.2">
      <c r="A55" s="1172" t="s">
        <v>273</v>
      </c>
      <c r="B55" s="1038" t="s">
        <v>259</v>
      </c>
      <c r="C55" s="1154"/>
      <c r="D55" s="1155"/>
      <c r="E55" s="1156"/>
      <c r="F55" s="1156"/>
      <c r="G55" s="1156"/>
      <c r="H55" s="1156"/>
      <c r="I55" s="1156">
        <f t="shared" si="2"/>
        <v>0</v>
      </c>
    </row>
    <row r="56" spans="1:9" s="1003" customFormat="1" ht="12" customHeight="1" x14ac:dyDescent="0.2">
      <c r="A56" s="1172" t="s">
        <v>274</v>
      </c>
      <c r="B56" s="1038" t="s">
        <v>260</v>
      </c>
      <c r="C56" s="1154"/>
      <c r="D56" s="1155"/>
      <c r="E56" s="1156"/>
      <c r="F56" s="1156"/>
      <c r="G56" s="1156"/>
      <c r="H56" s="1156"/>
      <c r="I56" s="1156">
        <f t="shared" si="2"/>
        <v>0</v>
      </c>
    </row>
    <row r="57" spans="1:9" s="1003" customFormat="1" ht="12" customHeight="1" x14ac:dyDescent="0.2">
      <c r="A57" s="1172" t="s">
        <v>275</v>
      </c>
      <c r="B57" s="1038" t="s">
        <v>261</v>
      </c>
      <c r="C57" s="1154"/>
      <c r="D57" s="1155"/>
      <c r="E57" s="1156"/>
      <c r="F57" s="1156"/>
      <c r="G57" s="1156"/>
      <c r="H57" s="1156"/>
      <c r="I57" s="1156">
        <f t="shared" si="2"/>
        <v>0</v>
      </c>
    </row>
    <row r="58" spans="1:9" s="1003" customFormat="1" ht="12" customHeight="1" x14ac:dyDescent="0.2">
      <c r="A58" s="1172" t="s">
        <v>276</v>
      </c>
      <c r="B58" s="1038" t="s">
        <v>262</v>
      </c>
      <c r="C58" s="1154"/>
      <c r="D58" s="1155"/>
      <c r="E58" s="1156"/>
      <c r="F58" s="1156"/>
      <c r="G58" s="1156"/>
      <c r="H58" s="1156"/>
      <c r="I58" s="1156">
        <f t="shared" si="2"/>
        <v>0</v>
      </c>
    </row>
    <row r="59" spans="1:9" s="1003" customFormat="1" ht="12" customHeight="1" x14ac:dyDescent="0.2">
      <c r="A59" s="1061" t="s">
        <v>96</v>
      </c>
      <c r="B59" s="1039" t="s">
        <v>263</v>
      </c>
      <c r="C59" s="1062">
        <f>+C60+C61+C62+C63+C64</f>
        <v>135330</v>
      </c>
      <c r="D59" s="1041">
        <f>+D60+D61+D62+D63+D64</f>
        <v>0</v>
      </c>
      <c r="E59" s="1042">
        <f>+E60+E61+E62+E63+E64</f>
        <v>0</v>
      </c>
      <c r="F59" s="1042">
        <f>+F60+F61+F62+F63+F64</f>
        <v>0</v>
      </c>
      <c r="G59" s="1042"/>
      <c r="H59" s="1042">
        <v>5704</v>
      </c>
      <c r="I59" s="1042">
        <f t="shared" si="2"/>
        <v>5704</v>
      </c>
    </row>
    <row r="60" spans="1:9" s="1003" customFormat="1" ht="12" customHeight="1" x14ac:dyDescent="0.2">
      <c r="A60" s="1172" t="s">
        <v>277</v>
      </c>
      <c r="B60" s="1038" t="s">
        <v>1051</v>
      </c>
      <c r="C60" s="1154">
        <f>135330-77128</f>
        <v>58202</v>
      </c>
      <c r="D60" s="1155"/>
      <c r="E60" s="1156"/>
      <c r="F60" s="1156"/>
      <c r="G60" s="1156"/>
      <c r="H60" s="1156"/>
      <c r="I60" s="1156">
        <f t="shared" si="2"/>
        <v>0</v>
      </c>
    </row>
    <row r="61" spans="1:9" s="1003" customFormat="1" ht="12" customHeight="1" x14ac:dyDescent="0.2">
      <c r="A61" s="1172" t="s">
        <v>278</v>
      </c>
      <c r="B61" s="1038" t="s">
        <v>265</v>
      </c>
      <c r="C61" s="1154">
        <f>37128+40000</f>
        <v>77128</v>
      </c>
      <c r="D61" s="1155"/>
      <c r="E61" s="1156"/>
      <c r="F61" s="1156"/>
      <c r="G61" s="1156"/>
      <c r="H61" s="1156"/>
      <c r="I61" s="1156">
        <f t="shared" si="2"/>
        <v>0</v>
      </c>
    </row>
    <row r="62" spans="1:9" s="1003" customFormat="1" ht="12" customHeight="1" x14ac:dyDescent="0.2">
      <c r="A62" s="1172" t="s">
        <v>279</v>
      </c>
      <c r="B62" s="1038" t="s">
        <v>266</v>
      </c>
      <c r="C62" s="1154"/>
      <c r="D62" s="1155"/>
      <c r="E62" s="1156"/>
      <c r="F62" s="1156"/>
      <c r="G62" s="1156"/>
      <c r="H62" s="1156"/>
      <c r="I62" s="1156">
        <f t="shared" si="2"/>
        <v>0</v>
      </c>
    </row>
    <row r="63" spans="1:9" s="1003" customFormat="1" ht="12" customHeight="1" x14ac:dyDescent="0.2">
      <c r="A63" s="1172" t="s">
        <v>280</v>
      </c>
      <c r="B63" s="1038" t="s">
        <v>267</v>
      </c>
      <c r="C63" s="1154"/>
      <c r="D63" s="1155"/>
      <c r="E63" s="1156"/>
      <c r="F63" s="1156"/>
      <c r="G63" s="1156"/>
      <c r="H63" s="1156"/>
      <c r="I63" s="1156">
        <f t="shared" si="2"/>
        <v>0</v>
      </c>
    </row>
    <row r="64" spans="1:9" s="1003" customFormat="1" ht="12" customHeight="1" thickBot="1" x14ac:dyDescent="0.25">
      <c r="A64" s="1172" t="s">
        <v>281</v>
      </c>
      <c r="B64" s="1047" t="s">
        <v>268</v>
      </c>
      <c r="C64" s="1173"/>
      <c r="D64" s="1174"/>
      <c r="E64" s="1175"/>
      <c r="F64" s="1175"/>
      <c r="G64" s="1175"/>
      <c r="H64" s="1175">
        <v>5704</v>
      </c>
      <c r="I64" s="1175">
        <f t="shared" si="2"/>
        <v>5704</v>
      </c>
    </row>
    <row r="65" spans="1:14" s="1003" customFormat="1" ht="12" customHeight="1" thickBot="1" x14ac:dyDescent="0.25">
      <c r="A65" s="1064" t="s">
        <v>980</v>
      </c>
      <c r="B65" s="1065" t="s">
        <v>269</v>
      </c>
      <c r="C65" s="1055">
        <f>+C51+C52</f>
        <v>834874</v>
      </c>
      <c r="D65" s="1056">
        <f>+D51+D52</f>
        <v>307729</v>
      </c>
      <c r="E65" s="1057">
        <f>+E51+E52</f>
        <v>286781</v>
      </c>
      <c r="F65" s="1057">
        <f>+F51+F52</f>
        <v>38421</v>
      </c>
      <c r="G65" s="1057">
        <f t="shared" ref="G65:H65" si="10">+G51+G52</f>
        <v>16341</v>
      </c>
      <c r="H65" s="1057">
        <f t="shared" si="10"/>
        <v>5318</v>
      </c>
      <c r="I65" s="1057">
        <f t="shared" si="2"/>
        <v>346861</v>
      </c>
      <c r="M65" s="1176"/>
      <c r="N65" s="1176"/>
    </row>
    <row r="66" spans="1:14" s="1003" customFormat="1" ht="13.5" customHeight="1" thickBot="1" x14ac:dyDescent="0.25">
      <c r="A66" s="1066" t="s">
        <v>981</v>
      </c>
      <c r="B66" s="1067" t="s">
        <v>270</v>
      </c>
      <c r="C66" s="1177">
        <v>55</v>
      </c>
      <c r="D66" s="1178">
        <f>'9. sz. mell'!E58+'10. sz. mell.'!E31+'11. sz. mell.'!E30</f>
        <v>9261</v>
      </c>
      <c r="E66" s="1179"/>
      <c r="F66" s="1179"/>
      <c r="G66" s="1179"/>
      <c r="H66" s="1179"/>
      <c r="I66" s="1179">
        <f t="shared" si="2"/>
        <v>0</v>
      </c>
      <c r="N66" s="1176"/>
    </row>
    <row r="67" spans="1:14" s="1003" customFormat="1" ht="12" customHeight="1" thickBot="1" x14ac:dyDescent="0.25">
      <c r="A67" s="1064" t="s">
        <v>982</v>
      </c>
      <c r="B67" s="1065" t="s">
        <v>271</v>
      </c>
      <c r="C67" s="1055">
        <f>+C65+C66</f>
        <v>834929</v>
      </c>
      <c r="D67" s="1056">
        <f>+D65+D66</f>
        <v>316990</v>
      </c>
      <c r="E67" s="1057">
        <f>+E65+E66</f>
        <v>286781</v>
      </c>
      <c r="F67" s="1057">
        <f>+F65+F66</f>
        <v>38421</v>
      </c>
      <c r="G67" s="1057">
        <f t="shared" ref="G67:H67" si="11">+G65+G66</f>
        <v>16341</v>
      </c>
      <c r="H67" s="1057">
        <f t="shared" si="11"/>
        <v>5318</v>
      </c>
      <c r="I67" s="1057">
        <f t="shared" si="2"/>
        <v>346861</v>
      </c>
    </row>
    <row r="68" spans="1:14" s="1003" customFormat="1" ht="12.95" customHeight="1" x14ac:dyDescent="0.2">
      <c r="A68" s="1068"/>
      <c r="B68" s="1069"/>
      <c r="C68" s="1070"/>
      <c r="D68" s="1070"/>
      <c r="E68" s="1070"/>
      <c r="F68" s="1070"/>
      <c r="G68" s="1070"/>
      <c r="H68" s="1070"/>
      <c r="I68" s="1070"/>
    </row>
    <row r="69" spans="1:14" ht="16.5" customHeight="1" x14ac:dyDescent="0.25">
      <c r="A69" s="1507" t="s">
        <v>998</v>
      </c>
      <c r="B69" s="1507"/>
      <c r="C69" s="1507"/>
      <c r="D69" s="987"/>
      <c r="E69" s="987"/>
      <c r="F69" s="987"/>
      <c r="G69" s="987"/>
      <c r="H69" s="987"/>
      <c r="I69" s="987"/>
    </row>
    <row r="70" spans="1:14" s="1072" customFormat="1" ht="16.5" customHeight="1" thickBot="1" x14ac:dyDescent="0.3">
      <c r="A70" s="1510" t="s">
        <v>103</v>
      </c>
      <c r="B70" s="1510"/>
      <c r="C70" s="1071"/>
      <c r="D70" s="989"/>
      <c r="E70" s="989"/>
      <c r="F70" s="989"/>
      <c r="G70" s="989"/>
      <c r="H70" s="989"/>
      <c r="I70" s="989"/>
    </row>
    <row r="71" spans="1:14" s="994" customFormat="1" ht="38.1" customHeight="1" thickBot="1" x14ac:dyDescent="0.3">
      <c r="A71" s="990" t="s">
        <v>967</v>
      </c>
      <c r="B71" s="991" t="s">
        <v>999</v>
      </c>
      <c r="C71" s="992" t="s">
        <v>1037</v>
      </c>
      <c r="D71" s="993" t="s">
        <v>1038</v>
      </c>
      <c r="E71" s="933" t="s">
        <v>1039</v>
      </c>
      <c r="F71" s="933" t="s">
        <v>1148</v>
      </c>
      <c r="G71" s="933" t="s">
        <v>1189</v>
      </c>
      <c r="H71" s="933" t="s">
        <v>1190</v>
      </c>
      <c r="I71" s="933" t="s">
        <v>1147</v>
      </c>
    </row>
    <row r="72" spans="1:14" s="997" customFormat="1" ht="12" customHeight="1" thickBot="1" x14ac:dyDescent="0.25">
      <c r="A72" s="995">
        <v>1</v>
      </c>
      <c r="B72" s="996">
        <v>2</v>
      </c>
      <c r="C72" s="992">
        <v>3</v>
      </c>
      <c r="D72" s="993">
        <v>4</v>
      </c>
      <c r="E72" s="933">
        <v>3</v>
      </c>
      <c r="F72" s="933">
        <v>4</v>
      </c>
      <c r="G72" s="933">
        <v>5</v>
      </c>
      <c r="H72" s="933"/>
      <c r="I72" s="933">
        <v>6</v>
      </c>
    </row>
    <row r="73" spans="1:14" ht="12" customHeight="1" thickBot="1" x14ac:dyDescent="0.3">
      <c r="A73" s="998" t="s">
        <v>969</v>
      </c>
      <c r="B73" s="1073" t="s">
        <v>166</v>
      </c>
      <c r="C73" s="1000">
        <f>+C74+C75+C76+C77+C78</f>
        <v>275392</v>
      </c>
      <c r="D73" s="1001">
        <f>+D74+D75+D76+D77+D78</f>
        <v>252637</v>
      </c>
      <c r="E73" s="1002">
        <f>+E74+E75+E76+E77+E78</f>
        <v>277977</v>
      </c>
      <c r="F73" s="1002">
        <f>+F74+F75+F76+F77+F78</f>
        <v>18760</v>
      </c>
      <c r="G73" s="1002">
        <f t="shared" ref="G73:H73" si="12">+G74+G75+G76+G77+G78</f>
        <v>10930</v>
      </c>
      <c r="H73" s="1002">
        <f t="shared" si="12"/>
        <v>925</v>
      </c>
      <c r="I73" s="1002">
        <f>E73+F73+G73+H73</f>
        <v>308592</v>
      </c>
    </row>
    <row r="74" spans="1:14" ht="12" customHeight="1" x14ac:dyDescent="0.25">
      <c r="A74" s="1017" t="s">
        <v>60</v>
      </c>
      <c r="B74" s="1018" t="s">
        <v>1000</v>
      </c>
      <c r="C74" s="1074">
        <f>'9. sz. mell'!D65+'10. sz. mell.'!D37+'11. sz. mell.'!D36</f>
        <v>133527</v>
      </c>
      <c r="D74" s="1180">
        <f>'9. sz. mell'!E65+'10. sz. mell.'!E37+'11. sz. mell.'!E36</f>
        <v>105454</v>
      </c>
      <c r="E74" s="1180">
        <f>'9. sz. mell'!F65+'10. sz. mell.'!F37+'11. sz. mell.'!F36</f>
        <v>135641</v>
      </c>
      <c r="F74" s="1181">
        <f>'9. sz. mell'!G65+'10. sz. mell.'!G37+'11. sz. mell.'!G36</f>
        <v>5058</v>
      </c>
      <c r="G74" s="1181">
        <f>'9. sz. mell'!H65+'10. sz. mell.'!H37+'11. sz. mell.'!H36</f>
        <v>2763</v>
      </c>
      <c r="H74" s="1181">
        <f>'9. sz. mell'!I65</f>
        <v>98</v>
      </c>
      <c r="I74" s="1076">
        <f t="shared" ref="I74:I122" si="13">E74+F74+G74+H74</f>
        <v>143560</v>
      </c>
    </row>
    <row r="75" spans="1:14" ht="12" customHeight="1" x14ac:dyDescent="0.25">
      <c r="A75" s="1009" t="s">
        <v>61</v>
      </c>
      <c r="B75" s="1019" t="s">
        <v>167</v>
      </c>
      <c r="C75" s="1077">
        <f>'9. sz. mell'!D66+'10. sz. mell.'!D38+'11. sz. mell.'!D37</f>
        <v>35899</v>
      </c>
      <c r="D75" s="1182">
        <f>'9. sz. mell'!E66+'10. sz. mell.'!E38+'11. sz. mell.'!E37</f>
        <v>25668</v>
      </c>
      <c r="E75" s="1182">
        <f>'9. sz. mell'!F66+'10. sz. mell.'!F38+'11. sz. mell.'!F37</f>
        <v>32287</v>
      </c>
      <c r="F75" s="1183">
        <f>'9. sz. mell'!G66+'10. sz. mell.'!G38+'11. sz. mell.'!G37</f>
        <v>4502</v>
      </c>
      <c r="G75" s="1183">
        <f>'9. sz. mell'!H66+'10. sz. mell.'!H38+'11. sz. mell.'!H37</f>
        <v>870</v>
      </c>
      <c r="H75" s="1183">
        <f>'9. sz. mell'!I66</f>
        <v>26</v>
      </c>
      <c r="I75" s="1013">
        <f t="shared" si="13"/>
        <v>37685</v>
      </c>
    </row>
    <row r="76" spans="1:14" ht="12" customHeight="1" x14ac:dyDescent="0.25">
      <c r="A76" s="1009" t="s">
        <v>62</v>
      </c>
      <c r="B76" s="1019" t="s">
        <v>91</v>
      </c>
      <c r="C76" s="1078">
        <f>'9. sz. mell'!D67+'10. sz. mell.'!D39+'11. sz. mell.'!D38</f>
        <v>77816</v>
      </c>
      <c r="D76" s="1182">
        <f>'9. sz. mell'!E67+'10. sz. mell.'!E39+'11. sz. mell.'!E38-958</f>
        <v>98229</v>
      </c>
      <c r="E76" s="1182">
        <f>'9. sz. mell'!F67+'10. sz. mell.'!F39+'11. sz. mell.'!F38</f>
        <v>91002</v>
      </c>
      <c r="F76" s="1183">
        <f>'9. sz. mell'!G67+'10. sz. mell.'!G39+'11. sz. mell.'!G38</f>
        <v>6910</v>
      </c>
      <c r="G76" s="1183">
        <f>'9. sz. mell'!H67+'10. sz. mell.'!H39+'11. sz. mell.'!H38</f>
        <v>7418</v>
      </c>
      <c r="H76" s="1183">
        <f>'9. sz. mell'!I67+'10. sz. mell.'!I39+'11. sz. mell.'!I38</f>
        <v>-1769</v>
      </c>
      <c r="I76" s="1013">
        <f t="shared" si="13"/>
        <v>103561</v>
      </c>
    </row>
    <row r="77" spans="1:14" ht="12" customHeight="1" x14ac:dyDescent="0.25">
      <c r="A77" s="1009" t="s">
        <v>63</v>
      </c>
      <c r="B77" s="1081" t="s">
        <v>168</v>
      </c>
      <c r="C77" s="1078">
        <f>'9. sz. mell'!D68+'10. sz. mell.'!D40+'11. sz. mell.'!D39</f>
        <v>21960</v>
      </c>
      <c r="D77" s="1182">
        <f>'9. sz. mell'!E68+'10. sz. mell.'!E40+'11. sz. mell.'!E39</f>
        <v>16490</v>
      </c>
      <c r="E77" s="1077">
        <f>'9. sz. mell'!F68+'10. sz. mell.'!F40+'11. sz. mell.'!F39</f>
        <v>13747</v>
      </c>
      <c r="F77" s="1183">
        <f>'9. sz. mell'!G68+'10. sz. mell.'!G40+'11. sz. mell.'!G39</f>
        <v>0</v>
      </c>
      <c r="G77" s="1183">
        <f>'9. sz. mell'!H68+'10. sz. mell.'!H40+'11. sz. mell.'!H39</f>
        <v>-121</v>
      </c>
      <c r="H77" s="1183">
        <f>'9. sz. mell'!I68+'10. sz. mell.'!I40</f>
        <v>2570</v>
      </c>
      <c r="I77" s="1182">
        <f t="shared" si="13"/>
        <v>16196</v>
      </c>
    </row>
    <row r="78" spans="1:14" ht="12" customHeight="1" x14ac:dyDescent="0.25">
      <c r="A78" s="1009" t="s">
        <v>74</v>
      </c>
      <c r="B78" s="1082" t="s">
        <v>169</v>
      </c>
      <c r="C78" s="1079">
        <f>SUM(C79:C85)</f>
        <v>6190</v>
      </c>
      <c r="D78" s="1079">
        <f>SUM(D79:D85)</f>
        <v>6796</v>
      </c>
      <c r="E78" s="1078">
        <f>SUM(E79:E85)</f>
        <v>5300</v>
      </c>
      <c r="F78" s="1183">
        <f>SUM(F79:F85)</f>
        <v>2290</v>
      </c>
      <c r="G78" s="1183">
        <f>SUM(G79:G85)</f>
        <v>0</v>
      </c>
      <c r="H78" s="1012"/>
      <c r="I78" s="1012">
        <f t="shared" si="13"/>
        <v>7590</v>
      </c>
    </row>
    <row r="79" spans="1:14" ht="12" customHeight="1" x14ac:dyDescent="0.25">
      <c r="A79" s="1009" t="s">
        <v>64</v>
      </c>
      <c r="B79" s="1019" t="s">
        <v>191</v>
      </c>
      <c r="C79" s="1078"/>
      <c r="D79" s="1079"/>
      <c r="E79" s="1097"/>
      <c r="F79" s="1184"/>
      <c r="G79" s="1184"/>
      <c r="H79" s="1080"/>
      <c r="I79" s="1080">
        <f t="shared" si="13"/>
        <v>0</v>
      </c>
    </row>
    <row r="80" spans="1:14" ht="12" customHeight="1" x14ac:dyDescent="0.25">
      <c r="A80" s="1009" t="s">
        <v>65</v>
      </c>
      <c r="B80" s="1083" t="s">
        <v>192</v>
      </c>
      <c r="C80" s="1078"/>
      <c r="D80" s="1079"/>
      <c r="E80" s="1097"/>
      <c r="F80" s="1184"/>
      <c r="G80" s="1184"/>
      <c r="H80" s="1080"/>
      <c r="I80" s="1080">
        <f t="shared" si="13"/>
        <v>0</v>
      </c>
    </row>
    <row r="81" spans="1:9" ht="12" customHeight="1" x14ac:dyDescent="0.25">
      <c r="A81" s="1009" t="s">
        <v>75</v>
      </c>
      <c r="B81" s="1083" t="s">
        <v>282</v>
      </c>
      <c r="C81" s="1078">
        <v>5248</v>
      </c>
      <c r="D81" s="1079">
        <v>564</v>
      </c>
      <c r="E81" s="1097"/>
      <c r="F81" s="1184"/>
      <c r="G81" s="1184"/>
      <c r="H81" s="1080"/>
      <c r="I81" s="1080">
        <f t="shared" si="13"/>
        <v>0</v>
      </c>
    </row>
    <row r="82" spans="1:9" ht="12" customHeight="1" x14ac:dyDescent="0.25">
      <c r="A82" s="1009" t="s">
        <v>76</v>
      </c>
      <c r="B82" s="1084" t="s">
        <v>193</v>
      </c>
      <c r="C82" s="1078">
        <v>632</v>
      </c>
      <c r="D82" s="1079">
        <v>5781</v>
      </c>
      <c r="E82" s="1097">
        <f>4370+800</f>
        <v>5170</v>
      </c>
      <c r="F82" s="1183">
        <f>'9. sz. mell'!G73+'9. sz. mell'!G74</f>
        <v>790</v>
      </c>
      <c r="G82" s="1183">
        <f>'9. sz. mell'!H73+'9. sz. mell'!H74</f>
        <v>0</v>
      </c>
      <c r="H82" s="1080"/>
      <c r="I82" s="1080">
        <f t="shared" si="13"/>
        <v>5960</v>
      </c>
    </row>
    <row r="83" spans="1:9" ht="12" customHeight="1" x14ac:dyDescent="0.25">
      <c r="A83" s="1020" t="s">
        <v>77</v>
      </c>
      <c r="B83" s="1085" t="s">
        <v>194</v>
      </c>
      <c r="C83" s="1078"/>
      <c r="D83" s="1079">
        <v>130</v>
      </c>
      <c r="E83" s="1080"/>
      <c r="F83" s="1080"/>
      <c r="G83" s="1080"/>
      <c r="H83" s="1080"/>
      <c r="I83" s="1080">
        <f t="shared" si="13"/>
        <v>0</v>
      </c>
    </row>
    <row r="84" spans="1:9" ht="12" customHeight="1" x14ac:dyDescent="0.25">
      <c r="A84" s="1009" t="s">
        <v>78</v>
      </c>
      <c r="B84" s="1085" t="s">
        <v>195</v>
      </c>
      <c r="C84" s="1078">
        <f>'10. sz. mell.'!D41+'11. sz. mell.'!D40</f>
        <v>310</v>
      </c>
      <c r="D84" s="1079">
        <v>321</v>
      </c>
      <c r="E84" s="1080">
        <v>130</v>
      </c>
      <c r="F84" s="1080"/>
      <c r="G84" s="1080"/>
      <c r="H84" s="1080"/>
      <c r="I84" s="1080">
        <f t="shared" si="13"/>
        <v>130</v>
      </c>
    </row>
    <row r="85" spans="1:9" ht="12" customHeight="1" thickBot="1" x14ac:dyDescent="0.3">
      <c r="A85" s="1086" t="s">
        <v>80</v>
      </c>
      <c r="B85" s="1087" t="s">
        <v>196</v>
      </c>
      <c r="C85" s="1088"/>
      <c r="D85" s="1089"/>
      <c r="E85" s="1090"/>
      <c r="F85" s="1090">
        <f>'9. sz. mell'!G77</f>
        <v>1500</v>
      </c>
      <c r="G85" s="1090">
        <f>'9. sz. mell'!H77</f>
        <v>0</v>
      </c>
      <c r="H85" s="1090"/>
      <c r="I85" s="1090">
        <f t="shared" si="13"/>
        <v>1500</v>
      </c>
    </row>
    <row r="86" spans="1:9" ht="12" customHeight="1" thickBot="1" x14ac:dyDescent="0.3">
      <c r="A86" s="1004" t="s">
        <v>970</v>
      </c>
      <c r="B86" s="1091" t="s">
        <v>313</v>
      </c>
      <c r="C86" s="1016">
        <f>+C87+C88+C89</f>
        <v>208999</v>
      </c>
      <c r="D86" s="1007">
        <f>+D87+D88+D89</f>
        <v>17736</v>
      </c>
      <c r="E86" s="1008">
        <f>+E87+E88+E89</f>
        <v>174</v>
      </c>
      <c r="F86" s="1008">
        <f>+F87+F88+F89</f>
        <v>12334</v>
      </c>
      <c r="G86" s="1008">
        <f>+G87+G88+G89</f>
        <v>5667</v>
      </c>
      <c r="H86" s="1008">
        <f t="shared" ref="H86" si="14">+H87+H88+H89</f>
        <v>1133</v>
      </c>
      <c r="I86" s="1008">
        <f t="shared" si="13"/>
        <v>19308</v>
      </c>
    </row>
    <row r="87" spans="1:9" ht="12" customHeight="1" x14ac:dyDescent="0.25">
      <c r="A87" s="1027" t="s">
        <v>66</v>
      </c>
      <c r="B87" s="1019" t="s">
        <v>283</v>
      </c>
      <c r="C87" s="1092">
        <f>'9. sz. mell'!D79+'10. sz. mell.'!D43+'11. sz. mell.'!D42</f>
        <v>208999</v>
      </c>
      <c r="D87" s="1093">
        <f>'9. sz. mell'!E79+'10. sz. mell.'!E43+'11. sz. mell.'!E42</f>
        <v>17725</v>
      </c>
      <c r="E87" s="1094">
        <v>174</v>
      </c>
      <c r="F87" s="1094">
        <v>4258</v>
      </c>
      <c r="G87" s="1094">
        <f>5741-724+650</f>
        <v>5667</v>
      </c>
      <c r="H87" s="1094">
        <f>'10. sz. mell.'!I42+'11. sz. mell.'!I42</f>
        <v>1133</v>
      </c>
      <c r="I87" s="1094">
        <f t="shared" si="13"/>
        <v>11232</v>
      </c>
    </row>
    <row r="88" spans="1:9" ht="12" customHeight="1" x14ac:dyDescent="0.25">
      <c r="A88" s="1027" t="s">
        <v>67</v>
      </c>
      <c r="B88" s="1030" t="s">
        <v>171</v>
      </c>
      <c r="C88" s="1077"/>
      <c r="D88" s="1012"/>
      <c r="E88" s="1013"/>
      <c r="F88" s="1013">
        <f>'7.sz.mell.'!E20</f>
        <v>8076</v>
      </c>
      <c r="G88" s="1013">
        <f>'7.sz.mell.'!F20</f>
        <v>0</v>
      </c>
      <c r="H88" s="1013"/>
      <c r="I88" s="1013">
        <f t="shared" si="13"/>
        <v>8076</v>
      </c>
    </row>
    <row r="89" spans="1:9" ht="12" customHeight="1" x14ac:dyDescent="0.25">
      <c r="A89" s="1027" t="s">
        <v>68</v>
      </c>
      <c r="B89" s="1038" t="s">
        <v>314</v>
      </c>
      <c r="C89" s="1011"/>
      <c r="D89" s="1012">
        <f>SUM(D90:D96)</f>
        <v>11</v>
      </c>
      <c r="E89" s="1013"/>
      <c r="F89" s="1013"/>
      <c r="G89" s="1013"/>
      <c r="H89" s="1013"/>
      <c r="I89" s="1013">
        <f t="shared" si="13"/>
        <v>0</v>
      </c>
    </row>
    <row r="90" spans="1:9" ht="12" customHeight="1" x14ac:dyDescent="0.25">
      <c r="A90" s="1027" t="s">
        <v>69</v>
      </c>
      <c r="B90" s="1038" t="s">
        <v>386</v>
      </c>
      <c r="C90" s="1011"/>
      <c r="D90" s="1012"/>
      <c r="E90" s="1013"/>
      <c r="F90" s="1013"/>
      <c r="G90" s="1013"/>
      <c r="H90" s="1013"/>
      <c r="I90" s="1013">
        <f t="shared" si="13"/>
        <v>0</v>
      </c>
    </row>
    <row r="91" spans="1:9" ht="12" customHeight="1" x14ac:dyDescent="0.25">
      <c r="A91" s="1027" t="s">
        <v>70</v>
      </c>
      <c r="B91" s="1038" t="s">
        <v>315</v>
      </c>
      <c r="C91" s="1011"/>
      <c r="D91" s="1012"/>
      <c r="E91" s="1013"/>
      <c r="F91" s="1013"/>
      <c r="G91" s="1013"/>
      <c r="H91" s="1013"/>
      <c r="I91" s="1013">
        <f t="shared" si="13"/>
        <v>0</v>
      </c>
    </row>
    <row r="92" spans="1:9" x14ac:dyDescent="0.25">
      <c r="A92" s="1027" t="s">
        <v>79</v>
      </c>
      <c r="B92" s="1038" t="s">
        <v>316</v>
      </c>
      <c r="C92" s="1011"/>
      <c r="D92" s="1012">
        <v>11</v>
      </c>
      <c r="E92" s="1013"/>
      <c r="F92" s="1013"/>
      <c r="G92" s="1013"/>
      <c r="H92" s="1013"/>
      <c r="I92" s="1013">
        <f t="shared" si="13"/>
        <v>0</v>
      </c>
    </row>
    <row r="93" spans="1:9" ht="12" customHeight="1" x14ac:dyDescent="0.25">
      <c r="A93" s="1027" t="s">
        <v>81</v>
      </c>
      <c r="B93" s="1095" t="s">
        <v>287</v>
      </c>
      <c r="C93" s="1011"/>
      <c r="D93" s="1012"/>
      <c r="E93" s="1013"/>
      <c r="F93" s="1013"/>
      <c r="G93" s="1013"/>
      <c r="H93" s="1013"/>
      <c r="I93" s="1013">
        <f t="shared" si="13"/>
        <v>0</v>
      </c>
    </row>
    <row r="94" spans="1:9" ht="12" customHeight="1" x14ac:dyDescent="0.25">
      <c r="A94" s="1027" t="s">
        <v>172</v>
      </c>
      <c r="B94" s="1095" t="s">
        <v>288</v>
      </c>
      <c r="C94" s="1011"/>
      <c r="D94" s="1012"/>
      <c r="E94" s="1013"/>
      <c r="F94" s="1013"/>
      <c r="G94" s="1013"/>
      <c r="H94" s="1013"/>
      <c r="I94" s="1013">
        <f t="shared" si="13"/>
        <v>0</v>
      </c>
    </row>
    <row r="95" spans="1:9" ht="12" customHeight="1" x14ac:dyDescent="0.25">
      <c r="A95" s="1027" t="s">
        <v>173</v>
      </c>
      <c r="B95" s="1095" t="s">
        <v>286</v>
      </c>
      <c r="C95" s="1011"/>
      <c r="D95" s="1012"/>
      <c r="E95" s="1013"/>
      <c r="F95" s="1013"/>
      <c r="G95" s="1013"/>
      <c r="H95" s="1013"/>
      <c r="I95" s="1013">
        <f t="shared" si="13"/>
        <v>0</v>
      </c>
    </row>
    <row r="96" spans="1:9" ht="24" customHeight="1" thickBot="1" x14ac:dyDescent="0.3">
      <c r="A96" s="1020" t="s">
        <v>174</v>
      </c>
      <c r="B96" s="1096" t="s">
        <v>285</v>
      </c>
      <c r="C96" s="1097"/>
      <c r="D96" s="1079"/>
      <c r="E96" s="1080"/>
      <c r="F96" s="1080"/>
      <c r="G96" s="1080"/>
      <c r="H96" s="1080"/>
      <c r="I96" s="1080">
        <f t="shared" si="13"/>
        <v>0</v>
      </c>
    </row>
    <row r="97" spans="1:9" ht="12" customHeight="1" thickBot="1" x14ac:dyDescent="0.3">
      <c r="A97" s="1004" t="s">
        <v>971</v>
      </c>
      <c r="B97" s="1098" t="s">
        <v>317</v>
      </c>
      <c r="C97" s="1016">
        <f>+C98+C99</f>
        <v>0</v>
      </c>
      <c r="D97" s="1007">
        <f>+D98+D99</f>
        <v>0</v>
      </c>
      <c r="E97" s="1008">
        <f>+E98+E99</f>
        <v>8630</v>
      </c>
      <c r="F97" s="1008">
        <f>+F98+F99</f>
        <v>7327</v>
      </c>
      <c r="G97" s="1008">
        <f t="shared" ref="G97:H97" si="15">+G98+G99</f>
        <v>-256</v>
      </c>
      <c r="H97" s="1008">
        <f t="shared" si="15"/>
        <v>-2444</v>
      </c>
      <c r="I97" s="1008">
        <f t="shared" si="13"/>
        <v>13257</v>
      </c>
    </row>
    <row r="98" spans="1:9" ht="12" customHeight="1" x14ac:dyDescent="0.25">
      <c r="A98" s="1027" t="s">
        <v>40</v>
      </c>
      <c r="B98" s="1028" t="s">
        <v>3</v>
      </c>
      <c r="C98" s="1092"/>
      <c r="D98" s="1093"/>
      <c r="E98" s="1094">
        <v>1955</v>
      </c>
      <c r="F98" s="1094">
        <f>'9. sz. mell'!G90</f>
        <v>11185</v>
      </c>
      <c r="G98" s="1094">
        <v>-256</v>
      </c>
      <c r="H98" s="1094">
        <f>'9. sz. mell'!I90</f>
        <v>-2444</v>
      </c>
      <c r="I98" s="1094">
        <f t="shared" si="13"/>
        <v>10440</v>
      </c>
    </row>
    <row r="99" spans="1:9" ht="12" customHeight="1" thickBot="1" x14ac:dyDescent="0.3">
      <c r="A99" s="1029" t="s">
        <v>41</v>
      </c>
      <c r="B99" s="1030" t="s">
        <v>4</v>
      </c>
      <c r="C99" s="1078"/>
      <c r="D99" s="1079">
        <v>0</v>
      </c>
      <c r="E99" s="1080">
        <v>6675</v>
      </c>
      <c r="F99" s="1094">
        <f>'9. sz. mell'!G91</f>
        <v>-3858</v>
      </c>
      <c r="G99" s="1164"/>
      <c r="H99" s="1164"/>
      <c r="I99" s="1164">
        <f t="shared" si="13"/>
        <v>2817</v>
      </c>
    </row>
    <row r="100" spans="1:9" s="1102" customFormat="1" ht="12" customHeight="1" thickBot="1" x14ac:dyDescent="0.25">
      <c r="A100" s="1054" t="s">
        <v>972</v>
      </c>
      <c r="B100" s="1005" t="s">
        <v>289</v>
      </c>
      <c r="C100" s="1099"/>
      <c r="D100" s="1100"/>
      <c r="E100" s="1101"/>
      <c r="F100" s="1101"/>
      <c r="G100" s="1101"/>
      <c r="H100" s="1101"/>
      <c r="I100" s="1101">
        <f t="shared" si="13"/>
        <v>0</v>
      </c>
    </row>
    <row r="101" spans="1:9" ht="12" customHeight="1" thickBot="1" x14ac:dyDescent="0.3">
      <c r="A101" s="1103" t="s">
        <v>973</v>
      </c>
      <c r="B101" s="1104" t="s">
        <v>108</v>
      </c>
      <c r="C101" s="1000">
        <f>+C73+C86+C97+C100</f>
        <v>484391</v>
      </c>
      <c r="D101" s="1001">
        <f>+D73+D86+D97+D100</f>
        <v>270373</v>
      </c>
      <c r="E101" s="1002">
        <f>+E73+E86+E97+E100</f>
        <v>286781</v>
      </c>
      <c r="F101" s="1002">
        <f>+F73+F86+F97+F100</f>
        <v>38421</v>
      </c>
      <c r="G101" s="1002">
        <f t="shared" ref="G101:H101" si="16">+G73+G86+G97+G100</f>
        <v>16341</v>
      </c>
      <c r="H101" s="1002">
        <f t="shared" si="16"/>
        <v>-386</v>
      </c>
      <c r="I101" s="1002">
        <f t="shared" si="13"/>
        <v>341157</v>
      </c>
    </row>
    <row r="102" spans="1:9" ht="12" customHeight="1" thickBot="1" x14ac:dyDescent="0.3">
      <c r="A102" s="1054" t="s">
        <v>974</v>
      </c>
      <c r="B102" s="1005" t="s">
        <v>387</v>
      </c>
      <c r="C102" s="1016">
        <f>+C103+C111</f>
        <v>234161</v>
      </c>
      <c r="D102" s="1007">
        <f>+D103+D111</f>
        <v>0</v>
      </c>
      <c r="E102" s="1008">
        <f>+E103+E111</f>
        <v>0</v>
      </c>
      <c r="F102" s="1008">
        <f>+F103+F111</f>
        <v>0</v>
      </c>
      <c r="G102" s="1008"/>
      <c r="H102" s="1008">
        <v>5704</v>
      </c>
      <c r="I102" s="1008">
        <f t="shared" si="13"/>
        <v>5704</v>
      </c>
    </row>
    <row r="103" spans="1:9" ht="12" customHeight="1" thickBot="1" x14ac:dyDescent="0.3">
      <c r="A103" s="1105" t="s">
        <v>47</v>
      </c>
      <c r="B103" s="1106" t="s">
        <v>394</v>
      </c>
      <c r="C103" s="1185">
        <f>+C104+C105+C106+C107+C108+C109+C110</f>
        <v>108404</v>
      </c>
      <c r="D103" s="1186">
        <f>+D104+D105+D106+D107+D108+D109+D110</f>
        <v>0</v>
      </c>
      <c r="E103" s="1187">
        <f>+E104+E105+E106+E107+E108+E109+E110</f>
        <v>0</v>
      </c>
      <c r="F103" s="1187">
        <f>+F104+F105+F106+F107+F108+F109+F110</f>
        <v>0</v>
      </c>
      <c r="G103" s="1187"/>
      <c r="H103" s="1187">
        <v>5704</v>
      </c>
      <c r="I103" s="1187">
        <f t="shared" si="13"/>
        <v>5704</v>
      </c>
    </row>
    <row r="104" spans="1:9" ht="12" customHeight="1" x14ac:dyDescent="0.25">
      <c r="A104" s="1110" t="s">
        <v>50</v>
      </c>
      <c r="B104" s="1014" t="s">
        <v>290</v>
      </c>
      <c r="C104" s="1111"/>
      <c r="D104" s="1112"/>
      <c r="E104" s="1113"/>
      <c r="F104" s="1113"/>
      <c r="G104" s="1113"/>
      <c r="H104" s="1113"/>
      <c r="I104" s="1113">
        <f t="shared" si="13"/>
        <v>0</v>
      </c>
    </row>
    <row r="105" spans="1:9" ht="12" customHeight="1" x14ac:dyDescent="0.25">
      <c r="A105" s="1060" t="s">
        <v>51</v>
      </c>
      <c r="B105" s="1038" t="s">
        <v>291</v>
      </c>
      <c r="C105" s="1114"/>
      <c r="D105" s="1115"/>
      <c r="E105" s="1116"/>
      <c r="F105" s="1116"/>
      <c r="G105" s="1116"/>
      <c r="H105" s="1116"/>
      <c r="I105" s="1116">
        <f t="shared" si="13"/>
        <v>0</v>
      </c>
    </row>
    <row r="106" spans="1:9" ht="12" customHeight="1" x14ac:dyDescent="0.25">
      <c r="A106" s="1060" t="s">
        <v>52</v>
      </c>
      <c r="B106" s="1038" t="s">
        <v>292</v>
      </c>
      <c r="C106" s="1188">
        <v>108404</v>
      </c>
      <c r="D106" s="1189"/>
      <c r="E106" s="1116"/>
      <c r="F106" s="1116"/>
      <c r="G106" s="1116"/>
      <c r="H106" s="1116"/>
      <c r="I106" s="1116">
        <f t="shared" si="13"/>
        <v>0</v>
      </c>
    </row>
    <row r="107" spans="1:9" ht="12" customHeight="1" x14ac:dyDescent="0.25">
      <c r="A107" s="1060" t="s">
        <v>53</v>
      </c>
      <c r="B107" s="1038" t="s">
        <v>293</v>
      </c>
      <c r="C107" s="1188"/>
      <c r="D107" s="1189"/>
      <c r="E107" s="1116"/>
      <c r="F107" s="1116"/>
      <c r="G107" s="1116"/>
      <c r="H107" s="1116"/>
      <c r="I107" s="1116">
        <f t="shared" si="13"/>
        <v>0</v>
      </c>
    </row>
    <row r="108" spans="1:9" ht="12" customHeight="1" x14ac:dyDescent="0.25">
      <c r="A108" s="1060" t="s">
        <v>157</v>
      </c>
      <c r="B108" s="1038" t="s">
        <v>294</v>
      </c>
      <c r="C108" s="1188"/>
      <c r="D108" s="1189"/>
      <c r="E108" s="1116"/>
      <c r="F108" s="1116"/>
      <c r="G108" s="1116"/>
      <c r="H108" s="1116"/>
      <c r="I108" s="1116">
        <f t="shared" si="13"/>
        <v>0</v>
      </c>
    </row>
    <row r="109" spans="1:9" ht="12" customHeight="1" x14ac:dyDescent="0.25">
      <c r="A109" s="1060" t="s">
        <v>175</v>
      </c>
      <c r="B109" s="1038" t="s">
        <v>295</v>
      </c>
      <c r="C109" s="1188"/>
      <c r="D109" s="1189"/>
      <c r="E109" s="1116"/>
      <c r="F109" s="1116"/>
      <c r="G109" s="1116"/>
      <c r="H109" s="1116"/>
      <c r="I109" s="1116">
        <f t="shared" si="13"/>
        <v>0</v>
      </c>
    </row>
    <row r="110" spans="1:9" ht="12" customHeight="1" thickBot="1" x14ac:dyDescent="0.3">
      <c r="A110" s="1117" t="s">
        <v>176</v>
      </c>
      <c r="B110" s="1118" t="s">
        <v>1211</v>
      </c>
      <c r="C110" s="1190"/>
      <c r="D110" s="1191"/>
      <c r="E110" s="1121"/>
      <c r="F110" s="1121"/>
      <c r="G110" s="1121"/>
      <c r="H110" s="1121">
        <v>5704</v>
      </c>
      <c r="I110" s="1121">
        <f t="shared" si="13"/>
        <v>5704</v>
      </c>
    </row>
    <row r="111" spans="1:9" ht="12" customHeight="1" thickBot="1" x14ac:dyDescent="0.3">
      <c r="A111" s="1105" t="s">
        <v>48</v>
      </c>
      <c r="B111" s="1106" t="s">
        <v>395</v>
      </c>
      <c r="C111" s="1192">
        <f>+C112+C113+C114+C115+C116+C117+C118+C119</f>
        <v>125757</v>
      </c>
      <c r="D111" s="1193">
        <f>+D112+D113+D114+D115+D116+D117+D118+D119</f>
        <v>0</v>
      </c>
      <c r="E111" s="1187">
        <f>+E112+E113+E114+E115+E116+E117+E118+E119</f>
        <v>0</v>
      </c>
      <c r="F111" s="1187">
        <f>+F112+F113+F114+F115+F116+F117+F118+F119</f>
        <v>0</v>
      </c>
      <c r="G111" s="1187"/>
      <c r="H111" s="1187"/>
      <c r="I111" s="1187">
        <f t="shared" si="13"/>
        <v>0</v>
      </c>
    </row>
    <row r="112" spans="1:9" ht="12" customHeight="1" x14ac:dyDescent="0.25">
      <c r="A112" s="1110" t="s">
        <v>56</v>
      </c>
      <c r="B112" s="1014" t="s">
        <v>290</v>
      </c>
      <c r="C112" s="1194"/>
      <c r="D112" s="1195"/>
      <c r="E112" s="1113"/>
      <c r="F112" s="1113"/>
      <c r="G112" s="1113"/>
      <c r="H112" s="1113"/>
      <c r="I112" s="1113">
        <f t="shared" si="13"/>
        <v>0</v>
      </c>
    </row>
    <row r="113" spans="1:14" ht="12" customHeight="1" x14ac:dyDescent="0.25">
      <c r="A113" s="1060" t="s">
        <v>57</v>
      </c>
      <c r="B113" s="1038" t="s">
        <v>297</v>
      </c>
      <c r="C113" s="1188">
        <v>125757</v>
      </c>
      <c r="D113" s="1189"/>
      <c r="E113" s="1116"/>
      <c r="F113" s="1116"/>
      <c r="G113" s="1116"/>
      <c r="H113" s="1116"/>
      <c r="I113" s="1116">
        <f t="shared" si="13"/>
        <v>0</v>
      </c>
    </row>
    <row r="114" spans="1:14" ht="12" customHeight="1" x14ac:dyDescent="0.25">
      <c r="A114" s="1060" t="s">
        <v>58</v>
      </c>
      <c r="B114" s="1038" t="s">
        <v>292</v>
      </c>
      <c r="C114" s="1188"/>
      <c r="D114" s="1189"/>
      <c r="E114" s="1116"/>
      <c r="F114" s="1116"/>
      <c r="G114" s="1116"/>
      <c r="H114" s="1116"/>
      <c r="I114" s="1116">
        <f t="shared" si="13"/>
        <v>0</v>
      </c>
    </row>
    <row r="115" spans="1:14" ht="12" customHeight="1" x14ac:dyDescent="0.25">
      <c r="A115" s="1060" t="s">
        <v>59</v>
      </c>
      <c r="B115" s="1038" t="s">
        <v>293</v>
      </c>
      <c r="C115" s="1188"/>
      <c r="D115" s="1189"/>
      <c r="E115" s="1116"/>
      <c r="F115" s="1116"/>
      <c r="G115" s="1116"/>
      <c r="H115" s="1116"/>
      <c r="I115" s="1116">
        <f t="shared" si="13"/>
        <v>0</v>
      </c>
    </row>
    <row r="116" spans="1:14" ht="12" customHeight="1" x14ac:dyDescent="0.25">
      <c r="A116" s="1060" t="s">
        <v>158</v>
      </c>
      <c r="B116" s="1038" t="s">
        <v>294</v>
      </c>
      <c r="C116" s="1188"/>
      <c r="D116" s="1189"/>
      <c r="E116" s="1116"/>
      <c r="F116" s="1116"/>
      <c r="G116" s="1116"/>
      <c r="H116" s="1116"/>
      <c r="I116" s="1116">
        <f t="shared" si="13"/>
        <v>0</v>
      </c>
    </row>
    <row r="117" spans="1:14" ht="12" customHeight="1" x14ac:dyDescent="0.25">
      <c r="A117" s="1060" t="s">
        <v>177</v>
      </c>
      <c r="B117" s="1038" t="s">
        <v>298</v>
      </c>
      <c r="C117" s="1188"/>
      <c r="D117" s="1189"/>
      <c r="E117" s="1116"/>
      <c r="F117" s="1116"/>
      <c r="G117" s="1116"/>
      <c r="H117" s="1116"/>
      <c r="I117" s="1116">
        <f t="shared" si="13"/>
        <v>0</v>
      </c>
    </row>
    <row r="118" spans="1:14" ht="12" customHeight="1" x14ac:dyDescent="0.25">
      <c r="A118" s="1060" t="s">
        <v>178</v>
      </c>
      <c r="B118" s="1038" t="s">
        <v>296</v>
      </c>
      <c r="C118" s="1114"/>
      <c r="D118" s="1115"/>
      <c r="E118" s="1116"/>
      <c r="F118" s="1116"/>
      <c r="G118" s="1116"/>
      <c r="H118" s="1116"/>
      <c r="I118" s="1116">
        <f t="shared" si="13"/>
        <v>0</v>
      </c>
    </row>
    <row r="119" spans="1:14" ht="12" customHeight="1" thickBot="1" x14ac:dyDescent="0.3">
      <c r="A119" s="1117" t="s">
        <v>179</v>
      </c>
      <c r="B119" s="1118" t="s">
        <v>390</v>
      </c>
      <c r="C119" s="1119"/>
      <c r="D119" s="1120"/>
      <c r="E119" s="1121"/>
      <c r="F119" s="1121"/>
      <c r="G119" s="1121"/>
      <c r="H119" s="1121"/>
      <c r="I119" s="1121">
        <f t="shared" si="13"/>
        <v>0</v>
      </c>
    </row>
    <row r="120" spans="1:14" ht="12" customHeight="1" thickBot="1" x14ac:dyDescent="0.3">
      <c r="A120" s="1054" t="s">
        <v>975</v>
      </c>
      <c r="B120" s="1065" t="s">
        <v>299</v>
      </c>
      <c r="C120" s="1122">
        <f>+C101+C102</f>
        <v>718552</v>
      </c>
      <c r="D120" s="1123">
        <f>+D101+D102</f>
        <v>270373</v>
      </c>
      <c r="E120" s="1124">
        <f>+E101+E102</f>
        <v>286781</v>
      </c>
      <c r="F120" s="1124">
        <f>+F101+F102</f>
        <v>38421</v>
      </c>
      <c r="G120" s="1124">
        <f t="shared" ref="G120:H120" si="17">+G101+G102</f>
        <v>16341</v>
      </c>
      <c r="H120" s="1124">
        <f t="shared" si="17"/>
        <v>5318</v>
      </c>
      <c r="I120" s="1124">
        <f t="shared" si="13"/>
        <v>346861</v>
      </c>
    </row>
    <row r="121" spans="1:14" ht="15" customHeight="1" thickBot="1" x14ac:dyDescent="0.3">
      <c r="A121" s="1054" t="s">
        <v>976</v>
      </c>
      <c r="B121" s="1065" t="s">
        <v>300</v>
      </c>
      <c r="C121" s="1196">
        <v>-8210</v>
      </c>
      <c r="D121" s="1197">
        <f>'9. sz. mell'!E98+'10. sz. mell.'!E48+'11. sz. mell.'!E47+3</f>
        <v>14698</v>
      </c>
      <c r="E121" s="1125"/>
      <c r="F121" s="1125"/>
      <c r="G121" s="1125"/>
      <c r="H121" s="1125"/>
      <c r="I121" s="1125">
        <f t="shared" si="13"/>
        <v>0</v>
      </c>
      <c r="J121" s="1126"/>
    </row>
    <row r="122" spans="1:14" s="1003" customFormat="1" ht="12.95" customHeight="1" thickBot="1" x14ac:dyDescent="0.25">
      <c r="A122" s="1127" t="s">
        <v>977</v>
      </c>
      <c r="B122" s="1067" t="s">
        <v>301</v>
      </c>
      <c r="C122" s="1055">
        <f>+C120+C121</f>
        <v>710342</v>
      </c>
      <c r="D122" s="1056">
        <f>+D120+D121</f>
        <v>285071</v>
      </c>
      <c r="E122" s="1057">
        <f>+E120+E121</f>
        <v>286781</v>
      </c>
      <c r="F122" s="1057">
        <f>+F120+F121</f>
        <v>38421</v>
      </c>
      <c r="G122" s="1057">
        <f t="shared" ref="G122:H122" si="18">+G120+G121</f>
        <v>16341</v>
      </c>
      <c r="H122" s="1057">
        <f t="shared" si="18"/>
        <v>5318</v>
      </c>
      <c r="I122" s="1057">
        <f t="shared" si="13"/>
        <v>346861</v>
      </c>
      <c r="N122" s="1176"/>
    </row>
    <row r="123" spans="1:14" ht="15.75" customHeight="1" x14ac:dyDescent="0.25">
      <c r="A123" s="1128"/>
      <c r="B123" s="1128"/>
      <c r="C123" s="1129"/>
      <c r="D123" s="1129"/>
      <c r="E123" s="1129"/>
      <c r="F123" s="1129"/>
      <c r="G123" s="1129"/>
      <c r="H123" s="1129"/>
      <c r="I123" s="1129"/>
    </row>
    <row r="124" spans="1:14" x14ac:dyDescent="0.25">
      <c r="A124" s="1511" t="s">
        <v>111</v>
      </c>
      <c r="B124" s="1511"/>
      <c r="C124" s="1511"/>
      <c r="D124" s="987"/>
      <c r="E124" s="987"/>
      <c r="F124" s="987"/>
      <c r="G124" s="987"/>
      <c r="H124" s="987"/>
      <c r="I124" s="987"/>
    </row>
    <row r="125" spans="1:14" ht="15" customHeight="1" thickBot="1" x14ac:dyDescent="0.3">
      <c r="A125" s="1509" t="s">
        <v>104</v>
      </c>
      <c r="B125" s="1509"/>
      <c r="C125" s="989"/>
      <c r="D125" s="989"/>
      <c r="E125" s="989"/>
      <c r="F125" s="989"/>
      <c r="G125" s="989"/>
      <c r="H125" s="989"/>
      <c r="I125" s="989"/>
    </row>
    <row r="126" spans="1:14" ht="13.5" customHeight="1" thickBot="1" x14ac:dyDescent="0.3">
      <c r="A126" s="1004">
        <v>1</v>
      </c>
      <c r="B126" s="1091" t="s">
        <v>186</v>
      </c>
      <c r="C126" s="1016">
        <f>+C51-C101</f>
        <v>206640</v>
      </c>
      <c r="D126" s="1016">
        <f>+D51-D101</f>
        <v>-15194</v>
      </c>
      <c r="E126" s="1016">
        <f>+E51-E101</f>
        <v>0</v>
      </c>
      <c r="F126" s="1016">
        <f>+F51-F101</f>
        <v>-48271</v>
      </c>
      <c r="G126" s="1016">
        <f>+G51-G101</f>
        <v>0</v>
      </c>
      <c r="H126" s="1016">
        <f t="shared" ref="H126" si="19">+H51-H101</f>
        <v>13192</v>
      </c>
      <c r="I126" s="1016">
        <f>+I51-I101</f>
        <v>-35079</v>
      </c>
    </row>
    <row r="127" spans="1:14" ht="7.5" customHeight="1" x14ac:dyDescent="0.25">
      <c r="A127" s="1128"/>
      <c r="B127" s="1128"/>
      <c r="C127" s="1129"/>
      <c r="D127" s="1129"/>
      <c r="E127" s="1129"/>
      <c r="F127" s="1129"/>
      <c r="G127" s="1129"/>
      <c r="H127" s="1129"/>
      <c r="I127" s="1129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4" fitToHeight="2" orientation="portrait" r:id="rId1"/>
  <headerFooter alignWithMargins="0">
    <oddHeader>&amp;C&amp;"Times New Roman CE,Félkövér"&amp;12
Csobánka Község Önkormányzat
2014. ÉVI KÖLTSÉGVETÉS KÖTELEZŐ FELADATAINAK MÉRLEGE &amp;R&amp;"Times New Roman CE,Félkövér dőlt"&amp;11 &amp;"Times New Roman CE,Félkövér"1.2. melléklet a 3/2015. (II.20.) önkormányzati rendelethez</oddHeader>
  </headerFooter>
  <rowBreaks count="1" manualBreakCount="1">
    <brk id="6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27"/>
  <sheetViews>
    <sheetView view="pageLayout" topLeftCell="A62" zoomScaleNormal="120" zoomScaleSheetLayoutView="100" workbookViewId="0">
      <selection activeCell="G118" sqref="G118"/>
    </sheetView>
  </sheetViews>
  <sheetFormatPr defaultColWidth="9.33203125" defaultRowHeight="15.75" x14ac:dyDescent="0.25"/>
  <cols>
    <col min="1" max="1" width="9" style="1147" customWidth="1"/>
    <col min="2" max="2" width="84.83203125" style="1147" customWidth="1"/>
    <col min="3" max="4" width="14.83203125" style="1148" hidden="1" customWidth="1"/>
    <col min="5" max="5" width="13.5" style="1148" bestFit="1" customWidth="1"/>
    <col min="6" max="6" width="10" style="1148" bestFit="1" customWidth="1"/>
    <col min="7" max="7" width="9.6640625" style="1148" bestFit="1" customWidth="1"/>
    <col min="8" max="9" width="14.83203125" style="1148" customWidth="1"/>
    <col min="10" max="16384" width="9.33203125" style="988"/>
  </cols>
  <sheetData>
    <row r="1" spans="1:9" ht="15.95" customHeight="1" x14ac:dyDescent="0.25">
      <c r="A1" s="1507" t="s">
        <v>966</v>
      </c>
      <c r="B1" s="1507"/>
      <c r="C1" s="1507"/>
      <c r="D1" s="987"/>
      <c r="E1" s="987"/>
      <c r="F1" s="987"/>
      <c r="G1" s="987"/>
      <c r="H1" s="987"/>
      <c r="I1" s="987"/>
    </row>
    <row r="2" spans="1:9" ht="15.95" customHeight="1" thickBot="1" x14ac:dyDescent="0.3">
      <c r="A2" s="1509" t="s">
        <v>102</v>
      </c>
      <c r="B2" s="1509"/>
      <c r="C2" s="989"/>
      <c r="D2" s="989"/>
      <c r="E2" s="989"/>
      <c r="F2" s="989"/>
      <c r="G2" s="989"/>
      <c r="H2" s="989"/>
      <c r="I2" s="989" t="s">
        <v>303</v>
      </c>
    </row>
    <row r="3" spans="1:9" s="994" customFormat="1" ht="38.1" customHeight="1" thickBot="1" x14ac:dyDescent="0.3">
      <c r="A3" s="990" t="s">
        <v>19</v>
      </c>
      <c r="B3" s="991" t="s">
        <v>968</v>
      </c>
      <c r="C3" s="992" t="s">
        <v>1037</v>
      </c>
      <c r="D3" s="993" t="s">
        <v>1038</v>
      </c>
      <c r="E3" s="933" t="s">
        <v>1039</v>
      </c>
      <c r="F3" s="933" t="s">
        <v>1148</v>
      </c>
      <c r="G3" s="933" t="s">
        <v>1189</v>
      </c>
      <c r="H3" s="933" t="s">
        <v>1190</v>
      </c>
      <c r="I3" s="933" t="s">
        <v>1147</v>
      </c>
    </row>
    <row r="4" spans="1:9" s="997" customFormat="1" ht="12" customHeight="1" thickBot="1" x14ac:dyDescent="0.25">
      <c r="A4" s="995">
        <v>1</v>
      </c>
      <c r="B4" s="996">
        <v>2</v>
      </c>
      <c r="C4" s="992">
        <v>3</v>
      </c>
      <c r="D4" s="993">
        <v>4</v>
      </c>
      <c r="E4" s="933">
        <v>3</v>
      </c>
      <c r="F4" s="933">
        <v>4</v>
      </c>
      <c r="G4" s="933">
        <v>5</v>
      </c>
      <c r="H4" s="933"/>
      <c r="I4" s="933">
        <v>6</v>
      </c>
    </row>
    <row r="5" spans="1:9" s="1003" customFormat="1" ht="12" customHeight="1" thickBot="1" x14ac:dyDescent="0.25">
      <c r="A5" s="998" t="s">
        <v>969</v>
      </c>
      <c r="B5" s="999" t="s">
        <v>128</v>
      </c>
      <c r="C5" s="1000">
        <f>+C6+C11+C20</f>
        <v>0</v>
      </c>
      <c r="D5" s="1001">
        <f>+D6+D11+D20</f>
        <v>958</v>
      </c>
      <c r="E5" s="1002">
        <f>+E6+E11+E20</f>
        <v>0</v>
      </c>
      <c r="F5" s="1002">
        <f t="shared" ref="F5:I5" si="0">+F6+F11+F20</f>
        <v>0</v>
      </c>
      <c r="G5" s="1002">
        <f t="shared" si="0"/>
        <v>0</v>
      </c>
      <c r="H5" s="1002">
        <f t="shared" si="0"/>
        <v>0</v>
      </c>
      <c r="I5" s="1002">
        <f t="shared" si="0"/>
        <v>0</v>
      </c>
    </row>
    <row r="6" spans="1:9" s="1003" customFormat="1" ht="12" customHeight="1" thickBot="1" x14ac:dyDescent="0.25">
      <c r="A6" s="1004" t="s">
        <v>970</v>
      </c>
      <c r="B6" s="1005" t="s">
        <v>380</v>
      </c>
      <c r="C6" s="1006">
        <f>+C7+C8+C9+C10</f>
        <v>0</v>
      </c>
      <c r="D6" s="1007">
        <f>+D7+D8+D9+D10</f>
        <v>958</v>
      </c>
      <c r="E6" s="1008">
        <f>+E7+E8+E9+E10</f>
        <v>0</v>
      </c>
      <c r="F6" s="1008">
        <f t="shared" ref="F6:I6" si="1">+F7+F8+F9+F10</f>
        <v>0</v>
      </c>
      <c r="G6" s="1008">
        <f t="shared" si="1"/>
        <v>0</v>
      </c>
      <c r="H6" s="1008">
        <f t="shared" si="1"/>
        <v>0</v>
      </c>
      <c r="I6" s="1008">
        <f t="shared" si="1"/>
        <v>0</v>
      </c>
    </row>
    <row r="7" spans="1:9" s="1003" customFormat="1" ht="12" customHeight="1" x14ac:dyDescent="0.2">
      <c r="A7" s="1009" t="s">
        <v>66</v>
      </c>
      <c r="B7" s="1010" t="s">
        <v>1013</v>
      </c>
      <c r="C7" s="1011"/>
      <c r="D7" s="1012">
        <v>958</v>
      </c>
      <c r="E7" s="1013"/>
      <c r="F7" s="1013"/>
      <c r="G7" s="1013"/>
      <c r="H7" s="1013"/>
      <c r="I7" s="1013"/>
    </row>
    <row r="8" spans="1:9" s="1003" customFormat="1" ht="12" customHeight="1" x14ac:dyDescent="0.2">
      <c r="A8" s="1009" t="s">
        <v>67</v>
      </c>
      <c r="B8" s="1014" t="s">
        <v>35</v>
      </c>
      <c r="C8" s="1011"/>
      <c r="D8" s="1012"/>
      <c r="E8" s="1013"/>
      <c r="F8" s="1013"/>
      <c r="G8" s="1013"/>
      <c r="H8" s="1013"/>
      <c r="I8" s="1013"/>
    </row>
    <row r="9" spans="1:9" s="1003" customFormat="1" ht="12" customHeight="1" x14ac:dyDescent="0.2">
      <c r="A9" s="1009" t="s">
        <v>68</v>
      </c>
      <c r="B9" s="1014" t="s">
        <v>129</v>
      </c>
      <c r="C9" s="1011"/>
      <c r="D9" s="1012"/>
      <c r="E9" s="1013"/>
      <c r="F9" s="1013"/>
      <c r="G9" s="1013"/>
      <c r="H9" s="1013"/>
      <c r="I9" s="1013"/>
    </row>
    <row r="10" spans="1:9" s="1003" customFormat="1" ht="12" customHeight="1" thickBot="1" x14ac:dyDescent="0.25">
      <c r="A10" s="1009" t="s">
        <v>69</v>
      </c>
      <c r="B10" s="1015" t="s">
        <v>130</v>
      </c>
      <c r="C10" s="1011"/>
      <c r="D10" s="1012"/>
      <c r="E10" s="1013"/>
      <c r="F10" s="1013"/>
      <c r="G10" s="1013"/>
      <c r="H10" s="1013"/>
      <c r="I10" s="1013"/>
    </row>
    <row r="11" spans="1:9" s="1003" customFormat="1" ht="12" customHeight="1" thickBot="1" x14ac:dyDescent="0.25">
      <c r="A11" s="1004" t="s">
        <v>971</v>
      </c>
      <c r="B11" s="999" t="s">
        <v>131</v>
      </c>
      <c r="C11" s="1016">
        <f>+C12+C13+C14+C15+C16+C17+C18+C19</f>
        <v>0</v>
      </c>
      <c r="D11" s="1007">
        <f>+D12+D13+D14+D15+D16+D17+D18+D19</f>
        <v>0</v>
      </c>
      <c r="E11" s="1008">
        <f>+E12+E13+E14+E15+E16+E17+E18+E19</f>
        <v>0</v>
      </c>
      <c r="F11" s="1008">
        <f t="shared" ref="F11:I11" si="2">+F12+F13+F14+F15+F16+F17+F18+F19</f>
        <v>0</v>
      </c>
      <c r="G11" s="1008">
        <f t="shared" si="2"/>
        <v>0</v>
      </c>
      <c r="H11" s="1008">
        <f t="shared" si="2"/>
        <v>0</v>
      </c>
      <c r="I11" s="1008">
        <f t="shared" si="2"/>
        <v>0</v>
      </c>
    </row>
    <row r="12" spans="1:9" s="1003" customFormat="1" ht="12" customHeight="1" x14ac:dyDescent="0.2">
      <c r="A12" s="1017" t="s">
        <v>40</v>
      </c>
      <c r="B12" s="1018" t="s">
        <v>136</v>
      </c>
      <c r="C12" s="1074"/>
      <c r="D12" s="1075"/>
      <c r="E12" s="1076"/>
      <c r="F12" s="1076"/>
      <c r="G12" s="1076"/>
      <c r="H12" s="1076"/>
      <c r="I12" s="1076"/>
    </row>
    <row r="13" spans="1:9" s="1003" customFormat="1" ht="12" customHeight="1" x14ac:dyDescent="0.2">
      <c r="A13" s="1009" t="s">
        <v>41</v>
      </c>
      <c r="B13" s="1019" t="s">
        <v>137</v>
      </c>
      <c r="C13" s="1077"/>
      <c r="D13" s="1012"/>
      <c r="E13" s="1013"/>
      <c r="F13" s="1013"/>
      <c r="G13" s="1013"/>
      <c r="H13" s="1013"/>
      <c r="I13" s="1013"/>
    </row>
    <row r="14" spans="1:9" s="1003" customFormat="1" ht="12" customHeight="1" x14ac:dyDescent="0.2">
      <c r="A14" s="1009" t="s">
        <v>42</v>
      </c>
      <c r="B14" s="1019" t="s">
        <v>138</v>
      </c>
      <c r="C14" s="1077"/>
      <c r="D14" s="1012"/>
      <c r="E14" s="1013"/>
      <c r="F14" s="1013"/>
      <c r="G14" s="1013"/>
      <c r="H14" s="1013"/>
      <c r="I14" s="1013"/>
    </row>
    <row r="15" spans="1:9" s="1003" customFormat="1" ht="12" customHeight="1" x14ac:dyDescent="0.2">
      <c r="A15" s="1009" t="s">
        <v>43</v>
      </c>
      <c r="B15" s="1019" t="s">
        <v>139</v>
      </c>
      <c r="C15" s="1077"/>
      <c r="D15" s="1012"/>
      <c r="E15" s="1013"/>
      <c r="F15" s="1013"/>
      <c r="G15" s="1013"/>
      <c r="H15" s="1013"/>
      <c r="I15" s="1013"/>
    </row>
    <row r="16" spans="1:9" s="1003" customFormat="1" ht="12" customHeight="1" x14ac:dyDescent="0.2">
      <c r="A16" s="1020" t="s">
        <v>132</v>
      </c>
      <c r="B16" s="1021" t="s">
        <v>140</v>
      </c>
      <c r="C16" s="1149"/>
      <c r="D16" s="1163"/>
      <c r="E16" s="1164"/>
      <c r="F16" s="1164"/>
      <c r="G16" s="1164"/>
      <c r="H16" s="1164"/>
      <c r="I16" s="1164"/>
    </row>
    <row r="17" spans="1:9" s="1003" customFormat="1" ht="12" customHeight="1" x14ac:dyDescent="0.2">
      <c r="A17" s="1009" t="s">
        <v>133</v>
      </c>
      <c r="B17" s="1019" t="s">
        <v>243</v>
      </c>
      <c r="C17" s="1077"/>
      <c r="D17" s="1012"/>
      <c r="E17" s="1013"/>
      <c r="F17" s="1013"/>
      <c r="G17" s="1013"/>
      <c r="H17" s="1013"/>
      <c r="I17" s="1013"/>
    </row>
    <row r="18" spans="1:9" s="1003" customFormat="1" ht="12" customHeight="1" x14ac:dyDescent="0.2">
      <c r="A18" s="1009" t="s">
        <v>134</v>
      </c>
      <c r="B18" s="1019" t="s">
        <v>142</v>
      </c>
      <c r="C18" s="1077"/>
      <c r="D18" s="1012"/>
      <c r="E18" s="1013"/>
      <c r="F18" s="1013"/>
      <c r="G18" s="1013"/>
      <c r="H18" s="1013"/>
      <c r="I18" s="1013"/>
    </row>
    <row r="19" spans="1:9" s="1003" customFormat="1" ht="12" customHeight="1" thickBot="1" x14ac:dyDescent="0.25">
      <c r="A19" s="1022" t="s">
        <v>135</v>
      </c>
      <c r="B19" s="1023" t="s">
        <v>143</v>
      </c>
      <c r="C19" s="1150"/>
      <c r="D19" s="1198"/>
      <c r="E19" s="1199"/>
      <c r="F19" s="1199"/>
      <c r="G19" s="1199"/>
      <c r="H19" s="1199"/>
      <c r="I19" s="1199"/>
    </row>
    <row r="20" spans="1:9" s="1003" customFormat="1" ht="12" customHeight="1" thickBot="1" x14ac:dyDescent="0.25">
      <c r="A20" s="1004" t="s">
        <v>144</v>
      </c>
      <c r="B20" s="999" t="s">
        <v>244</v>
      </c>
      <c r="C20" s="1151"/>
      <c r="D20" s="1152"/>
      <c r="E20" s="1200"/>
      <c r="F20" s="1200"/>
      <c r="G20" s="1200"/>
      <c r="H20" s="1200"/>
      <c r="I20" s="1200"/>
    </row>
    <row r="21" spans="1:9" s="1003" customFormat="1" ht="12" customHeight="1" thickBot="1" x14ac:dyDescent="0.25">
      <c r="A21" s="1004" t="s">
        <v>973</v>
      </c>
      <c r="B21" s="999" t="s">
        <v>146</v>
      </c>
      <c r="C21" s="1016">
        <f>+C22+C23+C24+C25+C26+C27+C28+C29</f>
        <v>0</v>
      </c>
      <c r="D21" s="1007">
        <f>+D22+D23+D24+D25+D26+D27+D28+D29</f>
        <v>0</v>
      </c>
      <c r="E21" s="1008">
        <f>+E22+E23+E24+E25+E26+E27+E28+E29</f>
        <v>0</v>
      </c>
      <c r="F21" s="1008">
        <f t="shared" ref="F21:I21" si="3">+F22+F23+F24+F25+F26+F27+F28+F29</f>
        <v>0</v>
      </c>
      <c r="G21" s="1008">
        <f t="shared" si="3"/>
        <v>0</v>
      </c>
      <c r="H21" s="1008">
        <f t="shared" si="3"/>
        <v>0</v>
      </c>
      <c r="I21" s="1008">
        <f t="shared" si="3"/>
        <v>0</v>
      </c>
    </row>
    <row r="22" spans="1:9" s="1003" customFormat="1" ht="12" customHeight="1" x14ac:dyDescent="0.2">
      <c r="A22" s="1027" t="s">
        <v>44</v>
      </c>
      <c r="B22" s="1028" t="s">
        <v>902</v>
      </c>
      <c r="C22" s="1092"/>
      <c r="D22" s="1093"/>
      <c r="E22" s="1094"/>
      <c r="F22" s="1094"/>
      <c r="G22" s="1094"/>
      <c r="H22" s="1094"/>
      <c r="I22" s="1094"/>
    </row>
    <row r="23" spans="1:9" s="1003" customFormat="1" ht="12" customHeight="1" x14ac:dyDescent="0.2">
      <c r="A23" s="1009" t="s">
        <v>45</v>
      </c>
      <c r="B23" s="1019" t="s">
        <v>152</v>
      </c>
      <c r="C23" s="1077"/>
      <c r="D23" s="1012"/>
      <c r="E23" s="1013"/>
      <c r="F23" s="1013"/>
      <c r="G23" s="1013"/>
      <c r="H23" s="1013"/>
      <c r="I23" s="1013"/>
    </row>
    <row r="24" spans="1:9" s="1003" customFormat="1" ht="12" customHeight="1" x14ac:dyDescent="0.2">
      <c r="A24" s="1009" t="s">
        <v>46</v>
      </c>
      <c r="B24" s="1019" t="s">
        <v>49</v>
      </c>
      <c r="C24" s="1077"/>
      <c r="D24" s="1012"/>
      <c r="E24" s="1013"/>
      <c r="F24" s="1013"/>
      <c r="G24" s="1013"/>
      <c r="H24" s="1013"/>
      <c r="I24" s="1013"/>
    </row>
    <row r="25" spans="1:9" s="1003" customFormat="1" ht="12" customHeight="1" x14ac:dyDescent="0.2">
      <c r="A25" s="1029" t="s">
        <v>147</v>
      </c>
      <c r="B25" s="1019" t="s">
        <v>153</v>
      </c>
      <c r="C25" s="1078"/>
      <c r="D25" s="1079"/>
      <c r="E25" s="1080"/>
      <c r="F25" s="1080"/>
      <c r="G25" s="1080"/>
      <c r="H25" s="1080"/>
      <c r="I25" s="1080"/>
    </row>
    <row r="26" spans="1:9" s="1003" customFormat="1" ht="12" customHeight="1" x14ac:dyDescent="0.2">
      <c r="A26" s="1029" t="s">
        <v>148</v>
      </c>
      <c r="B26" s="1019" t="s">
        <v>154</v>
      </c>
      <c r="C26" s="1078"/>
      <c r="D26" s="1079"/>
      <c r="E26" s="1080"/>
      <c r="F26" s="1080"/>
      <c r="G26" s="1080"/>
      <c r="H26" s="1080"/>
      <c r="I26" s="1080"/>
    </row>
    <row r="27" spans="1:9" s="1003" customFormat="1" ht="12" customHeight="1" x14ac:dyDescent="0.2">
      <c r="A27" s="1009" t="s">
        <v>149</v>
      </c>
      <c r="B27" s="1019" t="s">
        <v>155</v>
      </c>
      <c r="C27" s="1077"/>
      <c r="D27" s="1012"/>
      <c r="E27" s="1013"/>
      <c r="F27" s="1013"/>
      <c r="G27" s="1013"/>
      <c r="H27" s="1013"/>
      <c r="I27" s="1013"/>
    </row>
    <row r="28" spans="1:9" s="1003" customFormat="1" ht="12" customHeight="1" x14ac:dyDescent="0.2">
      <c r="A28" s="1009" t="s">
        <v>150</v>
      </c>
      <c r="B28" s="1019" t="s">
        <v>245</v>
      </c>
      <c r="C28" s="1154"/>
      <c r="D28" s="1155"/>
      <c r="E28" s="1156"/>
      <c r="F28" s="1156"/>
      <c r="G28" s="1156"/>
      <c r="H28" s="1156"/>
      <c r="I28" s="1156"/>
    </row>
    <row r="29" spans="1:9" s="1003" customFormat="1" ht="12" customHeight="1" thickBot="1" x14ac:dyDescent="0.25">
      <c r="A29" s="1009" t="s">
        <v>151</v>
      </c>
      <c r="B29" s="1030" t="s">
        <v>156</v>
      </c>
      <c r="C29" s="1154"/>
      <c r="D29" s="1155"/>
      <c r="E29" s="1156"/>
      <c r="F29" s="1156"/>
      <c r="G29" s="1156"/>
      <c r="H29" s="1156"/>
      <c r="I29" s="1156"/>
    </row>
    <row r="30" spans="1:9" s="1003" customFormat="1" ht="12" customHeight="1" thickBot="1" x14ac:dyDescent="0.25">
      <c r="A30" s="1031" t="s">
        <v>974</v>
      </c>
      <c r="B30" s="999" t="s">
        <v>381</v>
      </c>
      <c r="C30" s="1006">
        <f>+C31+C37</f>
        <v>0</v>
      </c>
      <c r="D30" s="1007">
        <f>+D31+D37</f>
        <v>0</v>
      </c>
      <c r="E30" s="1008">
        <f>+E31+E37</f>
        <v>0</v>
      </c>
      <c r="F30" s="1008">
        <f t="shared" ref="F30:I30" si="4">+F31+F37</f>
        <v>0</v>
      </c>
      <c r="G30" s="1008">
        <f t="shared" si="4"/>
        <v>0</v>
      </c>
      <c r="H30" s="1008">
        <f t="shared" si="4"/>
        <v>0</v>
      </c>
      <c r="I30" s="1008">
        <f t="shared" si="4"/>
        <v>0</v>
      </c>
    </row>
    <row r="31" spans="1:9" s="1003" customFormat="1" ht="12" customHeight="1" x14ac:dyDescent="0.2">
      <c r="A31" s="1032" t="s">
        <v>47</v>
      </c>
      <c r="B31" s="1033" t="s">
        <v>382</v>
      </c>
      <c r="C31" s="1034">
        <f>+C32+C33+C34+C35+C36</f>
        <v>0</v>
      </c>
      <c r="D31" s="1035">
        <f>+D32+D33+D34+D35+D36</f>
        <v>0</v>
      </c>
      <c r="E31" s="1036">
        <f>+E32+E33+E34+E35+E36</f>
        <v>0</v>
      </c>
      <c r="F31" s="1036">
        <f t="shared" ref="F31:I31" si="5">+F32+F33+F34+F35+F36</f>
        <v>0</v>
      </c>
      <c r="G31" s="1036">
        <f t="shared" si="5"/>
        <v>0</v>
      </c>
      <c r="H31" s="1036">
        <f t="shared" si="5"/>
        <v>0</v>
      </c>
      <c r="I31" s="1036">
        <f t="shared" si="5"/>
        <v>0</v>
      </c>
    </row>
    <row r="32" spans="1:9" s="1003" customFormat="1" ht="12" customHeight="1" x14ac:dyDescent="0.2">
      <c r="A32" s="1037" t="s">
        <v>50</v>
      </c>
      <c r="B32" s="1038" t="s">
        <v>246</v>
      </c>
      <c r="C32" s="1157"/>
      <c r="D32" s="1155"/>
      <c r="E32" s="1156"/>
      <c r="F32" s="1156"/>
      <c r="G32" s="1156"/>
      <c r="H32" s="1156"/>
      <c r="I32" s="1156"/>
    </row>
    <row r="33" spans="1:9" s="1003" customFormat="1" ht="12" customHeight="1" x14ac:dyDescent="0.2">
      <c r="A33" s="1037" t="s">
        <v>51</v>
      </c>
      <c r="B33" s="1038" t="s">
        <v>247</v>
      </c>
      <c r="C33" s="1157"/>
      <c r="D33" s="1155"/>
      <c r="E33" s="1156"/>
      <c r="F33" s="1156"/>
      <c r="G33" s="1156"/>
      <c r="H33" s="1156"/>
      <c r="I33" s="1156"/>
    </row>
    <row r="34" spans="1:9" s="1003" customFormat="1" ht="12" customHeight="1" x14ac:dyDescent="0.2">
      <c r="A34" s="1037" t="s">
        <v>52</v>
      </c>
      <c r="B34" s="1038" t="s">
        <v>248</v>
      </c>
      <c r="C34" s="1157"/>
      <c r="D34" s="1155"/>
      <c r="E34" s="1156"/>
      <c r="F34" s="1156"/>
      <c r="G34" s="1156"/>
      <c r="H34" s="1156"/>
      <c r="I34" s="1156"/>
    </row>
    <row r="35" spans="1:9" s="1003" customFormat="1" ht="12" customHeight="1" x14ac:dyDescent="0.2">
      <c r="A35" s="1037" t="s">
        <v>53</v>
      </c>
      <c r="B35" s="1038" t="s">
        <v>249</v>
      </c>
      <c r="C35" s="1157"/>
      <c r="D35" s="1155"/>
      <c r="E35" s="1156"/>
      <c r="F35" s="1156"/>
      <c r="G35" s="1156"/>
      <c r="H35" s="1156"/>
      <c r="I35" s="1156"/>
    </row>
    <row r="36" spans="1:9" s="1003" customFormat="1" ht="12" customHeight="1" x14ac:dyDescent="0.2">
      <c r="A36" s="1037" t="s">
        <v>157</v>
      </c>
      <c r="B36" s="1038" t="s">
        <v>383</v>
      </c>
      <c r="C36" s="1157"/>
      <c r="D36" s="1155"/>
      <c r="E36" s="1156"/>
      <c r="F36" s="1156"/>
      <c r="G36" s="1156"/>
      <c r="H36" s="1156"/>
      <c r="I36" s="1156"/>
    </row>
    <row r="37" spans="1:9" s="1003" customFormat="1" ht="12" customHeight="1" x14ac:dyDescent="0.2">
      <c r="A37" s="1037" t="s">
        <v>48</v>
      </c>
      <c r="B37" s="1039" t="s">
        <v>384</v>
      </c>
      <c r="C37" s="1040">
        <f>+C38+C39+C40+C41+C42</f>
        <v>0</v>
      </c>
      <c r="D37" s="1041">
        <f>+D38+D39+D40+D41+D42</f>
        <v>0</v>
      </c>
      <c r="E37" s="1042">
        <f>+E38+E39+E40+E41+E42</f>
        <v>0</v>
      </c>
      <c r="F37" s="1042">
        <f t="shared" ref="F37:I37" si="6">+F38+F39+F40+F41+F42</f>
        <v>0</v>
      </c>
      <c r="G37" s="1042">
        <f t="shared" si="6"/>
        <v>0</v>
      </c>
      <c r="H37" s="1042">
        <f t="shared" si="6"/>
        <v>0</v>
      </c>
      <c r="I37" s="1042">
        <f t="shared" si="6"/>
        <v>0</v>
      </c>
    </row>
    <row r="38" spans="1:9" s="1003" customFormat="1" ht="12" customHeight="1" x14ac:dyDescent="0.2">
      <c r="A38" s="1037" t="s">
        <v>56</v>
      </c>
      <c r="B38" s="1038" t="s">
        <v>246</v>
      </c>
      <c r="C38" s="1157"/>
      <c r="D38" s="1155"/>
      <c r="E38" s="1156"/>
      <c r="F38" s="1156"/>
      <c r="G38" s="1156"/>
      <c r="H38" s="1156"/>
      <c r="I38" s="1156"/>
    </row>
    <row r="39" spans="1:9" s="1003" customFormat="1" ht="12" customHeight="1" x14ac:dyDescent="0.2">
      <c r="A39" s="1037" t="s">
        <v>57</v>
      </c>
      <c r="B39" s="1038" t="s">
        <v>247</v>
      </c>
      <c r="C39" s="1157"/>
      <c r="D39" s="1155"/>
      <c r="E39" s="1156"/>
      <c r="F39" s="1156"/>
      <c r="G39" s="1156"/>
      <c r="H39" s="1156"/>
      <c r="I39" s="1156"/>
    </row>
    <row r="40" spans="1:9" s="1003" customFormat="1" ht="12" customHeight="1" x14ac:dyDescent="0.2">
      <c r="A40" s="1037" t="s">
        <v>58</v>
      </c>
      <c r="B40" s="1038" t="s">
        <v>248</v>
      </c>
      <c r="C40" s="1157"/>
      <c r="D40" s="1155"/>
      <c r="E40" s="1156"/>
      <c r="F40" s="1156"/>
      <c r="G40" s="1156"/>
      <c r="H40" s="1156"/>
      <c r="I40" s="1156"/>
    </row>
    <row r="41" spans="1:9" s="1003" customFormat="1" ht="12" customHeight="1" x14ac:dyDescent="0.2">
      <c r="A41" s="1037" t="s">
        <v>59</v>
      </c>
      <c r="B41" s="1043" t="s">
        <v>249</v>
      </c>
      <c r="C41" s="1157"/>
      <c r="D41" s="1155"/>
      <c r="E41" s="1156"/>
      <c r="F41" s="1156"/>
      <c r="G41" s="1156"/>
      <c r="H41" s="1156"/>
      <c r="I41" s="1156"/>
    </row>
    <row r="42" spans="1:9" s="1003" customFormat="1" ht="12" customHeight="1" thickBot="1" x14ac:dyDescent="0.25">
      <c r="A42" s="1044" t="s">
        <v>158</v>
      </c>
      <c r="B42" s="1045" t="s">
        <v>385</v>
      </c>
      <c r="C42" s="1158"/>
      <c r="D42" s="1159"/>
      <c r="E42" s="1160"/>
      <c r="F42" s="1160"/>
      <c r="G42" s="1160"/>
      <c r="H42" s="1160"/>
      <c r="I42" s="1160"/>
    </row>
    <row r="43" spans="1:9" s="1003" customFormat="1" ht="12" customHeight="1" thickBot="1" x14ac:dyDescent="0.25">
      <c r="A43" s="1004" t="s">
        <v>159</v>
      </c>
      <c r="B43" s="1046" t="s">
        <v>250</v>
      </c>
      <c r="C43" s="1006">
        <f>+C44+C45</f>
        <v>0</v>
      </c>
      <c r="D43" s="1007">
        <f>+D44+D45</f>
        <v>0</v>
      </c>
      <c r="E43" s="1008">
        <f>+E44+E45</f>
        <v>0</v>
      </c>
      <c r="F43" s="1008">
        <f t="shared" ref="F43:I43" si="7">+F44+F45</f>
        <v>0</v>
      </c>
      <c r="G43" s="1008">
        <f t="shared" si="7"/>
        <v>0</v>
      </c>
      <c r="H43" s="1008">
        <f t="shared" si="7"/>
        <v>0</v>
      </c>
      <c r="I43" s="1008">
        <f t="shared" si="7"/>
        <v>0</v>
      </c>
    </row>
    <row r="44" spans="1:9" s="1003" customFormat="1" ht="12" customHeight="1" x14ac:dyDescent="0.2">
      <c r="A44" s="1027" t="s">
        <v>54</v>
      </c>
      <c r="B44" s="1014" t="s">
        <v>251</v>
      </c>
      <c r="C44" s="1161"/>
      <c r="D44" s="1093"/>
      <c r="E44" s="1094"/>
      <c r="F44" s="1094"/>
      <c r="G44" s="1094"/>
      <c r="H44" s="1094"/>
      <c r="I44" s="1094"/>
    </row>
    <row r="45" spans="1:9" s="1003" customFormat="1" ht="12" customHeight="1" thickBot="1" x14ac:dyDescent="0.25">
      <c r="A45" s="1020" t="s">
        <v>55</v>
      </c>
      <c r="B45" s="1047" t="s">
        <v>255</v>
      </c>
      <c r="C45" s="1162"/>
      <c r="D45" s="1163"/>
      <c r="E45" s="1164"/>
      <c r="F45" s="1164"/>
      <c r="G45" s="1164"/>
      <c r="H45" s="1164"/>
      <c r="I45" s="1164"/>
    </row>
    <row r="46" spans="1:9" s="1003" customFormat="1" ht="12" customHeight="1" thickBot="1" x14ac:dyDescent="0.25">
      <c r="A46" s="1004" t="s">
        <v>976</v>
      </c>
      <c r="B46" s="1046" t="s">
        <v>254</v>
      </c>
      <c r="C46" s="1006">
        <f>+C47+C48+C49</f>
        <v>0</v>
      </c>
      <c r="D46" s="1007">
        <f>+D47+D48+D49</f>
        <v>0</v>
      </c>
      <c r="E46" s="1008">
        <f>+E47+E48+E49</f>
        <v>0</v>
      </c>
      <c r="F46" s="1008">
        <f t="shared" ref="F46:I46" si="8">+F47+F48+F49</f>
        <v>0</v>
      </c>
      <c r="G46" s="1008">
        <f t="shared" si="8"/>
        <v>0</v>
      </c>
      <c r="H46" s="1008">
        <f t="shared" si="8"/>
        <v>0</v>
      </c>
      <c r="I46" s="1008">
        <f t="shared" si="8"/>
        <v>0</v>
      </c>
    </row>
    <row r="47" spans="1:9" s="1003" customFormat="1" ht="12" customHeight="1" x14ac:dyDescent="0.2">
      <c r="A47" s="1027" t="s">
        <v>162</v>
      </c>
      <c r="B47" s="1014" t="s">
        <v>160</v>
      </c>
      <c r="C47" s="1165"/>
      <c r="D47" s="1166"/>
      <c r="E47" s="1167"/>
      <c r="F47" s="1167"/>
      <c r="G47" s="1167"/>
      <c r="H47" s="1167"/>
      <c r="I47" s="1167"/>
    </row>
    <row r="48" spans="1:9" s="1003" customFormat="1" ht="12" customHeight="1" x14ac:dyDescent="0.2">
      <c r="A48" s="1009" t="s">
        <v>163</v>
      </c>
      <c r="B48" s="1038" t="s">
        <v>1050</v>
      </c>
      <c r="C48" s="1154"/>
      <c r="D48" s="1155"/>
      <c r="E48" s="1156"/>
      <c r="F48" s="1156"/>
      <c r="G48" s="1156"/>
      <c r="H48" s="1156"/>
      <c r="I48" s="1156"/>
    </row>
    <row r="49" spans="1:9" s="1003" customFormat="1" ht="12" customHeight="1" thickBot="1" x14ac:dyDescent="0.25">
      <c r="A49" s="1020" t="s">
        <v>312</v>
      </c>
      <c r="B49" s="1047" t="s">
        <v>252</v>
      </c>
      <c r="C49" s="1168"/>
      <c r="D49" s="1169"/>
      <c r="E49" s="1170"/>
      <c r="F49" s="1170"/>
      <c r="G49" s="1170"/>
      <c r="H49" s="1170"/>
      <c r="I49" s="1170"/>
    </row>
    <row r="50" spans="1:9" s="1003" customFormat="1" ht="17.25" customHeight="1" thickBot="1" x14ac:dyDescent="0.25">
      <c r="A50" s="1004" t="s">
        <v>164</v>
      </c>
      <c r="B50" s="1048" t="s">
        <v>253</v>
      </c>
      <c r="C50" s="1171"/>
      <c r="D50" s="1100"/>
      <c r="E50" s="1101"/>
      <c r="F50" s="1101"/>
      <c r="G50" s="1101"/>
      <c r="H50" s="1101"/>
      <c r="I50" s="1101"/>
    </row>
    <row r="51" spans="1:9" s="1003" customFormat="1" ht="12" customHeight="1" thickBot="1" x14ac:dyDescent="0.25">
      <c r="A51" s="1004" t="s">
        <v>978</v>
      </c>
      <c r="B51" s="1050" t="s">
        <v>165</v>
      </c>
      <c r="C51" s="1051">
        <f>+C6+C11+C20+C21+C30+C43+C46+C50</f>
        <v>0</v>
      </c>
      <c r="D51" s="1052">
        <f>+D6+D11+D20+D21+D30+D43+D46+D50</f>
        <v>958</v>
      </c>
      <c r="E51" s="1053">
        <f>+E6+E11+E20+E21+E30+E43+E46+E50</f>
        <v>0</v>
      </c>
      <c r="F51" s="1053">
        <f t="shared" ref="F51:I51" si="9">+F6+F11+F20+F21+F30+F43+F46+F50</f>
        <v>0</v>
      </c>
      <c r="G51" s="1053">
        <f t="shared" si="9"/>
        <v>0</v>
      </c>
      <c r="H51" s="1053">
        <f t="shared" si="9"/>
        <v>0</v>
      </c>
      <c r="I51" s="1053">
        <f t="shared" si="9"/>
        <v>0</v>
      </c>
    </row>
    <row r="52" spans="1:9" s="1003" customFormat="1" ht="12" customHeight="1" thickBot="1" x14ac:dyDescent="0.25">
      <c r="A52" s="1054" t="s">
        <v>979</v>
      </c>
      <c r="B52" s="1005" t="s">
        <v>256</v>
      </c>
      <c r="C52" s="1055">
        <f>+C53+C59</f>
        <v>0</v>
      </c>
      <c r="D52" s="1056">
        <f>+D53+D59</f>
        <v>0</v>
      </c>
      <c r="E52" s="1057">
        <f>+E53+E59</f>
        <v>0</v>
      </c>
      <c r="F52" s="1057">
        <f t="shared" ref="F52:I52" si="10">+F53+F59</f>
        <v>0</v>
      </c>
      <c r="G52" s="1057">
        <f t="shared" si="10"/>
        <v>0</v>
      </c>
      <c r="H52" s="1057">
        <f t="shared" si="10"/>
        <v>0</v>
      </c>
      <c r="I52" s="1057">
        <f t="shared" si="10"/>
        <v>0</v>
      </c>
    </row>
    <row r="53" spans="1:9" s="1003" customFormat="1" ht="12" customHeight="1" x14ac:dyDescent="0.2">
      <c r="A53" s="1058" t="s">
        <v>95</v>
      </c>
      <c r="B53" s="1033" t="s">
        <v>257</v>
      </c>
      <c r="C53" s="1059">
        <f>+C54+C55+C56+C57+C58</f>
        <v>0</v>
      </c>
      <c r="D53" s="1035">
        <f>+D54+D55+D56+D57+D58</f>
        <v>0</v>
      </c>
      <c r="E53" s="1036">
        <f>+E54+E55+E56+E57+E58</f>
        <v>0</v>
      </c>
      <c r="F53" s="1036">
        <f t="shared" ref="F53:I53" si="11">+F54+F55+F56+F57+F58</f>
        <v>0</v>
      </c>
      <c r="G53" s="1036">
        <f t="shared" si="11"/>
        <v>0</v>
      </c>
      <c r="H53" s="1036">
        <f t="shared" si="11"/>
        <v>0</v>
      </c>
      <c r="I53" s="1036">
        <f t="shared" si="11"/>
        <v>0</v>
      </c>
    </row>
    <row r="54" spans="1:9" s="1003" customFormat="1" ht="15" customHeight="1" x14ac:dyDescent="0.2">
      <c r="A54" s="1172" t="s">
        <v>272</v>
      </c>
      <c r="B54" s="1038" t="s">
        <v>258</v>
      </c>
      <c r="C54" s="1154"/>
      <c r="D54" s="1155"/>
      <c r="E54" s="1156"/>
      <c r="F54" s="1156"/>
      <c r="G54" s="1156"/>
      <c r="H54" s="1156"/>
      <c r="I54" s="1156"/>
    </row>
    <row r="55" spans="1:9" s="1003" customFormat="1" ht="12" customHeight="1" x14ac:dyDescent="0.2">
      <c r="A55" s="1172" t="s">
        <v>273</v>
      </c>
      <c r="B55" s="1038" t="s">
        <v>259</v>
      </c>
      <c r="C55" s="1154"/>
      <c r="D55" s="1155"/>
      <c r="E55" s="1156"/>
      <c r="F55" s="1156"/>
      <c r="G55" s="1156"/>
      <c r="H55" s="1156"/>
      <c r="I55" s="1156"/>
    </row>
    <row r="56" spans="1:9" s="1003" customFormat="1" ht="12" customHeight="1" x14ac:dyDescent="0.2">
      <c r="A56" s="1172" t="s">
        <v>274</v>
      </c>
      <c r="B56" s="1038" t="s">
        <v>260</v>
      </c>
      <c r="C56" s="1154"/>
      <c r="D56" s="1155"/>
      <c r="E56" s="1156"/>
      <c r="F56" s="1156"/>
      <c r="G56" s="1156"/>
      <c r="H56" s="1156"/>
      <c r="I56" s="1156"/>
    </row>
    <row r="57" spans="1:9" s="1003" customFormat="1" ht="12" customHeight="1" x14ac:dyDescent="0.2">
      <c r="A57" s="1172" t="s">
        <v>275</v>
      </c>
      <c r="B57" s="1038" t="s">
        <v>261</v>
      </c>
      <c r="C57" s="1154"/>
      <c r="D57" s="1155"/>
      <c r="E57" s="1156"/>
      <c r="F57" s="1156"/>
      <c r="G57" s="1156"/>
      <c r="H57" s="1156"/>
      <c r="I57" s="1156"/>
    </row>
    <row r="58" spans="1:9" s="1003" customFormat="1" ht="12" customHeight="1" x14ac:dyDescent="0.2">
      <c r="A58" s="1172" t="s">
        <v>276</v>
      </c>
      <c r="B58" s="1038" t="s">
        <v>262</v>
      </c>
      <c r="C58" s="1154"/>
      <c r="D58" s="1155"/>
      <c r="E58" s="1156"/>
      <c r="F58" s="1156"/>
      <c r="G58" s="1156"/>
      <c r="H58" s="1156"/>
      <c r="I58" s="1156"/>
    </row>
    <row r="59" spans="1:9" s="1003" customFormat="1" ht="12" customHeight="1" x14ac:dyDescent="0.2">
      <c r="A59" s="1061" t="s">
        <v>96</v>
      </c>
      <c r="B59" s="1039" t="s">
        <v>263</v>
      </c>
      <c r="C59" s="1062">
        <f>+C60+C61+C62+C63+C64</f>
        <v>0</v>
      </c>
      <c r="D59" s="1041">
        <f>+D60+D61+D62+D63+D64</f>
        <v>0</v>
      </c>
      <c r="E59" s="1042">
        <f>+E60+E61+E62+E63+E64</f>
        <v>0</v>
      </c>
      <c r="F59" s="1042">
        <f t="shared" ref="F59:I59" si="12">+F60+F61+F62+F63+F64</f>
        <v>0</v>
      </c>
      <c r="G59" s="1042">
        <f t="shared" si="12"/>
        <v>0</v>
      </c>
      <c r="H59" s="1042">
        <f t="shared" si="12"/>
        <v>0</v>
      </c>
      <c r="I59" s="1042">
        <f t="shared" si="12"/>
        <v>0</v>
      </c>
    </row>
    <row r="60" spans="1:9" s="1003" customFormat="1" ht="12" customHeight="1" x14ac:dyDescent="0.2">
      <c r="A60" s="1172" t="s">
        <v>277</v>
      </c>
      <c r="B60" s="1038" t="s">
        <v>264</v>
      </c>
      <c r="C60" s="1154"/>
      <c r="D60" s="1155"/>
      <c r="E60" s="1156"/>
      <c r="F60" s="1156"/>
      <c r="G60" s="1156"/>
      <c r="H60" s="1156"/>
      <c r="I60" s="1156"/>
    </row>
    <row r="61" spans="1:9" s="1003" customFormat="1" ht="12" customHeight="1" x14ac:dyDescent="0.2">
      <c r="A61" s="1172" t="s">
        <v>278</v>
      </c>
      <c r="B61" s="1038" t="s">
        <v>265</v>
      </c>
      <c r="C61" s="1154"/>
      <c r="D61" s="1155"/>
      <c r="E61" s="1156"/>
      <c r="F61" s="1156"/>
      <c r="G61" s="1156"/>
      <c r="H61" s="1156"/>
      <c r="I61" s="1156"/>
    </row>
    <row r="62" spans="1:9" s="1003" customFormat="1" ht="12" customHeight="1" x14ac:dyDescent="0.2">
      <c r="A62" s="1172" t="s">
        <v>279</v>
      </c>
      <c r="B62" s="1038" t="s">
        <v>266</v>
      </c>
      <c r="C62" s="1154"/>
      <c r="D62" s="1155"/>
      <c r="E62" s="1156"/>
      <c r="F62" s="1156"/>
      <c r="G62" s="1156"/>
      <c r="H62" s="1156"/>
      <c r="I62" s="1156"/>
    </row>
    <row r="63" spans="1:9" s="1003" customFormat="1" ht="12" customHeight="1" x14ac:dyDescent="0.2">
      <c r="A63" s="1172" t="s">
        <v>280</v>
      </c>
      <c r="B63" s="1038" t="s">
        <v>267</v>
      </c>
      <c r="C63" s="1154"/>
      <c r="D63" s="1155"/>
      <c r="E63" s="1156"/>
      <c r="F63" s="1156"/>
      <c r="G63" s="1156"/>
      <c r="H63" s="1156"/>
      <c r="I63" s="1156"/>
    </row>
    <row r="64" spans="1:9" s="1003" customFormat="1" ht="12" customHeight="1" thickBot="1" x14ac:dyDescent="0.25">
      <c r="A64" s="1204" t="s">
        <v>281</v>
      </c>
      <c r="B64" s="1047" t="s">
        <v>268</v>
      </c>
      <c r="C64" s="1173"/>
      <c r="D64" s="1174"/>
      <c r="E64" s="1175"/>
      <c r="F64" s="1175"/>
      <c r="G64" s="1175"/>
      <c r="H64" s="1175"/>
      <c r="I64" s="1175"/>
    </row>
    <row r="65" spans="1:9" s="1003" customFormat="1" ht="12" customHeight="1" thickBot="1" x14ac:dyDescent="0.25">
      <c r="A65" s="1064" t="s">
        <v>980</v>
      </c>
      <c r="B65" s="1065" t="s">
        <v>269</v>
      </c>
      <c r="C65" s="1055">
        <f>+C51+C52</f>
        <v>0</v>
      </c>
      <c r="D65" s="1056">
        <f>+D51+D52</f>
        <v>958</v>
      </c>
      <c r="E65" s="1057">
        <f>+E51+E52</f>
        <v>0</v>
      </c>
      <c r="F65" s="1057">
        <f t="shared" ref="F65:I65" si="13">+F51+F52</f>
        <v>0</v>
      </c>
      <c r="G65" s="1057">
        <f t="shared" si="13"/>
        <v>0</v>
      </c>
      <c r="H65" s="1057">
        <f t="shared" si="13"/>
        <v>0</v>
      </c>
      <c r="I65" s="1057">
        <f t="shared" si="13"/>
        <v>0</v>
      </c>
    </row>
    <row r="66" spans="1:9" s="1003" customFormat="1" ht="13.5" customHeight="1" thickBot="1" x14ac:dyDescent="0.25">
      <c r="A66" s="1066" t="s">
        <v>981</v>
      </c>
      <c r="B66" s="1067" t="s">
        <v>270</v>
      </c>
      <c r="C66" s="1177"/>
      <c r="D66" s="1178"/>
      <c r="E66" s="1179"/>
      <c r="F66" s="1179"/>
      <c r="G66" s="1179"/>
      <c r="H66" s="1179"/>
      <c r="I66" s="1179"/>
    </row>
    <row r="67" spans="1:9" s="1003" customFormat="1" ht="12" customHeight="1" thickBot="1" x14ac:dyDescent="0.25">
      <c r="A67" s="1064" t="s">
        <v>982</v>
      </c>
      <c r="B67" s="1065" t="s">
        <v>271</v>
      </c>
      <c r="C67" s="1055">
        <f>+C65+C66</f>
        <v>0</v>
      </c>
      <c r="D67" s="1056">
        <f>+D65+D66</f>
        <v>958</v>
      </c>
      <c r="E67" s="1057">
        <f>+E65+E66</f>
        <v>0</v>
      </c>
      <c r="F67" s="1057">
        <f t="shared" ref="F67:I67" si="14">+F65+F66</f>
        <v>0</v>
      </c>
      <c r="G67" s="1057">
        <f t="shared" si="14"/>
        <v>0</v>
      </c>
      <c r="H67" s="1057">
        <f t="shared" si="14"/>
        <v>0</v>
      </c>
      <c r="I67" s="1057">
        <f t="shared" si="14"/>
        <v>0</v>
      </c>
    </row>
    <row r="68" spans="1:9" s="1003" customFormat="1" ht="12.95" customHeight="1" x14ac:dyDescent="0.2">
      <c r="A68" s="1068"/>
      <c r="B68" s="1069"/>
      <c r="C68" s="1070"/>
      <c r="D68" s="1070"/>
      <c r="E68" s="1070"/>
      <c r="F68" s="1070"/>
      <c r="G68" s="1070"/>
      <c r="H68" s="1070"/>
      <c r="I68" s="1070"/>
    </row>
    <row r="69" spans="1:9" ht="16.5" customHeight="1" x14ac:dyDescent="0.25">
      <c r="A69" s="1507" t="s">
        <v>998</v>
      </c>
      <c r="B69" s="1507"/>
      <c r="C69" s="1507"/>
      <c r="D69" s="987"/>
      <c r="E69" s="987"/>
      <c r="F69" s="987"/>
      <c r="G69" s="987"/>
      <c r="H69" s="987"/>
      <c r="I69" s="987"/>
    </row>
    <row r="70" spans="1:9" s="1072" customFormat="1" ht="16.5" customHeight="1" thickBot="1" x14ac:dyDescent="0.3">
      <c r="A70" s="1510" t="s">
        <v>103</v>
      </c>
      <c r="B70" s="1510"/>
      <c r="C70" s="1071"/>
      <c r="D70" s="989"/>
      <c r="E70" s="989"/>
      <c r="F70" s="989"/>
      <c r="G70" s="989"/>
      <c r="H70" s="989"/>
      <c r="I70" s="989"/>
    </row>
    <row r="71" spans="1:9" s="994" customFormat="1" ht="38.1" customHeight="1" thickBot="1" x14ac:dyDescent="0.3">
      <c r="A71" s="990" t="s">
        <v>967</v>
      </c>
      <c r="B71" s="991" t="s">
        <v>999</v>
      </c>
      <c r="C71" s="992" t="s">
        <v>1037</v>
      </c>
      <c r="D71" s="993" t="s">
        <v>1038</v>
      </c>
      <c r="E71" s="933" t="s">
        <v>1039</v>
      </c>
      <c r="F71" s="933" t="s">
        <v>1148</v>
      </c>
      <c r="G71" s="933" t="s">
        <v>1189</v>
      </c>
      <c r="H71" s="933" t="s">
        <v>1190</v>
      </c>
      <c r="I71" s="933" t="s">
        <v>1147</v>
      </c>
    </row>
    <row r="72" spans="1:9" s="997" customFormat="1" ht="12" customHeight="1" thickBot="1" x14ac:dyDescent="0.25">
      <c r="A72" s="995">
        <v>1</v>
      </c>
      <c r="B72" s="996">
        <v>2</v>
      </c>
      <c r="C72" s="992">
        <v>3</v>
      </c>
      <c r="D72" s="993">
        <v>4</v>
      </c>
      <c r="E72" s="933">
        <v>3</v>
      </c>
      <c r="F72" s="933">
        <v>4</v>
      </c>
      <c r="G72" s="933">
        <v>5</v>
      </c>
      <c r="H72" s="933"/>
      <c r="I72" s="933">
        <v>6</v>
      </c>
    </row>
    <row r="73" spans="1:9" ht="12" customHeight="1" thickBot="1" x14ac:dyDescent="0.3">
      <c r="A73" s="998" t="s">
        <v>969</v>
      </c>
      <c r="B73" s="1073" t="s">
        <v>166</v>
      </c>
      <c r="C73" s="1000">
        <f>+C74+C75+C76+C77+C78</f>
        <v>0</v>
      </c>
      <c r="D73" s="1001">
        <f>+D74+D75+D76+D77+D78</f>
        <v>958</v>
      </c>
      <c r="E73" s="1002">
        <f>+E74+E75+E76+E77+E78</f>
        <v>0</v>
      </c>
      <c r="F73" s="1002">
        <f t="shared" ref="F73:I73" si="15">+F74+F75+F76+F77+F78</f>
        <v>0</v>
      </c>
      <c r="G73" s="1002">
        <f t="shared" si="15"/>
        <v>0</v>
      </c>
      <c r="H73" s="1002">
        <f t="shared" si="15"/>
        <v>0</v>
      </c>
      <c r="I73" s="1002">
        <f t="shared" si="15"/>
        <v>0</v>
      </c>
    </row>
    <row r="74" spans="1:9" ht="12" customHeight="1" x14ac:dyDescent="0.25">
      <c r="A74" s="1017" t="s">
        <v>60</v>
      </c>
      <c r="B74" s="1018" t="s">
        <v>1000</v>
      </c>
      <c r="C74" s="1074"/>
      <c r="D74" s="1075"/>
      <c r="E74" s="1076"/>
      <c r="F74" s="1076"/>
      <c r="G74" s="1076"/>
      <c r="H74" s="1076"/>
      <c r="I74" s="1076"/>
    </row>
    <row r="75" spans="1:9" ht="12" customHeight="1" x14ac:dyDescent="0.25">
      <c r="A75" s="1009" t="s">
        <v>61</v>
      </c>
      <c r="B75" s="1019" t="s">
        <v>167</v>
      </c>
      <c r="C75" s="1077"/>
      <c r="D75" s="1012"/>
      <c r="E75" s="1013"/>
      <c r="F75" s="1013"/>
      <c r="G75" s="1013"/>
      <c r="H75" s="1013"/>
      <c r="I75" s="1013"/>
    </row>
    <row r="76" spans="1:9" ht="12" customHeight="1" x14ac:dyDescent="0.25">
      <c r="A76" s="1009" t="s">
        <v>62</v>
      </c>
      <c r="B76" s="1019" t="s">
        <v>91</v>
      </c>
      <c r="C76" s="1078"/>
      <c r="D76" s="1079">
        <v>958</v>
      </c>
      <c r="E76" s="1080"/>
      <c r="F76" s="1080"/>
      <c r="G76" s="1080"/>
      <c r="H76" s="1080"/>
      <c r="I76" s="1080"/>
    </row>
    <row r="77" spans="1:9" ht="12" customHeight="1" x14ac:dyDescent="0.25">
      <c r="A77" s="1009" t="s">
        <v>63</v>
      </c>
      <c r="B77" s="1081" t="s">
        <v>168</v>
      </c>
      <c r="C77" s="1078"/>
      <c r="D77" s="1079"/>
      <c r="E77" s="1080"/>
      <c r="F77" s="1080"/>
      <c r="G77" s="1080"/>
      <c r="H77" s="1080"/>
      <c r="I77" s="1080"/>
    </row>
    <row r="78" spans="1:9" ht="12" customHeight="1" x14ac:dyDescent="0.25">
      <c r="A78" s="1009" t="s">
        <v>74</v>
      </c>
      <c r="B78" s="1082" t="s">
        <v>169</v>
      </c>
      <c r="C78" s="1078"/>
      <c r="D78" s="1079"/>
      <c r="E78" s="1080"/>
      <c r="F78" s="1080"/>
      <c r="G78" s="1080"/>
      <c r="H78" s="1080"/>
      <c r="I78" s="1080"/>
    </row>
    <row r="79" spans="1:9" ht="12" customHeight="1" x14ac:dyDescent="0.25">
      <c r="A79" s="1009" t="s">
        <v>64</v>
      </c>
      <c r="B79" s="1019" t="s">
        <v>191</v>
      </c>
      <c r="C79" s="1078"/>
      <c r="D79" s="1079"/>
      <c r="E79" s="1080"/>
      <c r="F79" s="1080"/>
      <c r="G79" s="1080"/>
      <c r="H79" s="1080"/>
      <c r="I79" s="1080"/>
    </row>
    <row r="80" spans="1:9" ht="12" customHeight="1" x14ac:dyDescent="0.25">
      <c r="A80" s="1009" t="s">
        <v>65</v>
      </c>
      <c r="B80" s="1083" t="s">
        <v>192</v>
      </c>
      <c r="C80" s="1078"/>
      <c r="D80" s="1079"/>
      <c r="E80" s="1080"/>
      <c r="F80" s="1080"/>
      <c r="G80" s="1080"/>
      <c r="H80" s="1080"/>
      <c r="I80" s="1080"/>
    </row>
    <row r="81" spans="1:9" ht="12" customHeight="1" x14ac:dyDescent="0.25">
      <c r="A81" s="1009" t="s">
        <v>75</v>
      </c>
      <c r="B81" s="1083" t="s">
        <v>282</v>
      </c>
      <c r="C81" s="1078"/>
      <c r="D81" s="1079"/>
      <c r="E81" s="1080"/>
      <c r="F81" s="1080"/>
      <c r="G81" s="1080"/>
      <c r="H81" s="1080"/>
      <c r="I81" s="1080"/>
    </row>
    <row r="82" spans="1:9" ht="12" customHeight="1" x14ac:dyDescent="0.25">
      <c r="A82" s="1009" t="s">
        <v>76</v>
      </c>
      <c r="B82" s="1084" t="s">
        <v>193</v>
      </c>
      <c r="C82" s="1078"/>
      <c r="D82" s="1079"/>
      <c r="E82" s="1080"/>
      <c r="F82" s="1080"/>
      <c r="G82" s="1080"/>
      <c r="H82" s="1080"/>
      <c r="I82" s="1080"/>
    </row>
    <row r="83" spans="1:9" ht="12" customHeight="1" x14ac:dyDescent="0.25">
      <c r="A83" s="1020" t="s">
        <v>77</v>
      </c>
      <c r="B83" s="1085" t="s">
        <v>194</v>
      </c>
      <c r="C83" s="1078"/>
      <c r="D83" s="1079"/>
      <c r="E83" s="1080"/>
      <c r="F83" s="1080"/>
      <c r="G83" s="1080"/>
      <c r="H83" s="1080"/>
      <c r="I83" s="1080"/>
    </row>
    <row r="84" spans="1:9" ht="12" customHeight="1" x14ac:dyDescent="0.25">
      <c r="A84" s="1009" t="s">
        <v>78</v>
      </c>
      <c r="B84" s="1085" t="s">
        <v>195</v>
      </c>
      <c r="C84" s="1078"/>
      <c r="D84" s="1079"/>
      <c r="E84" s="1080"/>
      <c r="F84" s="1080"/>
      <c r="G84" s="1080"/>
      <c r="H84" s="1080"/>
      <c r="I84" s="1080"/>
    </row>
    <row r="85" spans="1:9" ht="12" customHeight="1" thickBot="1" x14ac:dyDescent="0.3">
      <c r="A85" s="1086" t="s">
        <v>80</v>
      </c>
      <c r="B85" s="1087" t="s">
        <v>196</v>
      </c>
      <c r="C85" s="1088"/>
      <c r="D85" s="1089"/>
      <c r="E85" s="1090"/>
      <c r="F85" s="1090"/>
      <c r="G85" s="1090"/>
      <c r="H85" s="1090"/>
      <c r="I85" s="1090"/>
    </row>
    <row r="86" spans="1:9" ht="12" customHeight="1" thickBot="1" x14ac:dyDescent="0.3">
      <c r="A86" s="1004" t="s">
        <v>970</v>
      </c>
      <c r="B86" s="1091" t="s">
        <v>313</v>
      </c>
      <c r="C86" s="1016">
        <f>+C87+C88+C89</f>
        <v>0</v>
      </c>
      <c r="D86" s="1007">
        <f>+D87+D88+D89</f>
        <v>0</v>
      </c>
      <c r="E86" s="1008">
        <f>+E87+E88+E89</f>
        <v>0</v>
      </c>
      <c r="F86" s="1008">
        <f t="shared" ref="F86:I86" si="16">+F87+F88+F89</f>
        <v>0</v>
      </c>
      <c r="G86" s="1008">
        <f t="shared" si="16"/>
        <v>0</v>
      </c>
      <c r="H86" s="1008">
        <f t="shared" si="16"/>
        <v>0</v>
      </c>
      <c r="I86" s="1008">
        <f t="shared" si="16"/>
        <v>0</v>
      </c>
    </row>
    <row r="87" spans="1:9" ht="12" customHeight="1" x14ac:dyDescent="0.25">
      <c r="A87" s="1027" t="s">
        <v>66</v>
      </c>
      <c r="B87" s="1019" t="s">
        <v>283</v>
      </c>
      <c r="C87" s="1092"/>
      <c r="D87" s="1093"/>
      <c r="E87" s="1094"/>
      <c r="F87" s="1094"/>
      <c r="G87" s="1094"/>
      <c r="H87" s="1094"/>
      <c r="I87" s="1094"/>
    </row>
    <row r="88" spans="1:9" ht="12" customHeight="1" x14ac:dyDescent="0.25">
      <c r="A88" s="1027" t="s">
        <v>67</v>
      </c>
      <c r="B88" s="1030" t="s">
        <v>171</v>
      </c>
      <c r="C88" s="1077"/>
      <c r="D88" s="1012"/>
      <c r="E88" s="1013"/>
      <c r="F88" s="1013"/>
      <c r="G88" s="1013"/>
      <c r="H88" s="1013"/>
      <c r="I88" s="1013"/>
    </row>
    <row r="89" spans="1:9" ht="12" customHeight="1" x14ac:dyDescent="0.25">
      <c r="A89" s="1027" t="s">
        <v>68</v>
      </c>
      <c r="B89" s="1038" t="s">
        <v>314</v>
      </c>
      <c r="C89" s="1011"/>
      <c r="D89" s="1012"/>
      <c r="E89" s="1013"/>
      <c r="F89" s="1013"/>
      <c r="G89" s="1013"/>
      <c r="H89" s="1013"/>
      <c r="I89" s="1013"/>
    </row>
    <row r="90" spans="1:9" ht="12" customHeight="1" x14ac:dyDescent="0.25">
      <c r="A90" s="1027" t="s">
        <v>69</v>
      </c>
      <c r="B90" s="1038" t="s">
        <v>386</v>
      </c>
      <c r="C90" s="1011"/>
      <c r="D90" s="1012"/>
      <c r="E90" s="1013"/>
      <c r="F90" s="1013"/>
      <c r="G90" s="1013"/>
      <c r="H90" s="1013"/>
      <c r="I90" s="1013"/>
    </row>
    <row r="91" spans="1:9" ht="12" customHeight="1" x14ac:dyDescent="0.25">
      <c r="A91" s="1027" t="s">
        <v>70</v>
      </c>
      <c r="B91" s="1038" t="s">
        <v>315</v>
      </c>
      <c r="C91" s="1011"/>
      <c r="D91" s="1012"/>
      <c r="E91" s="1013"/>
      <c r="F91" s="1013"/>
      <c r="G91" s="1013"/>
      <c r="H91" s="1013"/>
      <c r="I91" s="1013"/>
    </row>
    <row r="92" spans="1:9" x14ac:dyDescent="0.25">
      <c r="A92" s="1027" t="s">
        <v>79</v>
      </c>
      <c r="B92" s="1038" t="s">
        <v>316</v>
      </c>
      <c r="C92" s="1011"/>
      <c r="D92" s="1012"/>
      <c r="E92" s="1013"/>
      <c r="F92" s="1013"/>
      <c r="G92" s="1013"/>
      <c r="H92" s="1013"/>
      <c r="I92" s="1013"/>
    </row>
    <row r="93" spans="1:9" ht="12" customHeight="1" x14ac:dyDescent="0.25">
      <c r="A93" s="1027" t="s">
        <v>81</v>
      </c>
      <c r="B93" s="1095" t="s">
        <v>287</v>
      </c>
      <c r="C93" s="1011"/>
      <c r="D93" s="1012"/>
      <c r="E93" s="1013"/>
      <c r="F93" s="1013"/>
      <c r="G93" s="1013"/>
      <c r="H93" s="1013"/>
      <c r="I93" s="1013"/>
    </row>
    <row r="94" spans="1:9" ht="12" customHeight="1" x14ac:dyDescent="0.25">
      <c r="A94" s="1027" t="s">
        <v>172</v>
      </c>
      <c r="B94" s="1095" t="s">
        <v>288</v>
      </c>
      <c r="C94" s="1011"/>
      <c r="D94" s="1012"/>
      <c r="E94" s="1013"/>
      <c r="F94" s="1013"/>
      <c r="G94" s="1013"/>
      <c r="H94" s="1013"/>
      <c r="I94" s="1013"/>
    </row>
    <row r="95" spans="1:9" ht="12" customHeight="1" x14ac:dyDescent="0.25">
      <c r="A95" s="1027" t="s">
        <v>173</v>
      </c>
      <c r="B95" s="1095" t="s">
        <v>286</v>
      </c>
      <c r="C95" s="1011"/>
      <c r="D95" s="1012"/>
      <c r="E95" s="1013"/>
      <c r="F95" s="1013"/>
      <c r="G95" s="1013"/>
      <c r="H95" s="1013"/>
      <c r="I95" s="1013"/>
    </row>
    <row r="96" spans="1:9" ht="24" customHeight="1" thickBot="1" x14ac:dyDescent="0.3">
      <c r="A96" s="1020" t="s">
        <v>174</v>
      </c>
      <c r="B96" s="1096" t="s">
        <v>285</v>
      </c>
      <c r="C96" s="1097"/>
      <c r="D96" s="1079"/>
      <c r="E96" s="1080"/>
      <c r="F96" s="1080"/>
      <c r="G96" s="1080"/>
      <c r="H96" s="1080"/>
      <c r="I96" s="1080"/>
    </row>
    <row r="97" spans="1:9" ht="12" customHeight="1" thickBot="1" x14ac:dyDescent="0.3">
      <c r="A97" s="1004" t="s">
        <v>971</v>
      </c>
      <c r="B97" s="1098" t="s">
        <v>317</v>
      </c>
      <c r="C97" s="1016">
        <f>+C98+C99</f>
        <v>0</v>
      </c>
      <c r="D97" s="1007">
        <f>+D98+D99</f>
        <v>0</v>
      </c>
      <c r="E97" s="1008">
        <f>+E98+E99</f>
        <v>0</v>
      </c>
      <c r="F97" s="1008">
        <f t="shared" ref="F97:I97" si="17">+F98+F99</f>
        <v>0</v>
      </c>
      <c r="G97" s="1008">
        <f t="shared" si="17"/>
        <v>0</v>
      </c>
      <c r="H97" s="1008">
        <f t="shared" si="17"/>
        <v>0</v>
      </c>
      <c r="I97" s="1008">
        <f t="shared" si="17"/>
        <v>0</v>
      </c>
    </row>
    <row r="98" spans="1:9" ht="12" customHeight="1" x14ac:dyDescent="0.25">
      <c r="A98" s="1027" t="s">
        <v>40</v>
      </c>
      <c r="B98" s="1028" t="s">
        <v>3</v>
      </c>
      <c r="C98" s="1092"/>
      <c r="D98" s="1093"/>
      <c r="E98" s="1094"/>
      <c r="F98" s="1094"/>
      <c r="G98" s="1094"/>
      <c r="H98" s="1094"/>
      <c r="I98" s="1094"/>
    </row>
    <row r="99" spans="1:9" ht="12" customHeight="1" thickBot="1" x14ac:dyDescent="0.3">
      <c r="A99" s="1029" t="s">
        <v>41</v>
      </c>
      <c r="B99" s="1030" t="s">
        <v>4</v>
      </c>
      <c r="C99" s="1078"/>
      <c r="D99" s="1079"/>
      <c r="E99" s="1080"/>
      <c r="F99" s="1080"/>
      <c r="G99" s="1080"/>
      <c r="H99" s="1080"/>
      <c r="I99" s="1080"/>
    </row>
    <row r="100" spans="1:9" s="1102" customFormat="1" ht="12" customHeight="1" thickBot="1" x14ac:dyDescent="0.25">
      <c r="A100" s="1054" t="s">
        <v>972</v>
      </c>
      <c r="B100" s="1005" t="s">
        <v>289</v>
      </c>
      <c r="C100" s="1099"/>
      <c r="D100" s="1100"/>
      <c r="E100" s="1101"/>
      <c r="F100" s="1101"/>
      <c r="G100" s="1101"/>
      <c r="H100" s="1101"/>
      <c r="I100" s="1101"/>
    </row>
    <row r="101" spans="1:9" ht="12" customHeight="1" thickBot="1" x14ac:dyDescent="0.3">
      <c r="A101" s="1103" t="s">
        <v>973</v>
      </c>
      <c r="B101" s="1104" t="s">
        <v>108</v>
      </c>
      <c r="C101" s="1000">
        <f>+C73+C86+C97+C100</f>
        <v>0</v>
      </c>
      <c r="D101" s="1001">
        <f>+D73+D86+D97+D100</f>
        <v>958</v>
      </c>
      <c r="E101" s="1002">
        <f>+E73+E86+E97+E100</f>
        <v>0</v>
      </c>
      <c r="F101" s="1002">
        <f t="shared" ref="F101:I101" si="18">+F73+F86+F97+F100</f>
        <v>0</v>
      </c>
      <c r="G101" s="1002">
        <f t="shared" si="18"/>
        <v>0</v>
      </c>
      <c r="H101" s="1002">
        <f t="shared" si="18"/>
        <v>0</v>
      </c>
      <c r="I101" s="1002">
        <f t="shared" si="18"/>
        <v>0</v>
      </c>
    </row>
    <row r="102" spans="1:9" ht="12" customHeight="1" thickBot="1" x14ac:dyDescent="0.3">
      <c r="A102" s="1054" t="s">
        <v>974</v>
      </c>
      <c r="B102" s="1005" t="s">
        <v>387</v>
      </c>
      <c r="C102" s="1016">
        <f>+C103+C111</f>
        <v>0</v>
      </c>
      <c r="D102" s="1007">
        <f>+D103+D111</f>
        <v>0</v>
      </c>
      <c r="E102" s="1008">
        <f>+E103+E111</f>
        <v>0</v>
      </c>
      <c r="F102" s="1008">
        <f t="shared" ref="F102:I102" si="19">+F103+F111</f>
        <v>0</v>
      </c>
      <c r="G102" s="1008">
        <f t="shared" si="19"/>
        <v>0</v>
      </c>
      <c r="H102" s="1008">
        <f t="shared" si="19"/>
        <v>0</v>
      </c>
      <c r="I102" s="1008">
        <f t="shared" si="19"/>
        <v>0</v>
      </c>
    </row>
    <row r="103" spans="1:9" ht="12" customHeight="1" thickBot="1" x14ac:dyDescent="0.3">
      <c r="A103" s="1201" t="s">
        <v>47</v>
      </c>
      <c r="B103" s="1106" t="s">
        <v>394</v>
      </c>
      <c r="C103" s="1016">
        <f>+C104+C105+C106+C107+C108+C109+C110</f>
        <v>0</v>
      </c>
      <c r="D103" s="1007">
        <f>+D104+D105+D106+D107+D108+D109+D110</f>
        <v>0</v>
      </c>
      <c r="E103" s="1008">
        <f>+E104+E105+E106+E107+E108+E109+E110</f>
        <v>0</v>
      </c>
      <c r="F103" s="1008">
        <f t="shared" ref="F103:I103" si="20">+F104+F105+F106+F107+F108+F109+F110</f>
        <v>0</v>
      </c>
      <c r="G103" s="1008">
        <f t="shared" si="20"/>
        <v>0</v>
      </c>
      <c r="H103" s="1008">
        <f t="shared" si="20"/>
        <v>0</v>
      </c>
      <c r="I103" s="1008">
        <f t="shared" si="20"/>
        <v>0</v>
      </c>
    </row>
    <row r="104" spans="1:9" ht="12" customHeight="1" x14ac:dyDescent="0.25">
      <c r="A104" s="1110" t="s">
        <v>50</v>
      </c>
      <c r="B104" s="1014" t="s">
        <v>290</v>
      </c>
      <c r="C104" s="1111"/>
      <c r="D104" s="1112"/>
      <c r="E104" s="1113"/>
      <c r="F104" s="1113"/>
      <c r="G104" s="1113"/>
      <c r="H104" s="1113"/>
      <c r="I104" s="1113"/>
    </row>
    <row r="105" spans="1:9" ht="12" customHeight="1" x14ac:dyDescent="0.25">
      <c r="A105" s="1060" t="s">
        <v>51</v>
      </c>
      <c r="B105" s="1038" t="s">
        <v>291</v>
      </c>
      <c r="C105" s="1114"/>
      <c r="D105" s="1115"/>
      <c r="E105" s="1116"/>
      <c r="F105" s="1116"/>
      <c r="G105" s="1116"/>
      <c r="H105" s="1116"/>
      <c r="I105" s="1116"/>
    </row>
    <row r="106" spans="1:9" ht="12" customHeight="1" x14ac:dyDescent="0.25">
      <c r="A106" s="1060" t="s">
        <v>52</v>
      </c>
      <c r="B106" s="1038" t="s">
        <v>292</v>
      </c>
      <c r="C106" s="1114"/>
      <c r="D106" s="1115"/>
      <c r="E106" s="1116"/>
      <c r="F106" s="1116"/>
      <c r="G106" s="1116"/>
      <c r="H106" s="1116"/>
      <c r="I106" s="1116"/>
    </row>
    <row r="107" spans="1:9" ht="12" customHeight="1" x14ac:dyDescent="0.25">
      <c r="A107" s="1060" t="s">
        <v>53</v>
      </c>
      <c r="B107" s="1038" t="s">
        <v>293</v>
      </c>
      <c r="C107" s="1114"/>
      <c r="D107" s="1115"/>
      <c r="E107" s="1116"/>
      <c r="F107" s="1116"/>
      <c r="G107" s="1116"/>
      <c r="H107" s="1116"/>
      <c r="I107" s="1116"/>
    </row>
    <row r="108" spans="1:9" ht="12" customHeight="1" x14ac:dyDescent="0.25">
      <c r="A108" s="1060" t="s">
        <v>157</v>
      </c>
      <c r="B108" s="1038" t="s">
        <v>294</v>
      </c>
      <c r="C108" s="1114"/>
      <c r="D108" s="1115"/>
      <c r="E108" s="1116"/>
      <c r="F108" s="1116"/>
      <c r="G108" s="1116"/>
      <c r="H108" s="1116"/>
      <c r="I108" s="1116"/>
    </row>
    <row r="109" spans="1:9" ht="12" customHeight="1" x14ac:dyDescent="0.25">
      <c r="A109" s="1060" t="s">
        <v>175</v>
      </c>
      <c r="B109" s="1038" t="s">
        <v>295</v>
      </c>
      <c r="C109" s="1114"/>
      <c r="D109" s="1115"/>
      <c r="E109" s="1116"/>
      <c r="F109" s="1116"/>
      <c r="G109" s="1116"/>
      <c r="H109" s="1116"/>
      <c r="I109" s="1116"/>
    </row>
    <row r="110" spans="1:9" ht="12" customHeight="1" thickBot="1" x14ac:dyDescent="0.3">
      <c r="A110" s="1117" t="s">
        <v>176</v>
      </c>
      <c r="B110" s="1118" t="s">
        <v>296</v>
      </c>
      <c r="C110" s="1119"/>
      <c r="D110" s="1120"/>
      <c r="E110" s="1121"/>
      <c r="F110" s="1121"/>
      <c r="G110" s="1121"/>
      <c r="H110" s="1121"/>
      <c r="I110" s="1121"/>
    </row>
    <row r="111" spans="1:9" ht="12" customHeight="1" thickBot="1" x14ac:dyDescent="0.3">
      <c r="A111" s="1201" t="s">
        <v>48</v>
      </c>
      <c r="B111" s="1106" t="s">
        <v>395</v>
      </c>
      <c r="C111" s="1016">
        <f>+C112+C113+C114+C115+C116+C117+C118+C119</f>
        <v>0</v>
      </c>
      <c r="D111" s="1007">
        <f>+D112+D113+D114+D115+D116+D117+D118+D119</f>
        <v>0</v>
      </c>
      <c r="E111" s="1008">
        <f>+E112+E113+E114+E115+E116+E117+E118+E119</f>
        <v>0</v>
      </c>
      <c r="F111" s="1008">
        <f t="shared" ref="F111:I111" si="21">+F112+F113+F114+F115+F116+F117+F118+F119</f>
        <v>0</v>
      </c>
      <c r="G111" s="1008">
        <f t="shared" si="21"/>
        <v>0</v>
      </c>
      <c r="H111" s="1008">
        <f t="shared" si="21"/>
        <v>0</v>
      </c>
      <c r="I111" s="1008">
        <f t="shared" si="21"/>
        <v>0</v>
      </c>
    </row>
    <row r="112" spans="1:9" ht="12" customHeight="1" x14ac:dyDescent="0.25">
      <c r="A112" s="1110" t="s">
        <v>56</v>
      </c>
      <c r="B112" s="1014" t="s">
        <v>290</v>
      </c>
      <c r="C112" s="1111"/>
      <c r="D112" s="1112"/>
      <c r="E112" s="1113"/>
      <c r="F112" s="1113"/>
      <c r="G112" s="1113"/>
      <c r="H112" s="1113"/>
      <c r="I112" s="1113"/>
    </row>
    <row r="113" spans="1:10" ht="12" customHeight="1" x14ac:dyDescent="0.25">
      <c r="A113" s="1060" t="s">
        <v>57</v>
      </c>
      <c r="B113" s="1038" t="s">
        <v>297</v>
      </c>
      <c r="C113" s="1114"/>
      <c r="D113" s="1115"/>
      <c r="E113" s="1116"/>
      <c r="F113" s="1116"/>
      <c r="G113" s="1116"/>
      <c r="H113" s="1116"/>
      <c r="I113" s="1116"/>
    </row>
    <row r="114" spans="1:10" ht="12" customHeight="1" x14ac:dyDescent="0.25">
      <c r="A114" s="1060" t="s">
        <v>58</v>
      </c>
      <c r="B114" s="1038" t="s">
        <v>292</v>
      </c>
      <c r="C114" s="1114"/>
      <c r="D114" s="1115"/>
      <c r="E114" s="1116"/>
      <c r="F114" s="1116"/>
      <c r="G114" s="1116"/>
      <c r="H114" s="1116"/>
      <c r="I114" s="1116"/>
    </row>
    <row r="115" spans="1:10" ht="12" customHeight="1" x14ac:dyDescent="0.25">
      <c r="A115" s="1060" t="s">
        <v>59</v>
      </c>
      <c r="B115" s="1038" t="s">
        <v>293</v>
      </c>
      <c r="C115" s="1114"/>
      <c r="D115" s="1115"/>
      <c r="E115" s="1116"/>
      <c r="F115" s="1116"/>
      <c r="G115" s="1116"/>
      <c r="H115" s="1116"/>
      <c r="I115" s="1116"/>
    </row>
    <row r="116" spans="1:10" ht="12" customHeight="1" x14ac:dyDescent="0.25">
      <c r="A116" s="1060" t="s">
        <v>158</v>
      </c>
      <c r="B116" s="1038" t="s">
        <v>294</v>
      </c>
      <c r="C116" s="1114"/>
      <c r="D116" s="1115"/>
      <c r="E116" s="1116"/>
      <c r="F116" s="1116"/>
      <c r="G116" s="1116"/>
      <c r="H116" s="1116"/>
      <c r="I116" s="1116"/>
    </row>
    <row r="117" spans="1:10" ht="12" customHeight="1" x14ac:dyDescent="0.25">
      <c r="A117" s="1060" t="s">
        <v>177</v>
      </c>
      <c r="B117" s="1038" t="s">
        <v>298</v>
      </c>
      <c r="C117" s="1114"/>
      <c r="D117" s="1115"/>
      <c r="E117" s="1116"/>
      <c r="F117" s="1116"/>
      <c r="G117" s="1116"/>
      <c r="H117" s="1116"/>
      <c r="I117" s="1116"/>
    </row>
    <row r="118" spans="1:10" ht="12" customHeight="1" x14ac:dyDescent="0.25">
      <c r="A118" s="1060" t="s">
        <v>178</v>
      </c>
      <c r="B118" s="1038" t="s">
        <v>296</v>
      </c>
      <c r="C118" s="1114"/>
      <c r="D118" s="1115"/>
      <c r="E118" s="1116"/>
      <c r="F118" s="1116"/>
      <c r="G118" s="1116"/>
      <c r="H118" s="1116"/>
      <c r="I118" s="1116"/>
    </row>
    <row r="119" spans="1:10" ht="12" customHeight="1" thickBot="1" x14ac:dyDescent="0.3">
      <c r="A119" s="1117" t="s">
        <v>179</v>
      </c>
      <c r="B119" s="1118" t="s">
        <v>390</v>
      </c>
      <c r="C119" s="1119"/>
      <c r="D119" s="1120"/>
      <c r="E119" s="1121"/>
      <c r="F119" s="1121"/>
      <c r="G119" s="1121"/>
      <c r="H119" s="1121"/>
      <c r="I119" s="1121"/>
    </row>
    <row r="120" spans="1:10" ht="12" customHeight="1" thickBot="1" x14ac:dyDescent="0.3">
      <c r="A120" s="1054" t="s">
        <v>975</v>
      </c>
      <c r="B120" s="1065" t="s">
        <v>299</v>
      </c>
      <c r="C120" s="1122">
        <f>+C101+C102</f>
        <v>0</v>
      </c>
      <c r="D120" s="1123">
        <f>+D101+D102</f>
        <v>958</v>
      </c>
      <c r="E120" s="1124">
        <f>+E101+E102</f>
        <v>0</v>
      </c>
      <c r="F120" s="1124">
        <f t="shared" ref="F120:I120" si="22">+F101+F102</f>
        <v>0</v>
      </c>
      <c r="G120" s="1124">
        <f t="shared" si="22"/>
        <v>0</v>
      </c>
      <c r="H120" s="1124">
        <f t="shared" si="22"/>
        <v>0</v>
      </c>
      <c r="I120" s="1124">
        <f t="shared" si="22"/>
        <v>0</v>
      </c>
    </row>
    <row r="121" spans="1:10" ht="15" customHeight="1" thickBot="1" x14ac:dyDescent="0.3">
      <c r="A121" s="1054" t="s">
        <v>976</v>
      </c>
      <c r="B121" s="1065" t="s">
        <v>300</v>
      </c>
      <c r="C121" s="1202"/>
      <c r="D121" s="1203"/>
      <c r="E121" s="1125"/>
      <c r="F121" s="1125"/>
      <c r="G121" s="1125"/>
      <c r="H121" s="1125"/>
      <c r="I121" s="1125"/>
      <c r="J121" s="1126"/>
    </row>
    <row r="122" spans="1:10" s="1003" customFormat="1" ht="12.95" customHeight="1" thickBot="1" x14ac:dyDescent="0.25">
      <c r="A122" s="1127" t="s">
        <v>977</v>
      </c>
      <c r="B122" s="1067" t="s">
        <v>301</v>
      </c>
      <c r="C122" s="1055">
        <f>+C120+C121</f>
        <v>0</v>
      </c>
      <c r="D122" s="1056">
        <f>+D120+D121</f>
        <v>958</v>
      </c>
      <c r="E122" s="1057">
        <f>+E120+E121</f>
        <v>0</v>
      </c>
      <c r="F122" s="1057">
        <f t="shared" ref="F122:I122" si="23">+F120+F121</f>
        <v>0</v>
      </c>
      <c r="G122" s="1057">
        <f t="shared" si="23"/>
        <v>0</v>
      </c>
      <c r="H122" s="1057">
        <f t="shared" si="23"/>
        <v>0</v>
      </c>
      <c r="I122" s="1057">
        <f t="shared" si="23"/>
        <v>0</v>
      </c>
    </row>
    <row r="123" spans="1:10" ht="7.5" customHeight="1" x14ac:dyDescent="0.25">
      <c r="A123" s="1128"/>
      <c r="B123" s="1128"/>
      <c r="C123" s="1129"/>
      <c r="D123" s="1129"/>
      <c r="E123" s="1129"/>
      <c r="F123" s="1129"/>
      <c r="G123" s="1129"/>
      <c r="H123" s="1129"/>
      <c r="I123" s="1129"/>
    </row>
    <row r="124" spans="1:10" x14ac:dyDescent="0.25">
      <c r="A124" s="1511" t="s">
        <v>111</v>
      </c>
      <c r="B124" s="1511"/>
      <c r="C124" s="1511"/>
      <c r="D124" s="987"/>
      <c r="E124" s="987"/>
      <c r="F124" s="987"/>
      <c r="G124" s="987"/>
      <c r="H124" s="987"/>
      <c r="I124" s="987"/>
    </row>
    <row r="125" spans="1:10" ht="15" customHeight="1" thickBot="1" x14ac:dyDescent="0.3">
      <c r="A125" s="1509" t="s">
        <v>104</v>
      </c>
      <c r="B125" s="1509"/>
      <c r="C125" s="989"/>
      <c r="D125" s="989"/>
      <c r="E125" s="989"/>
      <c r="F125" s="989"/>
      <c r="G125" s="989"/>
      <c r="H125" s="989"/>
      <c r="I125" s="989"/>
    </row>
    <row r="126" spans="1:10" ht="13.5" customHeight="1" thickBot="1" x14ac:dyDescent="0.3">
      <c r="A126" s="1004">
        <v>1</v>
      </c>
      <c r="B126" s="1091" t="s">
        <v>186</v>
      </c>
      <c r="C126" s="1016">
        <f>+C51-C101</f>
        <v>0</v>
      </c>
      <c r="D126" s="1007">
        <f>+D51-D101</f>
        <v>0</v>
      </c>
      <c r="E126" s="1008">
        <f>+E51-E101</f>
        <v>0</v>
      </c>
      <c r="F126" s="1008">
        <f t="shared" ref="F126:I126" si="24">+F51-F101</f>
        <v>0</v>
      </c>
      <c r="G126" s="1008">
        <f t="shared" si="24"/>
        <v>0</v>
      </c>
      <c r="H126" s="1008">
        <f t="shared" si="24"/>
        <v>0</v>
      </c>
      <c r="I126" s="1008">
        <f t="shared" si="24"/>
        <v>0</v>
      </c>
    </row>
    <row r="127" spans="1:10" ht="7.5" customHeight="1" x14ac:dyDescent="0.25">
      <c r="A127" s="1128"/>
      <c r="B127" s="1128"/>
      <c r="C127" s="1129"/>
      <c r="D127" s="1129"/>
      <c r="E127" s="1129"/>
      <c r="F127" s="1129"/>
      <c r="G127" s="1129"/>
      <c r="H127" s="1129"/>
      <c r="I127" s="1129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0" fitToHeight="2" orientation="portrait" r:id="rId1"/>
  <headerFooter alignWithMargins="0">
    <oddHeader>&amp;C&amp;"Times New Roman CE,Félkövér"&amp;12
Csobánka Község Önkormányzat
2014. ÉVI KÖLTSÉGVETÉS ÖNKÉNT VÁLLALT FELADATAINAK MÉRLEGE&amp;R&amp;"Times New Roman CE,Félkövér"&amp;11 1.3. melléklet a 3/2015. (II.20.) önkormányzati rendelethez</oddHeader>
  </headerFooter>
  <rowBreaks count="1" manualBreakCount="1">
    <brk id="6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127"/>
  <sheetViews>
    <sheetView view="pageLayout" topLeftCell="E1" zoomScaleNormal="120" zoomScaleSheetLayoutView="100" workbookViewId="0">
      <selection activeCell="O84" sqref="O84"/>
    </sheetView>
  </sheetViews>
  <sheetFormatPr defaultColWidth="9.33203125" defaultRowHeight="15.75" x14ac:dyDescent="0.25"/>
  <cols>
    <col min="1" max="1" width="9" style="420" customWidth="1"/>
    <col min="2" max="2" width="84.83203125" style="420" customWidth="1"/>
    <col min="3" max="4" width="14.83203125" style="632" hidden="1" customWidth="1"/>
    <col min="5" max="5" width="13.5" style="632" bestFit="1" customWidth="1"/>
    <col min="6" max="6" width="10" style="632" bestFit="1" customWidth="1"/>
    <col min="7" max="7" width="9.6640625" style="632" bestFit="1" customWidth="1"/>
    <col min="8" max="8" width="10.33203125" style="632" customWidth="1"/>
    <col min="9" max="9" width="15.33203125" style="632" bestFit="1" customWidth="1"/>
    <col min="10" max="16384" width="9.33203125" style="41"/>
  </cols>
  <sheetData>
    <row r="1" spans="1:9" ht="15.95" customHeight="1" x14ac:dyDescent="0.25">
      <c r="A1" s="1513" t="s">
        <v>966</v>
      </c>
      <c r="B1" s="1513"/>
      <c r="C1" s="1513"/>
      <c r="D1" s="569"/>
      <c r="E1" s="569"/>
      <c r="F1" s="569"/>
      <c r="G1" s="569"/>
      <c r="H1" s="569"/>
      <c r="I1" s="569"/>
    </row>
    <row r="2" spans="1:9" ht="15.95" customHeight="1" thickBot="1" x14ac:dyDescent="0.3">
      <c r="A2" s="1512" t="s">
        <v>102</v>
      </c>
      <c r="B2" s="1512"/>
      <c r="C2" s="339"/>
      <c r="D2" s="339"/>
      <c r="E2" s="339"/>
      <c r="F2" s="339"/>
      <c r="G2" s="339"/>
      <c r="H2" s="339"/>
      <c r="I2" s="339" t="s">
        <v>303</v>
      </c>
    </row>
    <row r="3" spans="1:9" s="927" customFormat="1" ht="38.1" customHeight="1" thickBot="1" x14ac:dyDescent="0.3">
      <c r="A3" s="27" t="s">
        <v>19</v>
      </c>
      <c r="B3" s="28" t="s">
        <v>968</v>
      </c>
      <c r="C3" s="570" t="s">
        <v>1037</v>
      </c>
      <c r="D3" s="571" t="s">
        <v>1038</v>
      </c>
      <c r="E3" s="898" t="s">
        <v>1039</v>
      </c>
      <c r="F3" s="898" t="s">
        <v>1148</v>
      </c>
      <c r="G3" s="898" t="s">
        <v>1189</v>
      </c>
      <c r="H3" s="898" t="s">
        <v>1190</v>
      </c>
      <c r="I3" s="898" t="s">
        <v>1147</v>
      </c>
    </row>
    <row r="4" spans="1:9" s="42" customFormat="1" ht="12" customHeight="1" thickBot="1" x14ac:dyDescent="0.25">
      <c r="A4" s="36">
        <v>1</v>
      </c>
      <c r="B4" s="37">
        <v>2</v>
      </c>
      <c r="C4" s="570">
        <v>3</v>
      </c>
      <c r="D4" s="571">
        <v>4</v>
      </c>
      <c r="E4" s="572">
        <v>3</v>
      </c>
      <c r="F4" s="572">
        <v>4</v>
      </c>
      <c r="G4" s="898">
        <v>5</v>
      </c>
      <c r="H4" s="898"/>
      <c r="I4" s="572">
        <v>6</v>
      </c>
    </row>
    <row r="5" spans="1:9" s="1" customFormat="1" ht="12" customHeight="1" thickBot="1" x14ac:dyDescent="0.25">
      <c r="A5" s="25" t="s">
        <v>969</v>
      </c>
      <c r="B5" s="24" t="s">
        <v>128</v>
      </c>
      <c r="C5" s="573">
        <f>+C6+C11+C20</f>
        <v>0</v>
      </c>
      <c r="D5" s="574">
        <f>+D6+D11+D20</f>
        <v>0</v>
      </c>
      <c r="E5" s="575">
        <f>+E6+E11+E20</f>
        <v>0</v>
      </c>
      <c r="F5" s="575">
        <f>+F6+F11+F20</f>
        <v>0</v>
      </c>
      <c r="G5" s="575"/>
      <c r="H5" s="575"/>
      <c r="I5" s="575">
        <f>+I6+I11+I20</f>
        <v>0</v>
      </c>
    </row>
    <row r="6" spans="1:9" s="1" customFormat="1" ht="12" customHeight="1" thickBot="1" x14ac:dyDescent="0.25">
      <c r="A6" s="23" t="s">
        <v>970</v>
      </c>
      <c r="B6" s="321" t="s">
        <v>380</v>
      </c>
      <c r="C6" s="576">
        <f>+C7+C8+C9+C10</f>
        <v>0</v>
      </c>
      <c r="D6" s="577">
        <f>+D7+D8+D9+D10</f>
        <v>0</v>
      </c>
      <c r="E6" s="578">
        <f>+E7+E8+E9+E10</f>
        <v>0</v>
      </c>
      <c r="F6" s="578">
        <f>+F7+F8+F9+F10</f>
        <v>0</v>
      </c>
      <c r="G6" s="578"/>
      <c r="H6" s="578"/>
      <c r="I6" s="578">
        <f>+I7+I8+I9+I10</f>
        <v>0</v>
      </c>
    </row>
    <row r="7" spans="1:9" s="1" customFormat="1" ht="12" customHeight="1" x14ac:dyDescent="0.2">
      <c r="A7" s="16" t="s">
        <v>66</v>
      </c>
      <c r="B7" s="408" t="s">
        <v>1013</v>
      </c>
      <c r="C7" s="579"/>
      <c r="D7" s="580"/>
      <c r="E7" s="581"/>
      <c r="F7" s="581"/>
      <c r="G7" s="581"/>
      <c r="H7" s="581"/>
      <c r="I7" s="581"/>
    </row>
    <row r="8" spans="1:9" s="1" customFormat="1" ht="12" customHeight="1" x14ac:dyDescent="0.2">
      <c r="A8" s="16" t="s">
        <v>67</v>
      </c>
      <c r="B8" s="335" t="s">
        <v>35</v>
      </c>
      <c r="C8" s="579"/>
      <c r="D8" s="580"/>
      <c r="E8" s="581"/>
      <c r="F8" s="581"/>
      <c r="G8" s="581"/>
      <c r="H8" s="581"/>
      <c r="I8" s="581"/>
    </row>
    <row r="9" spans="1:9" s="1" customFormat="1" ht="12" customHeight="1" x14ac:dyDescent="0.2">
      <c r="A9" s="16" t="s">
        <v>68</v>
      </c>
      <c r="B9" s="335" t="s">
        <v>129</v>
      </c>
      <c r="C9" s="579"/>
      <c r="D9" s="580"/>
      <c r="E9" s="581"/>
      <c r="F9" s="581"/>
      <c r="G9" s="581"/>
      <c r="H9" s="581"/>
      <c r="I9" s="581"/>
    </row>
    <row r="10" spans="1:9" s="1" customFormat="1" ht="12" customHeight="1" thickBot="1" x14ac:dyDescent="0.25">
      <c r="A10" s="16" t="s">
        <v>69</v>
      </c>
      <c r="B10" s="409" t="s">
        <v>130</v>
      </c>
      <c r="C10" s="579"/>
      <c r="D10" s="580"/>
      <c r="E10" s="581"/>
      <c r="F10" s="581"/>
      <c r="G10" s="581"/>
      <c r="H10" s="581"/>
      <c r="I10" s="581"/>
    </row>
    <row r="11" spans="1:9" s="1" customFormat="1" ht="12" customHeight="1" thickBot="1" x14ac:dyDescent="0.25">
      <c r="A11" s="23" t="s">
        <v>971</v>
      </c>
      <c r="B11" s="24" t="s">
        <v>131</v>
      </c>
      <c r="C11" s="582">
        <f>+C12+C13+C14+C15+C16+C17+C18+C19</f>
        <v>0</v>
      </c>
      <c r="D11" s="577">
        <f>+D12+D13+D14+D15+D16+D17+D18+D19</f>
        <v>0</v>
      </c>
      <c r="E11" s="578">
        <f>+E12+E13+E14+E15+E16+E17+E18+E19</f>
        <v>0</v>
      </c>
      <c r="F11" s="578">
        <f>+F12+F13+F14+F15+F16+F17+F18+F19</f>
        <v>0</v>
      </c>
      <c r="G11" s="578"/>
      <c r="H11" s="578"/>
      <c r="I11" s="578">
        <f>+I12+I13+I14+I15+I16+I17+I18+I19</f>
        <v>0</v>
      </c>
    </row>
    <row r="12" spans="1:9" s="1" customFormat="1" ht="12" customHeight="1" x14ac:dyDescent="0.2">
      <c r="A12" s="20" t="s">
        <v>40</v>
      </c>
      <c r="B12" s="12" t="s">
        <v>136</v>
      </c>
      <c r="C12" s="598"/>
      <c r="D12" s="599"/>
      <c r="E12" s="600"/>
      <c r="F12" s="600"/>
      <c r="G12" s="600"/>
      <c r="H12" s="600"/>
      <c r="I12" s="600"/>
    </row>
    <row r="13" spans="1:9" s="1" customFormat="1" ht="12" customHeight="1" x14ac:dyDescent="0.2">
      <c r="A13" s="16" t="s">
        <v>41</v>
      </c>
      <c r="B13" s="9" t="s">
        <v>137</v>
      </c>
      <c r="C13" s="601"/>
      <c r="D13" s="580"/>
      <c r="E13" s="581"/>
      <c r="F13" s="581"/>
      <c r="G13" s="581"/>
      <c r="H13" s="581"/>
      <c r="I13" s="581"/>
    </row>
    <row r="14" spans="1:9" s="1" customFormat="1" ht="12" customHeight="1" x14ac:dyDescent="0.2">
      <c r="A14" s="16" t="s">
        <v>42</v>
      </c>
      <c r="B14" s="9" t="s">
        <v>138</v>
      </c>
      <c r="C14" s="601"/>
      <c r="D14" s="580"/>
      <c r="E14" s="581"/>
      <c r="F14" s="581"/>
      <c r="G14" s="581"/>
      <c r="H14" s="581"/>
      <c r="I14" s="581"/>
    </row>
    <row r="15" spans="1:9" s="1" customFormat="1" ht="12" customHeight="1" x14ac:dyDescent="0.2">
      <c r="A15" s="16" t="s">
        <v>43</v>
      </c>
      <c r="B15" s="9" t="s">
        <v>139</v>
      </c>
      <c r="C15" s="601"/>
      <c r="D15" s="580"/>
      <c r="E15" s="581"/>
      <c r="F15" s="581"/>
      <c r="G15" s="581"/>
      <c r="H15" s="581"/>
      <c r="I15" s="581"/>
    </row>
    <row r="16" spans="1:9" s="1" customFormat="1" ht="12" customHeight="1" x14ac:dyDescent="0.2">
      <c r="A16" s="15" t="s">
        <v>132</v>
      </c>
      <c r="B16" s="8" t="s">
        <v>140</v>
      </c>
      <c r="C16" s="633"/>
      <c r="D16" s="634"/>
      <c r="E16" s="635"/>
      <c r="F16" s="635"/>
      <c r="G16" s="635"/>
      <c r="H16" s="635"/>
      <c r="I16" s="635"/>
    </row>
    <row r="17" spans="1:9" s="1" customFormat="1" ht="12" customHeight="1" x14ac:dyDescent="0.2">
      <c r="A17" s="16" t="s">
        <v>133</v>
      </c>
      <c r="B17" s="9" t="s">
        <v>243</v>
      </c>
      <c r="C17" s="601"/>
      <c r="D17" s="580"/>
      <c r="E17" s="581"/>
      <c r="F17" s="581"/>
      <c r="G17" s="581"/>
      <c r="H17" s="581"/>
      <c r="I17" s="581"/>
    </row>
    <row r="18" spans="1:9" s="1" customFormat="1" ht="12" customHeight="1" x14ac:dyDescent="0.2">
      <c r="A18" s="16" t="s">
        <v>134</v>
      </c>
      <c r="B18" s="9" t="s">
        <v>142</v>
      </c>
      <c r="C18" s="601"/>
      <c r="D18" s="580"/>
      <c r="E18" s="581"/>
      <c r="F18" s="581"/>
      <c r="G18" s="581"/>
      <c r="H18" s="581"/>
      <c r="I18" s="581"/>
    </row>
    <row r="19" spans="1:9" s="1" customFormat="1" ht="12" customHeight="1" thickBot="1" x14ac:dyDescent="0.25">
      <c r="A19" s="17" t="s">
        <v>135</v>
      </c>
      <c r="B19" s="10" t="s">
        <v>143</v>
      </c>
      <c r="C19" s="636"/>
      <c r="D19" s="637"/>
      <c r="E19" s="638"/>
      <c r="F19" s="638"/>
      <c r="G19" s="638"/>
      <c r="H19" s="638"/>
      <c r="I19" s="638"/>
    </row>
    <row r="20" spans="1:9" s="1" customFormat="1" ht="12" customHeight="1" thickBot="1" x14ac:dyDescent="0.25">
      <c r="A20" s="23" t="s">
        <v>144</v>
      </c>
      <c r="B20" s="24" t="s">
        <v>244</v>
      </c>
      <c r="C20" s="639"/>
      <c r="D20" s="640"/>
      <c r="E20" s="641"/>
      <c r="F20" s="641"/>
      <c r="G20" s="641"/>
      <c r="H20" s="641"/>
      <c r="I20" s="641"/>
    </row>
    <row r="21" spans="1:9" s="1" customFormat="1" ht="12" customHeight="1" thickBot="1" x14ac:dyDescent="0.25">
      <c r="A21" s="23" t="s">
        <v>973</v>
      </c>
      <c r="B21" s="24" t="s">
        <v>146</v>
      </c>
      <c r="C21" s="582">
        <f>+C22+C23+C24+C25+C26+C27+C28+C29</f>
        <v>0</v>
      </c>
      <c r="D21" s="577">
        <f>+D22+D23+D24+D25+D26+D27+D28+D29</f>
        <v>0</v>
      </c>
      <c r="E21" s="578">
        <f>+E22+E23+E24+E25+E26+E27+E28+E29</f>
        <v>0</v>
      </c>
      <c r="F21" s="578">
        <f>+F22+F23+F24+F25+F26+F27+F28+F29</f>
        <v>0</v>
      </c>
      <c r="G21" s="578"/>
      <c r="H21" s="578"/>
      <c r="I21" s="578">
        <f>+I22+I23+I24+I25+I26+I27+I28+I29</f>
        <v>0</v>
      </c>
    </row>
    <row r="22" spans="1:9" s="1" customFormat="1" ht="12" customHeight="1" x14ac:dyDescent="0.2">
      <c r="A22" s="18" t="s">
        <v>44</v>
      </c>
      <c r="B22" s="11" t="s">
        <v>902</v>
      </c>
      <c r="C22" s="608"/>
      <c r="D22" s="609"/>
      <c r="E22" s="610"/>
      <c r="F22" s="610"/>
      <c r="G22" s="610"/>
      <c r="H22" s="610"/>
      <c r="I22" s="610"/>
    </row>
    <row r="23" spans="1:9" s="1" customFormat="1" ht="12" customHeight="1" x14ac:dyDescent="0.2">
      <c r="A23" s="16" t="s">
        <v>45</v>
      </c>
      <c r="B23" s="9" t="s">
        <v>152</v>
      </c>
      <c r="C23" s="601"/>
      <c r="D23" s="580"/>
      <c r="E23" s="581"/>
      <c r="F23" s="581"/>
      <c r="G23" s="581"/>
      <c r="H23" s="581"/>
      <c r="I23" s="581"/>
    </row>
    <row r="24" spans="1:9" s="1" customFormat="1" ht="12" customHeight="1" x14ac:dyDescent="0.2">
      <c r="A24" s="16" t="s">
        <v>46</v>
      </c>
      <c r="B24" s="9" t="s">
        <v>49</v>
      </c>
      <c r="C24" s="601"/>
      <c r="D24" s="580"/>
      <c r="E24" s="581"/>
      <c r="F24" s="581"/>
      <c r="G24" s="581"/>
      <c r="H24" s="581"/>
      <c r="I24" s="581"/>
    </row>
    <row r="25" spans="1:9" s="1" customFormat="1" ht="12" customHeight="1" x14ac:dyDescent="0.2">
      <c r="A25" s="19" t="s">
        <v>147</v>
      </c>
      <c r="B25" s="9" t="s">
        <v>153</v>
      </c>
      <c r="C25" s="602"/>
      <c r="D25" s="603"/>
      <c r="E25" s="604"/>
      <c r="F25" s="604"/>
      <c r="G25" s="604"/>
      <c r="H25" s="604"/>
      <c r="I25" s="604"/>
    </row>
    <row r="26" spans="1:9" s="1" customFormat="1" ht="12" customHeight="1" x14ac:dyDescent="0.2">
      <c r="A26" s="19" t="s">
        <v>148</v>
      </c>
      <c r="B26" s="9" t="s">
        <v>154</v>
      </c>
      <c r="C26" s="602"/>
      <c r="D26" s="603"/>
      <c r="E26" s="604"/>
      <c r="F26" s="604"/>
      <c r="G26" s="604"/>
      <c r="H26" s="604"/>
      <c r="I26" s="604"/>
    </row>
    <row r="27" spans="1:9" s="1" customFormat="1" ht="12" customHeight="1" x14ac:dyDescent="0.2">
      <c r="A27" s="16" t="s">
        <v>149</v>
      </c>
      <c r="B27" s="9" t="s">
        <v>155</v>
      </c>
      <c r="C27" s="601"/>
      <c r="D27" s="580"/>
      <c r="E27" s="581"/>
      <c r="F27" s="581"/>
      <c r="G27" s="581"/>
      <c r="H27" s="581"/>
      <c r="I27" s="581"/>
    </row>
    <row r="28" spans="1:9" s="1" customFormat="1" ht="12" customHeight="1" x14ac:dyDescent="0.2">
      <c r="A28" s="16" t="s">
        <v>150</v>
      </c>
      <c r="B28" s="9" t="s">
        <v>245</v>
      </c>
      <c r="C28" s="642"/>
      <c r="D28" s="643"/>
      <c r="E28" s="644"/>
      <c r="F28" s="644"/>
      <c r="G28" s="644"/>
      <c r="H28" s="644"/>
      <c r="I28" s="644"/>
    </row>
    <row r="29" spans="1:9" s="1" customFormat="1" ht="12" customHeight="1" thickBot="1" x14ac:dyDescent="0.25">
      <c r="A29" s="16" t="s">
        <v>151</v>
      </c>
      <c r="B29" s="14" t="s">
        <v>156</v>
      </c>
      <c r="C29" s="642"/>
      <c r="D29" s="643"/>
      <c r="E29" s="644"/>
      <c r="F29" s="644"/>
      <c r="G29" s="644"/>
      <c r="H29" s="644"/>
      <c r="I29" s="644"/>
    </row>
    <row r="30" spans="1:9" s="1" customFormat="1" ht="12" customHeight="1" thickBot="1" x14ac:dyDescent="0.25">
      <c r="A30" s="314" t="s">
        <v>974</v>
      </c>
      <c r="B30" s="24" t="s">
        <v>381</v>
      </c>
      <c r="C30" s="576">
        <f>+C31+C37</f>
        <v>0</v>
      </c>
      <c r="D30" s="577">
        <f>+D31+D37</f>
        <v>0</v>
      </c>
      <c r="E30" s="578">
        <f>+E31+E37</f>
        <v>0</v>
      </c>
      <c r="F30" s="578">
        <f>+F31+F37</f>
        <v>0</v>
      </c>
      <c r="G30" s="578"/>
      <c r="H30" s="578"/>
      <c r="I30" s="578">
        <f>+I31+I37</f>
        <v>0</v>
      </c>
    </row>
    <row r="31" spans="1:9" s="1" customFormat="1" ht="12" customHeight="1" x14ac:dyDescent="0.2">
      <c r="A31" s="315" t="s">
        <v>47</v>
      </c>
      <c r="B31" s="410" t="s">
        <v>382</v>
      </c>
      <c r="C31" s="583">
        <f>+C32+C33+C34+C35+C36</f>
        <v>0</v>
      </c>
      <c r="D31" s="584">
        <f>+D32+D33+D34+D35+D36</f>
        <v>0</v>
      </c>
      <c r="E31" s="585">
        <f>+E32+E33+E34+E35+E36</f>
        <v>0</v>
      </c>
      <c r="F31" s="585">
        <f>+F32+F33+F34+F35+F36</f>
        <v>0</v>
      </c>
      <c r="G31" s="585"/>
      <c r="H31" s="585"/>
      <c r="I31" s="585">
        <f>+I32+I33+I34+I35+I36</f>
        <v>0</v>
      </c>
    </row>
    <row r="32" spans="1:9" s="1" customFormat="1" ht="12" customHeight="1" x14ac:dyDescent="0.2">
      <c r="A32" s="316" t="s">
        <v>50</v>
      </c>
      <c r="B32" s="322" t="s">
        <v>246</v>
      </c>
      <c r="C32" s="645"/>
      <c r="D32" s="643"/>
      <c r="E32" s="644"/>
      <c r="F32" s="644"/>
      <c r="G32" s="644"/>
      <c r="H32" s="644"/>
      <c r="I32" s="644"/>
    </row>
    <row r="33" spans="1:9" s="1" customFormat="1" ht="12" customHeight="1" x14ac:dyDescent="0.2">
      <c r="A33" s="316" t="s">
        <v>51</v>
      </c>
      <c r="B33" s="322" t="s">
        <v>247</v>
      </c>
      <c r="C33" s="645"/>
      <c r="D33" s="643"/>
      <c r="E33" s="644"/>
      <c r="F33" s="644"/>
      <c r="G33" s="644"/>
      <c r="H33" s="644"/>
      <c r="I33" s="644"/>
    </row>
    <row r="34" spans="1:9" s="1" customFormat="1" ht="12" customHeight="1" x14ac:dyDescent="0.2">
      <c r="A34" s="316" t="s">
        <v>52</v>
      </c>
      <c r="B34" s="322" t="s">
        <v>248</v>
      </c>
      <c r="C34" s="645"/>
      <c r="D34" s="643"/>
      <c r="E34" s="644"/>
      <c r="F34" s="644"/>
      <c r="G34" s="644"/>
      <c r="H34" s="644"/>
      <c r="I34" s="644"/>
    </row>
    <row r="35" spans="1:9" s="1" customFormat="1" ht="12" customHeight="1" x14ac:dyDescent="0.2">
      <c r="A35" s="316" t="s">
        <v>53</v>
      </c>
      <c r="B35" s="322" t="s">
        <v>249</v>
      </c>
      <c r="C35" s="645"/>
      <c r="D35" s="643"/>
      <c r="E35" s="644"/>
      <c r="F35" s="644"/>
      <c r="G35" s="644"/>
      <c r="H35" s="644"/>
      <c r="I35" s="644"/>
    </row>
    <row r="36" spans="1:9" s="1" customFormat="1" ht="12" customHeight="1" x14ac:dyDescent="0.2">
      <c r="A36" s="316" t="s">
        <v>157</v>
      </c>
      <c r="B36" s="322" t="s">
        <v>383</v>
      </c>
      <c r="C36" s="645"/>
      <c r="D36" s="643"/>
      <c r="E36" s="644"/>
      <c r="F36" s="644"/>
      <c r="G36" s="644"/>
      <c r="H36" s="644"/>
      <c r="I36" s="644"/>
    </row>
    <row r="37" spans="1:9" s="1" customFormat="1" ht="12" customHeight="1" x14ac:dyDescent="0.2">
      <c r="A37" s="316" t="s">
        <v>48</v>
      </c>
      <c r="B37" s="323" t="s">
        <v>384</v>
      </c>
      <c r="C37" s="586">
        <f>+C38+C39+C40+C41+C42</f>
        <v>0</v>
      </c>
      <c r="D37" s="587">
        <f>+D38+D39+D40+D41+D42</f>
        <v>0</v>
      </c>
      <c r="E37" s="588">
        <f>+E38+E39+E40+E41+E42</f>
        <v>0</v>
      </c>
      <c r="F37" s="588">
        <f>+F38+F39+F40+F41+F42</f>
        <v>0</v>
      </c>
      <c r="G37" s="588"/>
      <c r="H37" s="588"/>
      <c r="I37" s="588">
        <f>+I38+I39+I40+I41+I42</f>
        <v>0</v>
      </c>
    </row>
    <row r="38" spans="1:9" s="1" customFormat="1" ht="12" customHeight="1" x14ac:dyDescent="0.2">
      <c r="A38" s="316" t="s">
        <v>56</v>
      </c>
      <c r="B38" s="322" t="s">
        <v>246</v>
      </c>
      <c r="C38" s="645"/>
      <c r="D38" s="643"/>
      <c r="E38" s="644"/>
      <c r="F38" s="644"/>
      <c r="G38" s="644"/>
      <c r="H38" s="644"/>
      <c r="I38" s="644"/>
    </row>
    <row r="39" spans="1:9" s="1" customFormat="1" ht="12" customHeight="1" x14ac:dyDescent="0.2">
      <c r="A39" s="316" t="s">
        <v>57</v>
      </c>
      <c r="B39" s="322" t="s">
        <v>247</v>
      </c>
      <c r="C39" s="645"/>
      <c r="D39" s="643"/>
      <c r="E39" s="644"/>
      <c r="F39" s="644"/>
      <c r="G39" s="644"/>
      <c r="H39" s="644"/>
      <c r="I39" s="644"/>
    </row>
    <row r="40" spans="1:9" s="1" customFormat="1" ht="12" customHeight="1" x14ac:dyDescent="0.2">
      <c r="A40" s="316" t="s">
        <v>58</v>
      </c>
      <c r="B40" s="322" t="s">
        <v>248</v>
      </c>
      <c r="C40" s="645"/>
      <c r="D40" s="643"/>
      <c r="E40" s="644"/>
      <c r="F40" s="644"/>
      <c r="G40" s="644"/>
      <c r="H40" s="644"/>
      <c r="I40" s="644"/>
    </row>
    <row r="41" spans="1:9" s="1" customFormat="1" ht="12" customHeight="1" x14ac:dyDescent="0.2">
      <c r="A41" s="316" t="s">
        <v>59</v>
      </c>
      <c r="B41" s="324" t="s">
        <v>249</v>
      </c>
      <c r="C41" s="645"/>
      <c r="D41" s="643"/>
      <c r="E41" s="644"/>
      <c r="F41" s="644"/>
      <c r="G41" s="644"/>
      <c r="H41" s="644"/>
      <c r="I41" s="644"/>
    </row>
    <row r="42" spans="1:9" s="1" customFormat="1" ht="12" customHeight="1" thickBot="1" x14ac:dyDescent="0.25">
      <c r="A42" s="317" t="s">
        <v>158</v>
      </c>
      <c r="B42" s="325" t="s">
        <v>385</v>
      </c>
      <c r="C42" s="646"/>
      <c r="D42" s="647"/>
      <c r="E42" s="648"/>
      <c r="F42" s="648"/>
      <c r="G42" s="648"/>
      <c r="H42" s="648"/>
      <c r="I42" s="648"/>
    </row>
    <row r="43" spans="1:9" s="1" customFormat="1" ht="12" customHeight="1" thickBot="1" x14ac:dyDescent="0.25">
      <c r="A43" s="23" t="s">
        <v>159</v>
      </c>
      <c r="B43" s="411" t="s">
        <v>250</v>
      </c>
      <c r="C43" s="576">
        <f>+C44+C45</f>
        <v>0</v>
      </c>
      <c r="D43" s="577">
        <f>+D44+D45</f>
        <v>0</v>
      </c>
      <c r="E43" s="578">
        <f>+E44+E45</f>
        <v>0</v>
      </c>
      <c r="F43" s="578">
        <f>+F44+F45</f>
        <v>0</v>
      </c>
      <c r="G43" s="578"/>
      <c r="H43" s="578"/>
      <c r="I43" s="578">
        <f>+I44+I45</f>
        <v>0</v>
      </c>
    </row>
    <row r="44" spans="1:9" s="1" customFormat="1" ht="12" customHeight="1" x14ac:dyDescent="0.2">
      <c r="A44" s="18" t="s">
        <v>54</v>
      </c>
      <c r="B44" s="335" t="s">
        <v>251</v>
      </c>
      <c r="C44" s="649"/>
      <c r="D44" s="609"/>
      <c r="E44" s="610"/>
      <c r="F44" s="610"/>
      <c r="G44" s="610"/>
      <c r="H44" s="610"/>
      <c r="I44" s="610"/>
    </row>
    <row r="45" spans="1:9" s="1" customFormat="1" ht="12" customHeight="1" thickBot="1" x14ac:dyDescent="0.25">
      <c r="A45" s="15" t="s">
        <v>55</v>
      </c>
      <c r="B45" s="330" t="s">
        <v>255</v>
      </c>
      <c r="C45" s="650"/>
      <c r="D45" s="634"/>
      <c r="E45" s="635"/>
      <c r="F45" s="635"/>
      <c r="G45" s="635"/>
      <c r="H45" s="635"/>
      <c r="I45" s="635"/>
    </row>
    <row r="46" spans="1:9" s="1" customFormat="1" ht="12" customHeight="1" thickBot="1" x14ac:dyDescent="0.25">
      <c r="A46" s="23" t="s">
        <v>976</v>
      </c>
      <c r="B46" s="411" t="s">
        <v>254</v>
      </c>
      <c r="C46" s="576">
        <f>+C47+C48+C49</f>
        <v>0</v>
      </c>
      <c r="D46" s="577">
        <f>+D47+D48+D49</f>
        <v>0</v>
      </c>
      <c r="E46" s="578">
        <f>+E47+E48+E49</f>
        <v>0</v>
      </c>
      <c r="F46" s="578">
        <f>+F47+F48+F49</f>
        <v>0</v>
      </c>
      <c r="G46" s="578"/>
      <c r="H46" s="578"/>
      <c r="I46" s="578">
        <f>+I47+I48+I49</f>
        <v>0</v>
      </c>
    </row>
    <row r="47" spans="1:9" s="1" customFormat="1" ht="12" customHeight="1" x14ac:dyDescent="0.2">
      <c r="A47" s="18" t="s">
        <v>162</v>
      </c>
      <c r="B47" s="335" t="s">
        <v>160</v>
      </c>
      <c r="C47" s="651"/>
      <c r="D47" s="652"/>
      <c r="E47" s="653"/>
      <c r="F47" s="653"/>
      <c r="G47" s="653"/>
      <c r="H47" s="653"/>
      <c r="I47" s="653"/>
    </row>
    <row r="48" spans="1:9" s="1" customFormat="1" ht="12" customHeight="1" x14ac:dyDescent="0.2">
      <c r="A48" s="16" t="s">
        <v>163</v>
      </c>
      <c r="B48" s="322" t="s">
        <v>1050</v>
      </c>
      <c r="C48" s="642"/>
      <c r="D48" s="643"/>
      <c r="E48" s="644"/>
      <c r="F48" s="644"/>
      <c r="G48" s="644"/>
      <c r="H48" s="644"/>
      <c r="I48" s="644"/>
    </row>
    <row r="49" spans="1:9" s="1" customFormat="1" ht="12" customHeight="1" thickBot="1" x14ac:dyDescent="0.25">
      <c r="A49" s="15" t="s">
        <v>312</v>
      </c>
      <c r="B49" s="330" t="s">
        <v>252</v>
      </c>
      <c r="C49" s="654"/>
      <c r="D49" s="655"/>
      <c r="E49" s="656"/>
      <c r="F49" s="656"/>
      <c r="G49" s="656"/>
      <c r="H49" s="656"/>
      <c r="I49" s="656"/>
    </row>
    <row r="50" spans="1:9" s="1" customFormat="1" ht="17.25" customHeight="1" thickBot="1" x14ac:dyDescent="0.25">
      <c r="A50" s="23" t="s">
        <v>164</v>
      </c>
      <c r="B50" s="412" t="s">
        <v>253</v>
      </c>
      <c r="C50" s="657"/>
      <c r="D50" s="613"/>
      <c r="E50" s="614"/>
      <c r="F50" s="614"/>
      <c r="G50" s="614"/>
      <c r="H50" s="614"/>
      <c r="I50" s="614"/>
    </row>
    <row r="51" spans="1:9" s="1" customFormat="1" ht="12" customHeight="1" thickBot="1" x14ac:dyDescent="0.25">
      <c r="A51" s="23" t="s">
        <v>978</v>
      </c>
      <c r="B51" s="26" t="s">
        <v>165</v>
      </c>
      <c r="C51" s="589">
        <f>+C6+C11+C20+C21+C30+C43+C46+C50</f>
        <v>0</v>
      </c>
      <c r="D51" s="590"/>
      <c r="E51" s="591">
        <f>+E6+E11+E20+E21+E30+E43+E46+E50</f>
        <v>0</v>
      </c>
      <c r="F51" s="591">
        <f>+F6+F11+F20+F21+F30+F43+F46+F50</f>
        <v>0</v>
      </c>
      <c r="G51" s="591"/>
      <c r="H51" s="591"/>
      <c r="I51" s="591">
        <f>+I6+I11+I20+I21+I30+I43+I46+I50</f>
        <v>0</v>
      </c>
    </row>
    <row r="52" spans="1:9" s="1" customFormat="1" ht="12" customHeight="1" thickBot="1" x14ac:dyDescent="0.25">
      <c r="A52" s="326" t="s">
        <v>979</v>
      </c>
      <c r="B52" s="321" t="s">
        <v>256</v>
      </c>
      <c r="C52" s="592">
        <f>+C53+C59</f>
        <v>0</v>
      </c>
      <c r="D52" s="593">
        <f>+D53+D59</f>
        <v>0</v>
      </c>
      <c r="E52" s="594">
        <f>+E53+E59</f>
        <v>0</v>
      </c>
      <c r="F52" s="594">
        <f>+F53+F59</f>
        <v>0</v>
      </c>
      <c r="G52" s="594"/>
      <c r="H52" s="594"/>
      <c r="I52" s="594">
        <f>+I53+I59</f>
        <v>0</v>
      </c>
    </row>
    <row r="53" spans="1:9" s="1" customFormat="1" ht="12" customHeight="1" x14ac:dyDescent="0.2">
      <c r="A53" s="413" t="s">
        <v>95</v>
      </c>
      <c r="B53" s="410" t="s">
        <v>257</v>
      </c>
      <c r="C53" s="595">
        <f>+C54+C55+C56+C57+C58</f>
        <v>0</v>
      </c>
      <c r="D53" s="584">
        <f>+D54+D55+D56+D57+D58</f>
        <v>0</v>
      </c>
      <c r="E53" s="585">
        <f>+E54+E55+E56+E57+E58</f>
        <v>0</v>
      </c>
      <c r="F53" s="585">
        <f>+F54+F55+F56+F57+F58</f>
        <v>0</v>
      </c>
      <c r="G53" s="585"/>
      <c r="H53" s="585"/>
      <c r="I53" s="585">
        <f>+I54+I55+I56+I57+I58</f>
        <v>0</v>
      </c>
    </row>
    <row r="54" spans="1:9" s="1" customFormat="1" ht="12" customHeight="1" x14ac:dyDescent="0.2">
      <c r="A54" s="327" t="s">
        <v>272</v>
      </c>
      <c r="B54" s="322" t="s">
        <v>258</v>
      </c>
      <c r="C54" s="642"/>
      <c r="D54" s="643"/>
      <c r="E54" s="644"/>
      <c r="F54" s="644"/>
      <c r="G54" s="644"/>
      <c r="H54" s="644"/>
      <c r="I54" s="644"/>
    </row>
    <row r="55" spans="1:9" s="1" customFormat="1" ht="12" customHeight="1" x14ac:dyDescent="0.2">
      <c r="A55" s="327" t="s">
        <v>273</v>
      </c>
      <c r="B55" s="322" t="s">
        <v>259</v>
      </c>
      <c r="C55" s="642"/>
      <c r="D55" s="643"/>
      <c r="E55" s="644"/>
      <c r="F55" s="644"/>
      <c r="G55" s="644"/>
      <c r="H55" s="644"/>
      <c r="I55" s="644"/>
    </row>
    <row r="56" spans="1:9" s="1" customFormat="1" ht="12" customHeight="1" x14ac:dyDescent="0.2">
      <c r="A56" s="327" t="s">
        <v>274</v>
      </c>
      <c r="B56" s="322" t="s">
        <v>260</v>
      </c>
      <c r="C56" s="642"/>
      <c r="D56" s="643"/>
      <c r="E56" s="644"/>
      <c r="F56" s="644"/>
      <c r="G56" s="644"/>
      <c r="H56" s="644"/>
      <c r="I56" s="644"/>
    </row>
    <row r="57" spans="1:9" s="1" customFormat="1" ht="12" customHeight="1" x14ac:dyDescent="0.2">
      <c r="A57" s="327" t="s">
        <v>275</v>
      </c>
      <c r="B57" s="322" t="s">
        <v>261</v>
      </c>
      <c r="C57" s="642"/>
      <c r="D57" s="643"/>
      <c r="E57" s="644"/>
      <c r="F57" s="644"/>
      <c r="G57" s="644"/>
      <c r="H57" s="644"/>
      <c r="I57" s="644"/>
    </row>
    <row r="58" spans="1:9" s="1" customFormat="1" ht="12" customHeight="1" x14ac:dyDescent="0.2">
      <c r="A58" s="327" t="s">
        <v>276</v>
      </c>
      <c r="B58" s="322" t="s">
        <v>262</v>
      </c>
      <c r="C58" s="642"/>
      <c r="D58" s="643"/>
      <c r="E58" s="644"/>
      <c r="F58" s="644"/>
      <c r="G58" s="644"/>
      <c r="H58" s="644"/>
      <c r="I58" s="644"/>
    </row>
    <row r="59" spans="1:9" s="1" customFormat="1" ht="12" customHeight="1" x14ac:dyDescent="0.2">
      <c r="A59" s="328" t="s">
        <v>96</v>
      </c>
      <c r="B59" s="323" t="s">
        <v>263</v>
      </c>
      <c r="C59" s="596">
        <f>+C60+C61+C62+C63+C64</f>
        <v>0</v>
      </c>
      <c r="D59" s="587">
        <f>+D60+D61+D62+D63+D64</f>
        <v>0</v>
      </c>
      <c r="E59" s="588">
        <f>+E60+E61+E62+E63+E64</f>
        <v>0</v>
      </c>
      <c r="F59" s="588">
        <f>+F60+F61+F62+F63+F64</f>
        <v>0</v>
      </c>
      <c r="G59" s="588"/>
      <c r="H59" s="588"/>
      <c r="I59" s="588">
        <f>+I60+I61+I62+I63+I64</f>
        <v>0</v>
      </c>
    </row>
    <row r="60" spans="1:9" s="1" customFormat="1" ht="12" customHeight="1" x14ac:dyDescent="0.2">
      <c r="A60" s="327" t="s">
        <v>277</v>
      </c>
      <c r="B60" s="322" t="s">
        <v>264</v>
      </c>
      <c r="C60" s="642"/>
      <c r="D60" s="643"/>
      <c r="E60" s="644"/>
      <c r="F60" s="644"/>
      <c r="G60" s="644"/>
      <c r="H60" s="644"/>
      <c r="I60" s="644"/>
    </row>
    <row r="61" spans="1:9" s="1" customFormat="1" ht="12" customHeight="1" x14ac:dyDescent="0.2">
      <c r="A61" s="327" t="s">
        <v>278</v>
      </c>
      <c r="B61" s="322" t="s">
        <v>265</v>
      </c>
      <c r="C61" s="642"/>
      <c r="D61" s="643"/>
      <c r="E61" s="644"/>
      <c r="F61" s="644"/>
      <c r="G61" s="644"/>
      <c r="H61" s="644"/>
      <c r="I61" s="644"/>
    </row>
    <row r="62" spans="1:9" s="1" customFormat="1" ht="12" customHeight="1" x14ac:dyDescent="0.2">
      <c r="A62" s="327" t="s">
        <v>279</v>
      </c>
      <c r="B62" s="322" t="s">
        <v>266</v>
      </c>
      <c r="C62" s="642"/>
      <c r="D62" s="643"/>
      <c r="E62" s="644"/>
      <c r="F62" s="644"/>
      <c r="G62" s="644"/>
      <c r="H62" s="644"/>
      <c r="I62" s="644"/>
    </row>
    <row r="63" spans="1:9" s="1" customFormat="1" ht="12" customHeight="1" x14ac:dyDescent="0.2">
      <c r="A63" s="327" t="s">
        <v>280</v>
      </c>
      <c r="B63" s="322" t="s">
        <v>267</v>
      </c>
      <c r="C63" s="642"/>
      <c r="D63" s="643"/>
      <c r="E63" s="644"/>
      <c r="F63" s="644"/>
      <c r="G63" s="644"/>
      <c r="H63" s="644"/>
      <c r="I63" s="644"/>
    </row>
    <row r="64" spans="1:9" s="1" customFormat="1" ht="12" customHeight="1" thickBot="1" x14ac:dyDescent="0.25">
      <c r="A64" s="329" t="s">
        <v>281</v>
      </c>
      <c r="B64" s="330" t="s">
        <v>268</v>
      </c>
      <c r="C64" s="658"/>
      <c r="D64" s="659"/>
      <c r="E64" s="660"/>
      <c r="F64" s="660"/>
      <c r="G64" s="660"/>
      <c r="H64" s="660"/>
      <c r="I64" s="660"/>
    </row>
    <row r="65" spans="1:9" s="1" customFormat="1" ht="12" customHeight="1" thickBot="1" x14ac:dyDescent="0.25">
      <c r="A65" s="331" t="s">
        <v>980</v>
      </c>
      <c r="B65" s="414" t="s">
        <v>269</v>
      </c>
      <c r="C65" s="592">
        <f>+C51+C52</f>
        <v>0</v>
      </c>
      <c r="D65" s="593">
        <f>+D51+D52</f>
        <v>0</v>
      </c>
      <c r="E65" s="594">
        <f>+E51+E52</f>
        <v>0</v>
      </c>
      <c r="F65" s="594">
        <f>+F51+F52</f>
        <v>0</v>
      </c>
      <c r="G65" s="594"/>
      <c r="H65" s="594"/>
      <c r="I65" s="594">
        <f>+I51+I52</f>
        <v>0</v>
      </c>
    </row>
    <row r="66" spans="1:9" s="1" customFormat="1" ht="13.5" customHeight="1" thickBot="1" x14ac:dyDescent="0.25">
      <c r="A66" s="332" t="s">
        <v>981</v>
      </c>
      <c r="B66" s="415" t="s">
        <v>270</v>
      </c>
      <c r="C66" s="661"/>
      <c r="D66" s="662"/>
      <c r="E66" s="663"/>
      <c r="F66" s="663"/>
      <c r="G66" s="663"/>
      <c r="H66" s="663"/>
      <c r="I66" s="663"/>
    </row>
    <row r="67" spans="1:9" s="1" customFormat="1" ht="12" customHeight="1" thickBot="1" x14ac:dyDescent="0.25">
      <c r="A67" s="331" t="s">
        <v>982</v>
      </c>
      <c r="B67" s="414" t="s">
        <v>271</v>
      </c>
      <c r="C67" s="592">
        <f>+C65+C66</f>
        <v>0</v>
      </c>
      <c r="D67" s="593">
        <f>+D65+D66</f>
        <v>0</v>
      </c>
      <c r="E67" s="594">
        <f>+E65+E66</f>
        <v>0</v>
      </c>
      <c r="F67" s="594">
        <f>+F65+F66</f>
        <v>0</v>
      </c>
      <c r="G67" s="594"/>
      <c r="H67" s="594"/>
      <c r="I67" s="594">
        <f>+I65+I66</f>
        <v>0</v>
      </c>
    </row>
    <row r="68" spans="1:9" s="1" customFormat="1" ht="12.95" customHeight="1" x14ac:dyDescent="0.2">
      <c r="A68" s="6"/>
      <c r="B68" s="7"/>
      <c r="C68" s="597"/>
      <c r="D68" s="597"/>
      <c r="E68" s="597"/>
      <c r="F68" s="597"/>
      <c r="G68" s="597"/>
      <c r="H68" s="597"/>
      <c r="I68" s="597"/>
    </row>
    <row r="69" spans="1:9" ht="16.5" customHeight="1" x14ac:dyDescent="0.25">
      <c r="A69" s="1513" t="s">
        <v>998</v>
      </c>
      <c r="B69" s="1513"/>
      <c r="C69" s="1513"/>
      <c r="D69" s="569"/>
      <c r="E69" s="569"/>
      <c r="F69" s="569"/>
      <c r="G69" s="569"/>
      <c r="H69" s="569"/>
      <c r="I69" s="569"/>
    </row>
    <row r="70" spans="1:9" s="340" customFormat="1" ht="16.5" customHeight="1" thickBot="1" x14ac:dyDescent="0.3">
      <c r="A70" s="1514" t="s">
        <v>103</v>
      </c>
      <c r="B70" s="1514"/>
      <c r="C70" s="156"/>
      <c r="D70" s="339"/>
      <c r="E70" s="339"/>
      <c r="F70" s="339"/>
      <c r="G70" s="339"/>
      <c r="H70" s="339"/>
      <c r="I70" s="339" t="s">
        <v>303</v>
      </c>
    </row>
    <row r="71" spans="1:9" s="927" customFormat="1" ht="38.1" customHeight="1" thickBot="1" x14ac:dyDescent="0.3">
      <c r="A71" s="27" t="s">
        <v>967</v>
      </c>
      <c r="B71" s="28" t="s">
        <v>999</v>
      </c>
      <c r="C71" s="570" t="s">
        <v>1037</v>
      </c>
      <c r="D71" s="571" t="s">
        <v>1038</v>
      </c>
      <c r="E71" s="898" t="s">
        <v>1039</v>
      </c>
      <c r="F71" s="898" t="s">
        <v>1148</v>
      </c>
      <c r="G71" s="898" t="s">
        <v>1189</v>
      </c>
      <c r="H71" s="898" t="s">
        <v>1190</v>
      </c>
      <c r="I71" s="898" t="s">
        <v>1147</v>
      </c>
    </row>
    <row r="72" spans="1:9" s="42" customFormat="1" ht="12" customHeight="1" thickBot="1" x14ac:dyDescent="0.25">
      <c r="A72" s="36">
        <v>1</v>
      </c>
      <c r="B72" s="37">
        <v>2</v>
      </c>
      <c r="C72" s="570">
        <v>3</v>
      </c>
      <c r="D72" s="571">
        <v>4</v>
      </c>
      <c r="E72" s="572">
        <v>3</v>
      </c>
      <c r="F72" s="572">
        <v>4</v>
      </c>
      <c r="G72" s="898">
        <v>5</v>
      </c>
      <c r="H72" s="898"/>
      <c r="I72" s="572">
        <v>6</v>
      </c>
    </row>
    <row r="73" spans="1:9" ht="12" customHeight="1" thickBot="1" x14ac:dyDescent="0.3">
      <c r="A73" s="25" t="s">
        <v>969</v>
      </c>
      <c r="B73" s="35" t="s">
        <v>166</v>
      </c>
      <c r="C73" s="573">
        <f>+C74+C75+C76+C77+C78</f>
        <v>0</v>
      </c>
      <c r="D73" s="574">
        <f>+D74+D75+D76+D77+D78</f>
        <v>0</v>
      </c>
      <c r="E73" s="575">
        <f>+E74+E75+E76+E77+E78</f>
        <v>0</v>
      </c>
      <c r="F73" s="575">
        <f>+F74+F75+F76+F77+F78</f>
        <v>0</v>
      </c>
      <c r="G73" s="575"/>
      <c r="H73" s="575"/>
      <c r="I73" s="575">
        <f>+I74+I75+I76+I77+I78</f>
        <v>0</v>
      </c>
    </row>
    <row r="74" spans="1:9" ht="12" customHeight="1" x14ac:dyDescent="0.25">
      <c r="A74" s="20" t="s">
        <v>60</v>
      </c>
      <c r="B74" s="12" t="s">
        <v>1000</v>
      </c>
      <c r="C74" s="598"/>
      <c r="D74" s="599"/>
      <c r="E74" s="600"/>
      <c r="F74" s="600"/>
      <c r="G74" s="600"/>
      <c r="H74" s="600"/>
      <c r="I74" s="600"/>
    </row>
    <row r="75" spans="1:9" ht="12" customHeight="1" x14ac:dyDescent="0.25">
      <c r="A75" s="16" t="s">
        <v>61</v>
      </c>
      <c r="B75" s="9" t="s">
        <v>167</v>
      </c>
      <c r="C75" s="601"/>
      <c r="D75" s="580"/>
      <c r="E75" s="581"/>
      <c r="F75" s="581"/>
      <c r="G75" s="581"/>
      <c r="H75" s="581"/>
      <c r="I75" s="581"/>
    </row>
    <row r="76" spans="1:9" ht="12" customHeight="1" x14ac:dyDescent="0.25">
      <c r="A76" s="16" t="s">
        <v>62</v>
      </c>
      <c r="B76" s="9" t="s">
        <v>91</v>
      </c>
      <c r="C76" s="602"/>
      <c r="D76" s="603"/>
      <c r="E76" s="604"/>
      <c r="F76" s="604"/>
      <c r="G76" s="604"/>
      <c r="H76" s="604"/>
      <c r="I76" s="604"/>
    </row>
    <row r="77" spans="1:9" ht="12" customHeight="1" x14ac:dyDescent="0.25">
      <c r="A77" s="16" t="s">
        <v>63</v>
      </c>
      <c r="B77" s="13" t="s">
        <v>168</v>
      </c>
      <c r="C77" s="602"/>
      <c r="D77" s="603"/>
      <c r="E77" s="604"/>
      <c r="F77" s="604"/>
      <c r="G77" s="604"/>
      <c r="H77" s="604"/>
      <c r="I77" s="604"/>
    </row>
    <row r="78" spans="1:9" ht="12" customHeight="1" x14ac:dyDescent="0.25">
      <c r="A78" s="16" t="s">
        <v>74</v>
      </c>
      <c r="B78" s="22" t="s">
        <v>169</v>
      </c>
      <c r="C78" s="602"/>
      <c r="D78" s="603"/>
      <c r="E78" s="604"/>
      <c r="F78" s="604"/>
      <c r="G78" s="604"/>
      <c r="H78" s="604"/>
      <c r="I78" s="604"/>
    </row>
    <row r="79" spans="1:9" ht="12" customHeight="1" x14ac:dyDescent="0.25">
      <c r="A79" s="16" t="s">
        <v>64</v>
      </c>
      <c r="B79" s="9" t="s">
        <v>191</v>
      </c>
      <c r="C79" s="602"/>
      <c r="D79" s="603"/>
      <c r="E79" s="604"/>
      <c r="F79" s="604"/>
      <c r="G79" s="604"/>
      <c r="H79" s="604"/>
      <c r="I79" s="604"/>
    </row>
    <row r="80" spans="1:9" ht="12" customHeight="1" x14ac:dyDescent="0.25">
      <c r="A80" s="16" t="s">
        <v>65</v>
      </c>
      <c r="B80" s="159" t="s">
        <v>192</v>
      </c>
      <c r="C80" s="602"/>
      <c r="D80" s="603"/>
      <c r="E80" s="604"/>
      <c r="F80" s="604"/>
      <c r="G80" s="604"/>
      <c r="H80" s="604"/>
      <c r="I80" s="604"/>
    </row>
    <row r="81" spans="1:9" ht="12" customHeight="1" x14ac:dyDescent="0.25">
      <c r="A81" s="16" t="s">
        <v>75</v>
      </c>
      <c r="B81" s="159" t="s">
        <v>282</v>
      </c>
      <c r="C81" s="602"/>
      <c r="D81" s="603"/>
      <c r="E81" s="604"/>
      <c r="F81" s="604"/>
      <c r="G81" s="604"/>
      <c r="H81" s="604"/>
      <c r="I81" s="604"/>
    </row>
    <row r="82" spans="1:9" ht="12" customHeight="1" x14ac:dyDescent="0.25">
      <c r="A82" s="16" t="s">
        <v>76</v>
      </c>
      <c r="B82" s="160" t="s">
        <v>193</v>
      </c>
      <c r="C82" s="602"/>
      <c r="D82" s="603"/>
      <c r="E82" s="604"/>
      <c r="F82" s="604"/>
      <c r="G82" s="604"/>
      <c r="H82" s="604"/>
      <c r="I82" s="604"/>
    </row>
    <row r="83" spans="1:9" ht="12" customHeight="1" x14ac:dyDescent="0.25">
      <c r="A83" s="15" t="s">
        <v>77</v>
      </c>
      <c r="B83" s="161" t="s">
        <v>194</v>
      </c>
      <c r="C83" s="602"/>
      <c r="D83" s="603"/>
      <c r="E83" s="604"/>
      <c r="F83" s="604"/>
      <c r="G83" s="604"/>
      <c r="H83" s="604"/>
      <c r="I83" s="604"/>
    </row>
    <row r="84" spans="1:9" ht="12" customHeight="1" x14ac:dyDescent="0.25">
      <c r="A84" s="16" t="s">
        <v>78</v>
      </c>
      <c r="B84" s="161" t="s">
        <v>195</v>
      </c>
      <c r="C84" s="602"/>
      <c r="D84" s="603"/>
      <c r="E84" s="604"/>
      <c r="F84" s="604"/>
      <c r="G84" s="604"/>
      <c r="H84" s="604"/>
      <c r="I84" s="604"/>
    </row>
    <row r="85" spans="1:9" ht="12" customHeight="1" thickBot="1" x14ac:dyDescent="0.3">
      <c r="A85" s="21" t="s">
        <v>80</v>
      </c>
      <c r="B85" s="162" t="s">
        <v>196</v>
      </c>
      <c r="C85" s="605"/>
      <c r="D85" s="606"/>
      <c r="E85" s="607"/>
      <c r="F85" s="607"/>
      <c r="G85" s="607"/>
      <c r="H85" s="607"/>
      <c r="I85" s="607"/>
    </row>
    <row r="86" spans="1:9" ht="12" customHeight="1" thickBot="1" x14ac:dyDescent="0.3">
      <c r="A86" s="23" t="s">
        <v>970</v>
      </c>
      <c r="B86" s="34" t="s">
        <v>313</v>
      </c>
      <c r="C86" s="582">
        <f>+C87+C88+C89</f>
        <v>0</v>
      </c>
      <c r="D86" s="577">
        <f>+D87+D88+D89</f>
        <v>0</v>
      </c>
      <c r="E86" s="578">
        <f>+E87+E88+E89</f>
        <v>0</v>
      </c>
      <c r="F86" s="578">
        <f>+F87+F88+F89</f>
        <v>0</v>
      </c>
      <c r="G86" s="578"/>
      <c r="H86" s="578"/>
      <c r="I86" s="578">
        <f>+I87+I88+I89</f>
        <v>0</v>
      </c>
    </row>
    <row r="87" spans="1:9" ht="12" customHeight="1" x14ac:dyDescent="0.25">
      <c r="A87" s="18" t="s">
        <v>66</v>
      </c>
      <c r="B87" s="9" t="s">
        <v>283</v>
      </c>
      <c r="C87" s="608"/>
      <c r="D87" s="609"/>
      <c r="E87" s="610"/>
      <c r="F87" s="610"/>
      <c r="G87" s="610"/>
      <c r="H87" s="610"/>
      <c r="I87" s="610"/>
    </row>
    <row r="88" spans="1:9" ht="12" customHeight="1" x14ac:dyDescent="0.25">
      <c r="A88" s="18" t="s">
        <v>67</v>
      </c>
      <c r="B88" s="14" t="s">
        <v>171</v>
      </c>
      <c r="C88" s="601"/>
      <c r="D88" s="580"/>
      <c r="E88" s="581"/>
      <c r="F88" s="581"/>
      <c r="G88" s="581"/>
      <c r="H88" s="581"/>
      <c r="I88" s="581"/>
    </row>
    <row r="89" spans="1:9" ht="12" customHeight="1" x14ac:dyDescent="0.25">
      <c r="A89" s="18" t="s">
        <v>68</v>
      </c>
      <c r="B89" s="322" t="s">
        <v>314</v>
      </c>
      <c r="C89" s="579"/>
      <c r="D89" s="580"/>
      <c r="E89" s="581"/>
      <c r="F89" s="581"/>
      <c r="G89" s="581"/>
      <c r="H89" s="581"/>
      <c r="I89" s="581"/>
    </row>
    <row r="90" spans="1:9" ht="12" customHeight="1" x14ac:dyDescent="0.25">
      <c r="A90" s="18" t="s">
        <v>69</v>
      </c>
      <c r="B90" s="322" t="s">
        <v>386</v>
      </c>
      <c r="C90" s="579"/>
      <c r="D90" s="580"/>
      <c r="E90" s="581"/>
      <c r="F90" s="581"/>
      <c r="G90" s="581"/>
      <c r="H90" s="581"/>
      <c r="I90" s="581"/>
    </row>
    <row r="91" spans="1:9" ht="12" customHeight="1" x14ac:dyDescent="0.25">
      <c r="A91" s="18" t="s">
        <v>70</v>
      </c>
      <c r="B91" s="322" t="s">
        <v>315</v>
      </c>
      <c r="C91" s="579"/>
      <c r="D91" s="580"/>
      <c r="E91" s="581"/>
      <c r="F91" s="581"/>
      <c r="G91" s="581"/>
      <c r="H91" s="581"/>
      <c r="I91" s="581"/>
    </row>
    <row r="92" spans="1:9" x14ac:dyDescent="0.25">
      <c r="A92" s="18" t="s">
        <v>79</v>
      </c>
      <c r="B92" s="322" t="s">
        <v>316</v>
      </c>
      <c r="C92" s="579"/>
      <c r="D92" s="580"/>
      <c r="E92" s="581"/>
      <c r="F92" s="581"/>
      <c r="G92" s="581"/>
      <c r="H92" s="581"/>
      <c r="I92" s="581"/>
    </row>
    <row r="93" spans="1:9" ht="12" customHeight="1" x14ac:dyDescent="0.25">
      <c r="A93" s="18" t="s">
        <v>81</v>
      </c>
      <c r="B93" s="416" t="s">
        <v>287</v>
      </c>
      <c r="C93" s="579"/>
      <c r="D93" s="580"/>
      <c r="E93" s="581"/>
      <c r="F93" s="581"/>
      <c r="G93" s="581"/>
      <c r="H93" s="581"/>
      <c r="I93" s="581"/>
    </row>
    <row r="94" spans="1:9" ht="12" customHeight="1" x14ac:dyDescent="0.25">
      <c r="A94" s="18" t="s">
        <v>172</v>
      </c>
      <c r="B94" s="416" t="s">
        <v>288</v>
      </c>
      <c r="C94" s="579"/>
      <c r="D94" s="580"/>
      <c r="E94" s="581"/>
      <c r="F94" s="581"/>
      <c r="G94" s="581"/>
      <c r="H94" s="581"/>
      <c r="I94" s="581"/>
    </row>
    <row r="95" spans="1:9" ht="12" customHeight="1" x14ac:dyDescent="0.25">
      <c r="A95" s="18" t="s">
        <v>173</v>
      </c>
      <c r="B95" s="416" t="s">
        <v>286</v>
      </c>
      <c r="C95" s="579"/>
      <c r="D95" s="580"/>
      <c r="E95" s="581"/>
      <c r="F95" s="581"/>
      <c r="G95" s="581"/>
      <c r="H95" s="581"/>
      <c r="I95" s="581"/>
    </row>
    <row r="96" spans="1:9" ht="24" customHeight="1" thickBot="1" x14ac:dyDescent="0.3">
      <c r="A96" s="15" t="s">
        <v>174</v>
      </c>
      <c r="B96" s="417" t="s">
        <v>285</v>
      </c>
      <c r="C96" s="611"/>
      <c r="D96" s="603"/>
      <c r="E96" s="604"/>
      <c r="F96" s="604"/>
      <c r="G96" s="604"/>
      <c r="H96" s="604"/>
      <c r="I96" s="604"/>
    </row>
    <row r="97" spans="1:9" ht="12" customHeight="1" thickBot="1" x14ac:dyDescent="0.3">
      <c r="A97" s="23" t="s">
        <v>971</v>
      </c>
      <c r="B97" s="140" t="s">
        <v>317</v>
      </c>
      <c r="C97" s="582">
        <f>+C98+C99</f>
        <v>0</v>
      </c>
      <c r="D97" s="577">
        <f>+D98+D99</f>
        <v>0</v>
      </c>
      <c r="E97" s="578">
        <f>+E98+E99</f>
        <v>0</v>
      </c>
      <c r="F97" s="578">
        <f>+F98+F99</f>
        <v>0</v>
      </c>
      <c r="G97" s="578"/>
      <c r="H97" s="578"/>
      <c r="I97" s="578">
        <f>+I98+I99</f>
        <v>0</v>
      </c>
    </row>
    <row r="98" spans="1:9" ht="12" customHeight="1" x14ac:dyDescent="0.25">
      <c r="A98" s="18" t="s">
        <v>40</v>
      </c>
      <c r="B98" s="11" t="s">
        <v>3</v>
      </c>
      <c r="C98" s="608"/>
      <c r="D98" s="609"/>
      <c r="E98" s="610"/>
      <c r="F98" s="610"/>
      <c r="G98" s="610"/>
      <c r="H98" s="610"/>
      <c r="I98" s="610"/>
    </row>
    <row r="99" spans="1:9" ht="12" customHeight="1" thickBot="1" x14ac:dyDescent="0.3">
      <c r="A99" s="19" t="s">
        <v>41</v>
      </c>
      <c r="B99" s="14" t="s">
        <v>4</v>
      </c>
      <c r="C99" s="602"/>
      <c r="D99" s="603"/>
      <c r="E99" s="604"/>
      <c r="F99" s="604"/>
      <c r="G99" s="604"/>
      <c r="H99" s="604"/>
      <c r="I99" s="604"/>
    </row>
    <row r="100" spans="1:9" s="320" customFormat="1" ht="12" customHeight="1" thickBot="1" x14ac:dyDescent="0.25">
      <c r="A100" s="326" t="s">
        <v>972</v>
      </c>
      <c r="B100" s="321" t="s">
        <v>289</v>
      </c>
      <c r="C100" s="612"/>
      <c r="D100" s="613"/>
      <c r="E100" s="614"/>
      <c r="F100" s="614"/>
      <c r="G100" s="614"/>
      <c r="H100" s="614"/>
      <c r="I100" s="614"/>
    </row>
    <row r="101" spans="1:9" ht="12" customHeight="1" thickBot="1" x14ac:dyDescent="0.3">
      <c r="A101" s="318" t="s">
        <v>973</v>
      </c>
      <c r="B101" s="319" t="s">
        <v>108</v>
      </c>
      <c r="C101" s="573">
        <f>+C73+C86+C97+C100</f>
        <v>0</v>
      </c>
      <c r="D101" s="574">
        <f>+D73+D86+D97+D100</f>
        <v>0</v>
      </c>
      <c r="E101" s="575">
        <f>+E73+E86+E97+E100</f>
        <v>0</v>
      </c>
      <c r="F101" s="575">
        <f>+F73+F86+F97+F100</f>
        <v>0</v>
      </c>
      <c r="G101" s="575"/>
      <c r="H101" s="575"/>
      <c r="I101" s="575">
        <f>+I73+I86+I97+I100</f>
        <v>0</v>
      </c>
    </row>
    <row r="102" spans="1:9" ht="12" customHeight="1" thickBot="1" x14ac:dyDescent="0.3">
      <c r="A102" s="326" t="s">
        <v>974</v>
      </c>
      <c r="B102" s="321" t="s">
        <v>387</v>
      </c>
      <c r="C102" s="582">
        <f>+C103+C111</f>
        <v>0</v>
      </c>
      <c r="D102" s="577">
        <f>+D103+D111</f>
        <v>0</v>
      </c>
      <c r="E102" s="578">
        <f>+E103+E111</f>
        <v>0</v>
      </c>
      <c r="F102" s="578">
        <f>+F103+F111</f>
        <v>0</v>
      </c>
      <c r="G102" s="578"/>
      <c r="H102" s="578"/>
      <c r="I102" s="578">
        <f>+I103+I111</f>
        <v>0</v>
      </c>
    </row>
    <row r="103" spans="1:9" ht="12" customHeight="1" thickBot="1" x14ac:dyDescent="0.3">
      <c r="A103" s="333" t="s">
        <v>47</v>
      </c>
      <c r="B103" s="418" t="s">
        <v>394</v>
      </c>
      <c r="C103" s="582">
        <f>+C104+C105+C106+C107+C108+C109+C110</f>
        <v>0</v>
      </c>
      <c r="D103" s="577">
        <f>+D104+D105+D106+D107+D108+D109+D110</f>
        <v>0</v>
      </c>
      <c r="E103" s="578">
        <f>+E104+E105+E106+E107+E108+E109+E110</f>
        <v>0</v>
      </c>
      <c r="F103" s="578">
        <f>+F104+F105+F106+F107+F108+F109+F110</f>
        <v>0</v>
      </c>
      <c r="G103" s="578"/>
      <c r="H103" s="578"/>
      <c r="I103" s="578">
        <f>+I104+I105+I106+I107+I108+I109+I110</f>
        <v>0</v>
      </c>
    </row>
    <row r="104" spans="1:9" ht="12" customHeight="1" x14ac:dyDescent="0.25">
      <c r="A104" s="334" t="s">
        <v>50</v>
      </c>
      <c r="B104" s="335" t="s">
        <v>290</v>
      </c>
      <c r="C104" s="615"/>
      <c r="D104" s="616"/>
      <c r="E104" s="617"/>
      <c r="F104" s="617"/>
      <c r="G104" s="617"/>
      <c r="H104" s="617"/>
      <c r="I104" s="617"/>
    </row>
    <row r="105" spans="1:9" ht="12" customHeight="1" x14ac:dyDescent="0.25">
      <c r="A105" s="327" t="s">
        <v>51</v>
      </c>
      <c r="B105" s="322" t="s">
        <v>291</v>
      </c>
      <c r="C105" s="618"/>
      <c r="D105" s="619"/>
      <c r="E105" s="620"/>
      <c r="F105" s="620"/>
      <c r="G105" s="620"/>
      <c r="H105" s="620"/>
      <c r="I105" s="620"/>
    </row>
    <row r="106" spans="1:9" ht="12" customHeight="1" x14ac:dyDescent="0.25">
      <c r="A106" s="327" t="s">
        <v>52</v>
      </c>
      <c r="B106" s="322" t="s">
        <v>292</v>
      </c>
      <c r="C106" s="618"/>
      <c r="D106" s="619"/>
      <c r="E106" s="620"/>
      <c r="F106" s="620"/>
      <c r="G106" s="620"/>
      <c r="H106" s="620"/>
      <c r="I106" s="620"/>
    </row>
    <row r="107" spans="1:9" ht="12" customHeight="1" x14ac:dyDescent="0.25">
      <c r="A107" s="327" t="s">
        <v>53</v>
      </c>
      <c r="B107" s="322" t="s">
        <v>293</v>
      </c>
      <c r="C107" s="618"/>
      <c r="D107" s="619"/>
      <c r="E107" s="620"/>
      <c r="F107" s="620"/>
      <c r="G107" s="620"/>
      <c r="H107" s="620"/>
      <c r="I107" s="620"/>
    </row>
    <row r="108" spans="1:9" ht="12" customHeight="1" x14ac:dyDescent="0.25">
      <c r="A108" s="327" t="s">
        <v>157</v>
      </c>
      <c r="B108" s="322" t="s">
        <v>294</v>
      </c>
      <c r="C108" s="618"/>
      <c r="D108" s="619"/>
      <c r="E108" s="620"/>
      <c r="F108" s="620"/>
      <c r="G108" s="620"/>
      <c r="H108" s="620"/>
      <c r="I108" s="620"/>
    </row>
    <row r="109" spans="1:9" ht="12" customHeight="1" x14ac:dyDescent="0.25">
      <c r="A109" s="327" t="s">
        <v>175</v>
      </c>
      <c r="B109" s="322" t="s">
        <v>295</v>
      </c>
      <c r="C109" s="618"/>
      <c r="D109" s="619"/>
      <c r="E109" s="620"/>
      <c r="F109" s="620"/>
      <c r="G109" s="620"/>
      <c r="H109" s="620"/>
      <c r="I109" s="620"/>
    </row>
    <row r="110" spans="1:9" ht="12" customHeight="1" thickBot="1" x14ac:dyDescent="0.3">
      <c r="A110" s="336" t="s">
        <v>176</v>
      </c>
      <c r="B110" s="337" t="s">
        <v>296</v>
      </c>
      <c r="C110" s="621"/>
      <c r="D110" s="622"/>
      <c r="E110" s="623"/>
      <c r="F110" s="623"/>
      <c r="G110" s="623"/>
      <c r="H110" s="623"/>
      <c r="I110" s="623"/>
    </row>
    <row r="111" spans="1:9" ht="12" customHeight="1" thickBot="1" x14ac:dyDescent="0.3">
      <c r="A111" s="333" t="s">
        <v>48</v>
      </c>
      <c r="B111" s="418" t="s">
        <v>395</v>
      </c>
      <c r="C111" s="582">
        <f>+C112+C113+C114+C115+C116+C117+C118+C119</f>
        <v>0</v>
      </c>
      <c r="D111" s="577">
        <f>+D112+D113+D114+D115+D116+D117+D118+D119</f>
        <v>0</v>
      </c>
      <c r="E111" s="578">
        <f>+E112+E113+E114+E115+E116+E117+E118+E119</f>
        <v>0</v>
      </c>
      <c r="F111" s="578">
        <f>+F112+F113+F114+F115+F116+F117+F118+F119</f>
        <v>0</v>
      </c>
      <c r="G111" s="578"/>
      <c r="H111" s="578"/>
      <c r="I111" s="578">
        <f>+I112+I113+I114+I115+I116+I117+I118+I119</f>
        <v>0</v>
      </c>
    </row>
    <row r="112" spans="1:9" ht="12" customHeight="1" x14ac:dyDescent="0.25">
      <c r="A112" s="334" t="s">
        <v>56</v>
      </c>
      <c r="B112" s="335" t="s">
        <v>290</v>
      </c>
      <c r="C112" s="615"/>
      <c r="D112" s="616"/>
      <c r="E112" s="617"/>
      <c r="F112" s="617"/>
      <c r="G112" s="617"/>
      <c r="H112" s="617"/>
      <c r="I112" s="617"/>
    </row>
    <row r="113" spans="1:10" ht="12" customHeight="1" x14ac:dyDescent="0.25">
      <c r="A113" s="327" t="s">
        <v>57</v>
      </c>
      <c r="B113" s="322" t="s">
        <v>297</v>
      </c>
      <c r="C113" s="618"/>
      <c r="D113" s="619"/>
      <c r="E113" s="620"/>
      <c r="F113" s="620"/>
      <c r="G113" s="620"/>
      <c r="H113" s="620"/>
      <c r="I113" s="620"/>
    </row>
    <row r="114" spans="1:10" ht="12" customHeight="1" x14ac:dyDescent="0.25">
      <c r="A114" s="327" t="s">
        <v>58</v>
      </c>
      <c r="B114" s="322" t="s">
        <v>292</v>
      </c>
      <c r="C114" s="618"/>
      <c r="D114" s="619"/>
      <c r="E114" s="620"/>
      <c r="F114" s="620"/>
      <c r="G114" s="620"/>
      <c r="H114" s="620"/>
      <c r="I114" s="620"/>
    </row>
    <row r="115" spans="1:10" ht="12" customHeight="1" x14ac:dyDescent="0.25">
      <c r="A115" s="327" t="s">
        <v>59</v>
      </c>
      <c r="B115" s="322" t="s">
        <v>293</v>
      </c>
      <c r="C115" s="618"/>
      <c r="D115" s="619"/>
      <c r="E115" s="620"/>
      <c r="F115" s="620"/>
      <c r="G115" s="620"/>
      <c r="H115" s="620"/>
      <c r="I115" s="620"/>
    </row>
    <row r="116" spans="1:10" ht="12" customHeight="1" x14ac:dyDescent="0.25">
      <c r="A116" s="327" t="s">
        <v>158</v>
      </c>
      <c r="B116" s="322" t="s">
        <v>294</v>
      </c>
      <c r="C116" s="618"/>
      <c r="D116" s="619"/>
      <c r="E116" s="620"/>
      <c r="F116" s="620"/>
      <c r="G116" s="620"/>
      <c r="H116" s="620"/>
      <c r="I116" s="620"/>
    </row>
    <row r="117" spans="1:10" ht="12" customHeight="1" x14ac:dyDescent="0.25">
      <c r="A117" s="327" t="s">
        <v>177</v>
      </c>
      <c r="B117" s="322" t="s">
        <v>298</v>
      </c>
      <c r="C117" s="618"/>
      <c r="D117" s="619"/>
      <c r="E117" s="620"/>
      <c r="F117" s="620"/>
      <c r="G117" s="620"/>
      <c r="H117" s="620"/>
      <c r="I117" s="620"/>
    </row>
    <row r="118" spans="1:10" ht="12" customHeight="1" x14ac:dyDescent="0.25">
      <c r="A118" s="327" t="s">
        <v>178</v>
      </c>
      <c r="B118" s="322" t="s">
        <v>296</v>
      </c>
      <c r="C118" s="618"/>
      <c r="D118" s="619"/>
      <c r="E118" s="620"/>
      <c r="F118" s="620"/>
      <c r="G118" s="620"/>
      <c r="H118" s="620"/>
      <c r="I118" s="620"/>
    </row>
    <row r="119" spans="1:10" ht="12" customHeight="1" thickBot="1" x14ac:dyDescent="0.3">
      <c r="A119" s="336" t="s">
        <v>179</v>
      </c>
      <c r="B119" s="337" t="s">
        <v>390</v>
      </c>
      <c r="C119" s="621"/>
      <c r="D119" s="622"/>
      <c r="E119" s="623"/>
      <c r="F119" s="623"/>
      <c r="G119" s="623"/>
      <c r="H119" s="623"/>
      <c r="I119" s="623"/>
    </row>
    <row r="120" spans="1:10" ht="12" customHeight="1" thickBot="1" x14ac:dyDescent="0.3">
      <c r="A120" s="326" t="s">
        <v>975</v>
      </c>
      <c r="B120" s="414" t="s">
        <v>299</v>
      </c>
      <c r="C120" s="624">
        <f>+C101+C102</f>
        <v>0</v>
      </c>
      <c r="D120" s="625">
        <f>+D101+D102</f>
        <v>0</v>
      </c>
      <c r="E120" s="626">
        <f>+E101+E102</f>
        <v>0</v>
      </c>
      <c r="F120" s="626">
        <f>+F101+F102</f>
        <v>0</v>
      </c>
      <c r="G120" s="626"/>
      <c r="H120" s="626"/>
      <c r="I120" s="626">
        <f>+I101+I102</f>
        <v>0</v>
      </c>
    </row>
    <row r="121" spans="1:10" ht="15" customHeight="1" thickBot="1" x14ac:dyDescent="0.3">
      <c r="A121" s="326" t="s">
        <v>976</v>
      </c>
      <c r="B121" s="414" t="s">
        <v>300</v>
      </c>
      <c r="C121" s="627"/>
      <c r="D121" s="628"/>
      <c r="E121" s="629"/>
      <c r="F121" s="629"/>
      <c r="G121" s="629"/>
      <c r="H121" s="629"/>
      <c r="I121" s="629"/>
      <c r="J121" s="141"/>
    </row>
    <row r="122" spans="1:10" s="1" customFormat="1" ht="12.95" customHeight="1" thickBot="1" x14ac:dyDescent="0.25">
      <c r="A122" s="338" t="s">
        <v>977</v>
      </c>
      <c r="B122" s="415" t="s">
        <v>301</v>
      </c>
      <c r="C122" s="592">
        <f>+C120+C121</f>
        <v>0</v>
      </c>
      <c r="D122" s="593">
        <f>+D120+D121</f>
        <v>0</v>
      </c>
      <c r="E122" s="594">
        <f>+E120+E121</f>
        <v>0</v>
      </c>
      <c r="F122" s="594">
        <f>+F120+F121</f>
        <v>0</v>
      </c>
      <c r="G122" s="594"/>
      <c r="H122" s="594"/>
      <c r="I122" s="594">
        <f>+I120+I121</f>
        <v>0</v>
      </c>
    </row>
    <row r="123" spans="1:10" ht="7.5" customHeight="1" x14ac:dyDescent="0.25">
      <c r="A123" s="419"/>
      <c r="B123" s="419"/>
      <c r="C123" s="630"/>
      <c r="D123" s="630"/>
      <c r="E123" s="630"/>
      <c r="F123" s="630"/>
      <c r="G123" s="630"/>
      <c r="H123" s="630"/>
      <c r="I123" s="630"/>
    </row>
    <row r="124" spans="1:10" x14ac:dyDescent="0.25">
      <c r="A124" s="1515" t="s">
        <v>111</v>
      </c>
      <c r="B124" s="1515"/>
      <c r="C124" s="1515"/>
      <c r="D124" s="569"/>
      <c r="E124" s="569"/>
      <c r="F124" s="569"/>
      <c r="G124" s="569"/>
      <c r="H124" s="569"/>
      <c r="I124" s="569"/>
    </row>
    <row r="125" spans="1:10" ht="15" customHeight="1" thickBot="1" x14ac:dyDescent="0.3">
      <c r="A125" s="1512" t="s">
        <v>104</v>
      </c>
      <c r="B125" s="1512"/>
      <c r="C125" s="339"/>
      <c r="D125" s="339"/>
      <c r="E125" s="339"/>
      <c r="F125" s="339"/>
      <c r="G125" s="339"/>
      <c r="H125" s="339"/>
      <c r="I125" s="339" t="s">
        <v>303</v>
      </c>
    </row>
    <row r="126" spans="1:10" ht="13.5" customHeight="1" thickBot="1" x14ac:dyDescent="0.3">
      <c r="A126" s="23">
        <v>1</v>
      </c>
      <c r="B126" s="34" t="s">
        <v>186</v>
      </c>
      <c r="C126" s="582">
        <f>+C51-C101</f>
        <v>0</v>
      </c>
      <c r="D126" s="631">
        <f>+D51-D101</f>
        <v>0</v>
      </c>
      <c r="E126" s="631">
        <f>+E51-E101</f>
        <v>0</v>
      </c>
      <c r="F126" s="631">
        <f>+F51-F101</f>
        <v>0</v>
      </c>
      <c r="G126" s="631"/>
      <c r="H126" s="631"/>
      <c r="I126" s="631">
        <f>+I51-I101</f>
        <v>0</v>
      </c>
    </row>
    <row r="127" spans="1:10" ht="7.5" customHeight="1" x14ac:dyDescent="0.25">
      <c r="A127" s="419"/>
      <c r="B127" s="419"/>
      <c r="C127" s="630"/>
      <c r="D127" s="630"/>
      <c r="E127" s="630"/>
      <c r="F127" s="630"/>
      <c r="G127" s="630"/>
      <c r="H127" s="630"/>
      <c r="I127" s="630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62" fitToHeight="2" orientation="portrait" r:id="rId1"/>
  <headerFooter alignWithMargins="0">
    <oddHeader>&amp;C&amp;"Times New Roman CE,Félkövér"&amp;12
Csobánka Község Önkormányzat 
2014. ÉVI KÖLTSÉGVETÉS ÁLLAMI FELADATOK MÉRLEGE&amp;R&amp;"Times New Roman CE,Félkövér dőlt"&amp;11 &amp;"Times New Roman CE,Félkövér"1.4. melléklet a 3/2015. (II.20.) önkormányzati rendelethez</oddHeader>
  </headerFooter>
  <rowBreaks count="1" manualBreakCount="1">
    <brk id="68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Layout" topLeftCell="F1" zoomScaleNormal="100" zoomScaleSheetLayoutView="100" workbookViewId="0">
      <selection activeCell="R1" sqref="R1:R32"/>
    </sheetView>
  </sheetViews>
  <sheetFormatPr defaultColWidth="9.33203125" defaultRowHeight="12.75" x14ac:dyDescent="0.2"/>
  <cols>
    <col min="1" max="1" width="6.83203125" style="54" customWidth="1"/>
    <col min="2" max="2" width="50.83203125" style="210" customWidth="1"/>
    <col min="3" max="4" width="13.33203125" style="673" hidden="1" customWidth="1"/>
    <col min="5" max="9" width="13.33203125" style="673" customWidth="1"/>
    <col min="10" max="10" width="50.83203125" style="54" customWidth="1"/>
    <col min="11" max="12" width="13.33203125" style="673" hidden="1" customWidth="1"/>
    <col min="13" max="17" width="13.33203125" style="673" customWidth="1"/>
    <col min="18" max="18" width="4.83203125" style="54" customWidth="1"/>
    <col min="19" max="16384" width="9.33203125" style="54"/>
  </cols>
  <sheetData>
    <row r="1" spans="1:18" ht="39.75" customHeight="1" x14ac:dyDescent="0.2">
      <c r="B1" s="344" t="s">
        <v>112</v>
      </c>
      <c r="C1" s="664"/>
      <c r="D1" s="664"/>
      <c r="E1" s="664"/>
      <c r="F1" s="664"/>
      <c r="G1" s="664"/>
      <c r="H1" s="664"/>
      <c r="I1" s="664"/>
      <c r="J1" s="345"/>
      <c r="K1" s="664"/>
      <c r="L1" s="664"/>
      <c r="M1" s="664"/>
      <c r="N1" s="664"/>
      <c r="O1" s="664"/>
      <c r="P1" s="664"/>
      <c r="Q1" s="664"/>
      <c r="R1" s="1518" t="s">
        <v>1214</v>
      </c>
    </row>
    <row r="2" spans="1:18" ht="14.25" thickBot="1" x14ac:dyDescent="0.25">
      <c r="K2" s="665"/>
      <c r="L2" s="665" t="s">
        <v>11</v>
      </c>
      <c r="M2" s="665"/>
      <c r="N2" s="665"/>
      <c r="O2" s="665"/>
      <c r="P2" s="665"/>
      <c r="Q2" s="665"/>
      <c r="R2" s="1518"/>
    </row>
    <row r="3" spans="1:18" ht="18" customHeight="1" thickBot="1" x14ac:dyDescent="0.25">
      <c r="A3" s="1516" t="s">
        <v>19</v>
      </c>
      <c r="B3" s="346" t="s">
        <v>1011</v>
      </c>
      <c r="C3" s="674"/>
      <c r="D3" s="674"/>
      <c r="E3" s="675"/>
      <c r="F3" s="675"/>
      <c r="G3" s="675"/>
      <c r="H3" s="675"/>
      <c r="I3" s="675"/>
      <c r="J3" s="346" t="s">
        <v>1</v>
      </c>
      <c r="K3" s="666"/>
      <c r="L3" s="666"/>
      <c r="M3" s="666"/>
      <c r="N3" s="666"/>
      <c r="O3" s="666"/>
      <c r="P3" s="666"/>
      <c r="Q3" s="666"/>
      <c r="R3" s="1518"/>
    </row>
    <row r="4" spans="1:18" s="347" customFormat="1" ht="26.25" thickBot="1" x14ac:dyDescent="0.25">
      <c r="A4" s="1517"/>
      <c r="B4" s="211" t="s">
        <v>12</v>
      </c>
      <c r="C4" s="668" t="s">
        <v>1037</v>
      </c>
      <c r="D4" s="668" t="s">
        <v>1038</v>
      </c>
      <c r="E4" s="572" t="s">
        <v>1039</v>
      </c>
      <c r="F4" s="572" t="s">
        <v>1148</v>
      </c>
      <c r="G4" s="898" t="s">
        <v>1189</v>
      </c>
      <c r="H4" s="898" t="s">
        <v>1190</v>
      </c>
      <c r="I4" s="572" t="s">
        <v>1147</v>
      </c>
      <c r="J4" s="211" t="s">
        <v>12</v>
      </c>
      <c r="K4" s="667" t="s">
        <v>1037</v>
      </c>
      <c r="L4" s="668" t="s">
        <v>1038</v>
      </c>
      <c r="M4" s="572" t="s">
        <v>1039</v>
      </c>
      <c r="N4" s="572" t="s">
        <v>1148</v>
      </c>
      <c r="O4" s="898" t="s">
        <v>1189</v>
      </c>
      <c r="P4" s="898" t="s">
        <v>1190</v>
      </c>
      <c r="Q4" s="572" t="s">
        <v>1147</v>
      </c>
      <c r="R4" s="1518"/>
    </row>
    <row r="5" spans="1:18" s="350" customFormat="1" ht="12" customHeight="1" thickBot="1" x14ac:dyDescent="0.25">
      <c r="A5" s="348">
        <v>1</v>
      </c>
      <c r="B5" s="349">
        <v>2</v>
      </c>
      <c r="C5" s="667" t="s">
        <v>971</v>
      </c>
      <c r="D5" s="668" t="s">
        <v>972</v>
      </c>
      <c r="E5" s="572">
        <v>3</v>
      </c>
      <c r="F5" s="572">
        <v>4</v>
      </c>
      <c r="G5" s="898">
        <v>5</v>
      </c>
      <c r="H5" s="898"/>
      <c r="I5" s="572">
        <v>6</v>
      </c>
      <c r="J5" s="349">
        <v>7</v>
      </c>
      <c r="K5" s="667" t="s">
        <v>975</v>
      </c>
      <c r="L5" s="668">
        <v>8</v>
      </c>
      <c r="M5" s="572">
        <v>8</v>
      </c>
      <c r="N5" s="572">
        <v>9</v>
      </c>
      <c r="O5" s="898">
        <v>10</v>
      </c>
      <c r="P5" s="898"/>
      <c r="Q5" s="572">
        <v>11</v>
      </c>
      <c r="R5" s="1518"/>
    </row>
    <row r="6" spans="1:18" ht="12.95" customHeight="1" x14ac:dyDescent="0.2">
      <c r="A6" s="351" t="s">
        <v>969</v>
      </c>
      <c r="B6" s="352" t="s">
        <v>145</v>
      </c>
      <c r="C6" s="687">
        <f>'1.1.sz.mell.'!C6</f>
        <v>84681</v>
      </c>
      <c r="D6" s="676">
        <f>'1.1.sz.mell.'!D6</f>
        <v>95825</v>
      </c>
      <c r="E6" s="676">
        <f>'1.1.sz.mell.'!E6</f>
        <v>90200</v>
      </c>
      <c r="F6" s="676">
        <f>'1.1.sz.mell.'!F6</f>
        <v>-11130</v>
      </c>
      <c r="G6" s="676">
        <f>'1.1.sz.mell.'!G6</f>
        <v>0</v>
      </c>
      <c r="H6" s="676">
        <f>'1.1.sz.mell.'!H6</f>
        <v>11130</v>
      </c>
      <c r="I6" s="676">
        <f>'1.1.sz.mell.'!I6</f>
        <v>90200</v>
      </c>
      <c r="J6" s="352" t="s">
        <v>13</v>
      </c>
      <c r="K6" s="687">
        <f>'1.1.sz.mell.'!C74</f>
        <v>133527</v>
      </c>
      <c r="L6" s="676">
        <f>'1.1.sz.mell.'!D74</f>
        <v>105454</v>
      </c>
      <c r="M6" s="692">
        <f>'1.1.sz.mell.'!E74</f>
        <v>135641</v>
      </c>
      <c r="N6" s="692">
        <f>'1.1.sz.mell.'!F74</f>
        <v>5058</v>
      </c>
      <c r="O6" s="692">
        <f>'1.1.sz.mell.'!G74</f>
        <v>2763</v>
      </c>
      <c r="P6" s="692">
        <f>'1.1.sz.mell.'!H74</f>
        <v>98</v>
      </c>
      <c r="Q6" s="692">
        <f>'1.1.sz.mell.'!I74</f>
        <v>143560</v>
      </c>
      <c r="R6" s="1518"/>
    </row>
    <row r="7" spans="1:18" ht="12.95" customHeight="1" x14ac:dyDescent="0.2">
      <c r="A7" s="353" t="s">
        <v>970</v>
      </c>
      <c r="B7" s="354" t="s">
        <v>1012</v>
      </c>
      <c r="C7" s="680">
        <f>'1.1.sz.mell.'!C11</f>
        <v>42354</v>
      </c>
      <c r="D7" s="678">
        <f>'1.1.sz.mell.'!D11</f>
        <v>12966</v>
      </c>
      <c r="E7" s="678">
        <f>'1.1.sz.mell.'!E11</f>
        <v>13483</v>
      </c>
      <c r="F7" s="678">
        <f>'1.1.sz.mell.'!F11</f>
        <v>0</v>
      </c>
      <c r="G7" s="678">
        <f>'1.1.sz.mell.'!G11</f>
        <v>0</v>
      </c>
      <c r="H7" s="678">
        <f>'1.1.sz.mell.'!H11</f>
        <v>54</v>
      </c>
      <c r="I7" s="678">
        <f>'1.1.sz.mell.'!I11</f>
        <v>13537</v>
      </c>
      <c r="J7" s="354" t="s">
        <v>167</v>
      </c>
      <c r="K7" s="680">
        <f>'1.1.sz.mell.'!C75</f>
        <v>35899</v>
      </c>
      <c r="L7" s="678">
        <f>'1.1.sz.mell.'!D75</f>
        <v>25668</v>
      </c>
      <c r="M7" s="693">
        <f>'1.1.sz.mell.'!E75</f>
        <v>32287</v>
      </c>
      <c r="N7" s="693">
        <f>'1.1.sz.mell.'!F75</f>
        <v>4502</v>
      </c>
      <c r="O7" s="693">
        <f>'1.1.sz.mell.'!G75</f>
        <v>870</v>
      </c>
      <c r="P7" s="693">
        <f>'1.1.sz.mell.'!H75</f>
        <v>26</v>
      </c>
      <c r="Q7" s="693">
        <f>'1.1.sz.mell.'!I75</f>
        <v>37685</v>
      </c>
      <c r="R7" s="1518"/>
    </row>
    <row r="8" spans="1:18" ht="12.95" customHeight="1" x14ac:dyDescent="0.2">
      <c r="A8" s="353" t="s">
        <v>971</v>
      </c>
      <c r="B8" s="354" t="s">
        <v>0</v>
      </c>
      <c r="C8" s="680">
        <f>'1.1.sz.mell.'!C20</f>
        <v>112149</v>
      </c>
      <c r="D8" s="678">
        <f>'1.1.sz.mell.'!D20</f>
        <v>7832</v>
      </c>
      <c r="E8" s="678">
        <f>'1.1.sz.mell.'!E20</f>
        <v>8000</v>
      </c>
      <c r="F8" s="678">
        <f>'1.1.sz.mell.'!F20</f>
        <v>0</v>
      </c>
      <c r="G8" s="678">
        <f>'1.1.sz.mell.'!G20</f>
        <v>0</v>
      </c>
      <c r="H8" s="678">
        <f>'1.1.sz.mell.'!H20</f>
        <v>0</v>
      </c>
      <c r="I8" s="678">
        <f>'1.1.sz.mell.'!I20</f>
        <v>8000</v>
      </c>
      <c r="J8" s="354" t="s">
        <v>332</v>
      </c>
      <c r="K8" s="680">
        <f>'1.1.sz.mell.'!C76</f>
        <v>77816</v>
      </c>
      <c r="L8" s="678">
        <f>'1.1.sz.mell.'!D76</f>
        <v>99187</v>
      </c>
      <c r="M8" s="693">
        <f>'1.1.sz.mell.'!E76</f>
        <v>91002</v>
      </c>
      <c r="N8" s="693">
        <f>'1.1.sz.mell.'!F76</f>
        <v>6910</v>
      </c>
      <c r="O8" s="693">
        <f>'1.1.sz.mell.'!G76</f>
        <v>7418</v>
      </c>
      <c r="P8" s="693">
        <f>'1.1.sz.mell.'!H76</f>
        <v>-1769</v>
      </c>
      <c r="Q8" s="693">
        <f>'1.1.sz.mell.'!I76</f>
        <v>103561</v>
      </c>
      <c r="R8" s="1518"/>
    </row>
    <row r="9" spans="1:18" ht="12.95" customHeight="1" x14ac:dyDescent="0.2">
      <c r="A9" s="353" t="s">
        <v>972</v>
      </c>
      <c r="B9" s="355" t="s">
        <v>319</v>
      </c>
      <c r="C9" s="680">
        <f>'1.1.sz.mell.'!C21</f>
        <v>262575</v>
      </c>
      <c r="D9" s="678">
        <f>'1.1.sz.mell.'!D21</f>
        <v>115921</v>
      </c>
      <c r="E9" s="678">
        <f>'1.1.sz.mell.'!E21</f>
        <v>147818</v>
      </c>
      <c r="F9" s="678">
        <f>'1.1.sz.mell.'!F21</f>
        <v>6933</v>
      </c>
      <c r="G9" s="678">
        <f>'1.1.sz.mell.'!G21</f>
        <v>-341</v>
      </c>
      <c r="H9" s="678">
        <f>'1.1.sz.mell.'!H21</f>
        <v>1622</v>
      </c>
      <c r="I9" s="678">
        <f>'1.1.sz.mell.'!I21</f>
        <v>156032</v>
      </c>
      <c r="J9" s="354" t="s">
        <v>168</v>
      </c>
      <c r="K9" s="680">
        <f>'1.1.sz.mell.'!C77</f>
        <v>21960</v>
      </c>
      <c r="L9" s="678">
        <f>'1.1.sz.mell.'!D77</f>
        <v>16490</v>
      </c>
      <c r="M9" s="693">
        <f>'1.1.sz.mell.'!E77</f>
        <v>13747</v>
      </c>
      <c r="N9" s="693">
        <f>'1.1.sz.mell.'!F77</f>
        <v>0</v>
      </c>
      <c r="O9" s="693">
        <f>'1.1.sz.mell.'!G77</f>
        <v>-121</v>
      </c>
      <c r="P9" s="693">
        <f>'1.1.sz.mell.'!H77</f>
        <v>2570</v>
      </c>
      <c r="Q9" s="693">
        <f>'1.1.sz.mell.'!I77</f>
        <v>16196</v>
      </c>
      <c r="R9" s="1518"/>
    </row>
    <row r="10" spans="1:18" ht="12.95" customHeight="1" x14ac:dyDescent="0.2">
      <c r="A10" s="353" t="s">
        <v>973</v>
      </c>
      <c r="B10" s="354" t="s">
        <v>320</v>
      </c>
      <c r="C10" s="680">
        <f>'1.1.sz.mell.'!C31</f>
        <v>12712</v>
      </c>
      <c r="D10" s="678">
        <f>'1.1.sz.mell.'!D31</f>
        <v>14556</v>
      </c>
      <c r="E10" s="678">
        <f>'1.1.sz.mell.'!E31</f>
        <v>15431</v>
      </c>
      <c r="F10" s="678">
        <f>'1.1.sz.mell.'!F31</f>
        <v>5782</v>
      </c>
      <c r="G10" s="678">
        <f>'1.1.sz.mell.'!G31</f>
        <v>921</v>
      </c>
      <c r="H10" s="678">
        <f>'1.1.sz.mell.'!H31</f>
        <v>0</v>
      </c>
      <c r="I10" s="678">
        <f>'1.1.sz.mell.'!I31</f>
        <v>22134</v>
      </c>
      <c r="J10" s="354" t="s">
        <v>169</v>
      </c>
      <c r="K10" s="680">
        <f>'1.1.sz.mell.'!C78</f>
        <v>6190</v>
      </c>
      <c r="L10" s="678">
        <f>'1.1.sz.mell.'!D78</f>
        <v>6796</v>
      </c>
      <c r="M10" s="693">
        <f>'1.1.sz.mell.'!E78</f>
        <v>5300</v>
      </c>
      <c r="N10" s="693">
        <f>'1.1.sz.mell.'!F78</f>
        <v>2290</v>
      </c>
      <c r="O10" s="693">
        <f>'1.1.sz.mell.'!G78</f>
        <v>0</v>
      </c>
      <c r="P10" s="693">
        <f>'1.1.sz.mell.'!H78</f>
        <v>0</v>
      </c>
      <c r="Q10" s="693">
        <f>'1.1.sz.mell.'!I78</f>
        <v>7590</v>
      </c>
      <c r="R10" s="1518"/>
    </row>
    <row r="11" spans="1:18" ht="12.95" customHeight="1" x14ac:dyDescent="0.2">
      <c r="A11" s="353" t="s">
        <v>974</v>
      </c>
      <c r="B11" s="354" t="s">
        <v>353</v>
      </c>
      <c r="C11" s="680"/>
      <c r="D11" s="678"/>
      <c r="E11" s="678"/>
      <c r="F11" s="678"/>
      <c r="G11" s="678"/>
      <c r="H11" s="678"/>
      <c r="I11" s="678"/>
      <c r="J11" s="354" t="s">
        <v>1203</v>
      </c>
      <c r="K11" s="680">
        <f>'1.1.sz.mell.'!C97</f>
        <v>0</v>
      </c>
      <c r="L11" s="678">
        <f>'1.1.sz.mell.'!D97</f>
        <v>0</v>
      </c>
      <c r="M11" s="693">
        <f>'1.1.sz.mell.'!E98</f>
        <v>1955</v>
      </c>
      <c r="N11" s="693">
        <f>'1.1.sz.mell.'!F98</f>
        <v>11185</v>
      </c>
      <c r="O11" s="693">
        <f>'1.1.sz.mell.'!G98-1858</f>
        <v>-2114</v>
      </c>
      <c r="P11" s="693">
        <f>'1.1.sz.mell.'!H98</f>
        <v>-2444</v>
      </c>
      <c r="Q11" s="693">
        <f>M11+N11+O11+P11</f>
        <v>8582</v>
      </c>
      <c r="R11" s="1518"/>
    </row>
    <row r="12" spans="1:18" ht="12.95" customHeight="1" x14ac:dyDescent="0.2">
      <c r="A12" s="353" t="s">
        <v>975</v>
      </c>
      <c r="B12" s="354" t="s">
        <v>321</v>
      </c>
      <c r="C12" s="680">
        <f>'1.1.sz.mell.'!C44</f>
        <v>430</v>
      </c>
      <c r="D12" s="678"/>
      <c r="E12" s="678">
        <f>'1.2.sz.mell. _köt'!E44</f>
        <v>11435</v>
      </c>
      <c r="F12" s="678">
        <f>'1.2.sz.mell. _köt'!F44</f>
        <v>-11435</v>
      </c>
      <c r="G12" s="678">
        <f>'1.2.sz.mell. _köt'!G44</f>
        <v>0</v>
      </c>
      <c r="H12" s="678">
        <f>'1.2.sz.mell. _köt'!H44</f>
        <v>0</v>
      </c>
      <c r="I12" s="678">
        <f>'1.2.sz.mell. _köt'!I44</f>
        <v>0</v>
      </c>
      <c r="J12" s="354" t="s">
        <v>964</v>
      </c>
      <c r="K12" s="680"/>
      <c r="L12" s="678"/>
      <c r="M12" s="693"/>
      <c r="N12" s="693"/>
      <c r="O12" s="693"/>
      <c r="P12" s="693"/>
      <c r="Q12" s="693"/>
      <c r="R12" s="1518"/>
    </row>
    <row r="13" spans="1:18" ht="12.95" customHeight="1" x14ac:dyDescent="0.2">
      <c r="A13" s="353" t="s">
        <v>976</v>
      </c>
      <c r="B13" s="354" t="s">
        <v>322</v>
      </c>
      <c r="C13" s="680"/>
      <c r="D13" s="678"/>
      <c r="E13" s="678"/>
      <c r="F13" s="678"/>
      <c r="G13" s="678"/>
      <c r="H13" s="678"/>
      <c r="I13" s="678"/>
      <c r="J13" s="47"/>
      <c r="K13" s="680"/>
      <c r="L13" s="678"/>
      <c r="M13" s="693"/>
      <c r="N13" s="693"/>
      <c r="O13" s="693"/>
      <c r="P13" s="693"/>
      <c r="Q13" s="693"/>
      <c r="R13" s="1518"/>
    </row>
    <row r="14" spans="1:18" ht="12.95" customHeight="1" x14ac:dyDescent="0.2">
      <c r="A14" s="353" t="s">
        <v>977</v>
      </c>
      <c r="B14" s="359" t="s">
        <v>323</v>
      </c>
      <c r="C14" s="680"/>
      <c r="D14" s="678"/>
      <c r="E14" s="678"/>
      <c r="F14" s="678"/>
      <c r="G14" s="678"/>
      <c r="H14" s="678"/>
      <c r="I14" s="678"/>
      <c r="J14" s="47"/>
      <c r="K14" s="680"/>
      <c r="L14" s="678"/>
      <c r="M14" s="693"/>
      <c r="N14" s="693"/>
      <c r="O14" s="693"/>
      <c r="P14" s="693"/>
      <c r="Q14" s="693"/>
      <c r="R14" s="1518"/>
    </row>
    <row r="15" spans="1:18" ht="12.95" customHeight="1" x14ac:dyDescent="0.2">
      <c r="A15" s="353" t="s">
        <v>978</v>
      </c>
      <c r="B15" s="488" t="s">
        <v>606</v>
      </c>
      <c r="C15" s="680"/>
      <c r="D15" s="678"/>
      <c r="E15" s="678"/>
      <c r="F15" s="678">
        <f>-12094+3858</f>
        <v>-8236</v>
      </c>
      <c r="G15" s="678">
        <v>8236</v>
      </c>
      <c r="H15" s="678">
        <f>-474-659</f>
        <v>-1133</v>
      </c>
      <c r="I15" s="678">
        <f>E15+F15+G15+H15</f>
        <v>-1133</v>
      </c>
      <c r="J15" s="47"/>
      <c r="K15" s="680"/>
      <c r="L15" s="678"/>
      <c r="M15" s="693"/>
      <c r="N15" s="693"/>
      <c r="O15" s="693"/>
      <c r="P15" s="693"/>
      <c r="Q15" s="693"/>
      <c r="R15" s="1518"/>
    </row>
    <row r="16" spans="1:18" ht="12.95" customHeight="1" x14ac:dyDescent="0.2">
      <c r="A16" s="353" t="s">
        <v>979</v>
      </c>
      <c r="B16" s="47"/>
      <c r="C16" s="680"/>
      <c r="D16" s="678"/>
      <c r="E16" s="678"/>
      <c r="F16" s="678"/>
      <c r="G16" s="678"/>
      <c r="H16" s="678"/>
      <c r="I16" s="678"/>
      <c r="J16" s="47"/>
      <c r="K16" s="680"/>
      <c r="L16" s="678"/>
      <c r="M16" s="693"/>
      <c r="N16" s="693"/>
      <c r="O16" s="693"/>
      <c r="P16" s="693"/>
      <c r="Q16" s="693"/>
      <c r="R16" s="1518"/>
    </row>
    <row r="17" spans="1:18" ht="12.95" customHeight="1" thickBot="1" x14ac:dyDescent="0.25">
      <c r="A17" s="353" t="s">
        <v>980</v>
      </c>
      <c r="B17" s="57"/>
      <c r="C17" s="688"/>
      <c r="D17" s="681"/>
      <c r="E17" s="681"/>
      <c r="F17" s="681"/>
      <c r="G17" s="681"/>
      <c r="H17" s="681"/>
      <c r="I17" s="681"/>
      <c r="J17" s="47"/>
      <c r="K17" s="688"/>
      <c r="L17" s="681"/>
      <c r="M17" s="694"/>
      <c r="N17" s="694"/>
      <c r="O17" s="694"/>
      <c r="P17" s="694"/>
      <c r="Q17" s="694"/>
      <c r="R17" s="1518"/>
    </row>
    <row r="18" spans="1:18" ht="15.95" customHeight="1" thickBot="1" x14ac:dyDescent="0.25">
      <c r="A18" s="356" t="s">
        <v>981</v>
      </c>
      <c r="B18" s="142" t="s">
        <v>346</v>
      </c>
      <c r="C18" s="689">
        <f>+C6+C7+C8+C9+C10+C12+C13+C14+C15+C16+C17</f>
        <v>514901</v>
      </c>
      <c r="D18" s="539">
        <f>+D6+D7+D8+D9+D10+D12+D13+D14+D15+D16+D17</f>
        <v>247100</v>
      </c>
      <c r="E18" s="539">
        <f>+E6+E7+E8+E9+E10+E12+E13+E14+E15+E16+E17</f>
        <v>286367</v>
      </c>
      <c r="F18" s="539">
        <f>+F6+F7+F8+F9+F10+F12+F13+F14+F15+F16+F17</f>
        <v>-18086</v>
      </c>
      <c r="G18" s="539">
        <f t="shared" ref="G18:H18" si="0">+G6+G7+G8+G9+G10+G12+G13+G14+G15+G16+G17</f>
        <v>8816</v>
      </c>
      <c r="H18" s="539">
        <f t="shared" si="0"/>
        <v>11673</v>
      </c>
      <c r="I18" s="539">
        <f>+I6+I7+I8+I9+I10+I12+I13+I14+I15+I16+I17</f>
        <v>288770</v>
      </c>
      <c r="J18" s="142" t="s">
        <v>345</v>
      </c>
      <c r="K18" s="689">
        <f>SUM(K6:K17)</f>
        <v>275392</v>
      </c>
      <c r="L18" s="539">
        <f>SUM(L6:L17)</f>
        <v>253595</v>
      </c>
      <c r="M18" s="363">
        <f>SUM(M6:M17)</f>
        <v>279932</v>
      </c>
      <c r="N18" s="363">
        <f>SUM(N6:N17)</f>
        <v>29945</v>
      </c>
      <c r="O18" s="363">
        <f t="shared" ref="O18:P18" si="1">SUM(O6:O17)</f>
        <v>8816</v>
      </c>
      <c r="P18" s="363">
        <f t="shared" si="1"/>
        <v>-1519</v>
      </c>
      <c r="Q18" s="363">
        <f>SUM(Q6:Q17)</f>
        <v>317174</v>
      </c>
      <c r="R18" s="1518"/>
    </row>
    <row r="19" spans="1:18" ht="12.95" customHeight="1" x14ac:dyDescent="0.2">
      <c r="A19" s="357" t="s">
        <v>982</v>
      </c>
      <c r="B19" s="358" t="s">
        <v>324</v>
      </c>
      <c r="C19" s="697">
        <f>+C20+C21+C22+C23</f>
        <v>0</v>
      </c>
      <c r="D19" s="682">
        <f>+D20+D21+D22+D23</f>
        <v>26281</v>
      </c>
      <c r="E19" s="682">
        <f>+E20+E21+E22+E23</f>
        <v>0</v>
      </c>
      <c r="F19" s="682">
        <f>+F20+F21+F22+F23</f>
        <v>41596</v>
      </c>
      <c r="G19" s="682">
        <f t="shared" ref="G19:H19" si="2">+G20+G21+G22+G23</f>
        <v>0</v>
      </c>
      <c r="H19" s="682">
        <f t="shared" si="2"/>
        <v>-7488</v>
      </c>
      <c r="I19" s="682">
        <f>E19+F19+H19</f>
        <v>34108</v>
      </c>
      <c r="J19" s="359" t="s">
        <v>180</v>
      </c>
      <c r="K19" s="690"/>
      <c r="L19" s="685"/>
      <c r="M19" s="695"/>
      <c r="N19" s="695"/>
      <c r="O19" s="695"/>
      <c r="P19" s="695"/>
      <c r="Q19" s="695"/>
      <c r="R19" s="1518"/>
    </row>
    <row r="20" spans="1:18" ht="12.95" customHeight="1" x14ac:dyDescent="0.2">
      <c r="A20" s="360" t="s">
        <v>983</v>
      </c>
      <c r="B20" s="359" t="s">
        <v>258</v>
      </c>
      <c r="C20" s="680"/>
      <c r="D20" s="678">
        <f>40097-13816</f>
        <v>26281</v>
      </c>
      <c r="E20" s="678"/>
      <c r="F20" s="678">
        <f>'1.1.sz.mell.'!F54-'2.2.sz.mell  '!F20</f>
        <v>41596</v>
      </c>
      <c r="G20" s="678">
        <f>'1.1.sz.mell.'!G54-'2.2.sz.mell  '!G20</f>
        <v>0</v>
      </c>
      <c r="H20" s="678">
        <v>-13192</v>
      </c>
      <c r="I20" s="678">
        <f>E20+F20+H20</f>
        <v>28404</v>
      </c>
      <c r="J20" s="359" t="s">
        <v>181</v>
      </c>
      <c r="K20" s="680"/>
      <c r="L20" s="678"/>
      <c r="M20" s="693"/>
      <c r="N20" s="693"/>
      <c r="O20" s="693"/>
      <c r="P20" s="693"/>
      <c r="Q20" s="693"/>
      <c r="R20" s="1518"/>
    </row>
    <row r="21" spans="1:18" ht="12.95" customHeight="1" x14ac:dyDescent="0.2">
      <c r="A21" s="360" t="s">
        <v>984</v>
      </c>
      <c r="B21" s="359" t="s">
        <v>259</v>
      </c>
      <c r="C21" s="680"/>
      <c r="D21" s="678"/>
      <c r="E21" s="678"/>
      <c r="F21" s="678"/>
      <c r="G21" s="678"/>
      <c r="H21" s="678"/>
      <c r="I21" s="678"/>
      <c r="J21" s="359" t="s">
        <v>109</v>
      </c>
      <c r="K21" s="680">
        <f>'1.1.sz.mell.'!C106</f>
        <v>108404</v>
      </c>
      <c r="L21" s="678"/>
      <c r="M21" s="693"/>
      <c r="N21" s="693"/>
      <c r="O21" s="693"/>
      <c r="P21" s="693"/>
      <c r="Q21" s="693"/>
      <c r="R21" s="1518"/>
    </row>
    <row r="22" spans="1:18" ht="12.95" customHeight="1" x14ac:dyDescent="0.2">
      <c r="A22" s="360" t="s">
        <v>985</v>
      </c>
      <c r="B22" s="359" t="s">
        <v>325</v>
      </c>
      <c r="C22" s="680"/>
      <c r="D22" s="678"/>
      <c r="E22" s="678"/>
      <c r="F22" s="678"/>
      <c r="G22" s="678"/>
      <c r="H22" s="678"/>
      <c r="I22" s="678"/>
      <c r="J22" s="359" t="s">
        <v>110</v>
      </c>
      <c r="K22" s="680"/>
      <c r="L22" s="678"/>
      <c r="M22" s="693"/>
      <c r="N22" s="693"/>
      <c r="O22" s="693"/>
      <c r="P22" s="693"/>
      <c r="Q22" s="693"/>
      <c r="R22" s="1518"/>
    </row>
    <row r="23" spans="1:18" ht="12.95" customHeight="1" x14ac:dyDescent="0.2">
      <c r="A23" s="360" t="s">
        <v>986</v>
      </c>
      <c r="B23" s="359" t="s">
        <v>326</v>
      </c>
      <c r="C23" s="680"/>
      <c r="D23" s="678"/>
      <c r="E23" s="678"/>
      <c r="F23" s="678"/>
      <c r="G23" s="678"/>
      <c r="H23" s="678">
        <v>5704</v>
      </c>
      <c r="I23" s="678">
        <v>5704</v>
      </c>
      <c r="J23" s="358" t="s">
        <v>333</v>
      </c>
      <c r="K23" s="680"/>
      <c r="L23" s="678"/>
      <c r="M23" s="693"/>
      <c r="N23" s="693"/>
      <c r="O23" s="693"/>
      <c r="P23" s="693"/>
      <c r="Q23" s="693"/>
      <c r="R23" s="1518"/>
    </row>
    <row r="24" spans="1:18" ht="12.95" customHeight="1" x14ac:dyDescent="0.2">
      <c r="A24" s="360" t="s">
        <v>987</v>
      </c>
      <c r="B24" s="359" t="s">
        <v>327</v>
      </c>
      <c r="C24" s="698">
        <f>+C25+C26</f>
        <v>77128</v>
      </c>
      <c r="D24" s="684">
        <f>+D25+D26</f>
        <v>0</v>
      </c>
      <c r="E24" s="684">
        <f>+E25+E26</f>
        <v>0</v>
      </c>
      <c r="F24" s="684">
        <f>+F25+F26</f>
        <v>0</v>
      </c>
      <c r="G24" s="684">
        <f t="shared" ref="G24:H24" si="3">+G25+G26</f>
        <v>0</v>
      </c>
      <c r="H24" s="684">
        <f t="shared" si="3"/>
        <v>0</v>
      </c>
      <c r="I24" s="684">
        <f>+I25+I26</f>
        <v>0</v>
      </c>
      <c r="J24" s="359" t="s">
        <v>182</v>
      </c>
      <c r="K24" s="680"/>
      <c r="L24" s="678"/>
      <c r="M24" s="693"/>
      <c r="N24" s="693"/>
      <c r="O24" s="693"/>
      <c r="P24" s="693"/>
      <c r="Q24" s="693"/>
      <c r="R24" s="1518"/>
    </row>
    <row r="25" spans="1:18" ht="12.95" customHeight="1" x14ac:dyDescent="0.2">
      <c r="A25" s="357" t="s">
        <v>988</v>
      </c>
      <c r="B25" s="358" t="s">
        <v>328</v>
      </c>
      <c r="C25" s="690">
        <v>77128</v>
      </c>
      <c r="D25" s="685"/>
      <c r="E25" s="685"/>
      <c r="F25" s="685"/>
      <c r="G25" s="685"/>
      <c r="H25" s="685"/>
      <c r="I25" s="685"/>
      <c r="J25" s="352" t="s">
        <v>1212</v>
      </c>
      <c r="K25" s="690"/>
      <c r="L25" s="685"/>
      <c r="M25" s="695"/>
      <c r="N25" s="695"/>
      <c r="O25" s="695"/>
      <c r="P25" s="695">
        <v>5704</v>
      </c>
      <c r="Q25" s="695">
        <v>5704</v>
      </c>
      <c r="R25" s="1518"/>
    </row>
    <row r="26" spans="1:18" ht="12.95" customHeight="1" thickBot="1" x14ac:dyDescent="0.25">
      <c r="A26" s="360" t="s">
        <v>989</v>
      </c>
      <c r="B26" s="359" t="s">
        <v>268</v>
      </c>
      <c r="C26" s="680"/>
      <c r="D26" s="678"/>
      <c r="E26" s="678"/>
      <c r="F26" s="678"/>
      <c r="G26" s="678"/>
      <c r="H26" s="678"/>
      <c r="I26" s="678"/>
      <c r="J26" s="47"/>
      <c r="K26" s="680"/>
      <c r="L26" s="678"/>
      <c r="M26" s="693"/>
      <c r="N26" s="693"/>
      <c r="O26" s="693"/>
      <c r="P26" s="693"/>
      <c r="Q26" s="693"/>
      <c r="R26" s="1518"/>
    </row>
    <row r="27" spans="1:18" ht="21.75" thickBot="1" x14ac:dyDescent="0.25">
      <c r="A27" s="356" t="s">
        <v>990</v>
      </c>
      <c r="B27" s="142" t="s">
        <v>343</v>
      </c>
      <c r="C27" s="689">
        <f>+C19+C24</f>
        <v>77128</v>
      </c>
      <c r="D27" s="539">
        <f>+D19+D24</f>
        <v>26281</v>
      </c>
      <c r="E27" s="539">
        <f>+E19+E24</f>
        <v>0</v>
      </c>
      <c r="F27" s="539">
        <f>+F19+F24</f>
        <v>41596</v>
      </c>
      <c r="G27" s="539">
        <f t="shared" ref="G27:H27" si="4">+G19+G24</f>
        <v>0</v>
      </c>
      <c r="H27" s="539">
        <f t="shared" si="4"/>
        <v>-7488</v>
      </c>
      <c r="I27" s="539">
        <f>+I19+I24</f>
        <v>34108</v>
      </c>
      <c r="J27" s="142" t="s">
        <v>344</v>
      </c>
      <c r="K27" s="689">
        <f>SUM(K19:K26)</f>
        <v>108404</v>
      </c>
      <c r="L27" s="539">
        <f>SUM(L19:L26)</f>
        <v>0</v>
      </c>
      <c r="M27" s="363">
        <f>SUM(M19:M26)</f>
        <v>0</v>
      </c>
      <c r="N27" s="363">
        <f>SUM(N19:N26)</f>
        <v>0</v>
      </c>
      <c r="O27" s="363">
        <f t="shared" ref="O27:P27" si="5">SUM(O19:O26)</f>
        <v>0</v>
      </c>
      <c r="P27" s="363">
        <f t="shared" si="5"/>
        <v>5704</v>
      </c>
      <c r="Q27" s="363">
        <f>SUM(Q19:Q26)</f>
        <v>5704</v>
      </c>
      <c r="R27" s="1518"/>
    </row>
    <row r="28" spans="1:18" ht="24.75" thickBot="1" x14ac:dyDescent="0.25">
      <c r="A28" s="356" t="s">
        <v>991</v>
      </c>
      <c r="B28" s="361" t="s">
        <v>331</v>
      </c>
      <c r="C28" s="689">
        <f>+C18+C27</f>
        <v>592029</v>
      </c>
      <c r="D28" s="539">
        <f>+D18+D27</f>
        <v>273381</v>
      </c>
      <c r="E28" s="539">
        <f>+E18+E27</f>
        <v>286367</v>
      </c>
      <c r="F28" s="539">
        <f>+F18+F27</f>
        <v>23510</v>
      </c>
      <c r="G28" s="539">
        <f t="shared" ref="G28:H28" si="6">+G18+G27</f>
        <v>8816</v>
      </c>
      <c r="H28" s="539">
        <f t="shared" si="6"/>
        <v>4185</v>
      </c>
      <c r="I28" s="539">
        <f>+I18+I27</f>
        <v>322878</v>
      </c>
      <c r="J28" s="361" t="s">
        <v>334</v>
      </c>
      <c r="K28" s="689">
        <f>+K18+K27</f>
        <v>383796</v>
      </c>
      <c r="L28" s="539">
        <f>+L18+L27</f>
        <v>253595</v>
      </c>
      <c r="M28" s="363">
        <f>+M18+M27</f>
        <v>279932</v>
      </c>
      <c r="N28" s="363">
        <f>+N18+N27</f>
        <v>29945</v>
      </c>
      <c r="O28" s="363">
        <f t="shared" ref="O28:P28" si="7">+O18+O27</f>
        <v>8816</v>
      </c>
      <c r="P28" s="363">
        <f t="shared" si="7"/>
        <v>4185</v>
      </c>
      <c r="Q28" s="363">
        <f>+Q18+Q27</f>
        <v>322878</v>
      </c>
      <c r="R28" s="1518"/>
    </row>
    <row r="29" spans="1:18" ht="18" customHeight="1" thickBot="1" x14ac:dyDescent="0.25">
      <c r="A29" s="356" t="s">
        <v>992</v>
      </c>
      <c r="B29" s="142" t="s">
        <v>329</v>
      </c>
      <c r="C29" s="691">
        <f>'1.1.sz.mell.'!C66</f>
        <v>55</v>
      </c>
      <c r="D29" s="686">
        <f>'1.1.sz.mell.'!D66</f>
        <v>9364</v>
      </c>
      <c r="E29" s="686"/>
      <c r="F29" s="686"/>
      <c r="G29" s="686"/>
      <c r="H29" s="686"/>
      <c r="I29" s="686"/>
      <c r="J29" s="142" t="s">
        <v>335</v>
      </c>
      <c r="K29" s="691">
        <f>'1.1.sz.mell.'!C121</f>
        <v>-8210</v>
      </c>
      <c r="L29" s="686">
        <f>'1.1.sz.mell.'!D121</f>
        <v>14698</v>
      </c>
      <c r="M29" s="696"/>
      <c r="N29" s="696"/>
      <c r="O29" s="696"/>
      <c r="P29" s="696"/>
      <c r="Q29" s="696"/>
      <c r="R29" s="1518"/>
    </row>
    <row r="30" spans="1:18" ht="13.5" thickBot="1" x14ac:dyDescent="0.25">
      <c r="A30" s="356" t="s">
        <v>993</v>
      </c>
      <c r="B30" s="362" t="s">
        <v>330</v>
      </c>
      <c r="C30" s="537">
        <f>+C28+C29</f>
        <v>592084</v>
      </c>
      <c r="D30" s="539">
        <f>+D28+D29</f>
        <v>282745</v>
      </c>
      <c r="E30" s="539">
        <f>+E28+E29</f>
        <v>286367</v>
      </c>
      <c r="F30" s="539">
        <f>+F28+F29</f>
        <v>23510</v>
      </c>
      <c r="G30" s="539">
        <f t="shared" ref="G30:H30" si="8">+G28+G29</f>
        <v>8816</v>
      </c>
      <c r="H30" s="539">
        <f t="shared" si="8"/>
        <v>4185</v>
      </c>
      <c r="I30" s="539">
        <f>+I28+I29</f>
        <v>322878</v>
      </c>
      <c r="J30" s="362" t="s">
        <v>336</v>
      </c>
      <c r="K30" s="537">
        <f>+K28+K29</f>
        <v>375586</v>
      </c>
      <c r="L30" s="539">
        <f>+L28+L29</f>
        <v>268293</v>
      </c>
      <c r="M30" s="363">
        <f>+M28+M29</f>
        <v>279932</v>
      </c>
      <c r="N30" s="363">
        <f>+N28+N29</f>
        <v>29945</v>
      </c>
      <c r="O30" s="363">
        <f t="shared" ref="O30:P30" si="9">+O28+O29</f>
        <v>8816</v>
      </c>
      <c r="P30" s="363">
        <f t="shared" si="9"/>
        <v>4185</v>
      </c>
      <c r="Q30" s="363">
        <f>+Q28+Q29</f>
        <v>322878</v>
      </c>
      <c r="R30" s="1518"/>
    </row>
    <row r="31" spans="1:18" ht="13.5" thickBot="1" x14ac:dyDescent="0.25">
      <c r="A31" s="356" t="s">
        <v>994</v>
      </c>
      <c r="B31" s="362" t="s">
        <v>125</v>
      </c>
      <c r="C31" s="537" t="str">
        <f>IF(C18-K18&lt;0,K18-C18,"-")</f>
        <v>-</v>
      </c>
      <c r="D31" s="539" t="str">
        <f>IF(D18-R18&lt;0,R18-D18,"-")</f>
        <v>-</v>
      </c>
      <c r="E31" s="539" t="str">
        <f>IF(E18-S18&lt;0,S18-E18,"-")</f>
        <v>-</v>
      </c>
      <c r="F31" s="539">
        <f>IF(F18-T18&lt;0,T18-F18,"-")</f>
        <v>18086</v>
      </c>
      <c r="G31" s="539" t="str">
        <f t="shared" ref="G31:H31" si="10">IF(G18-U18&lt;0,U18-G18,"-")</f>
        <v>-</v>
      </c>
      <c r="H31" s="539" t="str">
        <f t="shared" si="10"/>
        <v>-</v>
      </c>
      <c r="I31" s="539" t="str">
        <f>IF(I18-U18&lt;0,U18-I18,"-")</f>
        <v>-</v>
      </c>
      <c r="J31" s="362" t="s">
        <v>126</v>
      </c>
      <c r="K31" s="537">
        <f>IF(C18-K18&gt;0,C18-K18,"-")</f>
        <v>239509</v>
      </c>
      <c r="L31" s="539" t="str">
        <f>IF(D18-L18&gt;0,D18-L18,"-")</f>
        <v>-</v>
      </c>
      <c r="M31" s="363">
        <f>IF(E18-M18&gt;0,E18-M18,"-")</f>
        <v>6435</v>
      </c>
      <c r="N31" s="363" t="str">
        <f>IF(F18-N18&gt;0,F18-N18,"-")</f>
        <v>-</v>
      </c>
      <c r="O31" s="363" t="str">
        <f t="shared" ref="O31:P31" si="11">IF(G18-O18&gt;0,G18-O18,"-")</f>
        <v>-</v>
      </c>
      <c r="P31" s="363">
        <f t="shared" si="11"/>
        <v>13192</v>
      </c>
      <c r="Q31" s="363" t="str">
        <f>IF(I18-Q18&gt;0,I18-Q18,"-")</f>
        <v>-</v>
      </c>
      <c r="R31" s="1518"/>
    </row>
    <row r="32" spans="1:18" ht="13.5" thickBot="1" x14ac:dyDescent="0.25">
      <c r="A32" s="356" t="s">
        <v>995</v>
      </c>
      <c r="B32" s="362" t="s">
        <v>337</v>
      </c>
      <c r="C32" s="537" t="str">
        <f>IF(C18+C19-K28&lt;0,K28-(C18+C19),"-")</f>
        <v>-</v>
      </c>
      <c r="D32" s="539" t="str">
        <f>IF(D18+D19-R28&lt;0,R28-(D18+D19),"-")</f>
        <v>-</v>
      </c>
      <c r="E32" s="539" t="str">
        <f>IF(E18+E19-S28&lt;0,S28-(E18+E19),"-")</f>
        <v>-</v>
      </c>
      <c r="F32" s="539" t="str">
        <f>IF(F18+F19-T28&lt;0,T28-(F18+F19),"-")</f>
        <v>-</v>
      </c>
      <c r="G32" s="539" t="str">
        <f t="shared" ref="G32:H32" si="12">IF(G18+G19-U28&lt;0,U28-(G18+G19),"-")</f>
        <v>-</v>
      </c>
      <c r="H32" s="539" t="str">
        <f t="shared" si="12"/>
        <v>-</v>
      </c>
      <c r="I32" s="539" t="str">
        <f>IF(I18+I19-U28&lt;0,U28-(I18+I19),"-")</f>
        <v>-</v>
      </c>
      <c r="J32" s="362" t="s">
        <v>338</v>
      </c>
      <c r="K32" s="537">
        <f>IF(C18+C19-K28&gt;0,C18+C19-K28,"-")</f>
        <v>131105</v>
      </c>
      <c r="L32" s="539">
        <f>IF(D18+D19-L28&gt;0,D18+D19-L28,"-")</f>
        <v>19786</v>
      </c>
      <c r="M32" s="539">
        <f>IF(E18+E19-M28&gt;0,E18+E19-M28,"-")</f>
        <v>6435</v>
      </c>
      <c r="N32" s="539" t="str">
        <f>IF(F18+F19-N28&gt;0,F18+F19-N28,"-")</f>
        <v>-</v>
      </c>
      <c r="O32" s="539" t="str">
        <f t="shared" ref="O32:P32" si="13">IF(G18+G19-O28&gt;0,G18+G19-O28,"-")</f>
        <v>-</v>
      </c>
      <c r="P32" s="539" t="str">
        <f t="shared" si="13"/>
        <v>-</v>
      </c>
      <c r="Q32" s="538" t="str">
        <f>IF(I18+I19-Q28&gt;0,I18+I19-Q28,"-")</f>
        <v>-</v>
      </c>
      <c r="R32" s="1518"/>
    </row>
  </sheetData>
  <mergeCells count="2">
    <mergeCell ref="A3:A4"/>
    <mergeCell ref="R1:R32"/>
  </mergeCells>
  <phoneticPr fontId="0" type="noConversion"/>
  <printOptions horizontalCentered="1"/>
  <pageMargins left="0.25" right="0.25" top="0.75" bottom="0.75" header="0.3" footer="0.3"/>
  <pageSetup paperSize="9" scale="64" fitToHeight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view="pageBreakPreview" topLeftCell="E1" zoomScaleNormal="100" zoomScaleSheetLayoutView="100" workbookViewId="0">
      <selection activeCell="R1" sqref="R1:R36"/>
    </sheetView>
  </sheetViews>
  <sheetFormatPr defaultColWidth="9.33203125" defaultRowHeight="12.75" x14ac:dyDescent="0.2"/>
  <cols>
    <col min="1" max="1" width="6.83203125" style="54" customWidth="1"/>
    <col min="2" max="2" width="50.83203125" style="210" customWidth="1"/>
    <col min="3" max="4" width="13.33203125" style="673" hidden="1" customWidth="1"/>
    <col min="5" max="9" width="13.33203125" style="673" customWidth="1"/>
    <col min="10" max="10" width="50.83203125" style="54" customWidth="1"/>
    <col min="11" max="12" width="13.33203125" style="673" hidden="1" customWidth="1"/>
    <col min="13" max="17" width="13.33203125" style="673" customWidth="1"/>
    <col min="18" max="18" width="4.83203125" style="54" customWidth="1"/>
    <col min="19" max="16384" width="9.33203125" style="54"/>
  </cols>
  <sheetData>
    <row r="1" spans="1:18" ht="31.5" x14ac:dyDescent="0.2">
      <c r="B1" s="344" t="s">
        <v>113</v>
      </c>
      <c r="C1" s="664"/>
      <c r="D1" s="664"/>
      <c r="E1" s="664"/>
      <c r="F1" s="664"/>
      <c r="G1" s="664"/>
      <c r="H1" s="664"/>
      <c r="I1" s="664"/>
      <c r="J1" s="345"/>
      <c r="K1" s="664"/>
      <c r="L1" s="664"/>
      <c r="M1" s="664"/>
      <c r="N1" s="664"/>
      <c r="O1" s="664"/>
      <c r="P1" s="664"/>
      <c r="Q1" s="664"/>
      <c r="R1" s="1521" t="s">
        <v>1215</v>
      </c>
    </row>
    <row r="2" spans="1:18" ht="14.25" thickBot="1" x14ac:dyDescent="0.25">
      <c r="K2" s="665"/>
      <c r="L2" s="665" t="s">
        <v>11</v>
      </c>
      <c r="M2" s="665"/>
      <c r="N2" s="665"/>
      <c r="O2" s="665"/>
      <c r="P2" s="665"/>
      <c r="Q2" s="665"/>
      <c r="R2" s="1521"/>
    </row>
    <row r="3" spans="1:18" ht="13.5" thickBot="1" x14ac:dyDescent="0.25">
      <c r="A3" s="1519" t="s">
        <v>19</v>
      </c>
      <c r="B3" s="346" t="s">
        <v>1011</v>
      </c>
      <c r="C3" s="674"/>
      <c r="D3" s="674"/>
      <c r="E3" s="675"/>
      <c r="F3" s="675"/>
      <c r="G3" s="675"/>
      <c r="H3" s="675"/>
      <c r="I3" s="675"/>
      <c r="J3" s="346" t="s">
        <v>1</v>
      </c>
      <c r="K3" s="666"/>
      <c r="L3" s="666"/>
      <c r="M3" s="666"/>
      <c r="N3" s="666"/>
      <c r="O3" s="666"/>
      <c r="P3" s="666"/>
      <c r="Q3" s="666"/>
      <c r="R3" s="1521"/>
    </row>
    <row r="4" spans="1:18" s="347" customFormat="1" ht="26.25" thickBot="1" x14ac:dyDescent="0.25">
      <c r="A4" s="1520"/>
      <c r="B4" s="211" t="s">
        <v>12</v>
      </c>
      <c r="C4" s="668" t="s">
        <v>1037</v>
      </c>
      <c r="D4" s="668" t="s">
        <v>1038</v>
      </c>
      <c r="E4" s="572" t="s">
        <v>1039</v>
      </c>
      <c r="F4" s="572" t="s">
        <v>1148</v>
      </c>
      <c r="G4" s="898" t="s">
        <v>1189</v>
      </c>
      <c r="H4" s="898" t="s">
        <v>1190</v>
      </c>
      <c r="I4" s="572" t="s">
        <v>1147</v>
      </c>
      <c r="J4" s="211" t="s">
        <v>12</v>
      </c>
      <c r="K4" s="667" t="s">
        <v>1037</v>
      </c>
      <c r="L4" s="668" t="s">
        <v>1038</v>
      </c>
      <c r="M4" s="572" t="s">
        <v>1039</v>
      </c>
      <c r="N4" s="572" t="s">
        <v>1148</v>
      </c>
      <c r="O4" s="898" t="s">
        <v>1189</v>
      </c>
      <c r="P4" s="898" t="s">
        <v>1190</v>
      </c>
      <c r="Q4" s="572" t="s">
        <v>1147</v>
      </c>
      <c r="R4" s="1521"/>
    </row>
    <row r="5" spans="1:18" s="347" customFormat="1" ht="13.5" thickBot="1" x14ac:dyDescent="0.25">
      <c r="A5" s="348" t="s">
        <v>969</v>
      </c>
      <c r="B5" s="349" t="s">
        <v>970</v>
      </c>
      <c r="C5" s="668" t="s">
        <v>971</v>
      </c>
      <c r="D5" s="668" t="s">
        <v>972</v>
      </c>
      <c r="E5" s="572" t="s">
        <v>971</v>
      </c>
      <c r="F5" s="572" t="s">
        <v>972</v>
      </c>
      <c r="G5" s="898" t="s">
        <v>973</v>
      </c>
      <c r="H5" s="898"/>
      <c r="I5" s="898" t="s">
        <v>974</v>
      </c>
      <c r="J5" s="349" t="s">
        <v>975</v>
      </c>
      <c r="K5" s="667" t="s">
        <v>975</v>
      </c>
      <c r="L5" s="668">
        <v>8</v>
      </c>
      <c r="M5" s="898" t="s">
        <v>976</v>
      </c>
      <c r="N5" s="898" t="s">
        <v>977</v>
      </c>
      <c r="O5" s="898" t="s">
        <v>978</v>
      </c>
      <c r="P5" s="898"/>
      <c r="Q5" s="898" t="s">
        <v>979</v>
      </c>
      <c r="R5" s="1521"/>
    </row>
    <row r="6" spans="1:18" x14ac:dyDescent="0.2">
      <c r="A6" s="351" t="s">
        <v>969</v>
      </c>
      <c r="B6" s="352" t="s">
        <v>373</v>
      </c>
      <c r="C6" s="676"/>
      <c r="D6" s="676"/>
      <c r="E6" s="676"/>
      <c r="F6" s="676"/>
      <c r="G6" s="676"/>
      <c r="H6" s="676"/>
      <c r="I6" s="676">
        <f>E6+F6</f>
        <v>0</v>
      </c>
      <c r="J6" s="352" t="s">
        <v>283</v>
      </c>
      <c r="K6" s="687">
        <f>'1.1.sz.mell.'!C87</f>
        <v>208999</v>
      </c>
      <c r="L6" s="676">
        <f>'1.1.sz.mell.'!D87</f>
        <v>17725</v>
      </c>
      <c r="M6" s="669">
        <f>'1.1.sz.mell.'!E87</f>
        <v>174</v>
      </c>
      <c r="N6" s="669">
        <v>4258</v>
      </c>
      <c r="O6" s="669">
        <f>5741-724+650</f>
        <v>5667</v>
      </c>
      <c r="P6" s="669">
        <f>'1.1.sz.mell.'!H87</f>
        <v>1133</v>
      </c>
      <c r="Q6" s="669">
        <f>'1.1.sz.mell.'!I87</f>
        <v>11232</v>
      </c>
      <c r="R6" s="1521"/>
    </row>
    <row r="7" spans="1:18" ht="22.5" x14ac:dyDescent="0.2">
      <c r="A7" s="353" t="s">
        <v>970</v>
      </c>
      <c r="B7" s="354" t="s">
        <v>347</v>
      </c>
      <c r="C7" s="678">
        <f>'1.1.sz.mell.'!C48</f>
        <v>332</v>
      </c>
      <c r="D7" s="678">
        <f>'1.1.sz.mell.'!D48</f>
        <v>7184</v>
      </c>
      <c r="E7" s="678">
        <f>'1.1.sz.mell.'!E48</f>
        <v>414</v>
      </c>
      <c r="F7" s="678">
        <f>'1.1.sz.mell.'!F48</f>
        <v>0</v>
      </c>
      <c r="G7" s="678">
        <f>'1.1.sz.mell.'!G48</f>
        <v>0</v>
      </c>
      <c r="H7" s="678">
        <f>'1.1.sz.mell.'!H48</f>
        <v>0</v>
      </c>
      <c r="I7" s="678">
        <f>'1.1.sz.mell.'!I48</f>
        <v>414</v>
      </c>
      <c r="J7" s="354" t="s">
        <v>171</v>
      </c>
      <c r="K7" s="680">
        <f>'1.1.sz.mell.'!C88</f>
        <v>0</v>
      </c>
      <c r="L7" s="678">
        <f>'1.1.sz.mell.'!D88</f>
        <v>0</v>
      </c>
      <c r="M7" s="670">
        <f>'1.1.sz.mell.'!E88</f>
        <v>0</v>
      </c>
      <c r="N7" s="670">
        <f>'1.1.sz.mell.'!F88</f>
        <v>8076</v>
      </c>
      <c r="O7" s="670">
        <f>'1.1.sz.mell.'!G88</f>
        <v>0</v>
      </c>
      <c r="P7" s="670">
        <f>'1.1.sz.mell.'!H88</f>
        <v>0</v>
      </c>
      <c r="Q7" s="670">
        <f>'1.1.sz.mell.'!I88</f>
        <v>8076</v>
      </c>
      <c r="R7" s="1521"/>
    </row>
    <row r="8" spans="1:18" x14ac:dyDescent="0.2">
      <c r="A8" s="353" t="s">
        <v>971</v>
      </c>
      <c r="B8" s="354" t="s">
        <v>107</v>
      </c>
      <c r="C8" s="678"/>
      <c r="D8" s="678"/>
      <c r="E8" s="678"/>
      <c r="F8" s="678"/>
      <c r="G8" s="678"/>
      <c r="H8" s="678"/>
      <c r="I8" s="678"/>
      <c r="J8" s="354" t="s">
        <v>314</v>
      </c>
      <c r="K8" s="680"/>
      <c r="L8" s="678"/>
      <c r="M8" s="670"/>
      <c r="N8" s="670"/>
      <c r="O8" s="670"/>
      <c r="P8" s="670"/>
      <c r="Q8" s="670"/>
      <c r="R8" s="1521"/>
    </row>
    <row r="9" spans="1:18" ht="22.5" x14ac:dyDescent="0.2">
      <c r="A9" s="353" t="s">
        <v>972</v>
      </c>
      <c r="B9" s="354" t="s">
        <v>154</v>
      </c>
      <c r="C9" s="678"/>
      <c r="D9" s="678"/>
      <c r="E9" s="678"/>
      <c r="F9" s="678"/>
      <c r="G9" s="678"/>
      <c r="H9" s="678"/>
      <c r="I9" s="678"/>
      <c r="J9" s="354" t="s">
        <v>354</v>
      </c>
      <c r="K9" s="680"/>
      <c r="L9" s="678"/>
      <c r="M9" s="670"/>
      <c r="N9" s="670"/>
      <c r="O9" s="670"/>
      <c r="P9" s="670"/>
      <c r="Q9" s="670"/>
      <c r="R9" s="1521"/>
    </row>
    <row r="10" spans="1:18" ht="22.5" x14ac:dyDescent="0.2">
      <c r="A10" s="353" t="s">
        <v>973</v>
      </c>
      <c r="B10" s="354" t="s">
        <v>245</v>
      </c>
      <c r="C10" s="678"/>
      <c r="D10" s="678"/>
      <c r="E10" s="678"/>
      <c r="F10" s="678"/>
      <c r="G10" s="678"/>
      <c r="H10" s="678"/>
      <c r="I10" s="678"/>
      <c r="J10" s="354" t="s">
        <v>355</v>
      </c>
      <c r="K10" s="680"/>
      <c r="L10" s="678"/>
      <c r="M10" s="670"/>
      <c r="N10" s="670"/>
      <c r="O10" s="670"/>
      <c r="P10" s="670"/>
      <c r="Q10" s="670"/>
      <c r="R10" s="1521"/>
    </row>
    <row r="11" spans="1:18" x14ac:dyDescent="0.2">
      <c r="A11" s="353" t="s">
        <v>974</v>
      </c>
      <c r="B11" s="354" t="s">
        <v>348</v>
      </c>
      <c r="C11" s="680"/>
      <c r="D11" s="680"/>
      <c r="E11" s="680"/>
      <c r="F11" s="680"/>
      <c r="G11" s="680"/>
      <c r="H11" s="680"/>
      <c r="I11" s="680"/>
      <c r="J11" s="366" t="s">
        <v>356</v>
      </c>
      <c r="K11" s="680"/>
      <c r="L11" s="678"/>
      <c r="M11" s="670"/>
      <c r="N11" s="670"/>
      <c r="O11" s="670"/>
      <c r="P11" s="670"/>
      <c r="Q11" s="670"/>
      <c r="R11" s="1521"/>
    </row>
    <row r="12" spans="1:18" x14ac:dyDescent="0.2">
      <c r="A12" s="353" t="s">
        <v>975</v>
      </c>
      <c r="B12" s="354" t="s">
        <v>349</v>
      </c>
      <c r="C12" s="678"/>
      <c r="D12" s="678"/>
      <c r="E12" s="678"/>
      <c r="F12" s="678"/>
      <c r="G12" s="678"/>
      <c r="H12" s="678"/>
      <c r="I12" s="678"/>
      <c r="J12" s="366" t="s">
        <v>287</v>
      </c>
      <c r="K12" s="680"/>
      <c r="L12" s="678"/>
      <c r="M12" s="670"/>
      <c r="N12" s="670"/>
      <c r="O12" s="670"/>
      <c r="P12" s="670"/>
      <c r="Q12" s="670"/>
      <c r="R12" s="1521"/>
    </row>
    <row r="13" spans="1:18" x14ac:dyDescent="0.2">
      <c r="A13" s="353" t="s">
        <v>976</v>
      </c>
      <c r="B13" s="354" t="s">
        <v>352</v>
      </c>
      <c r="C13" s="678">
        <f>'1.1.sz.mell.'!C37</f>
        <v>175798</v>
      </c>
      <c r="D13" s="678">
        <f>'1.1.sz.mell.'!D37</f>
        <v>1453</v>
      </c>
      <c r="E13" s="678">
        <f>'1.1.sz.mell.'!E37</f>
        <v>0</v>
      </c>
      <c r="F13" s="678">
        <f>'1.1.sz.mell.'!F37</f>
        <v>0</v>
      </c>
      <c r="G13" s="678">
        <f>'1.1.sz.mell.'!G37</f>
        <v>15761</v>
      </c>
      <c r="H13" s="678">
        <f>'1.1.sz.mell.'!H37</f>
        <v>0</v>
      </c>
      <c r="I13" s="678">
        <f>'1.1.sz.mell.'!I37</f>
        <v>15761</v>
      </c>
      <c r="J13" s="367" t="s">
        <v>288</v>
      </c>
      <c r="K13" s="680"/>
      <c r="L13" s="678"/>
      <c r="M13" s="670"/>
      <c r="N13" s="670"/>
      <c r="O13" s="670"/>
      <c r="P13" s="670"/>
      <c r="Q13" s="670"/>
      <c r="R13" s="1521"/>
    </row>
    <row r="14" spans="1:18" ht="22.5" x14ac:dyDescent="0.2">
      <c r="A14" s="353" t="s">
        <v>977</v>
      </c>
      <c r="B14" s="368" t="s">
        <v>371</v>
      </c>
      <c r="C14" s="680">
        <v>1453</v>
      </c>
      <c r="D14" s="680">
        <v>1453</v>
      </c>
      <c r="E14" s="680"/>
      <c r="F14" s="680"/>
      <c r="G14" s="680"/>
      <c r="H14" s="680"/>
      <c r="I14" s="680"/>
      <c r="J14" s="366" t="s">
        <v>357</v>
      </c>
      <c r="K14" s="680"/>
      <c r="L14" s="678"/>
      <c r="M14" s="670"/>
      <c r="N14" s="670"/>
      <c r="O14" s="670"/>
      <c r="P14" s="670"/>
      <c r="Q14" s="670"/>
      <c r="R14" s="1521"/>
    </row>
    <row r="15" spans="1:18" ht="33.75" x14ac:dyDescent="0.2">
      <c r="A15" s="353" t="s">
        <v>978</v>
      </c>
      <c r="B15" s="354" t="s">
        <v>350</v>
      </c>
      <c r="C15" s="680"/>
      <c r="D15" s="680">
        <v>400</v>
      </c>
      <c r="E15" s="680"/>
      <c r="F15" s="680"/>
      <c r="G15" s="680"/>
      <c r="H15" s="680"/>
      <c r="I15" s="680"/>
      <c r="J15" s="366" t="s">
        <v>358</v>
      </c>
      <c r="K15" s="680"/>
      <c r="L15" s="678"/>
      <c r="M15" s="670"/>
      <c r="N15" s="670"/>
      <c r="O15" s="670"/>
      <c r="P15" s="670"/>
      <c r="Q15" s="670"/>
      <c r="R15" s="1521"/>
    </row>
    <row r="16" spans="1:18" x14ac:dyDescent="0.2">
      <c r="A16" s="353" t="s">
        <v>979</v>
      </c>
      <c r="B16" s="354" t="s">
        <v>351</v>
      </c>
      <c r="C16" s="680"/>
      <c r="D16" s="680"/>
      <c r="E16" s="680"/>
      <c r="F16" s="680"/>
      <c r="G16" s="680"/>
      <c r="H16" s="680"/>
      <c r="I16" s="680"/>
      <c r="J16" s="354" t="s">
        <v>1204</v>
      </c>
      <c r="K16" s="680"/>
      <c r="L16" s="678"/>
      <c r="M16" s="670">
        <f>'1.1.sz.mell.'!E99</f>
        <v>6675</v>
      </c>
      <c r="N16" s="670">
        <f>'1.1.sz.mell.'!F99</f>
        <v>-3858</v>
      </c>
      <c r="O16" s="670"/>
      <c r="P16" s="670">
        <f>'1.1.sz.mell.'!H99</f>
        <v>0</v>
      </c>
      <c r="Q16" s="670">
        <f>'1.1.sz.mell.'!I99</f>
        <v>2817</v>
      </c>
      <c r="R16" s="1521"/>
    </row>
    <row r="17" spans="1:20" ht="13.5" thickBot="1" x14ac:dyDescent="0.25">
      <c r="A17" s="421" t="s">
        <v>980</v>
      </c>
      <c r="B17" s="422" t="s">
        <v>897</v>
      </c>
      <c r="C17" s="690"/>
      <c r="D17" s="690"/>
      <c r="E17" s="690"/>
      <c r="F17" s="690">
        <f>12094-3858</f>
        <v>8236</v>
      </c>
      <c r="G17" s="690">
        <v>-8236</v>
      </c>
      <c r="H17" s="690">
        <f>474+659</f>
        <v>1133</v>
      </c>
      <c r="I17" s="690">
        <f>E17+F17+G17+H17</f>
        <v>1133</v>
      </c>
      <c r="J17" s="422" t="s">
        <v>3</v>
      </c>
      <c r="K17" s="690"/>
      <c r="L17" s="685"/>
      <c r="M17" s="671"/>
      <c r="N17" s="671"/>
      <c r="O17" s="671">
        <v>1858</v>
      </c>
      <c r="P17" s="671"/>
      <c r="Q17" s="671">
        <v>1858</v>
      </c>
      <c r="R17" s="1521"/>
    </row>
    <row r="18" spans="1:20" ht="13.5" thickBot="1" x14ac:dyDescent="0.25">
      <c r="A18" s="356" t="s">
        <v>981</v>
      </c>
      <c r="B18" s="142" t="s">
        <v>97</v>
      </c>
      <c r="C18" s="539">
        <f>+C6+C7+C8+C9+C10+C11+C12+C13+C15+C16+C17</f>
        <v>176130</v>
      </c>
      <c r="D18" s="539">
        <f>+D6+D7+D8+D9+D10+D11+D12+D13+D15+D16+D17</f>
        <v>9037</v>
      </c>
      <c r="E18" s="539">
        <f>+E6+E7+E8+E9+E10+E11+E12+E13+E15+E16+E17</f>
        <v>414</v>
      </c>
      <c r="F18" s="539">
        <f>+F6+F7+F8+F9+F10+F11+F12+F13+F15+F16+F17</f>
        <v>8236</v>
      </c>
      <c r="G18" s="539">
        <f t="shared" ref="G18:H18" si="0">+G6+G7+G8+G9+G10+G11+G12+G13+G15+G16+G17</f>
        <v>7525</v>
      </c>
      <c r="H18" s="539">
        <f t="shared" si="0"/>
        <v>1133</v>
      </c>
      <c r="I18" s="539">
        <f>+I6+I7+I8+I9+I10+I11+I12+I13+I15+I16+I17</f>
        <v>17308</v>
      </c>
      <c r="J18" s="142" t="s">
        <v>98</v>
      </c>
      <c r="K18" s="689">
        <f>+K6+K7+K8+K16+K17</f>
        <v>208999</v>
      </c>
      <c r="L18" s="539">
        <f>+L6+L7+L8+L16+L17</f>
        <v>17725</v>
      </c>
      <c r="M18" s="538">
        <f>+M6+M7+M8+M16+M17</f>
        <v>6849</v>
      </c>
      <c r="N18" s="538">
        <f>+N6+N7+N8+N16+N17</f>
        <v>8476</v>
      </c>
      <c r="O18" s="538">
        <f t="shared" ref="O18:P18" si="1">+O6+O7+O8+O16+O17</f>
        <v>7525</v>
      </c>
      <c r="P18" s="538">
        <f t="shared" si="1"/>
        <v>1133</v>
      </c>
      <c r="Q18" s="538">
        <f>+Q6+Q7+Q8+Q16+Q17</f>
        <v>23983</v>
      </c>
      <c r="R18" s="1521"/>
    </row>
    <row r="19" spans="1:20" x14ac:dyDescent="0.2">
      <c r="A19" s="369" t="s">
        <v>982</v>
      </c>
      <c r="B19" s="370" t="s">
        <v>370</v>
      </c>
      <c r="C19" s="699">
        <f>+C20+C21+C22+C23+C24</f>
        <v>8513</v>
      </c>
      <c r="D19" s="699">
        <f>+D20+D21+D22+D23+D24</f>
        <v>26269</v>
      </c>
      <c r="E19" s="700"/>
      <c r="F19" s="700"/>
      <c r="G19" s="700"/>
      <c r="H19" s="700"/>
      <c r="I19" s="700"/>
      <c r="J19" s="359" t="s">
        <v>180</v>
      </c>
      <c r="K19" s="687"/>
      <c r="L19" s="676">
        <v>11</v>
      </c>
      <c r="M19" s="669"/>
      <c r="N19" s="669"/>
      <c r="O19" s="669"/>
      <c r="P19" s="669"/>
      <c r="Q19" s="669"/>
      <c r="R19" s="1521"/>
    </row>
    <row r="20" spans="1:20" x14ac:dyDescent="0.2">
      <c r="A20" s="353" t="s">
        <v>983</v>
      </c>
      <c r="B20" s="371" t="s">
        <v>359</v>
      </c>
      <c r="C20" s="678">
        <f>'1.1.sz.mell.'!C54</f>
        <v>8513</v>
      </c>
      <c r="D20" s="678">
        <f>'1.1.sz.mell.'!D54-26281</f>
        <v>26269</v>
      </c>
      <c r="E20" s="679"/>
      <c r="F20" s="679">
        <f>6675</f>
        <v>6675</v>
      </c>
      <c r="G20" s="679"/>
      <c r="H20" s="679"/>
      <c r="I20" s="679">
        <f>E20+F20</f>
        <v>6675</v>
      </c>
      <c r="J20" s="359" t="s">
        <v>184</v>
      </c>
      <c r="K20" s="680"/>
      <c r="L20" s="678"/>
      <c r="M20" s="670"/>
      <c r="N20" s="670"/>
      <c r="O20" s="670"/>
      <c r="P20" s="670"/>
      <c r="Q20" s="670"/>
      <c r="R20" s="1521"/>
    </row>
    <row r="21" spans="1:20" x14ac:dyDescent="0.2">
      <c r="A21" s="369" t="s">
        <v>984</v>
      </c>
      <c r="B21" s="371" t="s">
        <v>360</v>
      </c>
      <c r="C21" s="678"/>
      <c r="D21" s="678"/>
      <c r="E21" s="679"/>
      <c r="F21" s="679"/>
      <c r="G21" s="679"/>
      <c r="H21" s="679"/>
      <c r="I21" s="679"/>
      <c r="J21" s="359" t="s">
        <v>109</v>
      </c>
      <c r="K21" s="680"/>
      <c r="L21" s="678"/>
      <c r="M21" s="670"/>
      <c r="N21" s="670"/>
      <c r="O21" s="670"/>
      <c r="P21" s="670"/>
      <c r="Q21" s="670"/>
      <c r="R21" s="1521"/>
    </row>
    <row r="22" spans="1:20" x14ac:dyDescent="0.2">
      <c r="A22" s="353" t="s">
        <v>985</v>
      </c>
      <c r="B22" s="371" t="s">
        <v>361</v>
      </c>
      <c r="C22" s="678"/>
      <c r="D22" s="678"/>
      <c r="E22" s="679"/>
      <c r="F22" s="679"/>
      <c r="G22" s="679"/>
      <c r="H22" s="679"/>
      <c r="I22" s="679"/>
      <c r="J22" s="359" t="s">
        <v>110</v>
      </c>
      <c r="K22" s="680">
        <f>'1.1.sz.mell.'!C113</f>
        <v>125757</v>
      </c>
      <c r="L22" s="678"/>
      <c r="M22" s="670"/>
      <c r="N22" s="670"/>
      <c r="O22" s="670"/>
      <c r="P22" s="670"/>
      <c r="Q22" s="670"/>
      <c r="R22" s="1521"/>
    </row>
    <row r="23" spans="1:20" x14ac:dyDescent="0.2">
      <c r="A23" s="369" t="s">
        <v>986</v>
      </c>
      <c r="B23" s="371" t="s">
        <v>362</v>
      </c>
      <c r="C23" s="678"/>
      <c r="D23" s="678"/>
      <c r="E23" s="683"/>
      <c r="F23" s="683"/>
      <c r="G23" s="683"/>
      <c r="H23" s="683"/>
      <c r="I23" s="683"/>
      <c r="J23" s="358" t="s">
        <v>333</v>
      </c>
      <c r="K23" s="680"/>
      <c r="L23" s="678"/>
      <c r="M23" s="670"/>
      <c r="N23" s="670"/>
      <c r="O23" s="670"/>
      <c r="P23" s="670"/>
      <c r="Q23" s="670"/>
      <c r="R23" s="1521"/>
    </row>
    <row r="24" spans="1:20" x14ac:dyDescent="0.2">
      <c r="A24" s="353" t="s">
        <v>987</v>
      </c>
      <c r="B24" s="372" t="s">
        <v>363</v>
      </c>
      <c r="C24" s="678"/>
      <c r="D24" s="678"/>
      <c r="E24" s="679"/>
      <c r="F24" s="679"/>
      <c r="G24" s="679"/>
      <c r="H24" s="679"/>
      <c r="I24" s="679"/>
      <c r="J24" s="359" t="s">
        <v>185</v>
      </c>
      <c r="K24" s="680"/>
      <c r="L24" s="678"/>
      <c r="M24" s="670"/>
      <c r="N24" s="670"/>
      <c r="O24" s="670"/>
      <c r="P24" s="670"/>
      <c r="Q24" s="670"/>
      <c r="R24" s="1521"/>
    </row>
    <row r="25" spans="1:20" x14ac:dyDescent="0.2">
      <c r="A25" s="369" t="s">
        <v>988</v>
      </c>
      <c r="B25" s="373" t="s">
        <v>364</v>
      </c>
      <c r="C25" s="684">
        <f>+C26+C27+C28+C29+C30</f>
        <v>58202</v>
      </c>
      <c r="D25" s="684">
        <f>+D26+D27+D28+D29+D30</f>
        <v>0</v>
      </c>
      <c r="E25" s="700"/>
      <c r="F25" s="700"/>
      <c r="G25" s="700"/>
      <c r="H25" s="700"/>
      <c r="I25" s="700"/>
      <c r="J25" s="374" t="s">
        <v>183</v>
      </c>
      <c r="K25" s="680"/>
      <c r="L25" s="678"/>
      <c r="M25" s="670"/>
      <c r="N25" s="670"/>
      <c r="O25" s="670"/>
      <c r="P25" s="670"/>
      <c r="Q25" s="670"/>
      <c r="R25" s="1521"/>
    </row>
    <row r="26" spans="1:20" x14ac:dyDescent="0.2">
      <c r="A26" s="353" t="s">
        <v>989</v>
      </c>
      <c r="B26" s="372" t="s">
        <v>365</v>
      </c>
      <c r="C26" s="678">
        <f>'1.1.sz.mell.'!C60</f>
        <v>58202</v>
      </c>
      <c r="D26" s="678"/>
      <c r="E26" s="677"/>
      <c r="F26" s="677"/>
      <c r="G26" s="677"/>
      <c r="H26" s="677"/>
      <c r="I26" s="677"/>
      <c r="J26" s="374" t="s">
        <v>372</v>
      </c>
      <c r="K26" s="680"/>
      <c r="L26" s="678"/>
      <c r="M26" s="670"/>
      <c r="N26" s="670"/>
      <c r="O26" s="670"/>
      <c r="P26" s="670"/>
      <c r="Q26" s="670"/>
      <c r="R26" s="1521"/>
    </row>
    <row r="27" spans="1:20" x14ac:dyDescent="0.2">
      <c r="A27" s="369" t="s">
        <v>990</v>
      </c>
      <c r="B27" s="372" t="s">
        <v>366</v>
      </c>
      <c r="C27" s="678"/>
      <c r="D27" s="678"/>
      <c r="E27" s="677"/>
      <c r="F27" s="677"/>
      <c r="G27" s="677"/>
      <c r="H27" s="677"/>
      <c r="I27" s="677"/>
      <c r="J27" s="365"/>
      <c r="K27" s="680"/>
      <c r="L27" s="678"/>
      <c r="M27" s="670"/>
      <c r="N27" s="670"/>
      <c r="O27" s="670"/>
      <c r="P27" s="670"/>
      <c r="Q27" s="670"/>
      <c r="R27" s="1521"/>
    </row>
    <row r="28" spans="1:20" x14ac:dyDescent="0.2">
      <c r="A28" s="353" t="s">
        <v>991</v>
      </c>
      <c r="B28" s="371" t="s">
        <v>367</v>
      </c>
      <c r="C28" s="678"/>
      <c r="D28" s="678"/>
      <c r="E28" s="677"/>
      <c r="F28" s="677"/>
      <c r="G28" s="677"/>
      <c r="H28" s="677"/>
      <c r="I28" s="677"/>
      <c r="J28" s="139"/>
      <c r="K28" s="680"/>
      <c r="L28" s="678"/>
      <c r="M28" s="670"/>
      <c r="N28" s="670"/>
      <c r="O28" s="670"/>
      <c r="P28" s="670"/>
      <c r="Q28" s="670"/>
      <c r="R28" s="1521"/>
    </row>
    <row r="29" spans="1:20" x14ac:dyDescent="0.2">
      <c r="A29" s="369" t="s">
        <v>992</v>
      </c>
      <c r="B29" s="375" t="s">
        <v>368</v>
      </c>
      <c r="C29" s="678"/>
      <c r="D29" s="678"/>
      <c r="E29" s="679"/>
      <c r="F29" s="679"/>
      <c r="G29" s="679"/>
      <c r="H29" s="679"/>
      <c r="I29" s="679"/>
      <c r="J29" s="47"/>
      <c r="K29" s="680"/>
      <c r="L29" s="678"/>
      <c r="M29" s="670"/>
      <c r="N29" s="670"/>
      <c r="O29" s="670"/>
      <c r="P29" s="670"/>
      <c r="Q29" s="670"/>
      <c r="R29" s="1521"/>
    </row>
    <row r="30" spans="1:20" ht="13.5" thickBot="1" x14ac:dyDescent="0.25">
      <c r="A30" s="353" t="s">
        <v>993</v>
      </c>
      <c r="B30" s="376" t="s">
        <v>369</v>
      </c>
      <c r="C30" s="678"/>
      <c r="D30" s="678"/>
      <c r="E30" s="677"/>
      <c r="F30" s="677"/>
      <c r="G30" s="677"/>
      <c r="H30" s="677"/>
      <c r="I30" s="677"/>
      <c r="J30" s="139"/>
      <c r="K30" s="680"/>
      <c r="L30" s="678"/>
      <c r="M30" s="670"/>
      <c r="N30" s="670"/>
      <c r="O30" s="670"/>
      <c r="P30" s="670"/>
      <c r="Q30" s="670"/>
      <c r="R30" s="1521"/>
    </row>
    <row r="31" spans="1:20" ht="21.75" thickBot="1" x14ac:dyDescent="0.25">
      <c r="A31" s="356" t="s">
        <v>994</v>
      </c>
      <c r="B31" s="142" t="s">
        <v>444</v>
      </c>
      <c r="C31" s="539">
        <f>+C19+C25</f>
        <v>66715</v>
      </c>
      <c r="D31" s="539">
        <f>+D19+D25</f>
        <v>26269</v>
      </c>
      <c r="E31" s="539">
        <f>+E19+E25</f>
        <v>0</v>
      </c>
      <c r="F31" s="539">
        <f>SUM(F19:F30)</f>
        <v>6675</v>
      </c>
      <c r="G31" s="539">
        <f t="shared" ref="G31:H31" si="2">SUM(G19:G30)</f>
        <v>0</v>
      </c>
      <c r="H31" s="539">
        <f t="shared" si="2"/>
        <v>0</v>
      </c>
      <c r="I31" s="539">
        <f>E31+F31</f>
        <v>6675</v>
      </c>
      <c r="J31" s="142" t="s">
        <v>445</v>
      </c>
      <c r="K31" s="689">
        <f>SUM(K19:K30)</f>
        <v>125757</v>
      </c>
      <c r="L31" s="539">
        <f>SUM(L19:L30)</f>
        <v>11</v>
      </c>
      <c r="M31" s="538">
        <f>SUM(M19:M30)</f>
        <v>0</v>
      </c>
      <c r="N31" s="538">
        <f>SUM(N19:N30)</f>
        <v>0</v>
      </c>
      <c r="O31" s="538">
        <f t="shared" ref="O31:P31" si="3">SUM(O19:O30)</f>
        <v>0</v>
      </c>
      <c r="P31" s="538">
        <f t="shared" si="3"/>
        <v>0</v>
      </c>
      <c r="Q31" s="538">
        <f>SUM(Q19:Q30)</f>
        <v>0</v>
      </c>
      <c r="R31" s="1521"/>
    </row>
    <row r="32" spans="1:20" ht="24.75" thickBot="1" x14ac:dyDescent="0.25">
      <c r="A32" s="356" t="s">
        <v>995</v>
      </c>
      <c r="B32" s="361" t="s">
        <v>442</v>
      </c>
      <c r="C32" s="539">
        <f>+C18+C31</f>
        <v>242845</v>
      </c>
      <c r="D32" s="539">
        <f>+D18+D31</f>
        <v>35306</v>
      </c>
      <c r="E32" s="539">
        <f>+E18+E31</f>
        <v>414</v>
      </c>
      <c r="F32" s="539">
        <f>+F18+F31</f>
        <v>14911</v>
      </c>
      <c r="G32" s="539">
        <f t="shared" ref="G32:H32" si="4">+G18+G31</f>
        <v>7525</v>
      </c>
      <c r="H32" s="539">
        <f t="shared" si="4"/>
        <v>1133</v>
      </c>
      <c r="I32" s="539">
        <f>+I18+I31</f>
        <v>23983</v>
      </c>
      <c r="J32" s="361" t="s">
        <v>446</v>
      </c>
      <c r="K32" s="689">
        <f>+K18+K31</f>
        <v>334756</v>
      </c>
      <c r="L32" s="539">
        <f>+L18+L31</f>
        <v>17736</v>
      </c>
      <c r="M32" s="538">
        <f>+M18+M31</f>
        <v>6849</v>
      </c>
      <c r="N32" s="538">
        <f>+N18+N31</f>
        <v>8476</v>
      </c>
      <c r="O32" s="538">
        <f t="shared" ref="O32:P32" si="5">+O18+O31</f>
        <v>7525</v>
      </c>
      <c r="P32" s="538">
        <f t="shared" si="5"/>
        <v>1133</v>
      </c>
      <c r="Q32" s="538">
        <f>+Q18+Q31</f>
        <v>23983</v>
      </c>
      <c r="R32" s="1521"/>
      <c r="T32" s="54">
        <f>Q32-I32</f>
        <v>0</v>
      </c>
    </row>
    <row r="33" spans="1:18" ht="13.5" thickBot="1" x14ac:dyDescent="0.25">
      <c r="A33" s="356" t="s">
        <v>996</v>
      </c>
      <c r="B33" s="142" t="s">
        <v>329</v>
      </c>
      <c r="C33" s="686"/>
      <c r="D33" s="686"/>
      <c r="E33" s="686"/>
      <c r="F33" s="686"/>
      <c r="G33" s="686"/>
      <c r="H33" s="686"/>
      <c r="I33" s="686"/>
      <c r="J33" s="142" t="s">
        <v>335</v>
      </c>
      <c r="K33" s="691"/>
      <c r="L33" s="686"/>
      <c r="M33" s="672"/>
      <c r="N33" s="672"/>
      <c r="O33" s="672"/>
      <c r="P33" s="672"/>
      <c r="Q33" s="672"/>
      <c r="R33" s="1521"/>
    </row>
    <row r="34" spans="1:18" ht="13.5" thickBot="1" x14ac:dyDescent="0.25">
      <c r="A34" s="356" t="s">
        <v>997</v>
      </c>
      <c r="B34" s="362" t="s">
        <v>443</v>
      </c>
      <c r="C34" s="537">
        <f>+C32+C33</f>
        <v>242845</v>
      </c>
      <c r="D34" s="539">
        <f>+D32+D33</f>
        <v>35306</v>
      </c>
      <c r="E34" s="539">
        <f>+E32+E33</f>
        <v>414</v>
      </c>
      <c r="F34" s="539">
        <f>+F32+F33</f>
        <v>14911</v>
      </c>
      <c r="G34" s="539">
        <f t="shared" ref="G34:H34" si="6">+G32+G33</f>
        <v>7525</v>
      </c>
      <c r="H34" s="539">
        <f t="shared" si="6"/>
        <v>1133</v>
      </c>
      <c r="I34" s="539">
        <f>+I32+I33</f>
        <v>23983</v>
      </c>
      <c r="J34" s="362" t="s">
        <v>447</v>
      </c>
      <c r="K34" s="537">
        <f>+K32+K33</f>
        <v>334756</v>
      </c>
      <c r="L34" s="539">
        <f>+L32+L33</f>
        <v>17736</v>
      </c>
      <c r="M34" s="538">
        <f>+M32+M33</f>
        <v>6849</v>
      </c>
      <c r="N34" s="538">
        <f>+N32+N33</f>
        <v>8476</v>
      </c>
      <c r="O34" s="538">
        <f t="shared" ref="O34:P34" si="7">+O32+O33</f>
        <v>7525</v>
      </c>
      <c r="P34" s="538">
        <f t="shared" si="7"/>
        <v>1133</v>
      </c>
      <c r="Q34" s="538">
        <f>+Q32+Q33</f>
        <v>23983</v>
      </c>
      <c r="R34" s="1521"/>
    </row>
    <row r="35" spans="1:18" ht="13.5" thickBot="1" x14ac:dyDescent="0.25">
      <c r="A35" s="356" t="s">
        <v>89</v>
      </c>
      <c r="B35" s="362" t="s">
        <v>125</v>
      </c>
      <c r="C35" s="537">
        <f>IF(C18-K18&lt;0,K18-C18,"-")</f>
        <v>32869</v>
      </c>
      <c r="D35" s="539" t="str">
        <f>IF(D18-R18&lt;0,R18-D18,"-")</f>
        <v>-</v>
      </c>
      <c r="E35" s="539" t="str">
        <f>IF(E18-S18&lt;0,S18-E18,"-")</f>
        <v>-</v>
      </c>
      <c r="F35" s="539" t="str">
        <f>IF(F18-T18&lt;0,T18-F18,"-")</f>
        <v>-</v>
      </c>
      <c r="G35" s="539" t="str">
        <f t="shared" ref="G35:H35" si="8">IF(G18-U18&lt;0,U18-G18,"-")</f>
        <v>-</v>
      </c>
      <c r="H35" s="539" t="str">
        <f t="shared" si="8"/>
        <v>-</v>
      </c>
      <c r="I35" s="539" t="str">
        <f>IF(I18-U18&lt;0,U18-I18,"-")</f>
        <v>-</v>
      </c>
      <c r="J35" s="362" t="s">
        <v>126</v>
      </c>
      <c r="K35" s="537" t="str">
        <f>IF(C18-K18&gt;0,C18-K18,"-")</f>
        <v>-</v>
      </c>
      <c r="L35" s="539" t="str">
        <f>IF(D18-L18&gt;0,D18-L18,"-")</f>
        <v>-</v>
      </c>
      <c r="M35" s="538" t="str">
        <f>IF(E18-M18&gt;0,E18-M18,"-")</f>
        <v>-</v>
      </c>
      <c r="N35" s="538" t="str">
        <f>IF(F18-N18&gt;0,F18-N18,"-")</f>
        <v>-</v>
      </c>
      <c r="O35" s="538" t="str">
        <f t="shared" ref="O35:P35" si="9">IF(G18-O18&gt;0,G18-O18,"-")</f>
        <v>-</v>
      </c>
      <c r="P35" s="538" t="str">
        <f t="shared" si="9"/>
        <v>-</v>
      </c>
      <c r="Q35" s="538" t="str">
        <f>IF(I18-Q18&gt;0,I18-Q18,"-")</f>
        <v>-</v>
      </c>
      <c r="R35" s="1521"/>
    </row>
    <row r="36" spans="1:18" ht="13.5" thickBot="1" x14ac:dyDescent="0.25">
      <c r="A36" s="356" t="s">
        <v>90</v>
      </c>
      <c r="B36" s="362" t="s">
        <v>337</v>
      </c>
      <c r="C36" s="537">
        <f>IF(C18+C19-K32&lt;0,K32-(C18+C19),"-")</f>
        <v>150113</v>
      </c>
      <c r="D36" s="539" t="str">
        <f>IF(D18+D19-R32&lt;0,R32-(D18+D19),"-")</f>
        <v>-</v>
      </c>
      <c r="E36" s="539">
        <f>M34-E34</f>
        <v>6435</v>
      </c>
      <c r="F36" s="539">
        <f>N34-F34</f>
        <v>-6435</v>
      </c>
      <c r="G36" s="539">
        <f t="shared" ref="G36:H36" si="10">O34-G34</f>
        <v>0</v>
      </c>
      <c r="H36" s="539">
        <f t="shared" si="10"/>
        <v>0</v>
      </c>
      <c r="I36" s="539">
        <f>Q34-I34</f>
        <v>0</v>
      </c>
      <c r="J36" s="362" t="s">
        <v>338</v>
      </c>
      <c r="K36" s="537" t="str">
        <f>IF(C18+C19-K32&gt;0,C18+C19-K32,"-")</f>
        <v>-</v>
      </c>
      <c r="L36" s="539">
        <f>IF(D18+D19-L32&gt;0,D18+D19-L32,"-")</f>
        <v>17570</v>
      </c>
      <c r="M36" s="538" t="str">
        <f>IF(E18+E19-M32&gt;0,E18+E19-M32,"-")</f>
        <v>-</v>
      </c>
      <c r="N36" s="538" t="str">
        <f>IF(F18+F19-N32&gt;0,F18+F19-N32,"-")</f>
        <v>-</v>
      </c>
      <c r="O36" s="538" t="str">
        <f t="shared" ref="O36:P36" si="11">IF(G18+G19-O32&gt;0,G18+G19-O32,"-")</f>
        <v>-</v>
      </c>
      <c r="P36" s="538" t="str">
        <f t="shared" si="11"/>
        <v>-</v>
      </c>
      <c r="Q36" s="538" t="str">
        <f>IF(I18+I19-Q32&gt;0,I18+I19-Q32,"-")</f>
        <v>-</v>
      </c>
      <c r="R36" s="1521"/>
    </row>
    <row r="39" spans="1:18" x14ac:dyDescent="0.2">
      <c r="B39" s="210" t="s">
        <v>1187</v>
      </c>
      <c r="C39" s="673">
        <f>C34+'2.1.sz.mell  '!C30</f>
        <v>834929</v>
      </c>
      <c r="D39" s="673">
        <f>D34+'2.1.sz.mell  '!D30</f>
        <v>318051</v>
      </c>
      <c r="E39" s="673">
        <f>E34+'2.1.sz.mell  '!E30</f>
        <v>286781</v>
      </c>
      <c r="F39" s="673">
        <f>F34+'2.1.sz.mell  '!F30</f>
        <v>38421</v>
      </c>
      <c r="G39" s="673">
        <f>G34+'2.1.sz.mell  '!G30</f>
        <v>16341</v>
      </c>
      <c r="H39" s="673">
        <f>H34+'2.1.sz.mell  '!H30</f>
        <v>5318</v>
      </c>
      <c r="I39" s="673">
        <f>I34+'2.1.sz.mell  '!I30</f>
        <v>346861</v>
      </c>
      <c r="J39" s="673"/>
      <c r="K39" s="673">
        <f>K34+'2.1.sz.mell  '!K30</f>
        <v>710342</v>
      </c>
      <c r="L39" s="673">
        <f>L34+'2.1.sz.mell  '!L30</f>
        <v>286029</v>
      </c>
      <c r="M39" s="673">
        <f>M34+'2.1.sz.mell  '!M30</f>
        <v>286781</v>
      </c>
      <c r="N39" s="673">
        <f>N34+'2.1.sz.mell  '!N30</f>
        <v>38421</v>
      </c>
      <c r="O39" s="673">
        <f>O34+'2.1.sz.mell  '!O30</f>
        <v>16341</v>
      </c>
      <c r="P39" s="673">
        <f>P34+'2.1.sz.mell  '!P30</f>
        <v>5318</v>
      </c>
      <c r="Q39" s="673">
        <f>Q34+'2.1.sz.mell  '!Q30</f>
        <v>346861</v>
      </c>
      <c r="R39" s="673">
        <f>R34+'2.1.sz.mell  '!R30</f>
        <v>0</v>
      </c>
    </row>
    <row r="40" spans="1:18" x14ac:dyDescent="0.2">
      <c r="C40" s="673">
        <f>'1.1.sz.mell.'!C67-'2.2.sz.mell  '!C39</f>
        <v>0</v>
      </c>
      <c r="D40" s="673">
        <f>318051-D39</f>
        <v>0</v>
      </c>
      <c r="K40" s="673">
        <f>'1.1.sz.mell.'!C122-K39</f>
        <v>0</v>
      </c>
      <c r="L40" s="673">
        <f>286029-L39</f>
        <v>0</v>
      </c>
    </row>
    <row r="41" spans="1:18" x14ac:dyDescent="0.2">
      <c r="E41" s="673">
        <f>286781-E39</f>
        <v>0</v>
      </c>
    </row>
  </sheetData>
  <mergeCells count="2">
    <mergeCell ref="A3:A4"/>
    <mergeCell ref="R1:R36"/>
  </mergeCells>
  <phoneticPr fontId="0" type="noConversion"/>
  <printOptions horizontalCentered="1"/>
  <pageMargins left="0.25" right="0.25" top="0.75" bottom="0.75" header="0.3" footer="0.3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 tájékoztató t.'!Nyomtatási_terület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2015-02-20T07:31:30Z</cp:lastPrinted>
  <dcterms:created xsi:type="dcterms:W3CDTF">1999-10-30T10:30:45Z</dcterms:created>
  <dcterms:modified xsi:type="dcterms:W3CDTF">2015-02-20T07:31:45Z</dcterms:modified>
</cp:coreProperties>
</file>