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filterPrivacy="1" defaultThemeVersion="124226"/>
  <bookViews>
    <workbookView xWindow="0" yWindow="0" windowWidth="23040" windowHeight="9060" activeTab="3"/>
  </bookViews>
  <sheets>
    <sheet name="Falugondnok" sheetId="4" r:id="rId1"/>
    <sheet name="Gyejo" sheetId="3" r:id="rId2"/>
    <sheet name="HSG" sheetId="2" r:id="rId3"/>
    <sheet name="Összesített" sheetId="6" r:id="rId4"/>
  </sheets>
  <calcPr calcId="162913"/>
</workbook>
</file>

<file path=xl/calcChain.xml><?xml version="1.0" encoding="utf-8"?>
<calcChain xmlns="http://schemas.openxmlformats.org/spreadsheetml/2006/main">
  <c r="B3" i="3" l="1"/>
  <c r="C11" i="2"/>
  <c r="F10" i="6"/>
  <c r="F11" i="6"/>
  <c r="F13" i="6"/>
  <c r="F14" i="6"/>
  <c r="F15" i="6"/>
  <c r="F17" i="6"/>
  <c r="F18" i="6"/>
  <c r="F19" i="6"/>
  <c r="F20" i="6"/>
  <c r="F21" i="6"/>
  <c r="F22" i="6"/>
  <c r="F23" i="6"/>
  <c r="F24" i="6"/>
  <c r="F25" i="6"/>
  <c r="F26" i="6"/>
  <c r="B27" i="2"/>
  <c r="B20" i="3"/>
  <c r="D26" i="2"/>
  <c r="C12" i="6"/>
  <c r="D12" i="6"/>
  <c r="E12" i="6"/>
  <c r="B12" i="6"/>
  <c r="C16" i="6"/>
  <c r="D16" i="6"/>
  <c r="E16" i="6"/>
  <c r="B16" i="6"/>
  <c r="C17" i="2"/>
  <c r="B17" i="2"/>
  <c r="D17" i="2" s="1"/>
  <c r="E27" i="6"/>
  <c r="D27" i="6"/>
  <c r="C27" i="6"/>
  <c r="B27" i="6"/>
  <c r="F7" i="6"/>
  <c r="E6" i="6"/>
  <c r="E8" i="6" s="1"/>
  <c r="D6" i="6"/>
  <c r="D8" i="6" s="1"/>
  <c r="B6" i="6"/>
  <c r="B8" i="6" s="1"/>
  <c r="F5" i="6"/>
  <c r="F4" i="6"/>
  <c r="B28" i="6" l="1"/>
  <c r="D28" i="6"/>
  <c r="D29" i="6" s="1"/>
  <c r="F12" i="6"/>
  <c r="F27" i="6"/>
  <c r="C28" i="6"/>
  <c r="F16" i="6"/>
  <c r="E28" i="6"/>
  <c r="C6" i="6"/>
  <c r="C8" i="6" s="1"/>
  <c r="F9" i="6"/>
  <c r="F28" i="6" l="1"/>
  <c r="E29" i="6"/>
  <c r="C29" i="6"/>
  <c r="F6" i="6"/>
  <c r="F8" i="6"/>
  <c r="B29" i="6"/>
  <c r="F29" i="6" l="1"/>
  <c r="D28" i="2" l="1"/>
  <c r="D30" i="2"/>
  <c r="D21" i="2"/>
  <c r="D22" i="2"/>
  <c r="D23" i="2"/>
  <c r="D25" i="2"/>
  <c r="C24" i="2"/>
  <c r="C27" i="2" s="1"/>
  <c r="C15" i="2"/>
  <c r="B11" i="2"/>
  <c r="B16" i="2" s="1"/>
  <c r="C13" i="2"/>
  <c r="B13" i="2"/>
  <c r="C10" i="2"/>
  <c r="B10" i="2"/>
  <c r="C3" i="2"/>
  <c r="B3" i="2"/>
  <c r="B12" i="3"/>
  <c r="B9" i="3"/>
  <c r="B8" i="3"/>
  <c r="B11" i="3" s="1"/>
  <c r="B7" i="3"/>
  <c r="B7" i="4"/>
  <c r="B11" i="4" s="1"/>
  <c r="B8" i="4"/>
  <c r="B6" i="4"/>
  <c r="B3" i="4"/>
  <c r="B10" i="3" l="1"/>
  <c r="B10" i="4"/>
  <c r="B9" i="4" s="1"/>
  <c r="B12" i="4"/>
  <c r="D13" i="2"/>
  <c r="B23" i="3"/>
  <c r="B15" i="2"/>
  <c r="D15" i="2" s="1"/>
  <c r="D11" i="2"/>
  <c r="D24" i="2"/>
  <c r="D27" i="2"/>
  <c r="B13" i="3"/>
  <c r="C16" i="2"/>
  <c r="C14" i="2" s="1"/>
  <c r="C18" i="2" l="1"/>
  <c r="C29" i="2" s="1"/>
  <c r="B14" i="2"/>
  <c r="B18" i="2" s="1"/>
  <c r="D16" i="2"/>
  <c r="B4" i="4"/>
  <c r="B18" i="4"/>
  <c r="B20" i="4" s="1"/>
  <c r="B4" i="3"/>
  <c r="B25" i="3" s="1"/>
  <c r="D2" i="2"/>
  <c r="D3" i="2"/>
  <c r="B4" i="2"/>
  <c r="B7" i="2" s="1"/>
  <c r="D5" i="2"/>
  <c r="D14" i="2" l="1"/>
  <c r="B22" i="4"/>
  <c r="D10" i="2"/>
  <c r="D4" i="2"/>
  <c r="C4" i="2"/>
  <c r="C7" i="2" s="1"/>
  <c r="D7" i="2" s="1"/>
  <c r="D18" i="2" l="1"/>
  <c r="B29" i="2"/>
  <c r="C31" i="2"/>
  <c r="D29" i="2" l="1"/>
  <c r="B31" i="2"/>
  <c r="D31" i="2" s="1"/>
</calcChain>
</file>

<file path=xl/sharedStrings.xml><?xml version="1.0" encoding="utf-8"?>
<sst xmlns="http://schemas.openxmlformats.org/spreadsheetml/2006/main" count="94" uniqueCount="51">
  <si>
    <t>Összes kiadás</t>
  </si>
  <si>
    <t>dologi összesen</t>
  </si>
  <si>
    <t>áfa</t>
  </si>
  <si>
    <t>vásárolt élelmezés</t>
  </si>
  <si>
    <t>cégautóadó</t>
  </si>
  <si>
    <t>vitara biztosítás, üzemanyag, egyéb</t>
  </si>
  <si>
    <t>bér</t>
  </si>
  <si>
    <t>Bevétel összesen</t>
  </si>
  <si>
    <t>Gondozási díjak</t>
  </si>
  <si>
    <t>Összes állami támogatás</t>
  </si>
  <si>
    <t>Szoc. Pótlék és járuléka támogatása</t>
  </si>
  <si>
    <t>Állami normatíva</t>
  </si>
  <si>
    <t>Összesen</t>
  </si>
  <si>
    <t>Szoc. Étkeztetés</t>
  </si>
  <si>
    <t>Kiadások Összesen</t>
  </si>
  <si>
    <t>szolgáltatás(orvosi, szabályzat)</t>
  </si>
  <si>
    <t>irodaszer</t>
  </si>
  <si>
    <t>kiküldetés</t>
  </si>
  <si>
    <t>bankktg</t>
  </si>
  <si>
    <t>Szoc. Pótlék és járuláka támogatása</t>
  </si>
  <si>
    <t>munkaruha</t>
  </si>
  <si>
    <t>benzin, egyéb</t>
  </si>
  <si>
    <t>biztosítás</t>
  </si>
  <si>
    <t>képzés költsége</t>
  </si>
  <si>
    <t>bér járuléka (szocho 19,5%)</t>
  </si>
  <si>
    <t>cafetéria nettó</t>
  </si>
  <si>
    <t xml:space="preserve">Cafetéria járuléka </t>
  </si>
  <si>
    <t xml:space="preserve">    szja</t>
  </si>
  <si>
    <t xml:space="preserve">    eho</t>
  </si>
  <si>
    <t>Bér és járulék összesen</t>
  </si>
  <si>
    <t xml:space="preserve">HSG </t>
  </si>
  <si>
    <t>Egyenleg</t>
  </si>
  <si>
    <t>Gyermekjóléti szolgálat</t>
  </si>
  <si>
    <t>Falugondnoki szolgálat</t>
  </si>
  <si>
    <t>cafetéria</t>
  </si>
  <si>
    <t>helyettesítés</t>
  </si>
  <si>
    <t>helyettesítés járuléka</t>
  </si>
  <si>
    <t>egyéb szolgáltatás</t>
  </si>
  <si>
    <t>képzés ktge</t>
  </si>
  <si>
    <t>Kiadás összesen:</t>
  </si>
  <si>
    <t>Vértesalja Önkormányzati Társulás 2018. évi költségvetése</t>
  </si>
  <si>
    <t>Helyettesítés járuléka</t>
  </si>
  <si>
    <t>bér járuléka</t>
  </si>
  <si>
    <t>cafetéria járuléka</t>
  </si>
  <si>
    <t>Járulékok összesen</t>
  </si>
  <si>
    <t>Személyi juttatások összesen</t>
  </si>
  <si>
    <t>Dologi összesen</t>
  </si>
  <si>
    <t>utiktg.tér</t>
  </si>
  <si>
    <t>utiktg.tér.</t>
  </si>
  <si>
    <t>biztosítás, üzemanyag, egyéb</t>
  </si>
  <si>
    <t>14. melléklet az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</si>
</sst>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* #,##0\ &quot;Ft&quot;_-;\-* #,##0\ &quot;Ft&quot;_-;_-* &quot;-&quot;\ &quot;Ft&quot;_-;_-@_-"/>
    <numFmt numFmtId="164" formatCode="_-* #,##0\ &quot;Ft&quot;_-;\-* #,##0\ &quot;Ft&quot;_-;_-* &quot;-&quot;??\ &quot;Ft&quot;_-;_-@_-"/>
  </numFmts>
  <fonts count="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164" fontId="2" fillId="2" borderId="0" xfId="1" applyNumberFormat="1" applyFont="1" applyFill="1"/>
    <xf numFmtId="164" fontId="3" fillId="2" borderId="0" xfId="1" applyNumberFormat="1" applyFont="1" applyFill="1"/>
    <xf numFmtId="0" fontId="3" fillId="0" borderId="0" xfId="1" applyFont="1"/>
    <xf numFmtId="0" fontId="5" fillId="0" borderId="0" xfId="1" applyFont="1"/>
    <xf numFmtId="164" fontId="3" fillId="2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/>
    <xf numFmtId="164" fontId="2" fillId="0" borderId="0" xfId="1" applyNumberFormat="1" applyFont="1"/>
    <xf numFmtId="164" fontId="3" fillId="0" borderId="0" xfId="1" applyNumberFormat="1" applyFont="1"/>
    <xf numFmtId="0" fontId="3" fillId="0" borderId="0" xfId="1" applyFont="1" applyFill="1" applyAlignment="1">
      <alignment horizontal="center" vertical="center" wrapText="1"/>
    </xf>
    <xf numFmtId="164" fontId="3" fillId="0" borderId="0" xfId="1" applyNumberFormat="1" applyFont="1" applyFill="1"/>
    <xf numFmtId="0" fontId="2" fillId="0" borderId="0" xfId="1" applyFont="1" applyFill="1"/>
    <xf numFmtId="42" fontId="2" fillId="0" borderId="0" xfId="1" applyNumberFormat="1" applyFont="1" applyFill="1"/>
    <xf numFmtId="0" fontId="3" fillId="0" borderId="0" xfId="1" applyFont="1" applyFill="1"/>
    <xf numFmtId="42" fontId="3" fillId="0" borderId="0" xfId="1" applyNumberFormat="1" applyFont="1" applyFill="1"/>
    <xf numFmtId="42" fontId="4" fillId="0" borderId="0" xfId="1" applyNumberFormat="1" applyFont="1" applyFill="1"/>
    <xf numFmtId="164" fontId="3" fillId="0" borderId="0" xfId="1" applyNumberFormat="1" applyFont="1" applyFill="1" applyAlignment="1">
      <alignment horizontal="center" vertical="center" wrapText="1"/>
    </xf>
    <xf numFmtId="0" fontId="5" fillId="0" borderId="0" xfId="1" applyFont="1" applyFill="1"/>
    <xf numFmtId="0" fontId="4" fillId="0" borderId="0" xfId="1" applyFont="1" applyFill="1"/>
    <xf numFmtId="164" fontId="4" fillId="0" borderId="0" xfId="1" applyNumberFormat="1" applyFont="1" applyFill="1"/>
    <xf numFmtId="0" fontId="6" fillId="0" borderId="0" xfId="1" applyFont="1"/>
    <xf numFmtId="164" fontId="6" fillId="0" borderId="0" xfId="1" applyNumberFormat="1" applyFont="1"/>
    <xf numFmtId="164" fontId="6" fillId="2" borderId="0" xfId="1" applyNumberFormat="1" applyFont="1" applyFill="1"/>
    <xf numFmtId="0" fontId="3" fillId="0" borderId="0" xfId="1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workbookViewId="0">
      <selection activeCell="F28" sqref="F28"/>
    </sheetView>
  </sheetViews>
  <sheetFormatPr defaultColWidth="9.109375" defaultRowHeight="15" x14ac:dyDescent="0.25"/>
  <cols>
    <col min="1" max="1" width="39" style="12" customWidth="1"/>
    <col min="2" max="2" width="18.33203125" style="13" customWidth="1"/>
    <col min="3" max="3" width="9.109375" style="12"/>
    <col min="4" max="4" width="13.6640625" style="12" bestFit="1" customWidth="1"/>
    <col min="5" max="16384" width="9.109375" style="12"/>
  </cols>
  <sheetData>
    <row r="2" spans="1:2" x14ac:dyDescent="0.25">
      <c r="A2" s="12" t="s">
        <v>11</v>
      </c>
      <c r="B2" s="13">
        <v>2500000</v>
      </c>
    </row>
    <row r="3" spans="1:2" x14ac:dyDescent="0.25">
      <c r="A3" s="12" t="s">
        <v>10</v>
      </c>
      <c r="B3" s="13">
        <f>7600*1.22*1+8000*1.195*11</f>
        <v>114432</v>
      </c>
    </row>
    <row r="4" spans="1:2" s="14" customFormat="1" ht="15.6" x14ac:dyDescent="0.3">
      <c r="A4" s="14" t="s">
        <v>9</v>
      </c>
      <c r="B4" s="15">
        <f>SUM(B2:B3)</f>
        <v>2614432</v>
      </c>
    </row>
    <row r="6" spans="1:2" x14ac:dyDescent="0.25">
      <c r="A6" s="12" t="s">
        <v>6</v>
      </c>
      <c r="B6" s="13">
        <f>146000*11+135100*1</f>
        <v>1741100</v>
      </c>
    </row>
    <row r="7" spans="1:2" x14ac:dyDescent="0.25">
      <c r="A7" s="12" t="s">
        <v>25</v>
      </c>
      <c r="B7" s="13">
        <f>10000*12/1.3422</f>
        <v>89405.453732677692</v>
      </c>
    </row>
    <row r="8" spans="1:2" x14ac:dyDescent="0.25">
      <c r="A8" s="12" t="s">
        <v>24</v>
      </c>
      <c r="B8" s="13">
        <f>135100*0.22+146000*0.195*11</f>
        <v>342892</v>
      </c>
    </row>
    <row r="9" spans="1:2" x14ac:dyDescent="0.25">
      <c r="A9" s="12" t="s">
        <v>26</v>
      </c>
      <c r="B9" s="13">
        <f>B10+B11</f>
        <v>30594.546267322305</v>
      </c>
    </row>
    <row r="10" spans="1:2" ht="15.6" x14ac:dyDescent="0.3">
      <c r="A10" s="12" t="s">
        <v>27</v>
      </c>
      <c r="B10" s="16">
        <f>B7*1.18*0.15</f>
        <v>15824.76531068395</v>
      </c>
    </row>
    <row r="11" spans="1:2" ht="15.6" x14ac:dyDescent="0.3">
      <c r="A11" s="12" t="s">
        <v>28</v>
      </c>
      <c r="B11" s="16">
        <f>B7*1.18*0.14</f>
        <v>14769.780956638355</v>
      </c>
    </row>
    <row r="12" spans="1:2" x14ac:dyDescent="0.25">
      <c r="A12" s="12" t="s">
        <v>29</v>
      </c>
      <c r="B12" s="13">
        <f>SUM(B6:B9)</f>
        <v>2203992</v>
      </c>
    </row>
    <row r="14" spans="1:2" x14ac:dyDescent="0.25">
      <c r="A14" s="12" t="s">
        <v>23</v>
      </c>
      <c r="B14" s="13">
        <v>250000</v>
      </c>
    </row>
    <row r="15" spans="1:2" x14ac:dyDescent="0.25">
      <c r="A15" s="12" t="s">
        <v>22</v>
      </c>
      <c r="B15" s="13">
        <v>30000</v>
      </c>
    </row>
    <row r="16" spans="1:2" x14ac:dyDescent="0.25">
      <c r="A16" s="12" t="s">
        <v>21</v>
      </c>
      <c r="B16" s="13">
        <v>92709</v>
      </c>
    </row>
    <row r="17" spans="1:4" x14ac:dyDescent="0.25">
      <c r="A17" s="12" t="s">
        <v>20</v>
      </c>
      <c r="B17" s="13">
        <v>10000</v>
      </c>
    </row>
    <row r="18" spans="1:4" x14ac:dyDescent="0.25">
      <c r="A18" s="12" t="s">
        <v>2</v>
      </c>
      <c r="B18" s="13">
        <f>(B16+B17)*0.27</f>
        <v>27731.43</v>
      </c>
    </row>
    <row r="20" spans="1:4" x14ac:dyDescent="0.25">
      <c r="A20" s="12" t="s">
        <v>1</v>
      </c>
      <c r="B20" s="13">
        <f>B14+B17+B18+B15+B16</f>
        <v>410440.43</v>
      </c>
      <c r="D20" s="13"/>
    </row>
    <row r="22" spans="1:4" ht="15.6" x14ac:dyDescent="0.3">
      <c r="A22" s="14" t="s">
        <v>0</v>
      </c>
      <c r="B22" s="15">
        <f>B12+B20</f>
        <v>2614432.4300000002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E11" sqref="E11"/>
    </sheetView>
  </sheetViews>
  <sheetFormatPr defaultColWidth="9.109375" defaultRowHeight="15" x14ac:dyDescent="0.25"/>
  <cols>
    <col min="1" max="1" width="39" style="12" customWidth="1"/>
    <col min="2" max="2" width="18.33203125" style="13" customWidth="1"/>
    <col min="3" max="16384" width="9.109375" style="12"/>
  </cols>
  <sheetData>
    <row r="2" spans="1:2" x14ac:dyDescent="0.25">
      <c r="A2" s="12" t="s">
        <v>11</v>
      </c>
      <c r="B2" s="13">
        <v>3000000</v>
      </c>
    </row>
    <row r="3" spans="1:2" x14ac:dyDescent="0.25">
      <c r="A3" s="12" t="s">
        <v>19</v>
      </c>
      <c r="B3" s="13">
        <f>72087*1.22*1+72087*1.195*11+0.2</f>
        <v>1035529.9550000001</v>
      </c>
    </row>
    <row r="4" spans="1:2" ht="15.6" x14ac:dyDescent="0.3">
      <c r="A4" s="14" t="s">
        <v>9</v>
      </c>
      <c r="B4" s="15">
        <f>SUM(B2:B3)</f>
        <v>4035529.9550000001</v>
      </c>
    </row>
    <row r="7" spans="1:2" x14ac:dyDescent="0.25">
      <c r="A7" s="12" t="s">
        <v>6</v>
      </c>
      <c r="B7" s="13">
        <f>252587*11+233087</f>
        <v>3011544</v>
      </c>
    </row>
    <row r="8" spans="1:2" x14ac:dyDescent="0.25">
      <c r="A8" s="12" t="s">
        <v>25</v>
      </c>
      <c r="B8" s="13">
        <f>10000*12/1.3422</f>
        <v>89405.453732677692</v>
      </c>
    </row>
    <row r="9" spans="1:2" x14ac:dyDescent="0.25">
      <c r="A9" s="12" t="s">
        <v>24</v>
      </c>
      <c r="B9" s="13">
        <f>233087*0.22+252587*0.195*11</f>
        <v>593078.255</v>
      </c>
    </row>
    <row r="10" spans="1:2" x14ac:dyDescent="0.25">
      <c r="A10" s="12" t="s">
        <v>26</v>
      </c>
      <c r="B10" s="13">
        <f>SUM(B11:B12)</f>
        <v>30594.546267322305</v>
      </c>
    </row>
    <row r="11" spans="1:2" x14ac:dyDescent="0.25">
      <c r="A11" s="12" t="s">
        <v>27</v>
      </c>
      <c r="B11" s="13">
        <f>B8*1.18*0.15</f>
        <v>15824.76531068395</v>
      </c>
    </row>
    <row r="12" spans="1:2" x14ac:dyDescent="0.25">
      <c r="A12" s="12" t="s">
        <v>28</v>
      </c>
      <c r="B12" s="13">
        <f>B8*1.18*0.14</f>
        <v>14769.780956638355</v>
      </c>
    </row>
    <row r="13" spans="1:2" x14ac:dyDescent="0.25">
      <c r="A13" s="12" t="s">
        <v>29</v>
      </c>
      <c r="B13" s="13">
        <f>SUM(B7:B10)</f>
        <v>3724622.2549999999</v>
      </c>
    </row>
    <row r="15" spans="1:2" x14ac:dyDescent="0.25">
      <c r="A15" s="12" t="s">
        <v>18</v>
      </c>
      <c r="B15" s="13">
        <v>200000</v>
      </c>
    </row>
    <row r="16" spans="1:2" x14ac:dyDescent="0.25">
      <c r="A16" s="12" t="s">
        <v>47</v>
      </c>
      <c r="B16" s="13">
        <v>75000</v>
      </c>
    </row>
    <row r="17" spans="1:2" x14ac:dyDescent="0.25">
      <c r="A17" s="12" t="s">
        <v>16</v>
      </c>
      <c r="B17" s="13">
        <v>15000</v>
      </c>
    </row>
    <row r="18" spans="1:2" x14ac:dyDescent="0.25">
      <c r="A18" s="12" t="s">
        <v>15</v>
      </c>
      <c r="B18" s="13">
        <v>200000</v>
      </c>
    </row>
    <row r="19" spans="1:2" x14ac:dyDescent="0.25">
      <c r="A19" s="12" t="s">
        <v>20</v>
      </c>
      <c r="B19" s="13">
        <v>10000</v>
      </c>
    </row>
    <row r="20" spans="1:2" x14ac:dyDescent="0.25">
      <c r="A20" s="12" t="s">
        <v>2</v>
      </c>
      <c r="B20" s="13">
        <f>(B19+B17+75000)*0.27</f>
        <v>27000</v>
      </c>
    </row>
    <row r="23" spans="1:2" ht="15.6" x14ac:dyDescent="0.3">
      <c r="A23" s="14" t="s">
        <v>14</v>
      </c>
      <c r="B23" s="15">
        <f>B7+B8+B9+B10+B15+B16+B17+B18+B20+B19</f>
        <v>4251622.2549999999</v>
      </c>
    </row>
    <row r="25" spans="1:2" x14ac:dyDescent="0.25">
      <c r="A25" s="12" t="s">
        <v>31</v>
      </c>
      <c r="B25" s="13">
        <f>B4-B23</f>
        <v>-216092.29999999981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F23" sqref="F23"/>
    </sheetView>
  </sheetViews>
  <sheetFormatPr defaultColWidth="9.109375" defaultRowHeight="15" x14ac:dyDescent="0.25"/>
  <cols>
    <col min="1" max="1" width="39" style="12" customWidth="1"/>
    <col min="2" max="2" width="15.6640625" style="12" customWidth="1"/>
    <col min="3" max="3" width="17.109375" style="12" customWidth="1"/>
    <col min="4" max="4" width="17.6640625" style="7" customWidth="1"/>
    <col min="5" max="16384" width="9.109375" style="12"/>
  </cols>
  <sheetData>
    <row r="1" spans="1:4" ht="60" customHeight="1" x14ac:dyDescent="0.25">
      <c r="B1" s="10" t="s">
        <v>30</v>
      </c>
      <c r="C1" s="10" t="s">
        <v>13</v>
      </c>
      <c r="D1" s="17" t="s">
        <v>12</v>
      </c>
    </row>
    <row r="2" spans="1:4" x14ac:dyDescent="0.25">
      <c r="A2" s="12" t="s">
        <v>11</v>
      </c>
      <c r="B2" s="7">
        <v>819000</v>
      </c>
      <c r="C2" s="7">
        <v>2009568</v>
      </c>
      <c r="D2" s="7">
        <f>SUM(B2:C2)</f>
        <v>2828568</v>
      </c>
    </row>
    <row r="3" spans="1:4" x14ac:dyDescent="0.25">
      <c r="A3" s="12" t="s">
        <v>10</v>
      </c>
      <c r="B3" s="7">
        <f>(8300*1.22+8300*1.195*11)/2</f>
        <v>59614.75</v>
      </c>
      <c r="C3" s="7">
        <f>(8300*1.22+8300*1.195*11)/2</f>
        <v>59614.75</v>
      </c>
      <c r="D3" s="7">
        <f>SUM(B3:C3)</f>
        <v>119229.5</v>
      </c>
    </row>
    <row r="4" spans="1:4" ht="15.6" x14ac:dyDescent="0.3">
      <c r="A4" s="14" t="s">
        <v>9</v>
      </c>
      <c r="B4" s="11">
        <f>SUM(B2:B3)</f>
        <v>878614.75</v>
      </c>
      <c r="C4" s="11">
        <f>SUM(C2:C3)</f>
        <v>2069182.75</v>
      </c>
      <c r="D4" s="7">
        <f>SUM(B4:C4)</f>
        <v>2947797.5</v>
      </c>
    </row>
    <row r="5" spans="1:4" x14ac:dyDescent="0.25">
      <c r="A5" s="12" t="s">
        <v>8</v>
      </c>
      <c r="B5" s="7">
        <v>200000</v>
      </c>
      <c r="C5" s="7">
        <v>4300000</v>
      </c>
      <c r="D5" s="7">
        <f>SUM(B5:C5)</f>
        <v>4500000</v>
      </c>
    </row>
    <row r="6" spans="1:4" x14ac:dyDescent="0.25">
      <c r="B6" s="7"/>
      <c r="C6" s="7"/>
    </row>
    <row r="7" spans="1:4" ht="17.399999999999999" x14ac:dyDescent="0.3">
      <c r="A7" s="18" t="s">
        <v>7</v>
      </c>
      <c r="B7" s="11">
        <f>SUM(B4:B5)</f>
        <v>1078614.75</v>
      </c>
      <c r="C7" s="11">
        <f>SUM(C4:C5)</f>
        <v>6369182.75</v>
      </c>
      <c r="D7" s="11">
        <f>SUM(B7:C7)</f>
        <v>7447797.5</v>
      </c>
    </row>
    <row r="10" spans="1:4" x14ac:dyDescent="0.25">
      <c r="A10" s="12" t="s">
        <v>6</v>
      </c>
      <c r="B10" s="7">
        <f>(169300*1+188800*11)/2</f>
        <v>1123050</v>
      </c>
      <c r="C10" s="7">
        <f>(169300*1+188800*11)/2</f>
        <v>1123050</v>
      </c>
      <c r="D10" s="7">
        <f>SUM(B10:C10)</f>
        <v>2246100</v>
      </c>
    </row>
    <row r="11" spans="1:4" x14ac:dyDescent="0.25">
      <c r="A11" s="12" t="s">
        <v>25</v>
      </c>
      <c r="B11" s="7">
        <f>(10000*12/1.3422)/2</f>
        <v>44702.726866338846</v>
      </c>
      <c r="C11" s="7">
        <f>(10000*12/1.3422)/2</f>
        <v>44702.726866338846</v>
      </c>
      <c r="D11" s="7">
        <f t="shared" ref="D11:D18" si="0">SUM(B11:C11)</f>
        <v>89405.453732677692</v>
      </c>
    </row>
    <row r="12" spans="1:4" x14ac:dyDescent="0.25">
      <c r="A12" s="12" t="s">
        <v>35</v>
      </c>
      <c r="B12" s="7">
        <v>50000</v>
      </c>
      <c r="C12" s="7">
        <v>50000</v>
      </c>
      <c r="D12" s="7">
        <v>100000</v>
      </c>
    </row>
    <row r="13" spans="1:4" x14ac:dyDescent="0.25">
      <c r="A13" s="12" t="s">
        <v>24</v>
      </c>
      <c r="B13" s="7">
        <f>(169300*0.22+188800*0.195*11)/2</f>
        <v>221111</v>
      </c>
      <c r="C13" s="7">
        <f>(169300*0.22+188800*0.195*11)/2</f>
        <v>221111</v>
      </c>
      <c r="D13" s="7">
        <f t="shared" si="0"/>
        <v>442222</v>
      </c>
    </row>
    <row r="14" spans="1:4" x14ac:dyDescent="0.25">
      <c r="A14" s="12" t="s">
        <v>26</v>
      </c>
      <c r="B14" s="7">
        <f>B15+B16</f>
        <v>15297.273133661152</v>
      </c>
      <c r="C14" s="7">
        <f>C15+C16</f>
        <v>15297.273133661152</v>
      </c>
      <c r="D14" s="7">
        <f t="shared" si="0"/>
        <v>30594.546267322305</v>
      </c>
    </row>
    <row r="15" spans="1:4" x14ac:dyDescent="0.25">
      <c r="A15" s="12" t="s">
        <v>27</v>
      </c>
      <c r="B15" s="7">
        <f>B11*1.18*0.15</f>
        <v>7912.3826553419749</v>
      </c>
      <c r="C15" s="7">
        <f>C11*1.18*0.15</f>
        <v>7912.3826553419749</v>
      </c>
      <c r="D15" s="7">
        <f t="shared" si="0"/>
        <v>15824.76531068395</v>
      </c>
    </row>
    <row r="16" spans="1:4" x14ac:dyDescent="0.25">
      <c r="A16" s="12" t="s">
        <v>28</v>
      </c>
      <c r="B16" s="7">
        <f>B11*1.18*0.14</f>
        <v>7384.8904783191774</v>
      </c>
      <c r="C16" s="7">
        <f>C11*1.18*0.14</f>
        <v>7384.8904783191774</v>
      </c>
      <c r="D16" s="7">
        <f t="shared" si="0"/>
        <v>14769.780956638355</v>
      </c>
    </row>
    <row r="17" spans="1:4" x14ac:dyDescent="0.25">
      <c r="A17" s="12" t="s">
        <v>41</v>
      </c>
      <c r="B17" s="7">
        <f>B12*0.27</f>
        <v>13500</v>
      </c>
      <c r="C17" s="7">
        <f t="shared" ref="C17" si="1">C12*0.27</f>
        <v>13500</v>
      </c>
      <c r="D17" s="7">
        <f t="shared" si="0"/>
        <v>27000</v>
      </c>
    </row>
    <row r="18" spans="1:4" x14ac:dyDescent="0.25">
      <c r="A18" s="12" t="s">
        <v>29</v>
      </c>
      <c r="B18" s="7">
        <f>B10+B11+B12+B13+B14+B17</f>
        <v>1467661</v>
      </c>
      <c r="C18" s="7">
        <f>C10+C11+C12+C13+C14+C17</f>
        <v>1467661</v>
      </c>
      <c r="D18" s="7">
        <f t="shared" si="0"/>
        <v>2935322</v>
      </c>
    </row>
    <row r="19" spans="1:4" x14ac:dyDescent="0.25">
      <c r="B19" s="7"/>
      <c r="C19" s="7"/>
    </row>
    <row r="20" spans="1:4" x14ac:dyDescent="0.25">
      <c r="B20" s="7"/>
      <c r="C20" s="7"/>
    </row>
    <row r="21" spans="1:4" x14ac:dyDescent="0.25">
      <c r="A21" s="12" t="s">
        <v>5</v>
      </c>
      <c r="B21" s="7"/>
      <c r="C21" s="7">
        <v>230000</v>
      </c>
      <c r="D21" s="7">
        <f t="shared" ref="D21:D31" si="2">SUM(B21:C21)</f>
        <v>230000</v>
      </c>
    </row>
    <row r="22" spans="1:4" x14ac:dyDescent="0.25">
      <c r="A22" s="12" t="s">
        <v>4</v>
      </c>
      <c r="B22" s="7"/>
      <c r="C22" s="7">
        <v>105600</v>
      </c>
      <c r="D22" s="7">
        <f t="shared" si="2"/>
        <v>105600</v>
      </c>
    </row>
    <row r="23" spans="1:4" x14ac:dyDescent="0.25">
      <c r="A23" s="12" t="s">
        <v>3</v>
      </c>
      <c r="B23" s="7"/>
      <c r="C23" s="7">
        <v>3500000</v>
      </c>
      <c r="D23" s="7">
        <f t="shared" si="2"/>
        <v>3500000</v>
      </c>
    </row>
    <row r="24" spans="1:4" x14ac:dyDescent="0.25">
      <c r="A24" s="12" t="s">
        <v>2</v>
      </c>
      <c r="B24" s="7"/>
      <c r="C24" s="7">
        <f>180000+C23*0.27</f>
        <v>1125000</v>
      </c>
      <c r="D24" s="7">
        <f t="shared" si="2"/>
        <v>1125000</v>
      </c>
    </row>
    <row r="25" spans="1:4" x14ac:dyDescent="0.25">
      <c r="A25" s="12" t="s">
        <v>48</v>
      </c>
      <c r="B25" s="7">
        <v>12500</v>
      </c>
      <c r="C25" s="7">
        <v>12500</v>
      </c>
      <c r="D25" s="7">
        <f>SUM(B25:C25)</f>
        <v>25000</v>
      </c>
    </row>
    <row r="26" spans="1:4" x14ac:dyDescent="0.25">
      <c r="A26" s="12" t="s">
        <v>20</v>
      </c>
      <c r="B26" s="7">
        <v>5000</v>
      </c>
      <c r="C26" s="7">
        <v>5000</v>
      </c>
      <c r="D26" s="7">
        <f>SUM(B26:C26)</f>
        <v>10000</v>
      </c>
    </row>
    <row r="27" spans="1:4" ht="15.6" x14ac:dyDescent="0.3">
      <c r="A27" s="19" t="s">
        <v>1</v>
      </c>
      <c r="B27" s="20">
        <f>SUM(B21:B26)</f>
        <v>17500</v>
      </c>
      <c r="C27" s="20">
        <f>SUM(C21:C26)</f>
        <v>4978100</v>
      </c>
      <c r="D27" s="7">
        <f t="shared" si="2"/>
        <v>4995600</v>
      </c>
    </row>
    <row r="28" spans="1:4" x14ac:dyDescent="0.25">
      <c r="B28" s="7"/>
      <c r="C28" s="7"/>
      <c r="D28" s="7">
        <f t="shared" si="2"/>
        <v>0</v>
      </c>
    </row>
    <row r="29" spans="1:4" ht="15.6" x14ac:dyDescent="0.3">
      <c r="A29" s="14" t="s">
        <v>0</v>
      </c>
      <c r="B29" s="11">
        <f>B18+B27</f>
        <v>1485161</v>
      </c>
      <c r="C29" s="11">
        <f t="shared" ref="C29" si="3">C18+C27</f>
        <v>6445761</v>
      </c>
      <c r="D29" s="11">
        <f t="shared" si="2"/>
        <v>7930922</v>
      </c>
    </row>
    <row r="30" spans="1:4" x14ac:dyDescent="0.25">
      <c r="B30" s="7"/>
      <c r="C30" s="7"/>
      <c r="D30" s="7">
        <f t="shared" si="2"/>
        <v>0</v>
      </c>
    </row>
    <row r="31" spans="1:4" x14ac:dyDescent="0.25">
      <c r="A31" s="12" t="s">
        <v>31</v>
      </c>
      <c r="B31" s="7">
        <f>B7-B29</f>
        <v>-406546.25</v>
      </c>
      <c r="C31" s="7">
        <f>C7-C29</f>
        <v>-76578.25</v>
      </c>
      <c r="D31" s="7">
        <f t="shared" si="2"/>
        <v>-483124.5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Normal="100" workbookViewId="0"/>
  </sheetViews>
  <sheetFormatPr defaultColWidth="9.109375" defaultRowHeight="15" x14ac:dyDescent="0.25"/>
  <cols>
    <col min="1" max="1" width="39" style="1" customWidth="1"/>
    <col min="2" max="2" width="15.6640625" style="1" customWidth="1"/>
    <col min="3" max="5" width="17.109375" style="1" customWidth="1"/>
    <col min="6" max="6" width="17.6640625" style="7" customWidth="1"/>
    <col min="7" max="16384" width="9.109375" style="1"/>
  </cols>
  <sheetData>
    <row r="1" spans="1:6" ht="15.6" x14ac:dyDescent="0.3">
      <c r="A1" s="4" t="s">
        <v>50</v>
      </c>
    </row>
    <row r="2" spans="1:6" ht="23.25" customHeight="1" x14ac:dyDescent="0.25">
      <c r="A2" s="24" t="s">
        <v>40</v>
      </c>
      <c r="B2" s="24"/>
      <c r="C2" s="24"/>
      <c r="D2" s="24"/>
      <c r="E2" s="24"/>
      <c r="F2" s="24"/>
    </row>
    <row r="3" spans="1:6" ht="60" customHeight="1" x14ac:dyDescent="0.25">
      <c r="B3" s="10" t="s">
        <v>30</v>
      </c>
      <c r="C3" s="10" t="s">
        <v>13</v>
      </c>
      <c r="D3" s="10" t="s">
        <v>32</v>
      </c>
      <c r="E3" s="10" t="s">
        <v>33</v>
      </c>
      <c r="F3" s="6" t="s">
        <v>12</v>
      </c>
    </row>
    <row r="4" spans="1:6" x14ac:dyDescent="0.25">
      <c r="A4" s="1" t="s">
        <v>11</v>
      </c>
      <c r="B4" s="7">
        <v>819000</v>
      </c>
      <c r="C4" s="7">
        <v>2009568</v>
      </c>
      <c r="D4" s="7">
        <v>3000000</v>
      </c>
      <c r="E4" s="7">
        <v>2500000</v>
      </c>
      <c r="F4" s="2">
        <f>SUM(B4:E4)</f>
        <v>8328568</v>
      </c>
    </row>
    <row r="5" spans="1:6" x14ac:dyDescent="0.25">
      <c r="A5" s="1" t="s">
        <v>10</v>
      </c>
      <c r="B5" s="7">
        <v>59615</v>
      </c>
      <c r="C5" s="7">
        <v>59615</v>
      </c>
      <c r="D5" s="7">
        <v>1035530</v>
      </c>
      <c r="E5" s="7">
        <v>114432</v>
      </c>
      <c r="F5" s="2">
        <f t="shared" ref="F5:F8" si="0">SUM(B5:E5)</f>
        <v>1269192</v>
      </c>
    </row>
    <row r="6" spans="1:6" ht="15.6" x14ac:dyDescent="0.3">
      <c r="A6" s="4" t="s">
        <v>9</v>
      </c>
      <c r="B6" s="11">
        <f>SUM(B4:B5)</f>
        <v>878615</v>
      </c>
      <c r="C6" s="11">
        <f>SUM(C4:C5)</f>
        <v>2069183</v>
      </c>
      <c r="D6" s="11">
        <f>SUM(D4:D5)</f>
        <v>4035530</v>
      </c>
      <c r="E6" s="11">
        <f>SUM(E4:E5)</f>
        <v>2614432</v>
      </c>
      <c r="F6" s="3">
        <f t="shared" si="0"/>
        <v>9597760</v>
      </c>
    </row>
    <row r="7" spans="1:6" x14ac:dyDescent="0.25">
      <c r="A7" s="1" t="s">
        <v>8</v>
      </c>
      <c r="B7" s="7">
        <v>200000</v>
      </c>
      <c r="C7" s="7">
        <v>4300000</v>
      </c>
      <c r="D7" s="7">
        <v>0</v>
      </c>
      <c r="E7" s="7">
        <v>0</v>
      </c>
      <c r="F7" s="2">
        <f t="shared" si="0"/>
        <v>4500000</v>
      </c>
    </row>
    <row r="8" spans="1:6" ht="17.399999999999999" x14ac:dyDescent="0.3">
      <c r="A8" s="5" t="s">
        <v>7</v>
      </c>
      <c r="B8" s="11">
        <f>SUM(B6:B7)</f>
        <v>1078615</v>
      </c>
      <c r="C8" s="11">
        <f>SUM(C6:C7)</f>
        <v>6369183</v>
      </c>
      <c r="D8" s="11">
        <f>SUM(D6:D7)</f>
        <v>4035530</v>
      </c>
      <c r="E8" s="11">
        <f>SUM(E6:E7)</f>
        <v>2614432</v>
      </c>
      <c r="F8" s="3">
        <f t="shared" si="0"/>
        <v>14097760</v>
      </c>
    </row>
    <row r="9" spans="1:6" x14ac:dyDescent="0.25">
      <c r="A9" s="1" t="s">
        <v>6</v>
      </c>
      <c r="B9" s="7">
        <v>1123050</v>
      </c>
      <c r="C9" s="7">
        <v>1123050</v>
      </c>
      <c r="D9" s="7">
        <v>3011544</v>
      </c>
      <c r="E9" s="7">
        <v>1741100</v>
      </c>
      <c r="F9" s="2">
        <f>SUM(B9:E9)</f>
        <v>6998744</v>
      </c>
    </row>
    <row r="10" spans="1:6" x14ac:dyDescent="0.25">
      <c r="A10" s="1" t="s">
        <v>34</v>
      </c>
      <c r="B10" s="7">
        <v>44703</v>
      </c>
      <c r="C10" s="7">
        <v>44703</v>
      </c>
      <c r="D10" s="7">
        <v>89405</v>
      </c>
      <c r="E10" s="7">
        <v>89405</v>
      </c>
      <c r="F10" s="2">
        <f t="shared" ref="F10:F29" si="1">SUM(B10:E10)</f>
        <v>268216</v>
      </c>
    </row>
    <row r="11" spans="1:6" x14ac:dyDescent="0.25">
      <c r="A11" s="1" t="s">
        <v>35</v>
      </c>
      <c r="B11" s="7">
        <v>50000</v>
      </c>
      <c r="C11" s="7">
        <v>50000</v>
      </c>
      <c r="D11" s="7">
        <v>0</v>
      </c>
      <c r="E11" s="7">
        <v>0</v>
      </c>
      <c r="F11" s="2">
        <f t="shared" si="1"/>
        <v>100000</v>
      </c>
    </row>
    <row r="12" spans="1:6" s="21" customFormat="1" ht="15.6" x14ac:dyDescent="0.3">
      <c r="A12" s="21" t="s">
        <v>45</v>
      </c>
      <c r="B12" s="22">
        <f>SUM(B9:B11)</f>
        <v>1217753</v>
      </c>
      <c r="C12" s="22">
        <f t="shared" ref="C12:E12" si="2">SUM(C9:C11)</f>
        <v>1217753</v>
      </c>
      <c r="D12" s="22">
        <f t="shared" si="2"/>
        <v>3100949</v>
      </c>
      <c r="E12" s="22">
        <f t="shared" si="2"/>
        <v>1830505</v>
      </c>
      <c r="F12" s="23">
        <f t="shared" si="1"/>
        <v>7366960</v>
      </c>
    </row>
    <row r="13" spans="1:6" x14ac:dyDescent="0.25">
      <c r="A13" s="1" t="s">
        <v>42</v>
      </c>
      <c r="B13" s="8">
        <v>221111</v>
      </c>
      <c r="C13" s="8">
        <v>221111</v>
      </c>
      <c r="D13" s="8">
        <v>593078</v>
      </c>
      <c r="E13" s="8">
        <v>342892</v>
      </c>
      <c r="F13" s="2">
        <f t="shared" si="1"/>
        <v>1378192</v>
      </c>
    </row>
    <row r="14" spans="1:6" x14ac:dyDescent="0.25">
      <c r="A14" s="1" t="s">
        <v>43</v>
      </c>
      <c r="B14" s="8">
        <v>15297</v>
      </c>
      <c r="C14" s="8">
        <v>15297</v>
      </c>
      <c r="D14" s="8">
        <v>30595</v>
      </c>
      <c r="E14" s="8">
        <v>30595</v>
      </c>
      <c r="F14" s="2">
        <f t="shared" si="1"/>
        <v>91784</v>
      </c>
    </row>
    <row r="15" spans="1:6" x14ac:dyDescent="0.25">
      <c r="A15" s="1" t="s">
        <v>36</v>
      </c>
      <c r="B15" s="8">
        <v>13500</v>
      </c>
      <c r="C15" s="8">
        <v>13500</v>
      </c>
      <c r="D15" s="8">
        <v>0</v>
      </c>
      <c r="E15" s="8">
        <v>0</v>
      </c>
      <c r="F15" s="2">
        <f t="shared" si="1"/>
        <v>27000</v>
      </c>
    </row>
    <row r="16" spans="1:6" s="21" customFormat="1" ht="15.6" x14ac:dyDescent="0.3">
      <c r="A16" s="21" t="s">
        <v>44</v>
      </c>
      <c r="B16" s="22">
        <f>SUM(B13:B15)</f>
        <v>249908</v>
      </c>
      <c r="C16" s="22">
        <f t="shared" ref="C16:E16" si="3">SUM(C13:C15)</f>
        <v>249908</v>
      </c>
      <c r="D16" s="22">
        <f t="shared" si="3"/>
        <v>623673</v>
      </c>
      <c r="E16" s="22">
        <f t="shared" si="3"/>
        <v>373487</v>
      </c>
      <c r="F16" s="23">
        <f t="shared" si="1"/>
        <v>1496976</v>
      </c>
    </row>
    <row r="17" spans="1:6" x14ac:dyDescent="0.25">
      <c r="A17" s="1" t="s">
        <v>49</v>
      </c>
      <c r="B17" s="8"/>
      <c r="C17" s="8">
        <v>230000</v>
      </c>
      <c r="D17" s="8"/>
      <c r="E17" s="8">
        <v>122709</v>
      </c>
      <c r="F17" s="2">
        <f t="shared" si="1"/>
        <v>352709</v>
      </c>
    </row>
    <row r="18" spans="1:6" x14ac:dyDescent="0.25">
      <c r="A18" s="1" t="s">
        <v>4</v>
      </c>
      <c r="B18" s="8"/>
      <c r="C18" s="8">
        <v>105600</v>
      </c>
      <c r="D18" s="8"/>
      <c r="E18" s="8"/>
      <c r="F18" s="2">
        <f t="shared" si="1"/>
        <v>105600</v>
      </c>
    </row>
    <row r="19" spans="1:6" x14ac:dyDescent="0.25">
      <c r="A19" s="1" t="s">
        <v>3</v>
      </c>
      <c r="B19" s="8"/>
      <c r="C19" s="8">
        <v>3500000</v>
      </c>
      <c r="D19" s="8"/>
      <c r="E19" s="8"/>
      <c r="F19" s="2">
        <f t="shared" si="1"/>
        <v>3500000</v>
      </c>
    </row>
    <row r="20" spans="1:6" x14ac:dyDescent="0.25">
      <c r="A20" s="1" t="s">
        <v>2</v>
      </c>
      <c r="B20" s="8"/>
      <c r="C20" s="8">
        <v>1125000</v>
      </c>
      <c r="D20" s="8">
        <v>27000</v>
      </c>
      <c r="E20" s="8">
        <v>27731</v>
      </c>
      <c r="F20" s="2">
        <f t="shared" si="1"/>
        <v>1179731</v>
      </c>
    </row>
    <row r="21" spans="1:6" x14ac:dyDescent="0.25">
      <c r="A21" s="1" t="s">
        <v>18</v>
      </c>
      <c r="B21" s="8"/>
      <c r="C21" s="8"/>
      <c r="D21" s="8">
        <v>200000</v>
      </c>
      <c r="E21" s="8"/>
      <c r="F21" s="2">
        <f t="shared" si="1"/>
        <v>200000</v>
      </c>
    </row>
    <row r="22" spans="1:6" x14ac:dyDescent="0.25">
      <c r="A22" s="1" t="s">
        <v>17</v>
      </c>
      <c r="B22" s="8">
        <v>12500</v>
      </c>
      <c r="C22" s="8">
        <v>12500</v>
      </c>
      <c r="D22" s="8">
        <v>75000</v>
      </c>
      <c r="E22" s="8"/>
      <c r="F22" s="2">
        <f t="shared" si="1"/>
        <v>100000</v>
      </c>
    </row>
    <row r="23" spans="1:6" x14ac:dyDescent="0.25">
      <c r="A23" s="1" t="s">
        <v>16</v>
      </c>
      <c r="B23" s="8"/>
      <c r="C23" s="8"/>
      <c r="D23" s="8">
        <v>15000</v>
      </c>
      <c r="E23" s="8"/>
      <c r="F23" s="2">
        <f t="shared" si="1"/>
        <v>15000</v>
      </c>
    </row>
    <row r="24" spans="1:6" x14ac:dyDescent="0.25">
      <c r="A24" s="1" t="s">
        <v>37</v>
      </c>
      <c r="B24" s="8"/>
      <c r="C24" s="8"/>
      <c r="D24" s="8">
        <v>200000</v>
      </c>
      <c r="E24" s="8"/>
      <c r="F24" s="2">
        <f t="shared" si="1"/>
        <v>200000</v>
      </c>
    </row>
    <row r="25" spans="1:6" x14ac:dyDescent="0.25">
      <c r="A25" s="1" t="s">
        <v>38</v>
      </c>
      <c r="B25" s="8"/>
      <c r="C25" s="8"/>
      <c r="D25" s="8"/>
      <c r="E25" s="8">
        <v>250000</v>
      </c>
      <c r="F25" s="2">
        <f t="shared" si="1"/>
        <v>250000</v>
      </c>
    </row>
    <row r="26" spans="1:6" x14ac:dyDescent="0.25">
      <c r="A26" s="1" t="s">
        <v>20</v>
      </c>
      <c r="B26" s="8">
        <v>5000</v>
      </c>
      <c r="C26" s="8">
        <v>5000</v>
      </c>
      <c r="D26" s="8">
        <v>10000</v>
      </c>
      <c r="E26" s="8">
        <v>10000</v>
      </c>
      <c r="F26" s="2">
        <f t="shared" si="1"/>
        <v>30000</v>
      </c>
    </row>
    <row r="27" spans="1:6" s="4" customFormat="1" ht="15.6" x14ac:dyDescent="0.3">
      <c r="A27" s="21" t="s">
        <v>46</v>
      </c>
      <c r="B27" s="22">
        <f>SUM(B17:B26)</f>
        <v>17500</v>
      </c>
      <c r="C27" s="22">
        <f>SUM(C17:C26)</f>
        <v>4978100</v>
      </c>
      <c r="D27" s="22">
        <f>SUM(D17:D26)</f>
        <v>527000</v>
      </c>
      <c r="E27" s="22">
        <f>SUM(E17:E26)</f>
        <v>410440</v>
      </c>
      <c r="F27" s="23">
        <f t="shared" si="1"/>
        <v>5933040</v>
      </c>
    </row>
    <row r="28" spans="1:6" ht="15.6" x14ac:dyDescent="0.3">
      <c r="A28" s="4" t="s">
        <v>39</v>
      </c>
      <c r="B28" s="9">
        <f>B27+B16+B12</f>
        <v>1485161</v>
      </c>
      <c r="C28" s="9">
        <f>C12+C16+C27</f>
        <v>6445761</v>
      </c>
      <c r="D28" s="9">
        <f>D12+D16+D27</f>
        <v>4251622</v>
      </c>
      <c r="E28" s="9">
        <f>E12+E16+E27</f>
        <v>2614432</v>
      </c>
      <c r="F28" s="3">
        <f t="shared" si="1"/>
        <v>14796976</v>
      </c>
    </row>
    <row r="29" spans="1:6" x14ac:dyDescent="0.25">
      <c r="A29" s="1" t="s">
        <v>31</v>
      </c>
      <c r="B29" s="8">
        <f>B8-B28</f>
        <v>-406546</v>
      </c>
      <c r="C29" s="8">
        <f>C8-C28</f>
        <v>-76578</v>
      </c>
      <c r="D29" s="8">
        <f>D8-D28</f>
        <v>-216092</v>
      </c>
      <c r="E29" s="8">
        <f>E8-E28</f>
        <v>0</v>
      </c>
      <c r="F29" s="2">
        <f t="shared" si="1"/>
        <v>-699216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Falugondnok</vt:lpstr>
      <vt:lpstr>Gyejo</vt:lpstr>
      <vt:lpstr>HSG</vt:lpstr>
      <vt:lpstr>Összesített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2018-03-14T13:54:03Z</dcterms:modified>
</cp:coreProperties>
</file>