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65506" windowWidth="12120" windowHeight="6600" tabRatio="601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táj.1." sheetId="14" r:id="rId14"/>
    <sheet name="táj.2." sheetId="15" r:id="rId15"/>
  </sheets>
  <definedNames>
    <definedName name="_xlnm.Print_Titles" localSheetId="10">'11'!$1:$2</definedName>
    <definedName name="_xlnm.Print_Titles" localSheetId="11">'12'!$1:$2</definedName>
    <definedName name="_xlnm.Print_Titles" localSheetId="2">'3'!$1:$2</definedName>
    <definedName name="_xlnm.Print_Titles" localSheetId="6">'7'!$1:$2</definedName>
    <definedName name="_xlnm.Print_Titles" localSheetId="7">'8'!$1:$2</definedName>
    <definedName name="_xlnm.Print_Area" localSheetId="11">'12'!$A$1:$Q$226</definedName>
    <definedName name="_xlnm.Print_Area" localSheetId="2">'3'!$A$1:$M$74</definedName>
  </definedNames>
  <calcPr fullCalcOnLoad="1"/>
</workbook>
</file>

<file path=xl/sharedStrings.xml><?xml version="1.0" encoding="utf-8"?>
<sst xmlns="http://schemas.openxmlformats.org/spreadsheetml/2006/main" count="2024" uniqueCount="1206">
  <si>
    <t>Beruházási célú kiadás</t>
  </si>
  <si>
    <t>15.</t>
  </si>
  <si>
    <t>Petőfi tagiskola tornaterem padlóburkolat és világítás korszerűsítés BM pályázati támogatással</t>
  </si>
  <si>
    <t>Városépítészeti feladatok összesen:</t>
  </si>
  <si>
    <t>Cím  szám</t>
  </si>
  <si>
    <t>Alcím-          szám</t>
  </si>
  <si>
    <t>Sor-                     szám</t>
  </si>
  <si>
    <t>Felújítási cél megnevezése</t>
  </si>
  <si>
    <t>Felújítási célú kiad.</t>
  </si>
  <si>
    <t>Felúj. célú pénzeszk. átad.</t>
  </si>
  <si>
    <t>Felújítás összesen</t>
  </si>
  <si>
    <t>Cím-    szám</t>
  </si>
  <si>
    <t>Alcím   szám</t>
  </si>
  <si>
    <t>Munkaadót       terhelő járulékok</t>
  </si>
  <si>
    <t>Dologi kiadások</t>
  </si>
  <si>
    <t>Ktgv-i kiad. összesen</t>
  </si>
  <si>
    <t>Óvodai GESZ</t>
  </si>
  <si>
    <t>Vásárcsarnok</t>
  </si>
  <si>
    <t>2.) Működési  célú pénzeszköz átvétel államháztartáson kívülről</t>
  </si>
  <si>
    <t>3.) Támogatásértékű működési bevételek</t>
  </si>
  <si>
    <t>4.) Átengedett bevételek</t>
  </si>
  <si>
    <t>5.) Állami hozzájárulás, támogatás</t>
  </si>
  <si>
    <t>6.) Egészségbiztosítási Alaptól  átvett pe.</t>
  </si>
  <si>
    <t>2.) Felhalmozási célú pénzeszköz átvétel államháztartáson kívülről</t>
  </si>
  <si>
    <t>3.) Támogatásértékű felhalmozási bevételek</t>
  </si>
  <si>
    <t>5.) Kölcsönök visszatérülése,igénybevétele</t>
  </si>
  <si>
    <t xml:space="preserve">7.) Hitel- és kölcsön törlesztések </t>
  </si>
  <si>
    <t>2./2</t>
  </si>
  <si>
    <t>Magánerős ivóvíz bekötések</t>
  </si>
  <si>
    <t>Idősek Otthona lízingdíj</t>
  </si>
  <si>
    <t>6./22.</t>
  </si>
  <si>
    <t xml:space="preserve"> Helyi és helyközi közösségi közlekedés fejlesztése pályázati  támogatással NYDOP -3.2.1/B-12-2013-0001</t>
  </si>
  <si>
    <t>7./1.</t>
  </si>
  <si>
    <t xml:space="preserve"> Buslakpusztai bezárt szilárd hulladéklerakó okozta szennyezés lokalizációja  pályázati támogatással KEOP-2.4.0/B/2F/10-11-2012-0005</t>
  </si>
  <si>
    <t>Aquaparkban tárgyi eszköz beszerzés</t>
  </si>
  <si>
    <t xml:space="preserve">22. </t>
  </si>
  <si>
    <t>"Egymásra hangolva" projekt eszközbeszerzés</t>
  </si>
  <si>
    <t>Egészségügyi és humánigazgatási feladatok</t>
  </si>
  <si>
    <t>Oktatási feladatok</t>
  </si>
  <si>
    <t>Kulturális és ifjúsági feladatok</t>
  </si>
  <si>
    <t>Sport feladatok</t>
  </si>
  <si>
    <t xml:space="preserve"> - eredményességi támogatás</t>
  </si>
  <si>
    <t>feladat jellege</t>
  </si>
  <si>
    <t>5. Nyári étkeztetés támogatása</t>
  </si>
  <si>
    <t>Intézményi fejlesztések előkészítési munkái (tervezési, bonyolítási és műszaki ellenőrzési díjak)</t>
  </si>
  <si>
    <t>76-os út átvételéhez kapcsolódó csapadékcsatorna rekonstrukciók (Rákóczi út)</t>
  </si>
  <si>
    <t>Kaszaházi telekalakítás csapadékvíz befogadó építése</t>
  </si>
  <si>
    <t>Projekt előkészítések, tervezések</t>
  </si>
  <si>
    <t>3./4</t>
  </si>
  <si>
    <t>Gorkij u. - Göcseji u. jobbra kanyarodó sáv kialakítási munkái pályázati önrész</t>
  </si>
  <si>
    <t>Borostyán út rézsű támfal építéstervezés, kivitelezés</t>
  </si>
  <si>
    <t>1. Felhalmozási célú hitel felvétele</t>
  </si>
  <si>
    <t>Önkormányzat</t>
  </si>
  <si>
    <t>Költségvetési szervek</t>
  </si>
  <si>
    <t>Felhalmozási bevételek</t>
  </si>
  <si>
    <t>felhalm.célú átvett pe.</t>
  </si>
  <si>
    <t xml:space="preserve">Önkormányzat </t>
  </si>
  <si>
    <t xml:space="preserve">Önkormányzat összesen költségvetési szervek nélkül </t>
  </si>
  <si>
    <t>Költségvetési szerv megnevezése</t>
  </si>
  <si>
    <t>Költségvetési szervek mindösszesen:</t>
  </si>
  <si>
    <t xml:space="preserve">Kerékpárutakhoz területvásárlás </t>
  </si>
  <si>
    <t>Termál utca járdaépítés</t>
  </si>
  <si>
    <t>Toposházi u.buszforduló és  útépítés II. ütem</t>
  </si>
  <si>
    <t>Ebergényben sportpálya és pihenőpark kialakítása</t>
  </si>
  <si>
    <t xml:space="preserve">Vasútfejlesztés </t>
  </si>
  <si>
    <t>Év közben jelentkező feladatok</t>
  </si>
  <si>
    <t>Belvárosrehabilitáció II.ütemének előkészítő munkái</t>
  </si>
  <si>
    <t>9.a/2</t>
  </si>
  <si>
    <t>Belváros rehabilitációs program pályázati támogatással</t>
  </si>
  <si>
    <t>Patkó u.csapadékvízelvezetés</t>
  </si>
  <si>
    <t>Önkormányzati erdősítések és ápolási munkálatok</t>
  </si>
  <si>
    <t>Építési telek kialakítása, közművesítése (Flórián u. , Andráshida ) Lakásalap</t>
  </si>
  <si>
    <t>kgy</t>
  </si>
  <si>
    <t>"Ivóvízminőség javítása" KEOP pályázathoz önrész (KEOP-7.1.3.0/09-201-0017 )</t>
  </si>
  <si>
    <t>10.</t>
  </si>
  <si>
    <t>11.</t>
  </si>
  <si>
    <t>Elővásárlási jog gyakorlásával történő lakóingatlan vásárlása (Lakásalap)</t>
  </si>
  <si>
    <t>841908 Fejezeti és általános tartalékok elszámolása</t>
  </si>
  <si>
    <t>Csipke Kft-vel kötött szerződés a 178/2008. Kgy.hat.alapján</t>
  </si>
  <si>
    <t>1.a/1.</t>
  </si>
  <si>
    <t>1.a/1</t>
  </si>
  <si>
    <t>Intézm. műk. bevétele</t>
  </si>
  <si>
    <t>Támogatás értékű bevétel</t>
  </si>
  <si>
    <t>Felhalmozási  bevétel</t>
  </si>
  <si>
    <t>Pénzfor. nélküli  bevétel</t>
  </si>
  <si>
    <t>Ktgv-i bevétel  összesen</t>
  </si>
  <si>
    <t>Kapott támogatás</t>
  </si>
  <si>
    <t>TB. alaptól  átvett</t>
  </si>
  <si>
    <t>Felhalm.               célra</t>
  </si>
  <si>
    <t>Izsák Imre ÁMK</t>
  </si>
  <si>
    <t>Öveges József ÁMK</t>
  </si>
  <si>
    <t>Keresztury Dezső Városi Művelődési Központ</t>
  </si>
  <si>
    <t>8./1.</t>
  </si>
  <si>
    <t>8./2.</t>
  </si>
  <si>
    <t>Deák Ferenc Megyei és Városi Könyvtár</t>
  </si>
  <si>
    <t>Göcseji Múzeum</t>
  </si>
  <si>
    <t>Városi Sportlétesítmények Gondnoksága</t>
  </si>
  <si>
    <t>Személyi jellegű kiadások</t>
  </si>
  <si>
    <t>2013. eredeti előirányzat</t>
  </si>
  <si>
    <t>Griff Bábszínház</t>
  </si>
  <si>
    <t xml:space="preserve">Hevesi Sándor Színház </t>
  </si>
  <si>
    <t>Lakossági-civil kezdeményezések keretből felhalmozási célú átadás</t>
  </si>
  <si>
    <t>6./4</t>
  </si>
  <si>
    <t>6./5</t>
  </si>
  <si>
    <t>Csatornarendszer (szennyvíz-csapadékvíz)</t>
  </si>
  <si>
    <t>I. Működési célú bevételek</t>
  </si>
  <si>
    <t>I. Működési célú kiadások</t>
  </si>
  <si>
    <t>1.) Saját bevételek</t>
  </si>
  <si>
    <t>Hangverseny- és Kiállítóterem előtér felújításhoz pe. átadás</t>
  </si>
  <si>
    <t>Szt. András parkban játszótér létesítése</t>
  </si>
  <si>
    <t>6./23.</t>
  </si>
  <si>
    <t>"Zalaegerszeg 2020-Integrált településfejlesztési startégia megalkotása" projekt pályázati támogatással  NYDOP-3.1.1/F-13-2013-0001</t>
  </si>
  <si>
    <t>Öveges J.Általános Iskola balesetveszélyes tornatermi mennyezet felúj.</t>
  </si>
  <si>
    <t xml:space="preserve"> - Főépítészi keret</t>
  </si>
  <si>
    <t>4.) Céltartalékból működésre</t>
  </si>
  <si>
    <t>5.) Általános tartalék</t>
  </si>
  <si>
    <t>4.) Állami hozzájárulás, támogatás</t>
  </si>
  <si>
    <t>6./8</t>
  </si>
  <si>
    <t xml:space="preserve">   Költségvetési műk. kiadásai összesen:</t>
  </si>
  <si>
    <t xml:space="preserve">     Költségvetési műk. bevételei összesen:</t>
  </si>
  <si>
    <t>MŰKÖDÉSI CÉLÚ KIADÁSOK ÖSSZ.:</t>
  </si>
  <si>
    <t>II. Felhalmozási célú kiadások</t>
  </si>
  <si>
    <t xml:space="preserve">          ebből:    - felújítás</t>
  </si>
  <si>
    <t xml:space="preserve">MŰKÖDÉSI CÉLÚ BEVÉTELEK ÖSSZ:                      </t>
  </si>
  <si>
    <t xml:space="preserve">                        - fejlesztés</t>
  </si>
  <si>
    <t>II. Felhalmozási célú bevételek</t>
  </si>
  <si>
    <t>2.) Beruházás</t>
  </si>
  <si>
    <t>3.) Felújítás</t>
  </si>
  <si>
    <t xml:space="preserve">   2.4 Bírságok, pótlékok és egyéb sajátos bevételek</t>
  </si>
  <si>
    <t>4.) Céltartalék</t>
  </si>
  <si>
    <t>5.) Kölcsönnyújtás</t>
  </si>
  <si>
    <t>6.)Fejlesztési hitel kamata</t>
  </si>
  <si>
    <t xml:space="preserve"> - oktatási intézmények 2012. évi gazdálkodásával kapcsolatos elszámolások</t>
  </si>
  <si>
    <t xml:space="preserve">     Költségvetési felhalm. bevételei összesen:</t>
  </si>
  <si>
    <t xml:space="preserve">      Költségvetési felh.célú kiadásai összesen:</t>
  </si>
  <si>
    <t xml:space="preserve"> Finanszírozási műveletek</t>
  </si>
  <si>
    <t>Csáfordi u. aszfaltozása</t>
  </si>
  <si>
    <t>Hevesi Sándor Színház</t>
  </si>
  <si>
    <t>FELHALMOZÁSI CÉLÚ BEVÉTELEK  ÖSSZESEN:</t>
  </si>
  <si>
    <t>FELHALMOZÁSI CÉLÚ KIADÁSOK ÖSSZESEN:</t>
  </si>
  <si>
    <t>Sor- szám</t>
  </si>
  <si>
    <t>BEVÉTELEK</t>
  </si>
  <si>
    <t>I.</t>
  </si>
  <si>
    <t>Működési  bevételek</t>
  </si>
  <si>
    <t>1. Intézményi működési bevételek</t>
  </si>
  <si>
    <t xml:space="preserve">   2.2  Helyi adók</t>
  </si>
  <si>
    <t xml:space="preserve">   2.3 Átengedett központi adók</t>
  </si>
  <si>
    <t>MŰKÖDÉSI BEVÉTELEK ÖSSZESEN:</t>
  </si>
  <si>
    <t>II.</t>
  </si>
  <si>
    <t>1. Önkormányzatok költségvetési támogatása</t>
  </si>
  <si>
    <t xml:space="preserve">   1.2 Központosított előirányzatok</t>
  </si>
  <si>
    <t xml:space="preserve">   1.3 Helyi önkormányzatok színházi  támogatása</t>
  </si>
  <si>
    <t>TÁMOGATÁSOK ÖSSZESEN:</t>
  </si>
  <si>
    <t>III.</t>
  </si>
  <si>
    <t>1. Tárgyi eszközök és immateriális javak értékesítése</t>
  </si>
  <si>
    <t>6./9</t>
  </si>
  <si>
    <t>2. Önkormányzatok sajátos felhalmozási és tőkebevételei</t>
  </si>
  <si>
    <t>3. Pénzügyi befektetések bevételei</t>
  </si>
  <si>
    <t xml:space="preserve">IV. </t>
  </si>
  <si>
    <t xml:space="preserve"> Támogatásértékű bevétel</t>
  </si>
  <si>
    <t xml:space="preserve">1. Támogatásértékű működési bevétel </t>
  </si>
  <si>
    <t>2. Támogatásértékű felhalmozási bevétel</t>
  </si>
  <si>
    <t xml:space="preserve"> TÁMOGATÁSÉRTÉKŰ BEVÉTEL ÖSSZESEN:</t>
  </si>
  <si>
    <t>V.</t>
  </si>
  <si>
    <t>Véglegesen átvett pénzeszközök</t>
  </si>
  <si>
    <t>1.Működési célú pénzeszköz átvétel államháztartáson kívülről</t>
  </si>
  <si>
    <t>2. Felhalmozási célú pénzeszköz átvétel államháztartáson kívülről</t>
  </si>
  <si>
    <t>VÉGLEGESEN ÁTVETT PÉNZESZKÖZÖK ÖSSZESEN:</t>
  </si>
  <si>
    <t>VI.</t>
  </si>
  <si>
    <t>Támogatási kölcsönök visszatérülése, igénybevétele, értékpapírok kibocsátása</t>
  </si>
  <si>
    <t>Költségvetési bevétel összege</t>
  </si>
  <si>
    <t xml:space="preserve">VII.  </t>
  </si>
  <si>
    <t>Hiány összege/ Hitelfelvétel</t>
  </si>
  <si>
    <t>HITELEK ÖSSZESEN:</t>
  </si>
  <si>
    <t>VIII.</t>
  </si>
  <si>
    <t>Gógánhegyi közvilágítás bővítés</t>
  </si>
  <si>
    <t>Zala utcában árvízkapu létesítése</t>
  </si>
  <si>
    <t>3.a/2.</t>
  </si>
  <si>
    <t>1.a/9</t>
  </si>
  <si>
    <t>Pénzforgalom nélküli bevételek</t>
  </si>
  <si>
    <t>1. Előző évi előirányzat-maradvány, pénzmaradvány igénybevétele</t>
  </si>
  <si>
    <t>2. Előző évi vállalkozási eredmény igénybevétele</t>
  </si>
  <si>
    <t>PÉNZFORGALOM NÉLKÜLI BEVÉTELEK ÖSSZESEN:</t>
  </si>
  <si>
    <t>BEVÉTELEK MINDÖSSZESEN:</t>
  </si>
  <si>
    <t xml:space="preserve">saját </t>
  </si>
  <si>
    <t>Tartalékok</t>
  </si>
  <si>
    <t>1.a/2</t>
  </si>
  <si>
    <t>1.a/3</t>
  </si>
  <si>
    <t>1.a/4</t>
  </si>
  <si>
    <t>2.a/1</t>
  </si>
  <si>
    <t>4.a/1</t>
  </si>
  <si>
    <t>4.a/2</t>
  </si>
  <si>
    <t>4.a/3</t>
  </si>
  <si>
    <t>3. Helyi szervezési intézkedésekhez kapcsolódó többletkiadások támogatása</t>
  </si>
  <si>
    <t>Egyéb központi támogatás</t>
  </si>
  <si>
    <t xml:space="preserve">   1.4 Egyéb központi támogatás</t>
  </si>
  <si>
    <t>1.) Támogatásértékű kiadás és végleges pénzeszköz átadás felhalm.célra és egyéb felhalmozási kiadás</t>
  </si>
  <si>
    <t>Ellátottak pénzbeli  juttatásai</t>
  </si>
  <si>
    <t>4.a/4</t>
  </si>
  <si>
    <t>4.a/5</t>
  </si>
  <si>
    <t>4.a/6</t>
  </si>
  <si>
    <t>4.a/7</t>
  </si>
  <si>
    <t>4.a/8</t>
  </si>
  <si>
    <t>4.a/9</t>
  </si>
  <si>
    <t>Előtervezések</t>
  </si>
  <si>
    <t>6.1.a/1</t>
  </si>
  <si>
    <t>6./6</t>
  </si>
  <si>
    <t>6./7</t>
  </si>
  <si>
    <t>6.b/1</t>
  </si>
  <si>
    <t>6.b/2</t>
  </si>
  <si>
    <t>6.b/3</t>
  </si>
  <si>
    <t>6.b/4</t>
  </si>
  <si>
    <t>6.b/5</t>
  </si>
  <si>
    <t>6.b/6</t>
  </si>
  <si>
    <t>Hulladékgazdálkodás</t>
  </si>
  <si>
    <t>Aquapark  fejlesztés</t>
  </si>
  <si>
    <t>9.a/1</t>
  </si>
  <si>
    <t>Önkormányzat tulajdonában lévő lakóépületek (lakások)  teljes vagy részleges  felújítása, korszerűsítése  (Lakásalap)</t>
  </si>
  <si>
    <t>12.</t>
  </si>
  <si>
    <t>A lakáscélú állami támogatásokról szóló külön jogszabály szerinti pályázati önrész finanszírozása (egycsatornás gyűjtőkémények felújítása) Lakásalapból</t>
  </si>
  <si>
    <t>841901 Önkormányzatok, valamint többcélú kistérségi társulások elszámolásai</t>
  </si>
  <si>
    <t>Jogi és közig.feladatok</t>
  </si>
  <si>
    <t>Magánerős útépítések támogatása</t>
  </si>
  <si>
    <t>Rendezési tervek</t>
  </si>
  <si>
    <t>1.</t>
  </si>
  <si>
    <t>Közvilágítás és egyéb közmű beruházások</t>
  </si>
  <si>
    <t>Parkok, terek, játszóterek</t>
  </si>
  <si>
    <t>Stratégiai tervezés, fejlesztés és területszerzés</t>
  </si>
  <si>
    <t>Módosítás
hatáskör
szerint **</t>
  </si>
  <si>
    <t>Landorhegyi u.8. szám alatti gyermekorvosi rendelők felújítása</t>
  </si>
  <si>
    <t>Napsugár u. óvoda kültéri berendezéseinek felújítása</t>
  </si>
  <si>
    <t>Öveges Óvoda süllyedés miatti talajstabilizálás</t>
  </si>
  <si>
    <t>Vörösmarty u. gázvezeték rekonstukciót követően a másik fél pálya helyreállítása</t>
  </si>
  <si>
    <t>Széchenyi tér buszmegálló felújítása szigeteléssel együtt, nyilvános WC felúj.</t>
  </si>
  <si>
    <t>Botfy L. u. felújítás Vizslaparki u. - Mártírok u. közötti szakaszon</t>
  </si>
  <si>
    <t xml:space="preserve">Batthyány L. u.  járdaburkolat felújítása </t>
  </si>
  <si>
    <t>Zárda u. - Alsójánkahegyi u. közötti tereplécső felújítása</t>
  </si>
  <si>
    <t>Zrínyi u., Vasútállomás - Bartók közötti kerékpárút burkolat és kiemelt szegély felújítás</t>
  </si>
  <si>
    <t>Ola utcai és Rákóczi utcai járda felújítása, zöldfelület rendezése</t>
  </si>
  <si>
    <t>Járdafelújítások Páterdombon</t>
  </si>
  <si>
    <t>4./25</t>
  </si>
  <si>
    <t>4./26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</si>
  <si>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</si>
  <si>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</si>
  <si>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</si>
  <si>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</si>
  <si>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</si>
  <si>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</si>
  <si>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</si>
  <si>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</si>
  <si>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4./35</t>
  </si>
  <si>
    <t>4./36</t>
  </si>
  <si>
    <t>4./37</t>
  </si>
  <si>
    <t>4./38</t>
  </si>
  <si>
    <t>4./39</t>
  </si>
  <si>
    <t>4./40</t>
  </si>
  <si>
    <t>Hosszú-hegyi út felújítása</t>
  </si>
  <si>
    <t>4.a./1</t>
  </si>
  <si>
    <t>4.a./2</t>
  </si>
  <si>
    <t>4.a./3</t>
  </si>
  <si>
    <t>4.a./4</t>
  </si>
  <si>
    <t>4.a./5</t>
  </si>
  <si>
    <t>4.a./6</t>
  </si>
  <si>
    <t>4.a./7</t>
  </si>
  <si>
    <t>4.a./8</t>
  </si>
  <si>
    <t>4.a./9</t>
  </si>
  <si>
    <t>4.a./10</t>
  </si>
  <si>
    <t>4.a./11</t>
  </si>
  <si>
    <t>4.a./12</t>
  </si>
  <si>
    <t>Belvárosi zöldfelület és játszótér felújítások</t>
  </si>
  <si>
    <t>Költségvetési szervek felújítási kerete (Vis maior)</t>
  </si>
  <si>
    <t>1.) Költségvetési szervek kiadásai</t>
  </si>
  <si>
    <t>2.) Önkormányzat szakosztályainak  kiadásai</t>
  </si>
  <si>
    <t>ebből: átvállalt működési célú hitel törlesztése</t>
  </si>
  <si>
    <t>3.) Támogatásértékű kiadás és végleges pe.átadás műk.célra (költségvetési szervek nélkül)</t>
  </si>
  <si>
    <t>7.) Működési hitel felvétele</t>
  </si>
  <si>
    <t>7.) Pénzforgalom nélküli kiadás</t>
  </si>
  <si>
    <t>8.) Előző évek pénzmaradványa</t>
  </si>
  <si>
    <t>9.) Vállalkozási eredmény</t>
  </si>
  <si>
    <t xml:space="preserve">                        - költségvetési szervek</t>
  </si>
  <si>
    <t xml:space="preserve">         ebből: költségvetési szervek</t>
  </si>
  <si>
    <t>ÖNKORMÁNYZAT ÖSSZESEN:</t>
  </si>
  <si>
    <t>Hozzájárulás jogcíme</t>
  </si>
  <si>
    <t>létszám</t>
  </si>
  <si>
    <t>mutató</t>
  </si>
  <si>
    <t>Normatíva     Ft/fő</t>
  </si>
  <si>
    <t>Hozzájárulás       ezer Ft-ban</t>
  </si>
  <si>
    <t>Páterdombi LSC sportpálya építési program támogatása</t>
  </si>
  <si>
    <t>14.</t>
  </si>
  <si>
    <t>Módosítás
döntési
hatáskör
szerint *</t>
  </si>
  <si>
    <t>Városüzemelési feladatok összesen:</t>
  </si>
  <si>
    <t>Kiadások összesen</t>
  </si>
  <si>
    <t>Építéshatósági feladatok</t>
  </si>
  <si>
    <t>Polgármesteri Iroda kiadásai</t>
  </si>
  <si>
    <t>Polgármesteri iroda</t>
  </si>
  <si>
    <t>1./4</t>
  </si>
  <si>
    <t>1./5</t>
  </si>
  <si>
    <t>4./16</t>
  </si>
  <si>
    <t>4./17</t>
  </si>
  <si>
    <t>4./18</t>
  </si>
  <si>
    <t>4./19</t>
  </si>
  <si>
    <t>4./20</t>
  </si>
  <si>
    <t>4./21</t>
  </si>
  <si>
    <t>4./22</t>
  </si>
  <si>
    <t>4./23</t>
  </si>
  <si>
    <t>4./24</t>
  </si>
  <si>
    <t>1./1</t>
  </si>
  <si>
    <t>1./2</t>
  </si>
  <si>
    <t>1./3</t>
  </si>
  <si>
    <t>2.</t>
  </si>
  <si>
    <t>2./1</t>
  </si>
  <si>
    <t>3.</t>
  </si>
  <si>
    <t>Polgármesteri Iroda működési kiadásai összesen:</t>
  </si>
  <si>
    <t>4.</t>
  </si>
  <si>
    <t>5.</t>
  </si>
  <si>
    <t>6.</t>
  </si>
  <si>
    <t>3./1</t>
  </si>
  <si>
    <t>3./2</t>
  </si>
  <si>
    <t>Út-járda parkoló beruházások</t>
  </si>
  <si>
    <t>4./1</t>
  </si>
  <si>
    <t>4./2</t>
  </si>
  <si>
    <t>4./3</t>
  </si>
  <si>
    <t>4./4</t>
  </si>
  <si>
    <t>4./5</t>
  </si>
  <si>
    <t>4./6</t>
  </si>
  <si>
    <t>4./7</t>
  </si>
  <si>
    <t>4./8</t>
  </si>
  <si>
    <t>4./9</t>
  </si>
  <si>
    <t>4./10</t>
  </si>
  <si>
    <t>4./11</t>
  </si>
  <si>
    <t>4./12</t>
  </si>
  <si>
    <t>4./13</t>
  </si>
  <si>
    <t>4./14</t>
  </si>
  <si>
    <t>4./15</t>
  </si>
  <si>
    <t>5./1</t>
  </si>
  <si>
    <t>5./2</t>
  </si>
  <si>
    <t>5./3</t>
  </si>
  <si>
    <t>5./4</t>
  </si>
  <si>
    <t>4.a/10</t>
  </si>
  <si>
    <t>3./3</t>
  </si>
  <si>
    <t xml:space="preserve">Céltartalék </t>
  </si>
  <si>
    <t>6./1</t>
  </si>
  <si>
    <t>6./2</t>
  </si>
  <si>
    <t>6./3</t>
  </si>
  <si>
    <t>7.</t>
  </si>
  <si>
    <t>8.</t>
  </si>
  <si>
    <t>Köztemető</t>
  </si>
  <si>
    <t>9.</t>
  </si>
  <si>
    <t>Egyéb feladatok</t>
  </si>
  <si>
    <t>9./1</t>
  </si>
  <si>
    <t>9./2</t>
  </si>
  <si>
    <t>9./3</t>
  </si>
  <si>
    <t>9./4</t>
  </si>
  <si>
    <t>Megnevezés</t>
  </si>
  <si>
    <t>Cím              szám</t>
  </si>
  <si>
    <t>Alcím                    szám</t>
  </si>
  <si>
    <t>Int. műk. bev.</t>
  </si>
  <si>
    <t>Felhalmozás és tőkejell.</t>
  </si>
  <si>
    <t>Önkorm. ktgvet. tám.</t>
  </si>
  <si>
    <t>Tb. alapból</t>
  </si>
  <si>
    <t>Műk.               célra</t>
  </si>
  <si>
    <t>Felhalm célra</t>
  </si>
  <si>
    <t>Hitelek ért. papírok kölcsönök</t>
  </si>
  <si>
    <t>Pénzforg. nélküli</t>
  </si>
  <si>
    <t>Összesen</t>
  </si>
  <si>
    <t>Polgármesteri Hivatal</t>
  </si>
  <si>
    <t>Városüzemelési feladatok</t>
  </si>
  <si>
    <t>Vagyonkezelési feladatok</t>
  </si>
  <si>
    <t>Pénzügyi lebonyolítás</t>
  </si>
  <si>
    <t>Pénzügyi lebonyolítás összesen:</t>
  </si>
  <si>
    <t>Cím szám</t>
  </si>
  <si>
    <t>Alcím szám</t>
  </si>
  <si>
    <t>Működési célra</t>
  </si>
  <si>
    <t>Ellátottak pénzbeni juttatásai</t>
  </si>
  <si>
    <t>Felújítási kiadások</t>
  </si>
  <si>
    <t>Pénzforga- lom nélküli kiadások</t>
  </si>
  <si>
    <t>Fejlesztési kiadások</t>
  </si>
  <si>
    <t>Ságodi óvoda kerítés javítása</t>
  </si>
  <si>
    <t xml:space="preserve">Páterdombi utca részleges felújítása </t>
  </si>
  <si>
    <t>Balesetveszélyes tereplépcsők, járdák felújítása</t>
  </si>
  <si>
    <t>Belvárosi járdák felújítása</t>
  </si>
  <si>
    <t>Göcseji Pataki u. páros oldal parkoló aszfaltozása</t>
  </si>
  <si>
    <t>Köztársaság 74-80. D-i oldali lépcsők felújítása</t>
  </si>
  <si>
    <t>Hegyalja u. 11-13. parkoló burkolatfelújítás, Hegyalja 9-11. között betonlapos gyalogjárda felújítás</t>
  </si>
  <si>
    <t>6.) Hitel felvétel</t>
  </si>
  <si>
    <t>7.) Előző évek pénzmaradványa</t>
  </si>
  <si>
    <t>Posta út melletti telephelyek  szennyvízelvezetése</t>
  </si>
  <si>
    <t>Felújítási kiadások:</t>
  </si>
  <si>
    <t>Fejlesztési kiadások:</t>
  </si>
  <si>
    <t>saját</t>
  </si>
  <si>
    <t>átvett pe.</t>
  </si>
  <si>
    <t>Támogatásértékű bevétel</t>
  </si>
  <si>
    <t>Szennyvízberuházások és csapadékcsatornák</t>
  </si>
  <si>
    <t>Napsugár úti Bölcsőde kazánházi rekonstrukció</t>
  </si>
  <si>
    <t>Ellátottak juttatásai</t>
  </si>
  <si>
    <t>pm</t>
  </si>
  <si>
    <t>4.a./13</t>
  </si>
  <si>
    <t>Járdafelújítások Zalabesenyőben</t>
  </si>
  <si>
    <t xml:space="preserve"> Lakásvásárlás és -építés támogatásból "Bébi kedvezmény"</t>
  </si>
  <si>
    <t>9./5.</t>
  </si>
  <si>
    <t xml:space="preserve"> Ságod géptelep kisfeszültségű légvezeték hálózat felújítása</t>
  </si>
  <si>
    <t>6./1.</t>
  </si>
  <si>
    <t>9./1.</t>
  </si>
  <si>
    <t>Aquaparkban felújítási munkák</t>
  </si>
  <si>
    <t>9.a/1.</t>
  </si>
  <si>
    <t>Helyi építészeti értékek védelme</t>
  </si>
  <si>
    <t>Kossuth L.u. 45-49. tetőszigetelés</t>
  </si>
  <si>
    <t>Felhalmozási célú céltartalék</t>
  </si>
  <si>
    <t>20.</t>
  </si>
  <si>
    <t>Teke Világbajnokságra mobil lelátó beszerzésére pénzeszköz átadás Egerszeg Sport és Turizmus Kft. részére</t>
  </si>
  <si>
    <t xml:space="preserve">21. </t>
  </si>
  <si>
    <t>Ságodi óvoda tornaterem központi fűtés kialakítása</t>
  </si>
  <si>
    <t>3.a/1.</t>
  </si>
  <si>
    <t>Botfa köztéri világítás korszerűsítés</t>
  </si>
  <si>
    <t>4./9.</t>
  </si>
  <si>
    <t>Aranyeső u. útépítés</t>
  </si>
  <si>
    <t>5./5.</t>
  </si>
  <si>
    <t>Ola utca U alakú tömbház közterületi udvarára focikapu telepítése</t>
  </si>
  <si>
    <t>9./8.</t>
  </si>
  <si>
    <t>Közfoglalkoztatás anyag- és eszközigény biztosítása</t>
  </si>
  <si>
    <t>6./20.</t>
  </si>
  <si>
    <t xml:space="preserve"> - "Zalaegerszeg elővárosi közlekedési rendszereinek fejlesztése"  projekt KÖZOP-5.5.0-09-11-2012-0016 </t>
  </si>
  <si>
    <t>6./21.</t>
  </si>
  <si>
    <t xml:space="preserve"> - "Zalaegerszeg intermodális közösségi közlekedési csomópont létesítése" projekt KÖZOP-5.5.0-09-11-2012-0019 </t>
  </si>
  <si>
    <t>882118 Kiegészítő gyemekvédelmi támogatás</t>
  </si>
  <si>
    <t>421100 Út, autópálya építés</t>
  </si>
  <si>
    <t>841403 Város-, községgazdálkodási m.n.s.szolgáltatások</t>
  </si>
  <si>
    <t xml:space="preserve"> - Deák F. Megyei és Városi Könyvtár részére ált. forgalmi adó részbeni megelőlegezése</t>
  </si>
  <si>
    <t>841325 Építésügy,területpolitika területi igazgatása és szabályozása</t>
  </si>
  <si>
    <t>841126  Önkorm.és társulása által végreh. igazgatási  tevékenysége</t>
  </si>
  <si>
    <t xml:space="preserve"> - központi támogatások</t>
  </si>
  <si>
    <t>882111 Rendszeres szociális segély</t>
  </si>
  <si>
    <t xml:space="preserve"> - foglalkoztatást helyettesítő támogatás</t>
  </si>
  <si>
    <t>882113 Lakásfenntartási támogatás normatív alapon</t>
  </si>
  <si>
    <t xml:space="preserve">882123 Temetési segély </t>
  </si>
  <si>
    <t>882124 Rendkívüli gyermekvédelmi támogatás</t>
  </si>
  <si>
    <t xml:space="preserve">882201 Adósságkezelési szolgáltatás </t>
  </si>
  <si>
    <t>890301 Civil szervezetek működési támogatása</t>
  </si>
  <si>
    <t>841126  Önkorm.és társulása által végreh. igazgatási  tev.</t>
  </si>
  <si>
    <t xml:space="preserve"> - Egerszegkártya</t>
  </si>
  <si>
    <t>856099 Egyéb oktatást kiegészítő tevékenység</t>
  </si>
  <si>
    <t>900400 Kulturális műsorok,rendezvények, kiállítások szervezése</t>
  </si>
  <si>
    <t>Űrhajós utcai Székhelyóvoda 3 db gyermekmosdó felújítása</t>
  </si>
  <si>
    <t>931201 Versenysport-tevékenység és támogatása</t>
  </si>
  <si>
    <t xml:space="preserve"> - ZTE KK. Kft. támogatás és átvállalt hitel és kamata</t>
  </si>
  <si>
    <t>931102 Sportlétesítmények működtetése és fejlesztése</t>
  </si>
  <si>
    <t xml:space="preserve"> - Teke világbajnokság rendezvénye</t>
  </si>
  <si>
    <t>Zöldterület kezelés</t>
  </si>
  <si>
    <t>841154 Önk-i vagyonnal való gazdálkodáshoz kapcs. fa.</t>
  </si>
  <si>
    <t xml:space="preserve"> - helyi utak, hidak fenntartása</t>
  </si>
  <si>
    <t>kgy,pm</t>
  </si>
  <si>
    <t>841403 Város-,községgazdálkodási m.n.s. szolgáltatások</t>
  </si>
  <si>
    <t>Városépítészeti feladatok működési kiadásai:</t>
  </si>
  <si>
    <t xml:space="preserve"> - ÁFA befizetés</t>
  </si>
  <si>
    <t>841403 Város-, községgazdálkodási m.n.s. szolgáltatások</t>
  </si>
  <si>
    <t xml:space="preserve"> - Polgármesteri keret</t>
  </si>
  <si>
    <t xml:space="preserve"> - Településrészi Önkormányzatok</t>
  </si>
  <si>
    <t>841335 Foglalkoztatást elősegítő támogatások</t>
  </si>
  <si>
    <t>Szociális rászorultság alapján és egyéb biztosítandó támogatások  a költségvetési szerveknél</t>
  </si>
  <si>
    <t>Ady E. Iskola udvar balesetveszélyes fedlapok, burkolat helyreállítás</t>
  </si>
  <si>
    <t>13.</t>
  </si>
  <si>
    <t>Magánerős szennyvízcsatorna bekötések</t>
  </si>
  <si>
    <t>Ivóvíz beruházások</t>
  </si>
  <si>
    <t xml:space="preserve">Közvilágítás fejlesztése </t>
  </si>
  <si>
    <t>Információs táblák pótlása, kihelyezése</t>
  </si>
  <si>
    <t>Meglévő gyalogos átkelőhelyek megvilágításának biztosítása</t>
  </si>
  <si>
    <t>Forgalom biztonsági berendezések építése</t>
  </si>
  <si>
    <t>Városi járdakapcsolatok akadálymentesítése</t>
  </si>
  <si>
    <t>Vizslaparki utca "kinyitása" a Platán sorra</t>
  </si>
  <si>
    <t>Ciklámen u.12.sz. előtt parkoló kialakítása</t>
  </si>
  <si>
    <t>Csácsi-hegy útkialakítás 20296 hrsz.</t>
  </si>
  <si>
    <t xml:space="preserve"> - DO rendezvények lebonyolítása</t>
  </si>
  <si>
    <t>Páterdombi LSC sportpálya igényénak megoldása</t>
  </si>
  <si>
    <t xml:space="preserve">1. </t>
  </si>
  <si>
    <t>Zalaegerszeg Megyei Jogú Város Polgármesteri Hivatala</t>
  </si>
  <si>
    <t xml:space="preserve">2. </t>
  </si>
  <si>
    <t>Zalaegerszegi Gazdasági Ellátó Szervezet</t>
  </si>
  <si>
    <t>Fogyasztási helyek:</t>
  </si>
  <si>
    <t xml:space="preserve"> Zalaegerszegi Ady Endre Általános Iskola, Gimnázium és Alapfokú Művészeti Iskola  (Kisfaludy u. 2.)</t>
  </si>
  <si>
    <t xml:space="preserve"> Zalaegerszegi Belvárosi Magyar-Angol Két Tanítási Nyelvű Általános Iskola  Dózsa György Tagiskolája (Kis u. 6)</t>
  </si>
  <si>
    <t xml:space="preserve"> Zalaegerszegi Kertvárosi Általános Iskola (Köztársaság u. 68.)</t>
  </si>
  <si>
    <t xml:space="preserve"> Zalaegerszegi Kertvárosi Általános Iskola Liszt Ferenc Tagiskolája (Varkaus tér)</t>
  </si>
  <si>
    <t xml:space="preserve"> Landorhegyi Sportiskolai Általános Iskola (Landorhegyi u. 12.)</t>
  </si>
  <si>
    <t xml:space="preserve"> Béke ligeti Általános Iskola, Speciális Szakiskola és Egységes Gyógypedagógiai Módszertani Intézmény  Béke liget 6. (csak villamos energia)</t>
  </si>
  <si>
    <t xml:space="preserve"> Zalaegerszegi Kölcsey Ferenc Gimnázium (Rákóczi u. 49-53.)</t>
  </si>
  <si>
    <t xml:space="preserve"> Zalaegerszegi Zrínyi Miklós Gimnázium (Rákóczi u. 30.)</t>
  </si>
  <si>
    <t xml:space="preserve"> Zalaegerszegi Városi Középiskolai Kollégium (Göcseji u. 16.)</t>
  </si>
  <si>
    <t xml:space="preserve"> Zalaegerszegi Városi Középiskolai Kollégium Kovács Károly Tagkollégiuma (Puskás T. u. 1-3.)</t>
  </si>
  <si>
    <t xml:space="preserve"> Zalaegerszegi Városi Középiskolai Kollégium Kaffka Margit Tagkollégiuma (Puskás T. u.2.)</t>
  </si>
  <si>
    <t>Zalaegerszegi Városrészek Művelődési Központja és Könyvtára</t>
  </si>
  <si>
    <t xml:space="preserve">  - Apáczai Csere János tér 5</t>
  </si>
  <si>
    <r>
      <t xml:space="preserve">Zalaegerszegi Családsegítő Szolgálat és Gyermekjóléti Központ </t>
    </r>
    <r>
      <rPr>
        <sz val="11"/>
        <rFont val="Times New Roman"/>
        <family val="1"/>
      </rPr>
      <t>(csak villamos energia)</t>
    </r>
  </si>
  <si>
    <r>
      <t xml:space="preserve">Zalaegerszegi Gondozási Központ </t>
    </r>
    <r>
      <rPr>
        <sz val="11"/>
        <rFont val="Times New Roman"/>
        <family val="1"/>
      </rPr>
      <t>(a megjelölt fogyasztási hely kivételével csak villamos energia)</t>
    </r>
  </si>
  <si>
    <r>
      <t xml:space="preserve">Keresztury Dezső VMK  </t>
    </r>
    <r>
      <rPr>
        <sz val="11"/>
        <rFont val="Times New Roman"/>
        <family val="1"/>
      </rPr>
      <t xml:space="preserve"> </t>
    </r>
  </si>
  <si>
    <r>
      <t xml:space="preserve">Városi Sportlétesítmény Gondnokság Intézménye </t>
    </r>
    <r>
      <rPr>
        <sz val="11"/>
        <rFont val="Times New Roman"/>
        <family val="1"/>
      </rPr>
      <t>(csak villamos energia beszerzés)</t>
    </r>
  </si>
  <si>
    <t xml:space="preserve"> Pálóczi Horváth Ádám Alapfokú Művészeti Iskola Köztársaság u. 2/A. (csak villamos energia)</t>
  </si>
  <si>
    <t xml:space="preserve"> Zalaegerszegi Belvárosi Magyar-Angol Két Tanítási Nyelvű Általános Iskola (Kosztolányi u. 17-21)</t>
  </si>
  <si>
    <t>Zalaegerszegi Belvárosi II. sz. Óvoda  Radnóti utcai Székhelyóvoda (gáz és villamos energia)</t>
  </si>
  <si>
    <t>- Göcsej Falumúzeum és Finnugor Néprajzi Park Falumúzeum u. 18.(csak villamos energia)</t>
  </si>
  <si>
    <t xml:space="preserve">  - Zalaegerszeg, Iskola u. 1.</t>
  </si>
  <si>
    <t xml:space="preserve">  - Szivárvány tér 1-3.</t>
  </si>
  <si>
    <t xml:space="preserve">      Zalaegerszegi Tipegő Bölcsőde (csak villamos energia beszerzés)</t>
  </si>
  <si>
    <t xml:space="preserve">      Zalaegerszegi Napsugár Bölcsőde (csak villamos energia beszerzés)</t>
  </si>
  <si>
    <t xml:space="preserve">      Zalaegerszegi Cseperedő Bölcsőde (csak villamos energia beszerzés)</t>
  </si>
  <si>
    <t xml:space="preserve">      Zalaegerszegi Űrhajós Bölcsőde</t>
  </si>
  <si>
    <t xml:space="preserve">     Kossuth L. u. 58-60.</t>
  </si>
  <si>
    <t xml:space="preserve">     II. sz. Idősek Klubja, Kosztolányi u. 23.</t>
  </si>
  <si>
    <t xml:space="preserve">     III. sz. Idősek Klubja, Platán sor 4.</t>
  </si>
  <si>
    <t xml:space="preserve">     IV. sz. Idősek Klubja, Andráshida u. 5.</t>
  </si>
  <si>
    <t xml:space="preserve">     Idősek Gondozóháza, Landorhegyi u. 13/a.</t>
  </si>
  <si>
    <t xml:space="preserve">     Idősek Otthona, Gasparich u. 3. (gáz és villamos energia)</t>
  </si>
  <si>
    <t xml:space="preserve">Zalaegerszegi Belvárosi I. sz.  Óvoda </t>
  </si>
  <si>
    <t>Zalaegerszegi Belvárosi I. sz.  Óvoda Mikes K. utcai Tagóvodája (csak villamos energia)</t>
  </si>
  <si>
    <t>Zalaegerszegi Balvárosi I. sz. Óvoda  Ságodi Telephelye (csak villamos energia)</t>
  </si>
  <si>
    <t>Zalaegerszegi Belvárosi I. sz. Óvoda Kis utcai Székhelye  (gáz és villamos energia)</t>
  </si>
  <si>
    <t>Zalaegerszegi Belvárosi I. sz. Óvoda Szivárvány téri Tagóvodája (csak villamos energia)</t>
  </si>
  <si>
    <t xml:space="preserve">Zalaegerszegi Belvárosi II. sz. Óvoda </t>
  </si>
  <si>
    <t>Zalaegerszegi Belvárosi II. sz. Óvoda  Petőfi utcai Tagóvodája (gáz és villamos energia)</t>
  </si>
  <si>
    <t>Zalaegerszegi Belvárosi II. sz. Óvoda  Kosztolányi D. téri Tagóvodája (csak villamos energia)</t>
  </si>
  <si>
    <t>Zalaegerszegi Belvárosi II. sz. Óvoda  Szent László úti Tagóvodája (csak villamos energia)</t>
  </si>
  <si>
    <t>Zalaegerszegi  Kertvárosi  Óvoda</t>
  </si>
  <si>
    <t>Zalaegerszegi Kertvárosi Óvoda Csillag közi  Székhelyóvoda (csak villamos energia)</t>
  </si>
  <si>
    <t>Zalaegerszegi Kertvárosi Óvoda  Napsugár utcai Tagóvodája (csak villamos energia)</t>
  </si>
  <si>
    <t>Zalaegerszegi Kertvárosi Óvoda  Andráshidai Tagóvodája (csak villamos energia)</t>
  </si>
  <si>
    <t>Zalaegerszegi Landorhegyi Óvoda</t>
  </si>
  <si>
    <t>Zalaegerszegi Landorhegyi Óvoda  Űrhajós utcai Székhelyóvoda (csak villamos energia)</t>
  </si>
  <si>
    <t>Zalaegerszegi Landorhegyi Óvoda  Kodály Zoltán utcai Tagóvodája (csak villamos energia)</t>
  </si>
  <si>
    <t>Zalaegerszegi Landorhegyi Óvoda  Bazitai Telephelye (csak villamos energia)</t>
  </si>
  <si>
    <t>Zalaegerszegi Landorhegyi Óvoda  Landorhegyi útcai Tagóvodája (csak villamos energia)</t>
  </si>
  <si>
    <t xml:space="preserve">    Városi Hangverseny- és Kiállítóterem (csak villamos energia)</t>
  </si>
  <si>
    <t xml:space="preserve">     Kézműves Ház (Gébárt) (csak villamos energia)</t>
  </si>
  <si>
    <t xml:space="preserve">     Családi Intézet (csak villamos energia)</t>
  </si>
  <si>
    <t xml:space="preserve">Hevesi Sándor Színház  </t>
  </si>
  <si>
    <t>- Deák Ferenc Megyei és Városi Könyvtár Deák Ferenc tér 6. (gáz és villamos energia)</t>
  </si>
  <si>
    <t xml:space="preserve">- Keresztury Ház Bartók Béla u. 60.(csak villamos energia) </t>
  </si>
  <si>
    <t>- Göcsej Múzeum Batthyány u. 2. (gáz és villamos energia)</t>
  </si>
  <si>
    <t>- Vendégszoba Várkör 3. (csak villamos energia)</t>
  </si>
  <si>
    <t>Vorhotán parkosítás, aszfaltos pálya környezetének rendbetétele</t>
  </si>
  <si>
    <t>Berzsenyi-Stadion utcai tömbbelsőben sétány építése, játszótéri kerítés folytatása, zöldfelület rendezés</t>
  </si>
  <si>
    <t>Parkosítás, zöldfelület rendezés, játszótérbővítés Csácsban</t>
  </si>
  <si>
    <t>5.a./1</t>
  </si>
  <si>
    <t>5.a./2</t>
  </si>
  <si>
    <t>5.a./3</t>
  </si>
  <si>
    <t>8./1</t>
  </si>
  <si>
    <t>8./2</t>
  </si>
  <si>
    <t>Beszerzésekhez szükséges egyszerű műszaki tervdokumentációk elkészítése, műszaki ellenőrzések és egyéb hatósági díjak</t>
  </si>
  <si>
    <t>9./5</t>
  </si>
  <si>
    <t>9./6</t>
  </si>
  <si>
    <t>9./7</t>
  </si>
  <si>
    <t>Budai völgyi u. szennyvízelvezetés</t>
  </si>
  <si>
    <t>Alkotmány u. 6 körüli csapadékvíz-elvezetés</t>
  </si>
  <si>
    <t xml:space="preserve"> - intézmények támogatása, rendezvényeik finanszírozása</t>
  </si>
  <si>
    <t>ebből:  - Zalaegerszegi Egyesített Bölcsődék</t>
  </si>
  <si>
    <t xml:space="preserve"> - díszokleveles pedagógusok ünnepsége és jutalmazása</t>
  </si>
  <si>
    <t>890509 Egyéb m.n.s.közösségi, társadalmi tevékenység tám.</t>
  </si>
  <si>
    <t xml:space="preserve"> - Idősügyi Tanács működtetése</t>
  </si>
  <si>
    <t xml:space="preserve">24. </t>
  </si>
  <si>
    <t xml:space="preserve">25. </t>
  </si>
  <si>
    <t>Andráshidai LSC sportfejlesztési program támogatása</t>
  </si>
  <si>
    <t xml:space="preserve"> - folyószámla kamata</t>
  </si>
  <si>
    <t>Csapadékvíz elvezetések, vízrendezések tervezése</t>
  </si>
  <si>
    <t>Göcseji u. kerékpárút melletti csapadékcsatorna rekonstrukció(Göcseji u.15-Platán sorig)</t>
  </si>
  <si>
    <t xml:space="preserve">Vorhotán Újhegyi u. járdaépítés és kapcsolódó árok zárttá tétele </t>
  </si>
  <si>
    <t>2./3</t>
  </si>
  <si>
    <t>Csácsi hegy nyomásövezetek összekötése</t>
  </si>
  <si>
    <t xml:space="preserve">Olajmunkás u. útfelújítás </t>
  </si>
  <si>
    <t xml:space="preserve">Kossuth u. forgalommentesítés előkészítése, továbbtervezés </t>
  </si>
  <si>
    <t>Sas u. - Jánkahegy útcsatlakozás kiépítése</t>
  </si>
  <si>
    <t xml:space="preserve"> - Prémium évek program</t>
  </si>
  <si>
    <t xml:space="preserve"> - létszámcsökkentéshez kapcsolódó egyszeri kiadások támogatása</t>
  </si>
  <si>
    <t>2013. évi  eredeti előirányzat</t>
  </si>
  <si>
    <t>Módosítás      összege</t>
  </si>
  <si>
    <t>2013. évi  módosított előirányzat</t>
  </si>
  <si>
    <t>2013. évi eredeti előirányzat</t>
  </si>
  <si>
    <t xml:space="preserve">Módosítás összege </t>
  </si>
  <si>
    <t>2013. évi módosított előirányzat</t>
  </si>
  <si>
    <t>2. Közhatalmi bevételek</t>
  </si>
  <si>
    <t xml:space="preserve"> Kapott támogatások</t>
  </si>
  <si>
    <t xml:space="preserve">   1.1 Helyi önkormányzatok általános működésének és ágazati feladatainak támogatása</t>
  </si>
  <si>
    <t xml:space="preserve"> Felhalmozási bevételek</t>
  </si>
  <si>
    <t>FELHALMOZÁSI BEVÉTELEK ÖSSZESEN:</t>
  </si>
  <si>
    <t>2013. évi bevétel eredeti ei.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</si>
  <si>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</si>
  <si>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</si>
  <si>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</si>
  <si>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</si>
  <si>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</si>
  <si>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</si>
  <si>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</si>
  <si>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beszámítás összege</t>
  </si>
  <si>
    <t>d) egyéb kötelező önkormányzati feladatok támogatása</t>
  </si>
  <si>
    <t>II. Települési önkormányzatok egyes köznevelési feladatainak támogatása</t>
  </si>
  <si>
    <t>1. Óvodapedagógusok és az óvodapedagógusok nevelő munkáját közvetlenül segítők bértámogatása</t>
  </si>
  <si>
    <t xml:space="preserve">  - óvodapedagógusok átlagbérének és közterheinek elismert összege</t>
  </si>
  <si>
    <t xml:space="preserve"> - óvodapedagógusok nevelő munkáját közvetlenük segítők átlagbérének és közterheinek elismert összege</t>
  </si>
  <si>
    <t>2. Óvodaműködtetési támogatás</t>
  </si>
  <si>
    <t>3. Ingyenes és kedvezményes gyermek étkeztetés</t>
  </si>
  <si>
    <t xml:space="preserve">   -  bölcsődében ingyenes</t>
  </si>
  <si>
    <t xml:space="preserve">   - óvodában ingyenes</t>
  </si>
  <si>
    <t>1./8</t>
  </si>
  <si>
    <t>Térítésmentes közmű átadás</t>
  </si>
  <si>
    <t>LÉSZ Kft. bérlemény üzemeltetés</t>
  </si>
  <si>
    <t>1./6</t>
  </si>
  <si>
    <t>1./7</t>
  </si>
  <si>
    <t>Csácsi u. 1/a. előtti csapadékvízelvezetés</t>
  </si>
  <si>
    <t>Bozsoki utca melletti csapadékvíz  elvezetése</t>
  </si>
  <si>
    <t xml:space="preserve">   - óvodában kedvezményes</t>
  </si>
  <si>
    <t xml:space="preserve">   - iskolában ingyenes</t>
  </si>
  <si>
    <t xml:space="preserve">   - iskolában kedvezményes</t>
  </si>
  <si>
    <t>III. Települési önkormányzatok szociális és gyermekjóléti feladatainak támogatása</t>
  </si>
  <si>
    <t>1. Egyes jövedelempótló támogatások (évközi igénylés alapján)</t>
  </si>
  <si>
    <t>2. Hozzájárulás a pénzbeli szociális ellátásokhoz ( egyösszegű)</t>
  </si>
  <si>
    <t>1000-25000</t>
  </si>
  <si>
    <t>3. Egyes szociális és gyermekjóléti feladatok támogatása</t>
  </si>
  <si>
    <t xml:space="preserve">     3.ae) (1) kiegészítő tám. Társult formában történő ellátás esetén családsegítés</t>
  </si>
  <si>
    <t xml:space="preserve">     3.ae) (2) kiegészítő tám. Társult formában történő ellátás esetén gyermekjóléti szolgálat</t>
  </si>
  <si>
    <t xml:space="preserve">  a) Szociális és gyermekjóléti alapszolgáltatások általános feladatai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</si>
  <si>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</si>
  <si>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</si>
  <si>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</si>
  <si>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</si>
  <si>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 xml:space="preserve">   g) Fogyatékos és demens személyek nappali intézményi ellátása</t>
  </si>
  <si>
    <t>3./5</t>
  </si>
  <si>
    <t>3./6</t>
  </si>
  <si>
    <t>3./7</t>
  </si>
  <si>
    <t>3./8</t>
  </si>
  <si>
    <t xml:space="preserve">   h)  Pszichiátriai és szenvedélybetegek nappali intézményi ellátása</t>
  </si>
  <si>
    <t xml:space="preserve">  j) Gyermekek napközbeni ellátása</t>
  </si>
  <si>
    <t xml:space="preserve">  ja) Bölcsődei ellátás</t>
  </si>
  <si>
    <t xml:space="preserve">      Bölcsödei ellátás fogyatékos gyermek</t>
  </si>
  <si>
    <t xml:space="preserve"> l) Gyermekek átmeneti intézményei ( helyettes szülői ellátás)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</si>
  <si>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</si>
  <si>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</si>
  <si>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</si>
  <si>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</si>
  <si>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1.a) megyei hatókörű városi múzeumok feldataiank támogatása ( Göcseji Múzeum)</t>
  </si>
  <si>
    <t>680002 Nem lakóingatlan bérbeadása, üzem.</t>
  </si>
  <si>
    <t xml:space="preserve"> - egyéb ingatlanhasznosítás (nem lakáscélú helyiségek)</t>
  </si>
  <si>
    <t xml:space="preserve"> -Áfa visszaigénylés</t>
  </si>
  <si>
    <t xml:space="preserve"> - fordított áfa</t>
  </si>
  <si>
    <t>21.</t>
  </si>
  <si>
    <t>Göcseji Múzeum részére pályázati önrészhez pe. átadás</t>
  </si>
  <si>
    <t>Sportcsarnokban TAO-s pályázaton kívüli felújítások</t>
  </si>
  <si>
    <t xml:space="preserve"> - közfoglalkoztatás anyag- és eszközigény biztosítása</t>
  </si>
  <si>
    <t>Vis maior pályázat árvízvédelem és partfalomlás helyreállítás</t>
  </si>
  <si>
    <t xml:space="preserve">1.b) megyei hatáskörű könyvtárak feladatainak támogatása ( (Deák Ferenc Megyei    Könyvtár és a  városi könyvtár) </t>
  </si>
  <si>
    <t>1.c) megyei jogú városok közművelődési támogatása</t>
  </si>
  <si>
    <t>1.h) megyei hatókörű könyvtár kistelepülési könyvtári és közművelődési célú kieg. Támogatása ( év közben pályázat)</t>
  </si>
  <si>
    <t>2. Települési önk.által fenntartott előadó-művészeti szervezetek támogatása</t>
  </si>
  <si>
    <t>2.a) színházművészeti szervezetek támogatása</t>
  </si>
  <si>
    <t xml:space="preserve">       Hevesi Sándor Színház és Griff Bábszínház állami támogatása</t>
  </si>
  <si>
    <t>Központosított előirányzatok</t>
  </si>
  <si>
    <t>1. Üdülőhelyi feladatok</t>
  </si>
  <si>
    <t>2. Lakott külterülettel kapcsolatos feladatok</t>
  </si>
  <si>
    <t>Állami hozzájárulás összesen:</t>
  </si>
  <si>
    <t>Módosítás összege</t>
  </si>
  <si>
    <t>Működési költségvetés</t>
  </si>
  <si>
    <t>Személyi juttatások</t>
  </si>
  <si>
    <t>Munkaadókat terhelő járulékok és szociális hj. adó</t>
  </si>
  <si>
    <t xml:space="preserve">Dologi kiadások </t>
  </si>
  <si>
    <t>Egyéb működési célú kiadások</t>
  </si>
  <si>
    <t>Működési költségvetés összesen:</t>
  </si>
  <si>
    <t>Felhalmozási költségvetés</t>
  </si>
  <si>
    <t>Beruházások</t>
  </si>
  <si>
    <t>Felújítások</t>
  </si>
  <si>
    <t>Egyéb felhalmozási kiadások</t>
  </si>
  <si>
    <t>Felhalmozási költségvetés összesen:</t>
  </si>
  <si>
    <t>Hitelek  és kölcsönök kiadása</t>
  </si>
  <si>
    <t>Hitelek visszafizetése</t>
  </si>
  <si>
    <t>Kölcsönök nyújtása</t>
  </si>
  <si>
    <t>Hitelek  és kölcsönök kiadása összesen:</t>
  </si>
  <si>
    <t>IV.</t>
  </si>
  <si>
    <t>Pénzforgalom nélküli kiadások (tartalékok)</t>
  </si>
  <si>
    <t>Önkormányzat kiadásai összesen</t>
  </si>
  <si>
    <t>Zalaegerszegi GESZ</t>
  </si>
  <si>
    <t>Petőfi S.Iskola mögötti tömbbelsőben parkolóépítés</t>
  </si>
  <si>
    <t>Zalaegerszeg szennyvíz-elvezetés és tisztítás fejlesztése</t>
  </si>
  <si>
    <t>Mező u. lakótelkek infrastrukturális fejlesztése</t>
  </si>
  <si>
    <t xml:space="preserve"> Bazita városrész templom szigetelés</t>
  </si>
  <si>
    <t>Önk-i tulajdonú lakások iparosított tehnológiájú felújításhoz pe. átadás LÉSZ Kft. részére (Lakásalapból)</t>
  </si>
  <si>
    <t xml:space="preserve"> Andráshidai templom felújításához pénzeszköz átadás </t>
  </si>
  <si>
    <t>8./5.</t>
  </si>
  <si>
    <t>Ebergényi temetőben térkő burkolatú járda kialakítása</t>
  </si>
  <si>
    <t>Közvilágítás energiatakarékos átalakítása Zalaegerszegen I. ütem KEOP-5.5.0/A/12-2013-0191</t>
  </si>
  <si>
    <t>Közvilágítás energiatakarékos átalakítása Zalaegerszegen II. ütem KEOP-5.5.0/A/12-2013-0182</t>
  </si>
  <si>
    <t>6./26.</t>
  </si>
  <si>
    <t>Szociális városrehabilitáció Zalaegerszegen NYDOP-3.1.1/B2-13-k2-2013-0001</t>
  </si>
  <si>
    <t>Településrészi Önkormányzatok keretéből felhalmozási célú pe. átadás</t>
  </si>
  <si>
    <t>882116 Ápolási díj méltányossági alapon</t>
  </si>
  <si>
    <t>882117 Rendszeres gyermekvédelmi pénzbeli ellátások</t>
  </si>
  <si>
    <t xml:space="preserve"> - rendszeres gyermekvédelmi segély</t>
  </si>
  <si>
    <t>882119 Óvodáztatási támogatás</t>
  </si>
  <si>
    <t>882122 Átmeneti  segély</t>
  </si>
  <si>
    <t>822202 Közgyógyellátás</t>
  </si>
  <si>
    <t xml:space="preserve"> - méltányossági közgyógyellátás</t>
  </si>
  <si>
    <t>842531 Polgári védelem ágazati feladatai</t>
  </si>
  <si>
    <t xml:space="preserve"> - helyi védelmi igazgatás</t>
  </si>
  <si>
    <t>889108 Gyermekek egyéb napközbeni ellátása</t>
  </si>
  <si>
    <t xml:space="preserve"> - nyári étkeztetés</t>
  </si>
  <si>
    <t xml:space="preserve"> - felsőoktatási ösztöndíj</t>
  </si>
  <si>
    <t xml:space="preserve"> - szakképzési  ösztöndíj</t>
  </si>
  <si>
    <t>890216 Önkorm-i ifjúsági kezdeményezések és programok, valamint támogatásuk</t>
  </si>
  <si>
    <t xml:space="preserve"> - ifjúsági rendezvények</t>
  </si>
  <si>
    <t xml:space="preserve"> - Zalaegerszegi Városi Diákönkormányzat </t>
  </si>
  <si>
    <t xml:space="preserve"> - Zalaegerszegi Gasztro Kulturális Egyesület támogatása fesztivál megrendezése</t>
  </si>
  <si>
    <t xml:space="preserve"> - "Itthon vagy- Magyarország szeretlek" program összesen</t>
  </si>
  <si>
    <t xml:space="preserve"> - 2013. évi közösségi, művészeti pályázatok</t>
  </si>
  <si>
    <t>biz.</t>
  </si>
  <si>
    <t>Kinizsi u. tömbbelsőben játszótér eszközbővítés</t>
  </si>
  <si>
    <t>Zalaegerszegi TV műszaki fejlesztéshez pályázati önrész</t>
  </si>
  <si>
    <t>750000 Állat-egészségügyi ellátás</t>
  </si>
  <si>
    <t xml:space="preserve">  - cserével vegyes ingatlanszerződések</t>
  </si>
  <si>
    <t xml:space="preserve"> - közterületek, önk-i ingatlanok zöldfelület gazdálkodása</t>
  </si>
  <si>
    <t xml:space="preserve"> - Szakképző iskolától átvett gépek, eszközök hasznosítása</t>
  </si>
  <si>
    <t>422100 Folyadék szállítására szolgáló közmű építése</t>
  </si>
  <si>
    <t xml:space="preserve"> - térítésmentes közmű átadás-átvétel elszámolása</t>
  </si>
  <si>
    <t xml:space="preserve"> - Zalaegerszegi Futball Utánpótlás SC támogatása</t>
  </si>
  <si>
    <t xml:space="preserve"> - új számviteli szabályok miatt óvadékok rendezése</t>
  </si>
  <si>
    <t>Új számviteli szabályok miatt óvadékok rendezése</t>
  </si>
  <si>
    <t>869049 Egyéb betegségmegelőzés, népegészségügyi ellátás</t>
  </si>
  <si>
    <t xml:space="preserve"> - Egészséges Városok Mozgalom</t>
  </si>
  <si>
    <t>873021 Fogyatékosággal élők tartós bentlakásos ellátása</t>
  </si>
  <si>
    <t xml:space="preserve"> -Fogyatékos Otthon működtetése</t>
  </si>
  <si>
    <t>873011 Időskorúak tartós bentlakásos szociális ellátása</t>
  </si>
  <si>
    <t xml:space="preserve"> - Idősek Otthona lízingdíj kamata</t>
  </si>
  <si>
    <t xml:space="preserve"> - verseny-és élsport</t>
  </si>
  <si>
    <t>931202 Utánpótlás-nevelés és támogatása</t>
  </si>
  <si>
    <t>931204 Iskolai, diáksport-tevékenység és támogatása</t>
  </si>
  <si>
    <t xml:space="preserve"> - alapfokú versenyek rendezése és  támogatása</t>
  </si>
  <si>
    <t xml:space="preserve"> - DO rendezvények utiköltség támogatás</t>
  </si>
  <si>
    <t>931301 Szabadidősport-tevékenység és támogatása</t>
  </si>
  <si>
    <t xml:space="preserve"> - szabadidősport klubok támogatása</t>
  </si>
  <si>
    <t>931903 Máshova nem sorolható egyéb sporttámogatás</t>
  </si>
  <si>
    <t xml:space="preserve"> - sportfeladatok</t>
  </si>
  <si>
    <t xml:space="preserve"> - Sportcsarnok igénybevétel miatti kiadás</t>
  </si>
  <si>
    <t xml:space="preserve"> - parkfenntartás</t>
  </si>
  <si>
    <t xml:space="preserve"> - erdőfenntartás</t>
  </si>
  <si>
    <t xml:space="preserve"> - játszóterek szabványosítása</t>
  </si>
  <si>
    <t xml:space="preserve"> - Kontakt Kft. graffiti eltávolítás</t>
  </si>
  <si>
    <t xml:space="preserve"> - Erkel F. u.padok telepítése</t>
  </si>
  <si>
    <t xml:space="preserve"> - Zöldterületi Stratégia feladatai</t>
  </si>
  <si>
    <t xml:space="preserve"> - forgalomtechnikai  és közlekedési feladatok</t>
  </si>
  <si>
    <t>360000 Víztermelés, -kezelés, -ellátás</t>
  </si>
  <si>
    <t xml:space="preserve"> - települési vízellátás</t>
  </si>
  <si>
    <t xml:space="preserve"> - egyéb város és községgazd.</t>
  </si>
  <si>
    <t xml:space="preserve"> - Kontakt Kft. rágógumi eltávolítás, speciális szennyeződésmentesítés</t>
  </si>
  <si>
    <t xml:space="preserve"> - VG Kft. köztisztaság szerződéses munkák</t>
  </si>
  <si>
    <t>890301 Civil szervezetek támogatása</t>
  </si>
  <si>
    <t xml:space="preserve"> -   lakossági, civil kezdeményezések támogatása</t>
  </si>
  <si>
    <t>960302 Köztemető-fenntartás és működtetés</t>
  </si>
  <si>
    <t xml:space="preserve"> -köztemető fenntartás és temetői létesítmények  használati díja</t>
  </si>
  <si>
    <t xml:space="preserve"> - közvilágítási hálózat karbantartása</t>
  </si>
  <si>
    <t xml:space="preserve"> - közvilágítási feladatok előkészítő munkái</t>
  </si>
  <si>
    <t xml:space="preserve"> - parkolási közszolgáltatási tevékenység ellátásával kapcsolatos költségek</t>
  </si>
  <si>
    <t>370000 Szennyvíz gyűjtése, tisztítása, elhelyezése</t>
  </si>
  <si>
    <t xml:space="preserve"> -  folyékony hulladék szállítás</t>
  </si>
  <si>
    <t>680001 Lakóingatlan bérbeadása, üzemeltetése</t>
  </si>
  <si>
    <t xml:space="preserve"> - LÉSZ bérlemény üzemeltetés</t>
  </si>
  <si>
    <t xml:space="preserve"> - önk. által kezelt ing.közös ktg.közüz.díj</t>
  </si>
  <si>
    <t xml:space="preserve"> - volt vasúti ingatlanok működési kiadásai</t>
  </si>
  <si>
    <t xml:space="preserve"> - védett épületek területrendezése, telekkönyvi bejegyzése</t>
  </si>
  <si>
    <t xml:space="preserve"> - hatósági, szakhatósági eljárásokkal kapcs.kiadások</t>
  </si>
  <si>
    <t>Lakásalappal kapcsolatos kiadások</t>
  </si>
  <si>
    <t xml:space="preserve"> - bérlakásértékesítéssel kapcsolatos követelésvásárlás</t>
  </si>
  <si>
    <t xml:space="preserve"> - Lakásalap kiadása</t>
  </si>
  <si>
    <t xml:space="preserve"> - forgalmi jutalék, számlavezetési díj</t>
  </si>
  <si>
    <t xml:space="preserve"> - Ágazati felad. postai szolg. és utalvány díja, illeték</t>
  </si>
  <si>
    <t xml:space="preserve"> - Egyéb szervezetek támogatása</t>
  </si>
  <si>
    <t xml:space="preserve"> - szakképző intézmények 2012. december havi kifizetései</t>
  </si>
  <si>
    <t xml:space="preserve"> - Rendezvények, kommunikáció, reprezentáció</t>
  </si>
  <si>
    <t xml:space="preserve"> - Idegenforgalmi feladatok</t>
  </si>
  <si>
    <t xml:space="preserve"> - alpolgármesteri keretek</t>
  </si>
  <si>
    <t xml:space="preserve"> - Vállalkozás fejlesztés és befektetés támogató program</t>
  </si>
  <si>
    <t>Zalaegerszegi állandó lakosú első osztályosok tankönyvtámogatása</t>
  </si>
  <si>
    <t>Fenyő u. korszerűsítés, burkolat szélesítés tervezése</t>
  </si>
  <si>
    <t xml:space="preserve">Körzeti megbízotti iroda céljára ingatlan vásárlás </t>
  </si>
  <si>
    <t>7.a./1</t>
  </si>
  <si>
    <t>"Szennyezés lokalizációja települési szilárd hulladék-lerakók területén " KEOP-7.2.4.0/B/10-2010-0007 (Buslakpuszta)</t>
  </si>
  <si>
    <t>Látványcsapatsport Kosárlabda önrész</t>
  </si>
  <si>
    <t xml:space="preserve"> Felújítási célú pénzeszköz átadás Sportcsarnok részére szezon előtti felkészítésre</t>
  </si>
  <si>
    <t>Domb u.- Csácsi u. gyalogátkelőhely létesítése</t>
  </si>
  <si>
    <t>Kodály úti kispark és sportpálya építése</t>
  </si>
  <si>
    <t>Erdészeti szakirányításkeretében tárgyi eszköz beszerzése</t>
  </si>
  <si>
    <t>Közhatalmi bevételek</t>
  </si>
  <si>
    <t xml:space="preserve"> - helyi önkormányzatok általános működésének és ágazati feladatainak támogatása</t>
  </si>
  <si>
    <t>Közhatalmi bevétel</t>
  </si>
  <si>
    <t>Szociális és igazgatási feladatok</t>
  </si>
  <si>
    <t>Humánigazgatási feladatok</t>
  </si>
  <si>
    <t>Zalaegerszegi Egyesített Bölcsődék</t>
  </si>
  <si>
    <r>
      <t xml:space="preserve">Zalaegerszegi Egészségügyi Alapellátási Intézmény </t>
    </r>
    <r>
      <rPr>
        <sz val="11"/>
        <rFont val="Times New Roman"/>
        <family val="1"/>
      </rPr>
      <t xml:space="preserve"> (csak villamos energia)</t>
    </r>
  </si>
  <si>
    <t xml:space="preserve">     Zalaegerszegi Turisztikai Hivatal és Információs Iroda (csak villamos energia)</t>
  </si>
  <si>
    <r>
      <t xml:space="preserve">ZMJV Vásárcsarnok Gazdálkodási Szervezete </t>
    </r>
    <r>
      <rPr>
        <sz val="11"/>
        <rFont val="Times New Roman"/>
        <family val="1"/>
      </rPr>
      <t>(csak villamos energia beszerzés)</t>
    </r>
  </si>
  <si>
    <t>műk. célú átvett pe.</t>
  </si>
  <si>
    <t>Szakosztályok</t>
  </si>
  <si>
    <t>Szociális és igazgatási feladatok összesen:</t>
  </si>
  <si>
    <t>Humánigazgatási feladatok összesen:</t>
  </si>
  <si>
    <t>Jogi igazgatási feladatok</t>
  </si>
  <si>
    <t>Jogi igazgatási feladatok összesen:</t>
  </si>
  <si>
    <t>Építéshatósági feladatok összesen:</t>
  </si>
  <si>
    <t>Polgármesteri Iroda</t>
  </si>
  <si>
    <t>Polgármesteri Iroda összesen:</t>
  </si>
  <si>
    <t>Munkaadót terhelő járulékok és szociális hj.adó</t>
  </si>
  <si>
    <t>Hitelek, kölcsönök kiadása</t>
  </si>
  <si>
    <t>Önkormányzat összesen költségvetési szervek nélkül</t>
  </si>
  <si>
    <t>Szociális és igazgatási fa. működési kiadás összesen:</t>
  </si>
  <si>
    <t>Szociális és igazgatási fa. kiadásai összesen:</t>
  </si>
  <si>
    <t>Humánigazgatási feladatok működési kiadásai:</t>
  </si>
  <si>
    <t>Városüzemelési feladatok:</t>
  </si>
  <si>
    <t>Városüzemelési működési kiadások összesen:</t>
  </si>
  <si>
    <t>Vagyonkezelési feladatok működési kiadások</t>
  </si>
  <si>
    <t>Jogi és igazgatási feladatok:</t>
  </si>
  <si>
    <t>Jogi és igazgatási feladatok működési kiadási:</t>
  </si>
  <si>
    <t xml:space="preserve"> - ingatlaneladás </t>
  </si>
  <si>
    <t xml:space="preserve"> - községek befizetései közoktatási fa. Ellátásához</t>
  </si>
  <si>
    <t xml:space="preserve"> - OrganP integrált rendszer intézményi  bevezetése </t>
  </si>
  <si>
    <t xml:space="preserve"> - TISZK megszüntetésével kapcsolatos elszámolás</t>
  </si>
  <si>
    <t xml:space="preserve"> - felszámolással kapcsolatos fizetési kötelezettség</t>
  </si>
  <si>
    <t xml:space="preserve"> - kötbér befizetés kerékpárút építéshez kapcsolódóan</t>
  </si>
  <si>
    <t xml:space="preserve"> - Közvilágítás energiatakarékos átalakítása Zalaegerszegen I. ütem KEOP-5.5.0/A/12-2013-0191 pályázati pe.</t>
  </si>
  <si>
    <t xml:space="preserve"> - Közvilágítás energiatakarékos átalakítása Zalaegerszegen II. ütem KEOP-5.5.0/A/12-2013-0182 pályázati pe.</t>
  </si>
  <si>
    <t xml:space="preserve"> - Nemzedékek kézfogása</t>
  </si>
  <si>
    <t xml:space="preserve"> - oktatási intézmények 2012. évi gazdálodásával kapcsolatos elszámolások</t>
  </si>
  <si>
    <t xml:space="preserve"> - övodapedagógusok szeptemberi béremelésének támogatás</t>
  </si>
  <si>
    <t>9. Folyékony hulladék ártalmatlanítása</t>
  </si>
  <si>
    <t>10. 2012. december havi bérkompenzáció</t>
  </si>
  <si>
    <t xml:space="preserve"> - "Itthon vagy - Magyarország szeretlek" program</t>
  </si>
  <si>
    <t xml:space="preserve"> - helyi közösségi közlekedés támogatása</t>
  </si>
  <si>
    <t xml:space="preserve">Szerkezetátalakítási tartalékból nyújtott támogatás </t>
  </si>
  <si>
    <t>Zalaegerszegi Városrészek Művelődési Központja és Könyvtára (volt Apáczai Csere János VMK)</t>
  </si>
  <si>
    <t>Zalaegerszegi Városrészek Művelődési Központja és Könyvtára(volt Apáczai Csere János VMK)</t>
  </si>
  <si>
    <t>Pénzügyi lebonyolítás működési kiadásai  összesen:</t>
  </si>
  <si>
    <t>841325 Építésügy, területpolitika területi igazgatása és szabályozása</t>
  </si>
  <si>
    <t>Beruházási célú pénzeszk. átadás és egyéb felhalmozási kiadás</t>
  </si>
  <si>
    <t>Összes beruh. célú kiadás</t>
  </si>
  <si>
    <t>Szent Lászó úti Óvoda, belső udvarának térkövezésére, zöldfelület</t>
  </si>
  <si>
    <t>Bazitai Óvodában  szekrények  beszerzése</t>
  </si>
  <si>
    <t>Andráshidai óvoda fejlesztése (NYDOP-5.3.1/B-12) önrész</t>
  </si>
  <si>
    <t>Landorhegyi Óvoda energetikai beruházáshoz kapcsolódó kiegészítő építések</t>
  </si>
  <si>
    <t>Mikes Óvoda energetikai beruházáshoz kapcsolódó kiegészítő építések</t>
  </si>
  <si>
    <t>Belvárosi Általános Iskola, Dózsa György Tagiskola, kert kialakítása</t>
  </si>
  <si>
    <t>Izsák ÁMK-ban fejlesztési feladatok és pályázati önrész</t>
  </si>
  <si>
    <t>Természettudományos oktatás eszközrendszerének és módszertanának fejlesztése a Kölcsey F. Gimnáziumban TÁMOP 3.1.3.-11/2-2012-0023</t>
  </si>
  <si>
    <t>Városi Középiskolai Kollégium udvari pihenő kialakítása</t>
  </si>
  <si>
    <t>Zsinagóga fűtési rendszer korszerűsítése</t>
  </si>
  <si>
    <t>Hevesi Sándor Színház tűzjelző rendszer kiépítése II. ütem</t>
  </si>
  <si>
    <t>Ovifoci pályázattal megvalósuló műfüves pályák építése Kis utcai és Űrhajós utcai óvodákban</t>
  </si>
  <si>
    <t>Szivárvány téri műfüves labdarúgó pálya építés pályázati önerő és kiegészítő feladatok</t>
  </si>
  <si>
    <t>Várberki utcában felépülő műfüves labdarúgó pálya építés pályázati önerő</t>
  </si>
  <si>
    <t>16.</t>
  </si>
  <si>
    <t>Sportcsarnok mögött lévő 2 db műfüves sportpályához vezető szilárd burkolatú járda építése</t>
  </si>
  <si>
    <t>17.</t>
  </si>
  <si>
    <t>Sportcsarnok mögött lévő 2 db műfüves sportpálya villanybetáplálás kialakítása</t>
  </si>
  <si>
    <t>18.</t>
  </si>
  <si>
    <t>Hegyi u. aszfaltos focipálya labdafogó háló építése</t>
  </si>
  <si>
    <t>19.</t>
  </si>
  <si>
    <t>Zalaegerszeg Jégsportjáért Alapítvány fejlesztési célú támogatása Jégcsarnok végtörlesztéshez</t>
  </si>
  <si>
    <t>2012. évről áthúzódó feladatok</t>
  </si>
  <si>
    <t>22.</t>
  </si>
  <si>
    <t>Izsák I. Általános Iskola balesetveszélyes tornatermi mennyezet burkolat felúj.</t>
  </si>
  <si>
    <t>Buszváró létesítése Kaszaházán</t>
  </si>
  <si>
    <t>Teljesítmény ösztönző keret</t>
  </si>
  <si>
    <t xml:space="preserve"> - Járulékcsökkenésből eredő magtakarítás befizetési kötelezettség</t>
  </si>
  <si>
    <t xml:space="preserve">Zalaegerszeg, Űrhajós úti tagbölcsőde fejlesztése ( NYDOP-5.1.1/B-2012-0001) </t>
  </si>
  <si>
    <t>1.a/5</t>
  </si>
  <si>
    <t>1.a/6</t>
  </si>
  <si>
    <t xml:space="preserve"> - OGESZ</t>
  </si>
  <si>
    <t>Andráshidai LSC sportfejlesztési feladatok támogatása</t>
  </si>
  <si>
    <t>Humánigazgatási  feladatok összesen:</t>
  </si>
  <si>
    <t>Köztársaság út 92.-102. sz t.ház K.-i oldalán lévő terület vízelvezetése</t>
  </si>
  <si>
    <t>2013. évi módosított ei. a III. névi módosítás után</t>
  </si>
  <si>
    <t>IV. negyedévi módosítás összege</t>
  </si>
  <si>
    <t>IV. negyedévi módosítás</t>
  </si>
  <si>
    <t>Bartók B. u. 46. környezetében csapadékvíz elvezetése</t>
  </si>
  <si>
    <t>Zalaegerszegi Gondozási Központ</t>
  </si>
  <si>
    <t>ebből:  - ZalaegerszegiEgyesített Bölcsődék</t>
  </si>
  <si>
    <t xml:space="preserve"> - Zalaegerszegi Családsegítő Szolgálat és Gyermekjóléti Központ</t>
  </si>
  <si>
    <t xml:space="preserve"> - Zalaegerszegi Egészségügyi Alapellátás</t>
  </si>
  <si>
    <t xml:space="preserve"> - Zalaegerszegi Belvárosi I. sz. Óvoda</t>
  </si>
  <si>
    <t xml:space="preserve"> - Zalaegerszegi Belvárosi II. sz . Óvoda</t>
  </si>
  <si>
    <t xml:space="preserve">  - Zalaegerszegi Kertvárosi Óvoda</t>
  </si>
  <si>
    <t xml:space="preserve"> - Zalaegerszegi Landorhegyi Óvoda</t>
  </si>
  <si>
    <t xml:space="preserve"> - GESZ</t>
  </si>
  <si>
    <t>ebből:  - Zalaegerszegi Belvárosi I. sz.Óvoda</t>
  </si>
  <si>
    <t xml:space="preserve"> - Zalaegerszegi Belvárosi  II.sz.Óvoda</t>
  </si>
  <si>
    <t xml:space="preserve"> - Zalaegerszegi Kertvárosi Óvoda</t>
  </si>
  <si>
    <t>ebből: - Városi Művelődési Központ</t>
  </si>
  <si>
    <t xml:space="preserve"> - Tourinform Iroda</t>
  </si>
  <si>
    <t>"Ivóvízminőség javítása" KEOP pályázat kapcsán felmerülő nem támogatott tartalom tervezési költségei</t>
  </si>
  <si>
    <t>Göcseji úti temető világítás bővítése</t>
  </si>
  <si>
    <t>Járdaburkolat építés Andráshidán</t>
  </si>
  <si>
    <t>Köztársaság útja - Czobor M. u. csomópont (Szentcsalád Óvoda) korrekció és gyalogos átkelőhely létesítése</t>
  </si>
  <si>
    <t>Becsali u. gyalogosátkelőhely létesítése</t>
  </si>
  <si>
    <t>Rozmaring utca burkolatépítés, tulajdonrendezéssel</t>
  </si>
  <si>
    <t>Andráshida temető melletti parkoló kialakítása</t>
  </si>
  <si>
    <t>Alkotmány u. 2-6. mögötti garázsok útépítés</t>
  </si>
  <si>
    <t>Játszótér kialakítása Bozsokon I. ütem</t>
  </si>
  <si>
    <t>Május 1 liget játszótér</t>
  </si>
  <si>
    <t>Városi Középiskolai Kollégium udvari pihenő kialakítás</t>
  </si>
  <si>
    <t>Vizslapark utcabútorok (padok, szeméttároló stb. ) cseréje, fejlesztése</t>
  </si>
  <si>
    <t>5.a./4</t>
  </si>
  <si>
    <t>5.a./5</t>
  </si>
  <si>
    <t>Parkerdő fejlesztés( Tanösvény II.)</t>
  </si>
  <si>
    <t>Zalabesenyő temető bekerítésének folytatása</t>
  </si>
  <si>
    <t xml:space="preserve">Stúdió Rádió fejlesztési célú támogatása </t>
  </si>
  <si>
    <t xml:space="preserve"> - ZTE FC Rt. támog. </t>
  </si>
  <si>
    <t xml:space="preserve">    - köztisztasági szerződéses munkák</t>
  </si>
  <si>
    <t xml:space="preserve"> - villamos energia vásárlás</t>
  </si>
  <si>
    <t>Csapadékcsatorna hálózat takart aknáinak szintre emelése</t>
  </si>
  <si>
    <t xml:space="preserve"> Lokális csapadékvíz elvezetési munkák</t>
  </si>
  <si>
    <t xml:space="preserve">Bekeháza temető környezetének rendezése, temetőt megközelítő út kialakítása </t>
  </si>
  <si>
    <t>8./3</t>
  </si>
  <si>
    <t>Göcsej úti temető teljes nyírfa állományának cseréje</t>
  </si>
  <si>
    <t>8./4</t>
  </si>
  <si>
    <t>Botfa ravatalozó nyilászáróinak cseréje, térburkolat cseréje</t>
  </si>
  <si>
    <t>Búslakpuszta bezárt hulladéklerakó szennyezés lokalizáció KEOP projekt járulékos feladatok</t>
  </si>
  <si>
    <t xml:space="preserve"> Bio és megújuló energiafelhasználás startmunka mintaprogram  BM támogatással</t>
  </si>
  <si>
    <t>Térfigyelő kamerarendszer kiépítése a Csácsbozsoki városrészben</t>
  </si>
  <si>
    <t>Tüttő u. vízelvezető árok építése I. ütem</t>
  </si>
  <si>
    <t>Vízjogi engedélyezési eljárások díja</t>
  </si>
  <si>
    <t>Beruházásokhoz kapcsolódó csatornadiagnosztikák költsége</t>
  </si>
  <si>
    <t>Szennyvíz- és csapadékvízelvezetés építési kisebb munkák</t>
  </si>
  <si>
    <t>1.a/7</t>
  </si>
  <si>
    <t>1.a/8</t>
  </si>
  <si>
    <t>Barnamezős területek rehabilitációja</t>
  </si>
  <si>
    <t>Ivóvízvezeték építési munkák</t>
  </si>
  <si>
    <t>Pózván Külsőkórház alsó és felső kapuja között járdaburkolat építés</t>
  </si>
  <si>
    <t>Kaszaházi u. - Gólyadomb között összekötőjárda építés</t>
  </si>
  <si>
    <t>Sas u. járdaépítés</t>
  </si>
  <si>
    <t>Újtemető parkoló bővítés I. ütem</t>
  </si>
  <si>
    <t xml:space="preserve">Útterületek rendezése, területvásárlás </t>
  </si>
  <si>
    <t>Kerékpárutak (4 nyomvonal) területvásárlás</t>
  </si>
  <si>
    <t>Fenyő utca útépítés, közműfejlesztés, bővítés</t>
  </si>
  <si>
    <t>Kölcsey u. északi szakasz átépítése</t>
  </si>
  <si>
    <t>Vorhotán Újhegyi u. járdaépítés és kapcsolódó árok zárttá tétele II. ütem</t>
  </si>
  <si>
    <t>Október 6. tér - Batthyány u. csomópont jelzőlámpásítása</t>
  </si>
  <si>
    <t>Malom u. járdaépítés előkészítő munkái</t>
  </si>
  <si>
    <t>Zalaegerszeg belváros közlekedési rendszere komplex átalakítása I.ütem</t>
  </si>
  <si>
    <t>Intézményekkel kapcsolatos elszámolások</t>
  </si>
  <si>
    <t>856099 Egyéb oktatást kiegészítő tevkenység</t>
  </si>
  <si>
    <t xml:space="preserve"> - peremkerületről bejáró tanulók bérlettámogatása </t>
  </si>
  <si>
    <t xml:space="preserve"> - közbeszerzési eljárásokkal és jogi feladatokkal  kapcsolatos díjak</t>
  </si>
  <si>
    <t>Közterületi kamerarendszer bővítése</t>
  </si>
  <si>
    <t>Bazita u. járdafelújítás II. ütem és buszmegálló gyalogosfelület kial.</t>
  </si>
  <si>
    <t>4./41</t>
  </si>
  <si>
    <t xml:space="preserve">23. </t>
  </si>
  <si>
    <t>2./4</t>
  </si>
  <si>
    <t>1./9</t>
  </si>
  <si>
    <t>2013.évi bevétel módosított ei.</t>
  </si>
  <si>
    <t xml:space="preserve"> - egyszeri gyermekvédelmi  pénzbeni támogatás Erzsébet utalvány</t>
  </si>
  <si>
    <t xml:space="preserve"> - 2013. évi bérkompenzáció</t>
  </si>
  <si>
    <t xml:space="preserve"> - adósságkonszolídáció</t>
  </si>
  <si>
    <t>Többcélú Kistérségi Társulás megszűnéséből eredő összeg</t>
  </si>
  <si>
    <t>Vis maior támogatás</t>
  </si>
  <si>
    <t>6. Önkorm. és társulásaik Európai Uniós fejlesztési pályázatai saját forrás kiegészítésének támogatása</t>
  </si>
  <si>
    <t>4. Közművelődési érdekeltségnövelő támogatás</t>
  </si>
  <si>
    <t>7. Könyvtári érdekeltségnövelő támogatás</t>
  </si>
  <si>
    <t>8.Közműfejlesztési hozzájárulás</t>
  </si>
  <si>
    <t>2013.évi módosított ei.-ból a Zalaegerszeg és környéke Többcélú Kistérségi Társulást illető</t>
  </si>
  <si>
    <t>869047 Komplex egészségfejlesztő, prevenciós programok</t>
  </si>
  <si>
    <t xml:space="preserve"> - HPV védőoltás</t>
  </si>
  <si>
    <t xml:space="preserve"> - önkormányzati utak szakági nyilvántartása</t>
  </si>
  <si>
    <t>6./24.</t>
  </si>
  <si>
    <t xml:space="preserve">"Komplex belváros rehabilitációs program Zalaegerszegn" projekt pályázati támogatással NYDOP-3.1.1/B1-13-k-2013-0005 </t>
  </si>
  <si>
    <t>9./10.</t>
  </si>
  <si>
    <t>Aranyeső u. magánerős felújítása</t>
  </si>
  <si>
    <t>"Ivóvízminőség javítása" KEOP pályázathoz Önerő alap támogatás átadása</t>
  </si>
  <si>
    <t xml:space="preserve"> - szerkezetátalakítási tartalékból nyújtott támogatás</t>
  </si>
  <si>
    <t>Közműfejlesztési berzházás (állami támogatás rész)</t>
  </si>
  <si>
    <t xml:space="preserve"> - Többcélú Kistérségi Társulás állami támogatásának továbbadása</t>
  </si>
  <si>
    <t xml:space="preserve"> - Zalaegerszegi Szociális és Gyermekjóléti Alapszolgáltatási Társulás működési hozzájárulás</t>
  </si>
  <si>
    <t xml:space="preserve"> - egyszeri gyermekvédelmi pénzbeli támogatás</t>
  </si>
  <si>
    <t>9./6.</t>
  </si>
  <si>
    <t>Térinformatika</t>
  </si>
  <si>
    <t>7./2.</t>
  </si>
  <si>
    <t>"Települési szilárdhulladék-gazdálkodási rendszerek eszközparkjának fejlesztése, informatikai korszerűsítése" pályázati önrész és Áfa  kiadás megelőlegezése KEOP-1.1.1/C/13.</t>
  </si>
  <si>
    <t>Posta út csatornázása</t>
  </si>
  <si>
    <t>6./25.</t>
  </si>
  <si>
    <t>Barnamezős vásárlás/fejlesztés</t>
  </si>
  <si>
    <t>Zalavíz Zrt. részvény vásárlás</t>
  </si>
  <si>
    <t>Kis utcai óvoda kazánház ablakcsere</t>
  </si>
  <si>
    <t>Kerékpárút építésekhez kapcsolódó fásítások és területrendezések</t>
  </si>
  <si>
    <t>6./1.1.</t>
  </si>
  <si>
    <t>Béke utca felújításának előkészítése, tervezése</t>
  </si>
  <si>
    <t>Rákóczi u. felújításához kapcsolódó vízi-közmű kiváltások előkészítése, tervezése</t>
  </si>
  <si>
    <t>Vizslapark funkcióbővítés és fejlesztés előkészítése, tervezése</t>
  </si>
  <si>
    <t>Gébárti fürdőlétesítmények (Aquacity) fejlesztési koncepció terv készítés</t>
  </si>
  <si>
    <t>6./1.2.</t>
  </si>
  <si>
    <t>6./1.3.</t>
  </si>
  <si>
    <t>6./1.4.</t>
  </si>
  <si>
    <t>Állami támogatások  évközi visszafizetésére</t>
  </si>
  <si>
    <t>Elmaradt bevételek pótlására</t>
  </si>
  <si>
    <t>882203 Köztemetés</t>
  </si>
  <si>
    <t>842155 Önkormányzatok m.n.s.nemzetközi kapcsolatai</t>
  </si>
  <si>
    <t xml:space="preserve"> - Nemzetközi kapcsolatokra</t>
  </si>
  <si>
    <t xml:space="preserve">Intézményi vizesblokk felújítás 2013. évben </t>
  </si>
  <si>
    <t xml:space="preserve"> - közművesítési hozzájárulás</t>
  </si>
  <si>
    <t>9./9.</t>
  </si>
  <si>
    <t>Béke ligeti Iskolában kapu építése</t>
  </si>
  <si>
    <t>Hiányzó kerékpárút-kapcsolati elemek létrehozása Zalaegerszegen (NYDOP-4.3.I/B-11-2011-0006)</t>
  </si>
  <si>
    <t xml:space="preserve">Mátyás király utcai orvosi rendelő járulékos út és járdaépítések </t>
  </si>
  <si>
    <t>Játszótér és park kialakításának előkészítése  Hatházán</t>
  </si>
  <si>
    <t>Előtervezésekből 2012. évről áthúzódó feladatok</t>
  </si>
  <si>
    <t>Pályázati műszaki előkészítés</t>
  </si>
  <si>
    <t>Ingatlanvásárlás (Fejlesztésekhez kapcsolódó)</t>
  </si>
  <si>
    <t>5./6.</t>
  </si>
  <si>
    <t>Hadkieg. Parancsnokság rekonstrukció előkészítése + támogatás</t>
  </si>
  <si>
    <t xml:space="preserve"> Állami ingatlanok tulajdonszerzésével kapcs. kiadások </t>
  </si>
  <si>
    <t>Egyéb területrendezések, bontások</t>
  </si>
  <si>
    <t>Szoc. városrehab. területszerzés, -rendezés, bontás</t>
  </si>
  <si>
    <t>Egyéb 2013. évi pályázatok területszerzés, -rendezés</t>
  </si>
  <si>
    <t>6./10</t>
  </si>
  <si>
    <t>Botfa sportpálya fejlesztés területrendezés, kompenzáció</t>
  </si>
  <si>
    <t>6./12</t>
  </si>
  <si>
    <t>4./10.</t>
  </si>
  <si>
    <t>813000 Zöldterület kezelés</t>
  </si>
  <si>
    <t xml:space="preserve"> - erdőfenntartáshoz pályázati támogatás</t>
  </si>
  <si>
    <t xml:space="preserve"> - vadkár eljárás bevétele</t>
  </si>
  <si>
    <t xml:space="preserve"> - parkolási közszolgáltatási tevékenység ellátásával kapcsolatos bevétel</t>
  </si>
  <si>
    <t xml:space="preserve"> - Vorhotai Közösségi ház felújításához Vorhotai LSC befizetése</t>
  </si>
  <si>
    <t xml:space="preserve"> - Kaszaházi úti járda felúj-hoz befizetett hozzájárulás</t>
  </si>
  <si>
    <t xml:space="preserve"> - Szociális városrehabilitáció Zalaegerszegen NYDOP-3.1.1/B2-13-k2-2013-0001</t>
  </si>
  <si>
    <t>841402 Közvilágítás</t>
  </si>
  <si>
    <t>682001 Lakóingatlan bérbeadása, üzemeltetése</t>
  </si>
  <si>
    <t xml:space="preserve"> - LÉSZ bérlemény üzemeltetés bevétele</t>
  </si>
  <si>
    <t xml:space="preserve"> - helypénz és helybiztosítás</t>
  </si>
  <si>
    <t>Lakásalappal kapcsolatos bevételek</t>
  </si>
  <si>
    <t xml:space="preserve"> - bérlakásértékesítés bevétele</t>
  </si>
  <si>
    <t xml:space="preserve"> - lakásalap számlához kapcsolódó kamatbevétel</t>
  </si>
  <si>
    <t xml:space="preserve"> - Járulékmegtakarításból eredő int-i befizetési kötelezettség</t>
  </si>
  <si>
    <t>23.</t>
  </si>
  <si>
    <t>Ady E.Iskola balesetveszélyes beázás felújítása</t>
  </si>
  <si>
    <t>Hegyi u. csapadékvíz elvezetési munkái</t>
  </si>
  <si>
    <t>4./42.</t>
  </si>
  <si>
    <t>Kaszaházi úti járda felújítása</t>
  </si>
  <si>
    <t>4./43.</t>
  </si>
  <si>
    <t>Arany J.u. 69. parkoló felújítás</t>
  </si>
  <si>
    <t>4./44.</t>
  </si>
  <si>
    <t>Babits M.u. 5.szám melletti járda felújítása</t>
  </si>
  <si>
    <t>100 %-os támogatottságú pályázatok előkészítésének költségei</t>
  </si>
  <si>
    <t>6./14</t>
  </si>
  <si>
    <t>6./15</t>
  </si>
  <si>
    <t>Inkubátorház bővítéshez Városfejlesztő Zrt-nek önrész kiegészítés</t>
  </si>
  <si>
    <t>6./16</t>
  </si>
  <si>
    <t>Épületenergetikai korszerűsítések a zalaegerszegi közintézményekben (KEOP-5.5.0/A) - önrész, előkészítés</t>
  </si>
  <si>
    <t>6./17</t>
  </si>
  <si>
    <t>Épületenergetikai korszerűsítések megújuló energiaforrás hasznosításával a zalaegerszegi közintézményekben (KEOP-5.5.0/B) - önrész, előkészítés</t>
  </si>
  <si>
    <t>6./18</t>
  </si>
  <si>
    <t>Agóra - multifunkcionális közösségi központ - létrehozása Zalaegerszegen - Ady Mozi (TIOP-1.2.1/A-12/1) előkészítés</t>
  </si>
  <si>
    <t>6./19</t>
  </si>
  <si>
    <t>Inkubátorház villamos energia ellátásának bővítése</t>
  </si>
  <si>
    <t xml:space="preserve"> Városrehab-hoz kapcsolódó projektköltségekre</t>
  </si>
  <si>
    <t>Közösségi közl.fejlesztése pályázat</t>
  </si>
  <si>
    <t>Ökováros projekt</t>
  </si>
  <si>
    <t>Rendőrség részére gépkocsibeszerzésre pe.átadás</t>
  </si>
  <si>
    <t>Gébárti tó és környéke területrendezése</t>
  </si>
  <si>
    <t>Vagyonkezelési feladatok :</t>
  </si>
  <si>
    <t>Városrehabilitáció II. ütem folytatása Lakásalapból</t>
  </si>
  <si>
    <t>Lakóövezetbe sorolt építési telek kialakítása Andráshida keleti külterület, közművesítés Flórián u. épületbontás területrendezés Lakásalapból</t>
  </si>
  <si>
    <t>Jogi Igazgatási feladatok</t>
  </si>
  <si>
    <t>Jogi Igazgatási feladatok összesen:</t>
  </si>
  <si>
    <t>Zalai Közszolgáltató Nonprofit Kft. törzstőke</t>
  </si>
  <si>
    <t>Kvártélyház Kft. részére támogatás eszközfejlesztési pályázat önrészéhez</t>
  </si>
  <si>
    <t>Nyugat-Pannon Járműipari és Mehatronikai Központ Szolgáltató Nonprofit Kft. törzstőke</t>
  </si>
  <si>
    <t>Önkormányzat összesen költségetési szervek nélkül</t>
  </si>
  <si>
    <t>A *-gal jelzett fejlesztési feladatok megvalósításához hitelfelvétel szükséges</t>
  </si>
  <si>
    <t>Izsák ÁMK motoros térelválasztó felújítás</t>
  </si>
  <si>
    <t>Szent László utcai óvoda gázfogadó rekultiváció</t>
  </si>
  <si>
    <t>Széchenyi SZKI fűtési rendszer felújítása</t>
  </si>
  <si>
    <t>Petőfi Ált. Iskola sportudvar fejlesztés, műfüves pálya körüli kerítés építése</t>
  </si>
  <si>
    <t>Petőfi u-i óvoda bejárat átépítéséhez támogatás</t>
  </si>
  <si>
    <t>Ady E. Gimnázium és Általános Iskola felújítás</t>
  </si>
  <si>
    <t>Napsugár úti Óvoda veszélyes udvari berendezéseinek felújítása</t>
  </si>
  <si>
    <t>Napsugár úti Bölcsőde veszélyes udvari berendezéseinek felújítása</t>
  </si>
  <si>
    <t>Gyermekjóléti Központ Apáczai téri telephelyén akadálymentes vizesblokk kialakítása</t>
  </si>
  <si>
    <t>Bölcsődékben nyílászáró csere</t>
  </si>
  <si>
    <t>Mikes Kelemen utcai Tagóvoda gyermekmosdó keverőszelepek beépítése</t>
  </si>
  <si>
    <t>Ságodi Óvoda gyermekmosdó felújítása</t>
  </si>
  <si>
    <t>Tipegő bölcsőde udvar felújítás</t>
  </si>
  <si>
    <t>Belvárosi Iskola Dózsa tagiskola udvarának felújítása</t>
  </si>
  <si>
    <t>Radnóti u. óvoda homlokzatfelújítás</t>
  </si>
  <si>
    <t xml:space="preserve">Mártírok u. csapadékcsatorna Kisfaludy u. - Eötvös u. közötti szakaszának felújítása </t>
  </si>
  <si>
    <t>Mátyás k. u. csapadékcsatorna felújítása</t>
  </si>
  <si>
    <t>Vízelvezetési problémák megoldása Botfán</t>
  </si>
  <si>
    <t>Vízelvezetési problémák megoldása Zalabesenyőben</t>
  </si>
  <si>
    <t>Botfy L. u. Vizslaparki u. - Mártírok u. közötti szakaszon csapadékcsatorna felúj.</t>
  </si>
  <si>
    <t>Virágzómező u. burkolat felújítás III. ütem</t>
  </si>
  <si>
    <t>Takarékköz útfelújítás</t>
  </si>
  <si>
    <t>Alsóerdő  Aranyoslapi u.felújítás</t>
  </si>
  <si>
    <t>Landorhegyi u. 24. parkoló felújítás</t>
  </si>
  <si>
    <t>Platán sor 12. előtt 3 db parkoló felújítás</t>
  </si>
  <si>
    <t>Gasparich M. u. parkoló felújítás</t>
  </si>
  <si>
    <t>Hegybíró u. aszfaltozása</t>
  </si>
  <si>
    <t>Olajmunkás u. felújítása</t>
  </si>
  <si>
    <t>Bozsok Hegy út</t>
  </si>
  <si>
    <t>Gébárti u. járda felújítás</t>
  </si>
  <si>
    <t>Rákóczi u. 3-9. járdaszakasz felújítása</t>
  </si>
  <si>
    <t>Kertész u. járdafelújítás</t>
  </si>
  <si>
    <t>Szilágyi E. u. járdafelújítás</t>
  </si>
  <si>
    <t>Járdafelújítások Zalabesenyőben (Szövetkezet u.)</t>
  </si>
  <si>
    <t>Landorhegyi u. 20. lépcső felújítás</t>
  </si>
  <si>
    <t>Madách I. u. lépcsőfelújítás</t>
  </si>
  <si>
    <t>Erkel F. u. 23/1 szűk átjáró</t>
  </si>
  <si>
    <t>Szőlőskerti u. aszfaltozása II. ütem</t>
  </si>
  <si>
    <t>Átalszegett u. 35-155. között járdafelújítási, javítási feladatok</t>
  </si>
  <si>
    <t>Bozsoki u. járdaburkolat felújítás</t>
  </si>
  <si>
    <t>Arany J. u-tól nyugatra lévő lakóövezet út felújítás</t>
  </si>
  <si>
    <t>Köztársaság u. burkolatfelújítás II. ütem</t>
  </si>
  <si>
    <t>Mártírok u. burkolatfelújítás I. ütem, ivóvízvezeték rekonstrukció</t>
  </si>
  <si>
    <t>Gárdonyi G. u. felújítása II. ütem</t>
  </si>
  <si>
    <t>Ady E. u.-Kazinczy tér csomópont felújítás</t>
  </si>
  <si>
    <t>Mátyás király u. felújítása orvosi rendelő mellett</t>
  </si>
  <si>
    <t>Csertán S .u. csomópont felújítása</t>
  </si>
  <si>
    <t>Muskátli u. kontrás szennyvízcsatorna helyreállítás útburkolat felújítással</t>
  </si>
  <si>
    <t>Buszöblök felújítása</t>
  </si>
  <si>
    <t>Stadion u. felújítása buszmegálló melletti szakaszon</t>
  </si>
  <si>
    <t>Belvárosi járdák felújítása (Kazinczy tér É-i oldal)</t>
  </si>
  <si>
    <t>Kovács K. tér buszmegálló járdaburkolat felújítás</t>
  </si>
  <si>
    <t>Alsóerdei kerékpárút híd felújítás</t>
  </si>
  <si>
    <t>Kertvárosban járdák, lépcsők felújítása</t>
  </si>
  <si>
    <t>Alkotmány utca burkolatmegerősítés II. ütem</t>
  </si>
  <si>
    <t>Mezőgazdasági utak felújításához pályázati támogatással</t>
  </si>
  <si>
    <t>Kodály utcai óvoda pihenőpark</t>
  </si>
  <si>
    <t>Szt. András park játszótér</t>
  </si>
  <si>
    <t>Zalabesenyő temető kápolna állagmegóvás (építészeti érték)</t>
  </si>
  <si>
    <t>Ebergényi temető kapu</t>
  </si>
  <si>
    <t>Pózva temető ravatalozó épület javítási munkái</t>
  </si>
  <si>
    <t>Pózvai Közösségi Ház külső festése</t>
  </si>
  <si>
    <t>Vorhota: Közösségi Ház</t>
  </si>
  <si>
    <t>Erzsébethegy: Közösségi tér kialakítás</t>
  </si>
  <si>
    <t>Termálmedence csempeburkolat felújítás</t>
  </si>
  <si>
    <t>Városépítészeti  feladatok</t>
  </si>
  <si>
    <t>Landorhegyi u. kerékpárút létesítés miatti járdafelújítások</t>
  </si>
  <si>
    <t>5./1.</t>
  </si>
  <si>
    <t>Ebergényi sport park</t>
  </si>
  <si>
    <t>6.a/1.</t>
  </si>
  <si>
    <t>Jézus Szíve plébánia támogatása</t>
  </si>
  <si>
    <t xml:space="preserve"> Református Egyház részére orgona felújításhoz támogatás</t>
  </si>
  <si>
    <t>Óvodák felújítására</t>
  </si>
  <si>
    <t>Rákóczi F. u. útátadással összefüggő járdaépítés és csapadékvízelvezetés (76-os út átvétele) rekonstrukció (közbeszerzés)</t>
  </si>
  <si>
    <t>Általános iskolák felújítására</t>
  </si>
  <si>
    <t>A *-gal jelzett felújítási feladatok megvalósításához hitel felvétel szükséges</t>
  </si>
  <si>
    <t>Űrhajós úti bölcsőde járulékos  felújítási munkák</t>
  </si>
  <si>
    <t>Általános tartalék</t>
  </si>
  <si>
    <t>Bio-hőerőmű megvalósíthatósági tanulmány</t>
  </si>
  <si>
    <t>Városrehabilitációra, valamint lakóövezetbe sorolt építési telek kialakítása Lakásalapból</t>
  </si>
  <si>
    <t>1.a./1</t>
  </si>
  <si>
    <t>1.a./2</t>
  </si>
  <si>
    <t>1.a./3</t>
  </si>
  <si>
    <t xml:space="preserve">Pályázati önrész </t>
  </si>
  <si>
    <t xml:space="preserve"> - központosított támogatások</t>
  </si>
  <si>
    <t>Városüzemelési kiadások összesen:</t>
  </si>
  <si>
    <t>Városépítészet összesen:</t>
  </si>
  <si>
    <t>Vagyonkezelési feladatok összesen:</t>
  </si>
  <si>
    <t>Jogi és igazgatási feladatok összesen:</t>
  </si>
  <si>
    <t xml:space="preserve">   1.5 Vis maior támogatás</t>
  </si>
  <si>
    <t xml:space="preserve">   1.6  Szerkezetátalakítási tartalékból nyújtott támogatás</t>
  </si>
  <si>
    <t>6.1.a/2</t>
  </si>
  <si>
    <t>Céltartalék</t>
  </si>
  <si>
    <t>Céltartalék összesen:</t>
  </si>
  <si>
    <t>Tartalék összesen:</t>
  </si>
  <si>
    <t>Önkormányzat összesen:</t>
  </si>
  <si>
    <t>*</t>
  </si>
  <si>
    <t>Út-járda, parkoló felújítások</t>
  </si>
  <si>
    <t>Kossuth L.u. 45-49. kazán é s keringtető szivattyú cseréje</t>
  </si>
  <si>
    <t>Ságodi mezőgazgasági telep felújítása bérbeszámításból</t>
  </si>
  <si>
    <t>É-i tehermentesítő út pótmunkák</t>
  </si>
  <si>
    <t>26.</t>
  </si>
  <si>
    <t xml:space="preserve"> - rendezvénytámogatás</t>
  </si>
  <si>
    <t xml:space="preserve"> - utcanév és elgazító táblák</t>
  </si>
  <si>
    <t>biz</t>
  </si>
  <si>
    <t xml:space="preserve"> Egyéb szervezetek felhalmozási célú támogatása</t>
  </si>
  <si>
    <t xml:space="preserve">5. </t>
  </si>
  <si>
    <t>Cserével vegyes ingatlanszerződések</t>
  </si>
  <si>
    <t xml:space="preserve"> - erdészeti szakirányítás</t>
  </si>
  <si>
    <t>842541 Ár- és belvízvédelemmel összefüggő tevékenység</t>
  </si>
  <si>
    <t xml:space="preserve"> - vízkészlethasználati járulék</t>
  </si>
  <si>
    <t xml:space="preserve"> - ár és belvízvédelmi feladatok</t>
  </si>
  <si>
    <t xml:space="preserve"> - vízgazdálkodási társulati érdekeltségi hozzájárulás</t>
  </si>
  <si>
    <t xml:space="preserve"> - csapadékvízelvezető és árvízvédelmi létesítmények fenntartása</t>
  </si>
  <si>
    <t xml:space="preserve"> - csapadékvízelvezető és árvízvédelmi létesítménnyek helyreállítása-diagnosztika</t>
  </si>
  <si>
    <t xml:space="preserve"> - csapadékvíz elvezető rendszer felmérése, szakági nyilvántartása</t>
  </si>
  <si>
    <t xml:space="preserve"> - csapadékvíz elvezető rendszer fennmaradási/üzemeltetési engedélyek</t>
  </si>
  <si>
    <t xml:space="preserve"> - Vízügyi hatóságokkal kapcs. Feladatok</t>
  </si>
  <si>
    <t xml:space="preserve"> - vízbázis védőidomok, kártalanítások</t>
  </si>
  <si>
    <t xml:space="preserve"> - víziközművek területigénybevételével  kapcsolatos költségek</t>
  </si>
  <si>
    <t xml:space="preserve">  -  környezetvéd.alap feltöltése</t>
  </si>
  <si>
    <t xml:space="preserve"> - II. Zalaegerszegi Városi Diáknapok</t>
  </si>
  <si>
    <t xml:space="preserve"> - térinformatika</t>
  </si>
  <si>
    <t xml:space="preserve"> - egyéb szociális szolgáltatás</t>
  </si>
  <si>
    <t>889942  Önkorm.által nyújtott lakástámogatás (Lakásalapból)</t>
  </si>
  <si>
    <t xml:space="preserve"> - Ökováros  egyéb kiadások</t>
  </si>
  <si>
    <t xml:space="preserve"> - képviselők és bizottsági tagok tiszteletdíja</t>
  </si>
  <si>
    <t>Cím                    szám</t>
  </si>
  <si>
    <t>Alcím                   szám</t>
  </si>
  <si>
    <t>Intézm. műk.bev.</t>
  </si>
  <si>
    <t>TB. alaptól átvett pe.</t>
  </si>
  <si>
    <t>Működ. célra</t>
  </si>
  <si>
    <t>Felhalm. célra</t>
  </si>
  <si>
    <t>Hitelek, ért. pap. és kölcsönök</t>
  </si>
  <si>
    <t>Pénzforg. nélk. bevét.</t>
  </si>
  <si>
    <t>Jogi és közig. feladatok</t>
  </si>
  <si>
    <t>Városépítészeti feladatok</t>
  </si>
  <si>
    <t>Cím- szám</t>
  </si>
  <si>
    <t>Alcím- szám</t>
  </si>
  <si>
    <t>Sor-                              szám</t>
  </si>
  <si>
    <t>Feladat megnevezése</t>
  </si>
</sst>
</file>

<file path=xl/styles.xml><?xml version="1.0" encoding="utf-8"?>
<styleSheet xmlns="http://schemas.openxmlformats.org/spreadsheetml/2006/main">
  <numFmts count="7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hh:mm"/>
    <numFmt numFmtId="169" formatCode="hh:mm:ss"/>
    <numFmt numFmtId="170" formatCode="yyyy/mm/dd\ hh:mm"/>
    <numFmt numFmtId="171" formatCode="0\1\40\2\3"/>
    <numFmt numFmtId="172" formatCode="0\20\2\1\5"/>
    <numFmt numFmtId="173" formatCode="0\1\40\3\4"/>
    <numFmt numFmtId="174" formatCode="0##,###"/>
    <numFmt numFmtId="175" formatCode="0.0"/>
    <numFmt numFmtId="176" formatCode="_-* #,##0.000\ &quot;Ft&quot;_-;\-* #,##0.000\ &quot;Ft&quot;_-;_-* &quot;-&quot;??\ &quot;Ft&quot;_-;_-@_-"/>
    <numFmt numFmtId="177" formatCode="00.0"/>
    <numFmt numFmtId="178" formatCode="\4\4.\7"/>
    <numFmt numFmtId="179" formatCode="#,##0.0"/>
    <numFmt numFmtId="180" formatCode="0.000"/>
    <numFmt numFmtId="181" formatCode="##.###"/>
    <numFmt numFmtId="182" formatCode="#,###.###"/>
    <numFmt numFmtId="183" formatCode="######.#"/>
    <numFmt numFmtId="184" formatCode="0."/>
    <numFmt numFmtId="185" formatCode="0.00,"/>
    <numFmt numFmtId="186" formatCode="\ 0.0"/>
    <numFmt numFmtId="187" formatCode="#,##0.000"/>
    <numFmt numFmtId="188" formatCode="0.00;[Red]0.00"/>
    <numFmt numFmtId="189" formatCode="#,##0.00;[Red]#,##0.00"/>
    <numFmt numFmtId="190" formatCode="&quot;H-&quot;0000"/>
    <numFmt numFmtId="191" formatCode="0.0000"/>
    <numFmt numFmtId="192" formatCode="#,##0;0;"/>
    <numFmt numFmtId="193" formatCode="#,##0;\-#,##0;"/>
    <numFmt numFmtId="194" formatCode="00000000\-0\-00"/>
    <numFmt numFmtId="195" formatCode="0.0%"/>
    <numFmt numFmtId="196" formatCode="#,##0.0000"/>
    <numFmt numFmtId="197" formatCode="&quot;Igen&quot;;&quot;Igen&quot;;&quot;Nem&quot;"/>
    <numFmt numFmtId="198" formatCode="&quot;Igaz&quot;;&quot;Igaz&quot;;&quot;Hamis&quot;"/>
    <numFmt numFmtId="199" formatCode="&quot;Be&quot;;&quot;Be&quot;;&quot;Ki&quot;"/>
    <numFmt numFmtId="200" formatCode="[$-40E]mmmm\ d\.;@"/>
    <numFmt numFmtId="201" formatCode="_-* #,##0.0\ _F_t_-;\-* #,##0.0\ _F_t_-;_-* &quot;-&quot;??\ _F_t_-;_-@_-"/>
    <numFmt numFmtId="202" formatCode="_-* #,##0\ _F_t_-;\-* #,##0\ _F_t_-;_-* &quot;-&quot;??\ _F_t_-;_-@_-"/>
    <numFmt numFmtId="203" formatCode="&quot;SFr.&quot;\ #,##0;&quot;SFr.&quot;\ \-#,##0"/>
    <numFmt numFmtId="204" formatCode="&quot;SFr.&quot;\ #,##0;[Red]&quot;SFr.&quot;\ \-#,##0"/>
    <numFmt numFmtId="205" formatCode="&quot;SFr.&quot;\ #,##0.00;&quot;SFr.&quot;\ \-#,##0.00"/>
    <numFmt numFmtId="206" formatCode="&quot;SFr.&quot;\ #,##0.00;[Red]&quot;SFr.&quot;\ \-#,##0.00"/>
    <numFmt numFmtId="207" formatCode="_ &quot;SFr.&quot;\ * #,##0_ ;_ &quot;SFr.&quot;\ * \-#,##0_ ;_ &quot;SFr.&quot;\ * &quot;-&quot;_ ;_ @_ "/>
    <numFmt numFmtId="208" formatCode="_ * #,##0_ ;_ * \-#,##0_ ;_ * &quot;-&quot;_ ;_ @_ "/>
    <numFmt numFmtId="209" formatCode="_ &quot;SFr.&quot;\ * #,##0.00_ ;_ &quot;SFr.&quot;\ * \-#,##0.00_ ;_ &quot;SFr.&quot;\ * &quot;-&quot;??_ ;_ @_ "/>
    <numFmt numFmtId="210" formatCode="_ * #,##0.00_ ;_ * \-#,##0.00_ ;_ * &quot;-&quot;??_ ;_ @_ "/>
    <numFmt numFmtId="211" formatCode="_-* #,##0.000\ &quot;SFr.&quot;_-;\-* #,##0.000\ &quot;SFr.&quot;_-;_-* &quot;-&quot;??\ &quot;SFr.&quot;_-;_-@_-"/>
    <numFmt numFmtId="212" formatCode="_-* #,##0.000\ _F_t_-;\-* #,##0.000\ _F_t_-;_-* &quot;-&quot;??\ _F_t_-;_-@_-"/>
    <numFmt numFmtId="213" formatCode="#,##0\ &quot;Ft&quot;"/>
    <numFmt numFmtId="214" formatCode="0000000\-0"/>
    <numFmt numFmtId="215" formatCode="&quot;€&quot;#,##0;\-&quot;€&quot;#,##0"/>
    <numFmt numFmtId="216" formatCode="&quot;€&quot;#,##0;[Red]\-&quot;€&quot;#,##0"/>
    <numFmt numFmtId="217" formatCode="&quot;€&quot;#,##0.00;\-&quot;€&quot;#,##0.00"/>
    <numFmt numFmtId="218" formatCode="&quot;€&quot;#,##0.00;[Red]\-&quot;€&quot;#,##0.00"/>
    <numFmt numFmtId="219" formatCode="_-&quot;€&quot;* #,##0_-;\-&quot;€&quot;* #,##0_-;_-&quot;€&quot;* &quot;-&quot;_-;_-@_-"/>
    <numFmt numFmtId="220" formatCode="_-* #,##0_-;\-* #,##0_-;_-* &quot;-&quot;_-;_-@_-"/>
    <numFmt numFmtId="221" formatCode="_-&quot;€&quot;* #,##0.00_-;\-&quot;€&quot;* #,##0.00_-;_-&quot;€&quot;* &quot;-&quot;??_-;_-@_-"/>
    <numFmt numFmtId="222" formatCode="_-* #,##0.00_-;\-* #,##0.00_-;_-* &quot;-&quot;??_-;_-@_-"/>
    <numFmt numFmtId="223" formatCode="[$-40E]yyyy\.\ mmmm\ d\."/>
    <numFmt numFmtId="224" formatCode="[$-40E]mmm/\ d\.;@"/>
    <numFmt numFmtId="225" formatCode="#,##0.00000"/>
    <numFmt numFmtId="226" formatCode="#,##0_ ;\-#,##0\ "/>
  </numFmts>
  <fonts count="69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0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10"/>
      <name val="MS Sans Serif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8"/>
      <name val="Arial CE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0"/>
    </font>
    <font>
      <i/>
      <sz val="9"/>
      <name val="Arial CE"/>
      <family val="2"/>
    </font>
    <font>
      <i/>
      <sz val="8"/>
      <name val="Arial CE"/>
      <family val="2"/>
    </font>
    <font>
      <sz val="8"/>
      <name val="Times New Roman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sz val="10"/>
      <name val="Arial"/>
      <family val="0"/>
    </font>
    <font>
      <i/>
      <sz val="10"/>
      <name val="Times New Roman"/>
      <family val="1"/>
    </font>
    <font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i/>
      <sz val="9"/>
      <name val="Times New Roman CE"/>
      <family val="0"/>
    </font>
    <font>
      <sz val="10"/>
      <name val="Times"/>
      <family val="1"/>
    </font>
    <font>
      <sz val="11"/>
      <name val="Times New Roman"/>
      <family val="1"/>
    </font>
    <font>
      <sz val="11"/>
      <name val="Arial CE"/>
      <family val="2"/>
    </font>
    <font>
      <b/>
      <sz val="9"/>
      <name val="Times New Roman CE"/>
      <family val="0"/>
    </font>
    <font>
      <sz val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3" borderId="0" applyNumberFormat="0" applyBorder="0" applyAlignment="0" applyProtection="0"/>
    <xf numFmtId="0" fontId="25" fillId="7" borderId="1" applyNumberFormat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53" fillId="7" borderId="1" applyNumberFormat="0" applyAlignment="0" applyProtection="0"/>
    <xf numFmtId="0" fontId="0" fillId="22" borderId="7" applyNumberFormat="0" applyFont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33" fillId="4" borderId="0" applyNumberFormat="0" applyBorder="0" applyAlignment="0" applyProtection="0"/>
    <xf numFmtId="0" fontId="34" fillId="20" borderId="8" applyNumberFormat="0" applyAlignment="0" applyProtection="0"/>
    <xf numFmtId="0" fontId="11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3" fillId="22" borderId="7" applyNumberFormat="0" applyFont="0" applyAlignment="0" applyProtection="0"/>
    <xf numFmtId="0" fontId="56" fillId="20" borderId="8" applyNumberFormat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8" fillId="23" borderId="0" applyNumberFormat="0" applyBorder="0" applyAlignment="0" applyProtection="0"/>
    <xf numFmtId="0" fontId="39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39">
    <xf numFmtId="0" fontId="0" fillId="0" borderId="0" xfId="0" applyAlignment="1">
      <alignment/>
    </xf>
    <xf numFmtId="0" fontId="12" fillId="4" borderId="10" xfId="113" applyFont="1" applyFill="1" applyBorder="1" applyAlignment="1">
      <alignment vertical="center"/>
      <protection/>
    </xf>
    <xf numFmtId="0" fontId="12" fillId="4" borderId="11" xfId="113" applyFont="1" applyFill="1" applyBorder="1" applyAlignment="1">
      <alignment vertical="center"/>
      <protection/>
    </xf>
    <xf numFmtId="0" fontId="5" fillId="0" borderId="0" xfId="96" applyAlignment="1">
      <alignment vertical="center"/>
      <protection/>
    </xf>
    <xf numFmtId="0" fontId="5" fillId="0" borderId="0" xfId="96">
      <alignment/>
      <protection/>
    </xf>
    <xf numFmtId="0" fontId="9" fillId="4" borderId="11" xfId="113" applyFont="1" applyFill="1" applyBorder="1" applyAlignment="1">
      <alignment vertical="center"/>
      <protection/>
    </xf>
    <xf numFmtId="0" fontId="9" fillId="4" borderId="12" xfId="113" applyFont="1" applyFill="1" applyBorder="1" applyAlignment="1">
      <alignment vertical="center"/>
      <protection/>
    </xf>
    <xf numFmtId="0" fontId="8" fillId="0" borderId="0" xfId="96" applyFont="1">
      <alignment/>
      <protection/>
    </xf>
    <xf numFmtId="0" fontId="9" fillId="4" borderId="13" xfId="113" applyFont="1" applyFill="1" applyBorder="1" applyAlignment="1">
      <alignment horizontal="center" vertical="center" wrapText="1"/>
      <protection/>
    </xf>
    <xf numFmtId="0" fontId="9" fillId="4" borderId="14" xfId="113" applyFont="1" applyFill="1" applyBorder="1" applyAlignment="1">
      <alignment horizontal="center" vertical="center" wrapText="1"/>
      <protection/>
    </xf>
    <xf numFmtId="0" fontId="8" fillId="0" borderId="15" xfId="113" applyFont="1" applyBorder="1" applyAlignment="1">
      <alignment horizontal="center" vertical="center"/>
      <protection/>
    </xf>
    <xf numFmtId="0" fontId="9" fillId="4" borderId="15" xfId="113" applyFont="1" applyFill="1" applyBorder="1" applyAlignment="1">
      <alignment horizontal="center" vertical="center"/>
      <protection/>
    </xf>
    <xf numFmtId="0" fontId="8" fillId="4" borderId="15" xfId="113" applyFont="1" applyFill="1" applyBorder="1" applyAlignment="1">
      <alignment horizontal="center" vertical="center"/>
      <protection/>
    </xf>
    <xf numFmtId="0" fontId="9" fillId="4" borderId="16" xfId="113" applyFont="1" applyFill="1" applyBorder="1" applyAlignment="1">
      <alignment horizontal="centerContinuous" vertical="center"/>
      <protection/>
    </xf>
    <xf numFmtId="0" fontId="9" fillId="4" borderId="17" xfId="113" applyFont="1" applyFill="1" applyBorder="1" applyAlignment="1">
      <alignment horizontal="centerContinuous" vertical="center"/>
      <protection/>
    </xf>
    <xf numFmtId="0" fontId="9" fillId="4" borderId="18" xfId="113" applyFont="1" applyFill="1" applyBorder="1" applyAlignment="1">
      <alignment horizontal="centerContinuous" vertical="center"/>
      <protection/>
    </xf>
    <xf numFmtId="0" fontId="9" fillId="4" borderId="14" xfId="113" applyFont="1" applyFill="1" applyBorder="1" applyAlignment="1">
      <alignment horizontal="center" vertical="center"/>
      <protection/>
    </xf>
    <xf numFmtId="0" fontId="9" fillId="4" borderId="19" xfId="113" applyFont="1" applyFill="1" applyBorder="1" applyAlignment="1">
      <alignment horizontal="center" vertical="center" wrapText="1"/>
      <protection/>
    </xf>
    <xf numFmtId="0" fontId="9" fillId="4" borderId="20" xfId="113" applyFont="1" applyFill="1" applyBorder="1" applyAlignment="1">
      <alignment horizontal="center" vertical="center" wrapText="1"/>
      <protection/>
    </xf>
    <xf numFmtId="0" fontId="9" fillId="0" borderId="15" xfId="113" applyFont="1" applyBorder="1" applyAlignment="1">
      <alignment vertical="center"/>
      <protection/>
    </xf>
    <xf numFmtId="0" fontId="8" fillId="0" borderId="15" xfId="113" applyFont="1" applyBorder="1" applyAlignment="1">
      <alignment vertical="center"/>
      <protection/>
    </xf>
    <xf numFmtId="3" fontId="8" fillId="0" borderId="15" xfId="113" applyNumberFormat="1" applyFont="1" applyBorder="1" applyAlignment="1">
      <alignment vertical="center"/>
      <protection/>
    </xf>
    <xf numFmtId="0" fontId="8" fillId="0" borderId="15" xfId="113" applyFont="1" applyBorder="1" applyAlignment="1">
      <alignment vertical="center" wrapText="1"/>
      <protection/>
    </xf>
    <xf numFmtId="3" fontId="1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14" fillId="0" borderId="15" xfId="118" applyNumberFormat="1" applyFont="1" applyFill="1" applyBorder="1" applyAlignment="1">
      <alignment horizontal="center" vertical="center" wrapText="1"/>
      <protection/>
    </xf>
    <xf numFmtId="3" fontId="13" fillId="0" borderId="21" xfId="118" applyNumberFormat="1" applyFont="1" applyFill="1" applyBorder="1" applyAlignment="1">
      <alignment vertical="center"/>
      <protection/>
    </xf>
    <xf numFmtId="3" fontId="14" fillId="0" borderId="22" xfId="0" applyNumberFormat="1" applyFont="1" applyBorder="1" applyAlignment="1">
      <alignment vertical="center"/>
    </xf>
    <xf numFmtId="3" fontId="13" fillId="0" borderId="15" xfId="118" applyNumberFormat="1" applyFont="1" applyFill="1" applyBorder="1" applyAlignment="1">
      <alignment horizontal="center" vertical="center" wrapText="1"/>
      <protection/>
    </xf>
    <xf numFmtId="3" fontId="14" fillId="0" borderId="15" xfId="118" applyNumberFormat="1" applyFont="1" applyBorder="1" applyAlignment="1">
      <alignment horizontal="center" vertical="center"/>
      <protection/>
    </xf>
    <xf numFmtId="3" fontId="14" fillId="0" borderId="15" xfId="118" applyNumberFormat="1" applyFont="1" applyBorder="1" applyAlignment="1">
      <alignment horizontal="right" vertical="center"/>
      <protection/>
    </xf>
    <xf numFmtId="3" fontId="14" fillId="0" borderId="15" xfId="118" applyNumberFormat="1" applyFont="1" applyBorder="1" applyAlignment="1">
      <alignment vertical="center"/>
      <protection/>
    </xf>
    <xf numFmtId="3" fontId="14" fillId="0" borderId="15" xfId="118" applyNumberFormat="1" applyFont="1" applyFill="1" applyBorder="1" applyAlignment="1">
      <alignment horizontal="center" vertical="center"/>
      <protection/>
    </xf>
    <xf numFmtId="3" fontId="14" fillId="0" borderId="15" xfId="118" applyNumberFormat="1" applyFont="1" applyFill="1" applyBorder="1" applyAlignment="1">
      <alignment vertical="center"/>
      <protection/>
    </xf>
    <xf numFmtId="3" fontId="13" fillId="4" borderId="15" xfId="118" applyNumberFormat="1" applyFont="1" applyFill="1" applyBorder="1" applyAlignment="1">
      <alignment horizontal="right" vertical="center"/>
      <protection/>
    </xf>
    <xf numFmtId="3" fontId="13" fillId="0" borderId="15" xfId="118" applyNumberFormat="1" applyFont="1" applyFill="1" applyBorder="1" applyAlignment="1">
      <alignment horizontal="center" vertical="center"/>
      <protection/>
    </xf>
    <xf numFmtId="3" fontId="14" fillId="0" borderId="23" xfId="118" applyNumberFormat="1" applyFont="1" applyFill="1" applyBorder="1" applyAlignment="1">
      <alignment vertical="center"/>
      <protection/>
    </xf>
    <xf numFmtId="3" fontId="14" fillId="0" borderId="15" xfId="0" applyNumberFormat="1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vertical="center"/>
    </xf>
    <xf numFmtId="3" fontId="14" fillId="0" borderId="15" xfId="0" applyNumberFormat="1" applyFont="1" applyFill="1" applyBorder="1" applyAlignment="1">
      <alignment vertical="center"/>
    </xf>
    <xf numFmtId="3" fontId="14" fillId="0" borderId="23" xfId="0" applyNumberFormat="1" applyFont="1" applyFill="1" applyBorder="1" applyAlignment="1">
      <alignment vertical="center"/>
    </xf>
    <xf numFmtId="3" fontId="13" fillId="4" borderId="15" xfId="0" applyNumberFormat="1" applyFont="1" applyFill="1" applyBorder="1" applyAlignment="1">
      <alignment horizontal="center" vertical="center"/>
    </xf>
    <xf numFmtId="3" fontId="13" fillId="4" borderId="23" xfId="0" applyNumberFormat="1" applyFont="1" applyFill="1" applyBorder="1" applyAlignment="1">
      <alignment vertical="center"/>
    </xf>
    <xf numFmtId="3" fontId="13" fillId="4" borderId="24" xfId="0" applyNumberFormat="1" applyFont="1" applyFill="1" applyBorder="1" applyAlignment="1">
      <alignment vertical="center"/>
    </xf>
    <xf numFmtId="3" fontId="13" fillId="4" borderId="15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3" fontId="13" fillId="0" borderId="23" xfId="0" applyNumberFormat="1" applyFont="1" applyFill="1" applyBorder="1" applyAlignment="1">
      <alignment vertical="center"/>
    </xf>
    <xf numFmtId="3" fontId="13" fillId="0" borderId="24" xfId="0" applyNumberFormat="1" applyFont="1" applyFill="1" applyBorder="1" applyAlignment="1">
      <alignment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23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3" fontId="13" fillId="0" borderId="15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0" fontId="5" fillId="0" borderId="0" xfId="93" applyAlignment="1">
      <alignment vertical="center"/>
      <protection/>
    </xf>
    <xf numFmtId="0" fontId="5" fillId="0" borderId="0" xfId="93" applyAlignment="1">
      <alignment vertical="top"/>
      <protection/>
    </xf>
    <xf numFmtId="0" fontId="19" fillId="0" borderId="0" xfId="93" applyFont="1" applyAlignment="1">
      <alignment vertical="center"/>
      <protection/>
    </xf>
    <xf numFmtId="3" fontId="5" fillId="0" borderId="0" xfId="93" applyNumberFormat="1" applyAlignment="1">
      <alignment vertical="center"/>
      <protection/>
    </xf>
    <xf numFmtId="0" fontId="5" fillId="0" borderId="0" xfId="97">
      <alignment/>
      <protection/>
    </xf>
    <xf numFmtId="0" fontId="7" fillId="0" borderId="0" xfId="116" applyFont="1" applyAlignment="1">
      <alignment vertical="center"/>
      <protection/>
    </xf>
    <xf numFmtId="0" fontId="6" fillId="0" borderId="0" xfId="116" applyFont="1" applyAlignment="1">
      <alignment vertical="center"/>
      <protection/>
    </xf>
    <xf numFmtId="0" fontId="7" fillId="24" borderId="0" xfId="116" applyFont="1" applyFill="1" applyBorder="1" applyAlignment="1">
      <alignment vertical="center"/>
      <protection/>
    </xf>
    <xf numFmtId="3" fontId="7" fillId="24" borderId="0" xfId="116" applyNumberFormat="1" applyFont="1" applyFill="1" applyBorder="1" applyAlignment="1">
      <alignment vertical="center"/>
      <protection/>
    </xf>
    <xf numFmtId="0" fontId="6" fillId="24" borderId="0" xfId="116" applyFont="1" applyFill="1" applyBorder="1" applyAlignment="1">
      <alignment vertical="center"/>
      <protection/>
    </xf>
    <xf numFmtId="3" fontId="6" fillId="24" borderId="0" xfId="116" applyNumberFormat="1" applyFont="1" applyFill="1" applyBorder="1" applyAlignment="1">
      <alignment vertical="center"/>
      <protection/>
    </xf>
    <xf numFmtId="0" fontId="6" fillId="0" borderId="0" xfId="116" applyFont="1" applyAlignment="1">
      <alignment horizontal="left" vertical="center"/>
      <protection/>
    </xf>
    <xf numFmtId="0" fontId="6" fillId="0" borderId="0" xfId="116" applyFont="1" applyAlignment="1">
      <alignment horizontal="center" vertical="center"/>
      <protection/>
    </xf>
    <xf numFmtId="0" fontId="4" fillId="0" borderId="0" xfId="111" applyAlignment="1">
      <alignment horizontal="center" vertical="center" wrapText="1"/>
      <protection/>
    </xf>
    <xf numFmtId="0" fontId="4" fillId="0" borderId="0" xfId="111">
      <alignment/>
      <protection/>
    </xf>
    <xf numFmtId="0" fontId="4" fillId="0" borderId="0" xfId="111" applyAlignment="1">
      <alignment vertical="center"/>
      <protection/>
    </xf>
    <xf numFmtId="0" fontId="4" fillId="0" borderId="0" xfId="111" applyAlignment="1">
      <alignment horizontal="center" vertical="center"/>
      <protection/>
    </xf>
    <xf numFmtId="0" fontId="4" fillId="0" borderId="0" xfId="111" applyAlignment="1">
      <alignment horizontal="center"/>
      <protection/>
    </xf>
    <xf numFmtId="0" fontId="14" fillId="4" borderId="11" xfId="93" applyFont="1" applyFill="1" applyBorder="1" applyAlignment="1">
      <alignment vertical="center"/>
      <protection/>
    </xf>
    <xf numFmtId="0" fontId="13" fillId="4" borderId="19" xfId="116" applyFont="1" applyFill="1" applyBorder="1" applyAlignment="1">
      <alignment horizontal="center" vertical="center" wrapText="1"/>
      <protection/>
    </xf>
    <xf numFmtId="0" fontId="14" fillId="0" borderId="15" xfId="93" applyFont="1" applyBorder="1" applyAlignment="1">
      <alignment vertical="center"/>
      <protection/>
    </xf>
    <xf numFmtId="0" fontId="14" fillId="0" borderId="15" xfId="93" applyFont="1" applyBorder="1" applyAlignment="1">
      <alignment horizontal="center" vertical="center"/>
      <protection/>
    </xf>
    <xf numFmtId="3" fontId="14" fillId="0" borderId="15" xfId="93" applyNumberFormat="1" applyFont="1" applyBorder="1" applyAlignment="1">
      <alignment vertical="center"/>
      <protection/>
    </xf>
    <xf numFmtId="0" fontId="13" fillId="4" borderId="15" xfId="93" applyFont="1" applyFill="1" applyBorder="1" applyAlignment="1">
      <alignment horizontal="center" vertical="center"/>
      <protection/>
    </xf>
    <xf numFmtId="0" fontId="13" fillId="4" borderId="15" xfId="93" applyFont="1" applyFill="1" applyBorder="1" applyAlignment="1">
      <alignment vertical="center"/>
      <protection/>
    </xf>
    <xf numFmtId="0" fontId="8" fillId="0" borderId="15" xfId="93" applyFont="1" applyBorder="1" applyAlignment="1">
      <alignment horizontal="center" vertical="center"/>
      <protection/>
    </xf>
    <xf numFmtId="0" fontId="13" fillId="4" borderId="10" xfId="116" applyFont="1" applyFill="1" applyBorder="1" applyAlignment="1">
      <alignment horizontal="center" vertical="center"/>
      <protection/>
    </xf>
    <xf numFmtId="0" fontId="13" fillId="4" borderId="11" xfId="116" applyFont="1" applyFill="1" applyBorder="1" applyAlignment="1">
      <alignment horizontal="center" vertical="center"/>
      <protection/>
    </xf>
    <xf numFmtId="0" fontId="13" fillId="4" borderId="13" xfId="116" applyFont="1" applyFill="1" applyBorder="1" applyAlignment="1">
      <alignment horizontal="center" vertical="top" wrapText="1"/>
      <protection/>
    </xf>
    <xf numFmtId="0" fontId="13" fillId="4" borderId="14" xfId="116" applyFont="1" applyFill="1" applyBorder="1" applyAlignment="1">
      <alignment horizontal="center" vertical="top" wrapText="1"/>
      <protection/>
    </xf>
    <xf numFmtId="0" fontId="14" fillId="0" borderId="15" xfId="116" applyFont="1" applyBorder="1" applyAlignment="1">
      <alignment horizontal="center" vertical="center"/>
      <protection/>
    </xf>
    <xf numFmtId="3" fontId="14" fillId="0" borderId="15" xfId="116" applyNumberFormat="1" applyFont="1" applyBorder="1" applyAlignment="1">
      <alignment vertical="center"/>
      <protection/>
    </xf>
    <xf numFmtId="0" fontId="14" fillId="4" borderId="15" xfId="116" applyFont="1" applyFill="1" applyBorder="1" applyAlignment="1">
      <alignment horizontal="center" vertical="center"/>
      <protection/>
    </xf>
    <xf numFmtId="0" fontId="13" fillId="4" borderId="15" xfId="116" applyFont="1" applyFill="1" applyBorder="1" applyAlignment="1">
      <alignment vertical="center"/>
      <protection/>
    </xf>
    <xf numFmtId="3" fontId="13" fillId="4" borderId="15" xfId="116" applyNumberFormat="1" applyFont="1" applyFill="1" applyBorder="1" applyAlignment="1">
      <alignment vertical="center"/>
      <protection/>
    </xf>
    <xf numFmtId="0" fontId="14" fillId="24" borderId="15" xfId="116" applyFont="1" applyFill="1" applyBorder="1" applyAlignment="1">
      <alignment horizontal="center" vertical="center"/>
      <protection/>
    </xf>
    <xf numFmtId="3" fontId="14" fillId="24" borderId="15" xfId="116" applyNumberFormat="1" applyFont="1" applyFill="1" applyBorder="1" applyAlignment="1">
      <alignment vertical="center"/>
      <protection/>
    </xf>
    <xf numFmtId="0" fontId="8" fillId="24" borderId="15" xfId="116" applyFont="1" applyFill="1" applyBorder="1" applyAlignment="1">
      <alignment horizontal="center" vertical="center"/>
      <protection/>
    </xf>
    <xf numFmtId="0" fontId="8" fillId="4" borderId="15" xfId="116" applyFont="1" applyFill="1" applyBorder="1" applyAlignment="1">
      <alignment horizontal="center" vertical="center"/>
      <protection/>
    </xf>
    <xf numFmtId="0" fontId="14" fillId="0" borderId="15" xfId="116" applyFont="1" applyFill="1" applyBorder="1" applyAlignment="1">
      <alignment horizontal="center" vertical="center"/>
      <protection/>
    </xf>
    <xf numFmtId="3" fontId="13" fillId="0" borderId="15" xfId="116" applyNumberFormat="1" applyFont="1" applyFill="1" applyBorder="1" applyAlignment="1">
      <alignment vertical="center"/>
      <protection/>
    </xf>
    <xf numFmtId="3" fontId="14" fillId="0" borderId="15" xfId="116" applyNumberFormat="1" applyFont="1" applyFill="1" applyBorder="1" applyAlignment="1">
      <alignment vertical="center"/>
      <protection/>
    </xf>
    <xf numFmtId="3" fontId="8" fillId="0" borderId="15" xfId="111" applyNumberFormat="1" applyFont="1" applyBorder="1" applyAlignment="1">
      <alignment horizontal="right" vertical="center"/>
      <protection/>
    </xf>
    <xf numFmtId="0" fontId="8" fillId="4" borderId="15" xfId="111" applyFont="1" applyFill="1" applyBorder="1" applyAlignment="1">
      <alignment horizontal="center" vertical="center"/>
      <protection/>
    </xf>
    <xf numFmtId="0" fontId="9" fillId="4" borderId="15" xfId="111" applyFont="1" applyFill="1" applyBorder="1" applyAlignment="1">
      <alignment vertical="center"/>
      <protection/>
    </xf>
    <xf numFmtId="3" fontId="9" fillId="4" borderId="15" xfId="111" applyNumberFormat="1" applyFont="1" applyFill="1" applyBorder="1" applyAlignment="1">
      <alignment horizontal="right" vertical="center"/>
      <protection/>
    </xf>
    <xf numFmtId="0" fontId="9" fillId="4" borderId="25" xfId="111" applyFont="1" applyFill="1" applyBorder="1" applyAlignment="1">
      <alignment vertical="center"/>
      <protection/>
    </xf>
    <xf numFmtId="3" fontId="9" fillId="4" borderId="25" xfId="111" applyNumberFormat="1" applyFont="1" applyFill="1" applyBorder="1" applyAlignment="1">
      <alignment horizontal="right" vertical="center"/>
      <protection/>
    </xf>
    <xf numFmtId="0" fontId="8" fillId="0" borderId="0" xfId="111" applyFont="1" applyAlignment="1">
      <alignment vertical="center"/>
      <protection/>
    </xf>
    <xf numFmtId="0" fontId="8" fillId="0" borderId="0" xfId="111" applyFont="1" applyBorder="1" applyAlignment="1">
      <alignment vertical="center"/>
      <protection/>
    </xf>
    <xf numFmtId="3" fontId="8" fillId="0" borderId="0" xfId="111" applyNumberFormat="1" applyFont="1" applyBorder="1" applyAlignment="1">
      <alignment horizontal="right" vertical="center"/>
      <protection/>
    </xf>
    <xf numFmtId="3" fontId="8" fillId="0" borderId="0" xfId="111" applyNumberFormat="1" applyFont="1" applyAlignment="1">
      <alignment horizontal="right" vertical="center"/>
      <protection/>
    </xf>
    <xf numFmtId="0" fontId="8" fillId="4" borderId="26" xfId="111" applyFont="1" applyFill="1" applyBorder="1" applyAlignment="1">
      <alignment horizontal="center" vertical="center"/>
      <protection/>
    </xf>
    <xf numFmtId="0" fontId="8" fillId="4" borderId="25" xfId="111" applyFont="1" applyFill="1" applyBorder="1" applyAlignment="1">
      <alignment horizontal="center" vertical="center"/>
      <protection/>
    </xf>
    <xf numFmtId="0" fontId="8" fillId="0" borderId="0" xfId="111" applyFont="1" applyAlignment="1">
      <alignment horizontal="center" vertical="center"/>
      <protection/>
    </xf>
    <xf numFmtId="0" fontId="8" fillId="4" borderId="15" xfId="97" applyFont="1" applyFill="1" applyBorder="1">
      <alignment/>
      <protection/>
    </xf>
    <xf numFmtId="0" fontId="9" fillId="4" borderId="15" xfId="97" applyFont="1" applyFill="1" applyBorder="1">
      <alignment/>
      <protection/>
    </xf>
    <xf numFmtId="0" fontId="8" fillId="0" borderId="0" xfId="97" applyFont="1">
      <alignment/>
      <protection/>
    </xf>
    <xf numFmtId="0" fontId="9" fillId="0" borderId="0" xfId="97" applyFont="1">
      <alignment/>
      <protection/>
    </xf>
    <xf numFmtId="3" fontId="8" fillId="25" borderId="15" xfId="113" applyNumberFormat="1" applyFont="1" applyFill="1" applyBorder="1" applyAlignment="1">
      <alignment vertical="center"/>
      <protection/>
    </xf>
    <xf numFmtId="0" fontId="13" fillId="4" borderId="15" xfId="116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3" fontId="20" fillId="0" borderId="0" xfId="118" applyNumberFormat="1" applyFont="1" applyFill="1" applyAlignment="1">
      <alignment vertical="center"/>
      <protection/>
    </xf>
    <xf numFmtId="3" fontId="6" fillId="0" borderId="0" xfId="118" applyNumberFormat="1" applyFont="1" applyAlignment="1">
      <alignment vertical="center"/>
      <protection/>
    </xf>
    <xf numFmtId="3" fontId="6" fillId="0" borderId="0" xfId="118" applyNumberFormat="1" applyFont="1" applyAlignment="1">
      <alignment horizontal="right" vertical="center"/>
      <protection/>
    </xf>
    <xf numFmtId="3" fontId="6" fillId="0" borderId="0" xfId="118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3" fillId="4" borderId="13" xfId="118" applyNumberFormat="1" applyFont="1" applyFill="1" applyBorder="1" applyAlignment="1">
      <alignment horizontal="center" vertical="top" wrapText="1"/>
      <protection/>
    </xf>
    <xf numFmtId="3" fontId="13" fillId="4" borderId="14" xfId="118" applyNumberFormat="1" applyFont="1" applyFill="1" applyBorder="1" applyAlignment="1">
      <alignment horizontal="center" vertical="top" wrapText="1"/>
      <protection/>
    </xf>
    <xf numFmtId="3" fontId="14" fillId="0" borderId="15" xfId="118" applyNumberFormat="1" applyFont="1" applyBorder="1" applyAlignment="1">
      <alignment horizontal="left" vertical="center" wrapText="1"/>
      <protection/>
    </xf>
    <xf numFmtId="3" fontId="14" fillId="0" borderId="15" xfId="118" applyNumberFormat="1" applyFont="1" applyBorder="1" applyAlignment="1">
      <alignment horizontal="left" vertical="center"/>
      <protection/>
    </xf>
    <xf numFmtId="3" fontId="14" fillId="4" borderId="15" xfId="118" applyNumberFormat="1" applyFont="1" applyFill="1" applyBorder="1" applyAlignment="1">
      <alignment horizontal="center" vertical="center"/>
      <protection/>
    </xf>
    <xf numFmtId="0" fontId="8" fillId="0" borderId="15" xfId="113" applyFont="1" applyFill="1" applyBorder="1" applyAlignment="1">
      <alignment vertical="center"/>
      <protection/>
    </xf>
    <xf numFmtId="0" fontId="6" fillId="0" borderId="0" xfId="116" applyFont="1" applyFill="1" applyAlignment="1">
      <alignment vertical="center"/>
      <protection/>
    </xf>
    <xf numFmtId="0" fontId="13" fillId="0" borderId="15" xfId="116" applyFont="1" applyBorder="1" applyAlignment="1">
      <alignment horizontal="center" vertical="center"/>
      <protection/>
    </xf>
    <xf numFmtId="16" fontId="14" fillId="0" borderId="15" xfId="116" applyNumberFormat="1" applyFont="1" applyBorder="1" applyAlignment="1">
      <alignment horizontal="center" vertical="center"/>
      <protection/>
    </xf>
    <xf numFmtId="16" fontId="13" fillId="0" borderId="15" xfId="116" applyNumberFormat="1" applyFont="1" applyBorder="1" applyAlignment="1">
      <alignment horizontal="center" vertical="center"/>
      <protection/>
    </xf>
    <xf numFmtId="0" fontId="9" fillId="0" borderId="15" xfId="97" applyFont="1" applyBorder="1" applyAlignment="1">
      <alignment horizontal="center" vertical="center"/>
      <protection/>
    </xf>
    <xf numFmtId="0" fontId="9" fillId="24" borderId="15" xfId="97" applyFont="1" applyFill="1" applyBorder="1" applyAlignment="1">
      <alignment horizontal="center" vertical="top" wrapText="1"/>
      <protection/>
    </xf>
    <xf numFmtId="0" fontId="9" fillId="0" borderId="15" xfId="97" applyFont="1" applyFill="1" applyBorder="1" applyAlignment="1">
      <alignment horizontal="center" vertical="center"/>
      <protection/>
    </xf>
    <xf numFmtId="0" fontId="8" fillId="0" borderId="15" xfId="97" applyFont="1" applyFill="1" applyBorder="1" applyAlignment="1">
      <alignment horizontal="center" vertical="center"/>
      <protection/>
    </xf>
    <xf numFmtId="0" fontId="8" fillId="24" borderId="15" xfId="97" applyFont="1" applyFill="1" applyBorder="1" applyAlignment="1">
      <alignment horizontal="center" vertical="center"/>
      <protection/>
    </xf>
    <xf numFmtId="0" fontId="8" fillId="0" borderId="15" xfId="97" applyFont="1" applyBorder="1" applyAlignment="1">
      <alignment horizontal="center" vertical="center"/>
      <protection/>
    </xf>
    <xf numFmtId="0" fontId="8" fillId="24" borderId="15" xfId="97" applyFont="1" applyFill="1" applyBorder="1" applyAlignment="1">
      <alignment horizontal="center" vertical="top" wrapText="1"/>
      <protection/>
    </xf>
    <xf numFmtId="16" fontId="8" fillId="24" borderId="15" xfId="97" applyNumberFormat="1" applyFont="1" applyFill="1" applyBorder="1" applyAlignment="1">
      <alignment horizontal="center" vertical="top" wrapText="1"/>
      <protection/>
    </xf>
    <xf numFmtId="3" fontId="18" fillId="4" borderId="10" xfId="0" applyNumberFormat="1" applyFont="1" applyFill="1" applyBorder="1" applyAlignment="1">
      <alignment horizontal="center" vertical="center"/>
    </xf>
    <xf numFmtId="3" fontId="18" fillId="4" borderId="11" xfId="0" applyNumberFormat="1" applyFont="1" applyFill="1" applyBorder="1" applyAlignment="1">
      <alignment horizontal="center" vertical="center"/>
    </xf>
    <xf numFmtId="3" fontId="18" fillId="4" borderId="27" xfId="0" applyNumberFormat="1" applyFont="1" applyFill="1" applyBorder="1" applyAlignment="1">
      <alignment vertical="center"/>
    </xf>
    <xf numFmtId="3" fontId="18" fillId="4" borderId="28" xfId="0" applyNumberFormat="1" applyFont="1" applyFill="1" applyBorder="1" applyAlignment="1">
      <alignment vertical="center"/>
    </xf>
    <xf numFmtId="3" fontId="18" fillId="4" borderId="11" xfId="0" applyNumberFormat="1" applyFont="1" applyFill="1" applyBorder="1" applyAlignment="1">
      <alignment vertical="center"/>
    </xf>
    <xf numFmtId="3" fontId="18" fillId="4" borderId="13" xfId="118" applyNumberFormat="1" applyFont="1" applyFill="1" applyBorder="1" applyAlignment="1">
      <alignment horizontal="center" vertical="top" wrapText="1"/>
      <protection/>
    </xf>
    <xf numFmtId="3" fontId="18" fillId="4" borderId="14" xfId="118" applyNumberFormat="1" applyFont="1" applyFill="1" applyBorder="1" applyAlignment="1">
      <alignment horizontal="center" vertical="top" wrapText="1"/>
      <protection/>
    </xf>
    <xf numFmtId="3" fontId="18" fillId="4" borderId="29" xfId="118" applyNumberFormat="1" applyFont="1" applyFill="1" applyBorder="1" applyAlignment="1">
      <alignment horizontal="centerContinuous" vertical="top"/>
      <protection/>
    </xf>
    <xf numFmtId="3" fontId="18" fillId="4" borderId="30" xfId="118" applyNumberFormat="1" applyFont="1" applyFill="1" applyBorder="1" applyAlignment="1">
      <alignment horizontal="centerContinuous" vertical="top" wrapText="1"/>
      <protection/>
    </xf>
    <xf numFmtId="3" fontId="18" fillId="4" borderId="29" xfId="118" applyNumberFormat="1" applyFont="1" applyFill="1" applyBorder="1" applyAlignment="1">
      <alignment horizontal="center" vertical="top"/>
      <protection/>
    </xf>
    <xf numFmtId="3" fontId="6" fillId="0" borderId="31" xfId="0" applyNumberFormat="1" applyFont="1" applyBorder="1" applyAlignment="1">
      <alignment vertical="center"/>
    </xf>
    <xf numFmtId="3" fontId="9" fillId="4" borderId="15" xfId="111" applyNumberFormat="1" applyFont="1" applyFill="1" applyBorder="1" applyAlignment="1">
      <alignment vertical="center"/>
      <protection/>
    </xf>
    <xf numFmtId="0" fontId="14" fillId="0" borderId="23" xfId="116" applyFont="1" applyBorder="1" applyAlignment="1">
      <alignment vertical="center"/>
      <protection/>
    </xf>
    <xf numFmtId="0" fontId="14" fillId="0" borderId="23" xfId="116" applyFont="1" applyFill="1" applyBorder="1" applyAlignment="1">
      <alignment vertical="center"/>
      <protection/>
    </xf>
    <xf numFmtId="0" fontId="13" fillId="24" borderId="23" xfId="116" applyFont="1" applyFill="1" applyBorder="1" applyAlignment="1">
      <alignment vertical="center"/>
      <protection/>
    </xf>
    <xf numFmtId="0" fontId="8" fillId="0" borderId="23" xfId="97" applyFont="1" applyBorder="1" applyAlignment="1">
      <alignment vertical="center"/>
      <protection/>
    </xf>
    <xf numFmtId="0" fontId="9" fillId="0" borderId="23" xfId="97" applyFont="1" applyFill="1" applyBorder="1" applyAlignment="1">
      <alignment horizontal="left" vertical="center"/>
      <protection/>
    </xf>
    <xf numFmtId="0" fontId="8" fillId="0" borderId="23" xfId="97" applyFont="1" applyFill="1" applyBorder="1" applyAlignment="1">
      <alignment vertical="center"/>
      <protection/>
    </xf>
    <xf numFmtId="0" fontId="8" fillId="24" borderId="24" xfId="97" applyFont="1" applyFill="1" applyBorder="1" applyAlignment="1">
      <alignment vertical="center"/>
      <protection/>
    </xf>
    <xf numFmtId="0" fontId="9" fillId="0" borderId="23" xfId="97" applyFont="1" applyBorder="1" applyAlignment="1">
      <alignment vertical="center"/>
      <protection/>
    </xf>
    <xf numFmtId="0" fontId="8" fillId="24" borderId="23" xfId="97" applyFont="1" applyFill="1" applyBorder="1" applyAlignment="1">
      <alignment vertical="top"/>
      <protection/>
    </xf>
    <xf numFmtId="0" fontId="8" fillId="24" borderId="24" xfId="97" applyFont="1" applyFill="1" applyBorder="1" applyAlignment="1">
      <alignment vertical="top"/>
      <protection/>
    </xf>
    <xf numFmtId="0" fontId="9" fillId="24" borderId="23" xfId="97" applyFont="1" applyFill="1" applyBorder="1" applyAlignment="1">
      <alignment vertical="top"/>
      <protection/>
    </xf>
    <xf numFmtId="0" fontId="9" fillId="24" borderId="24" xfId="97" applyFont="1" applyFill="1" applyBorder="1" applyAlignment="1">
      <alignment vertical="top"/>
      <protection/>
    </xf>
    <xf numFmtId="0" fontId="8" fillId="24" borderId="23" xfId="97" applyFont="1" applyFill="1" applyBorder="1" applyAlignment="1">
      <alignment vertical="top" wrapText="1"/>
      <protection/>
    </xf>
    <xf numFmtId="0" fontId="8" fillId="0" borderId="23" xfId="97" applyFont="1" applyBorder="1" applyAlignment="1">
      <alignment vertical="center" wrapText="1"/>
      <protection/>
    </xf>
    <xf numFmtId="0" fontId="13" fillId="4" borderId="23" xfId="97" applyFont="1" applyFill="1" applyBorder="1" applyAlignment="1">
      <alignment vertical="center"/>
      <protection/>
    </xf>
    <xf numFmtId="0" fontId="13" fillId="4" borderId="27" xfId="116" applyFont="1" applyFill="1" applyBorder="1" applyAlignment="1">
      <alignment horizontal="center" vertical="center"/>
      <protection/>
    </xf>
    <xf numFmtId="0" fontId="13" fillId="4" borderId="23" xfId="116" applyFont="1" applyFill="1" applyBorder="1" applyAlignment="1">
      <alignment vertical="center"/>
      <protection/>
    </xf>
    <xf numFmtId="0" fontId="9" fillId="4" borderId="23" xfId="116" applyFont="1" applyFill="1" applyBorder="1" applyAlignment="1">
      <alignment vertical="center"/>
      <protection/>
    </xf>
    <xf numFmtId="0" fontId="9" fillId="0" borderId="23" xfId="116" applyFont="1" applyFill="1" applyBorder="1" applyAlignment="1">
      <alignment vertical="center"/>
      <protection/>
    </xf>
    <xf numFmtId="0" fontId="13" fillId="0" borderId="24" xfId="116" applyFont="1" applyFill="1" applyBorder="1" applyAlignment="1">
      <alignment vertical="center"/>
      <protection/>
    </xf>
    <xf numFmtId="0" fontId="9" fillId="0" borderId="24" xfId="116" applyFont="1" applyFill="1" applyBorder="1" applyAlignment="1">
      <alignment vertical="center"/>
      <protection/>
    </xf>
    <xf numFmtId="0" fontId="9" fillId="0" borderId="15" xfId="113" applyFont="1" applyFill="1" applyBorder="1" applyAlignment="1">
      <alignment horizontal="center" vertical="center"/>
      <protection/>
    </xf>
    <xf numFmtId="0" fontId="14" fillId="0" borderId="23" xfId="116" applyFont="1" applyFill="1" applyBorder="1" applyAlignment="1">
      <alignment vertical="center" wrapText="1"/>
      <protection/>
    </xf>
    <xf numFmtId="3" fontId="8" fillId="0" borderId="15" xfId="97" applyNumberFormat="1" applyFont="1" applyBorder="1" applyAlignment="1">
      <alignment vertical="center"/>
      <protection/>
    </xf>
    <xf numFmtId="3" fontId="8" fillId="0" borderId="15" xfId="97" applyNumberFormat="1" applyFont="1" applyFill="1" applyBorder="1" applyAlignment="1">
      <alignment horizontal="right" vertical="center"/>
      <protection/>
    </xf>
    <xf numFmtId="3" fontId="8" fillId="0" borderId="15" xfId="97" applyNumberFormat="1" applyFont="1" applyFill="1" applyBorder="1" applyAlignment="1">
      <alignment vertical="center"/>
      <protection/>
    </xf>
    <xf numFmtId="3" fontId="8" fillId="24" borderId="15" xfId="97" applyNumberFormat="1" applyFont="1" applyFill="1" applyBorder="1" applyAlignment="1">
      <alignment vertical="center"/>
      <protection/>
    </xf>
    <xf numFmtId="3" fontId="8" fillId="24" borderId="15" xfId="97" applyNumberFormat="1" applyFont="1" applyFill="1" applyBorder="1" applyAlignment="1">
      <alignment horizontal="right" vertical="center" wrapText="1"/>
      <protection/>
    </xf>
    <xf numFmtId="3" fontId="9" fillId="0" borderId="15" xfId="97" applyNumberFormat="1" applyFont="1" applyFill="1" applyBorder="1" applyAlignment="1">
      <alignment vertical="center"/>
      <protection/>
    </xf>
    <xf numFmtId="0" fontId="8" fillId="24" borderId="24" xfId="97" applyFont="1" applyFill="1" applyBorder="1" applyAlignment="1">
      <alignment horizontal="center" vertical="top"/>
      <protection/>
    </xf>
    <xf numFmtId="3" fontId="13" fillId="4" borderId="26" xfId="0" applyNumberFormat="1" applyFont="1" applyFill="1" applyBorder="1" applyAlignment="1">
      <alignment horizontal="center" vertical="center" wrapText="1"/>
    </xf>
    <xf numFmtId="3" fontId="13" fillId="4" borderId="32" xfId="0" applyNumberFormat="1" applyFont="1" applyFill="1" applyBorder="1" applyAlignment="1">
      <alignment horizontal="center" vertical="center" wrapText="1"/>
    </xf>
    <xf numFmtId="3" fontId="13" fillId="4" borderId="33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3" fontId="13" fillId="0" borderId="15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3" fontId="14" fillId="0" borderId="15" xfId="0" applyNumberFormat="1" applyFont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 wrapText="1"/>
    </xf>
    <xf numFmtId="3" fontId="14" fillId="0" borderId="15" xfId="0" applyNumberFormat="1" applyFont="1" applyBorder="1" applyAlignment="1">
      <alignment/>
    </xf>
    <xf numFmtId="3" fontId="14" fillId="0" borderId="15" xfId="0" applyNumberFormat="1" applyFont="1" applyFill="1" applyBorder="1" applyAlignment="1">
      <alignment vertical="center" wrapText="1"/>
    </xf>
    <xf numFmtId="3" fontId="13" fillId="4" borderId="15" xfId="0" applyNumberFormat="1" applyFont="1" applyFill="1" applyBorder="1" applyAlignment="1">
      <alignment vertical="center" wrapText="1"/>
    </xf>
    <xf numFmtId="3" fontId="13" fillId="4" borderId="34" xfId="0" applyNumberFormat="1" applyFont="1" applyFill="1" applyBorder="1" applyAlignment="1">
      <alignment horizontal="left" vertical="center" wrapText="1"/>
    </xf>
    <xf numFmtId="3" fontId="13" fillId="4" borderId="35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3" fontId="9" fillId="4" borderId="26" xfId="0" applyNumberFormat="1" applyFont="1" applyFill="1" applyBorder="1" applyAlignment="1">
      <alignment horizontal="center" vertical="center" wrapText="1"/>
    </xf>
    <xf numFmtId="3" fontId="9" fillId="4" borderId="25" xfId="0" applyNumberFormat="1" applyFont="1" applyFill="1" applyBorder="1" applyAlignment="1">
      <alignment horizontal="center" vertical="center" wrapText="1"/>
    </xf>
    <xf numFmtId="3" fontId="9" fillId="4" borderId="33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3" fontId="8" fillId="0" borderId="15" xfId="0" applyNumberFormat="1" applyFont="1" applyFill="1" applyBorder="1" applyAlignment="1">
      <alignment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9" fillId="4" borderId="15" xfId="0" applyNumberFormat="1" applyFont="1" applyFill="1" applyBorder="1" applyAlignment="1">
      <alignment horizontal="center" vertical="center" wrapText="1"/>
    </xf>
    <xf numFmtId="3" fontId="9" fillId="4" borderId="15" xfId="0" applyNumberFormat="1" applyFont="1" applyFill="1" applyBorder="1" applyAlignment="1">
      <alignment vertical="center" wrapText="1"/>
    </xf>
    <xf numFmtId="3" fontId="8" fillId="4" borderId="15" xfId="0" applyNumberFormat="1" applyFont="1" applyFill="1" applyBorder="1" applyAlignment="1">
      <alignment horizontal="center" vertical="center" wrapText="1"/>
    </xf>
    <xf numFmtId="3" fontId="8" fillId="0" borderId="36" xfId="0" applyNumberFormat="1" applyFont="1" applyFill="1" applyBorder="1" applyAlignment="1">
      <alignment horizontal="center" vertical="center" wrapText="1"/>
    </xf>
    <xf numFmtId="3" fontId="8" fillId="0" borderId="36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0" fontId="13" fillId="4" borderId="34" xfId="93" applyFont="1" applyFill="1" applyBorder="1" applyAlignment="1">
      <alignment horizontal="center" vertical="top" wrapText="1"/>
      <protection/>
    </xf>
    <xf numFmtId="0" fontId="14" fillId="0" borderId="35" xfId="93" applyFont="1" applyBorder="1" applyAlignment="1">
      <alignment vertical="center"/>
      <protection/>
    </xf>
    <xf numFmtId="3" fontId="13" fillId="4" borderId="15" xfId="93" applyNumberFormat="1" applyFont="1" applyFill="1" applyBorder="1" applyAlignment="1">
      <alignment vertical="center"/>
      <protection/>
    </xf>
    <xf numFmtId="3" fontId="13" fillId="4" borderId="15" xfId="118" applyNumberFormat="1" applyFont="1" applyFill="1" applyBorder="1" applyAlignment="1">
      <alignment vertical="center"/>
      <protection/>
    </xf>
    <xf numFmtId="0" fontId="9" fillId="0" borderId="24" xfId="97" applyFont="1" applyFill="1" applyBorder="1" applyAlignment="1">
      <alignment horizontal="left" vertical="center"/>
      <protection/>
    </xf>
    <xf numFmtId="0" fontId="8" fillId="0" borderId="23" xfId="97" applyFont="1" applyFill="1" applyBorder="1" applyAlignment="1">
      <alignment vertical="center" wrapText="1"/>
      <protection/>
    </xf>
    <xf numFmtId="0" fontId="8" fillId="0" borderId="24" xfId="97" applyFont="1" applyFill="1" applyBorder="1" applyAlignment="1">
      <alignment vertical="center"/>
      <protection/>
    </xf>
    <xf numFmtId="0" fontId="9" fillId="0" borderId="24" xfId="97" applyFont="1" applyBorder="1" applyAlignment="1">
      <alignment vertical="center"/>
      <protection/>
    </xf>
    <xf numFmtId="0" fontId="8" fillId="0" borderId="23" xfId="97" applyFont="1" applyFill="1" applyBorder="1" applyAlignment="1">
      <alignment vertical="top" wrapText="1"/>
      <protection/>
    </xf>
    <xf numFmtId="0" fontId="8" fillId="0" borderId="23" xfId="97" applyFont="1" applyFill="1" applyBorder="1" applyAlignment="1">
      <alignment vertical="top"/>
      <protection/>
    </xf>
    <xf numFmtId="0" fontId="14" fillId="0" borderId="15" xfId="116" applyFont="1" applyFill="1" applyBorder="1" applyAlignment="1">
      <alignment horizontal="center" vertical="center" wrapText="1"/>
      <protection/>
    </xf>
    <xf numFmtId="3" fontId="14" fillId="0" borderId="36" xfId="0" applyNumberFormat="1" applyFont="1" applyBorder="1" applyAlignment="1">
      <alignment vertical="center" wrapText="1"/>
    </xf>
    <xf numFmtId="3" fontId="14" fillId="0" borderId="36" xfId="0" applyNumberFormat="1" applyFont="1" applyBorder="1" applyAlignment="1">
      <alignment vertical="center"/>
    </xf>
    <xf numFmtId="0" fontId="13" fillId="0" borderId="15" xfId="116" applyFont="1" applyFill="1" applyBorder="1" applyAlignment="1">
      <alignment horizontal="center" vertical="center" wrapText="1"/>
      <protection/>
    </xf>
    <xf numFmtId="0" fontId="9" fillId="24" borderId="24" xfId="97" applyFont="1" applyFill="1" applyBorder="1" applyAlignment="1">
      <alignment vertical="center"/>
      <protection/>
    </xf>
    <xf numFmtId="0" fontId="9" fillId="0" borderId="24" xfId="97" applyFont="1" applyFill="1" applyBorder="1" applyAlignment="1">
      <alignment vertical="center"/>
      <protection/>
    </xf>
    <xf numFmtId="0" fontId="14" fillId="0" borderId="24" xfId="0" applyFont="1" applyBorder="1" applyAlignment="1">
      <alignment vertical="center"/>
    </xf>
    <xf numFmtId="0" fontId="8" fillId="0" borderId="15" xfId="113" applyFont="1" applyFill="1" applyBorder="1" applyAlignment="1">
      <alignment horizontal="center" vertical="center"/>
      <protection/>
    </xf>
    <xf numFmtId="0" fontId="13" fillId="0" borderId="15" xfId="116" applyFont="1" applyFill="1" applyBorder="1" applyAlignment="1">
      <alignment horizontal="center" vertical="center"/>
      <protection/>
    </xf>
    <xf numFmtId="0" fontId="8" fillId="0" borderId="23" xfId="116" applyFont="1" applyFill="1" applyBorder="1" applyAlignment="1">
      <alignment vertical="center" wrapText="1"/>
      <protection/>
    </xf>
    <xf numFmtId="3" fontId="8" fillId="0" borderId="0" xfId="0" applyNumberFormat="1" applyFont="1" applyFill="1" applyBorder="1" applyAlignment="1">
      <alignment horizontal="left" vertical="center" wrapText="1"/>
    </xf>
    <xf numFmtId="3" fontId="8" fillId="0" borderId="37" xfId="0" applyNumberFormat="1" applyFont="1" applyFill="1" applyBorder="1" applyAlignment="1">
      <alignment horizontal="left" vertical="center" wrapText="1"/>
    </xf>
    <xf numFmtId="0" fontId="8" fillId="0" borderId="23" xfId="116" applyFont="1" applyBorder="1" applyAlignment="1">
      <alignment vertical="center"/>
      <protection/>
    </xf>
    <xf numFmtId="0" fontId="8" fillId="24" borderId="23" xfId="97" applyFont="1" applyFill="1" applyBorder="1" applyAlignment="1">
      <alignment horizontal="left" vertical="top" wrapText="1"/>
      <protection/>
    </xf>
    <xf numFmtId="3" fontId="8" fillId="0" borderId="15" xfId="97" applyNumberFormat="1" applyFont="1" applyFill="1" applyBorder="1" applyAlignment="1">
      <alignment horizontal="right" vertical="center" wrapText="1"/>
      <protection/>
    </xf>
    <xf numFmtId="0" fontId="14" fillId="0" borderId="23" xfId="116" applyFont="1" applyFill="1" applyBorder="1" applyAlignment="1">
      <alignment horizontal="left" vertical="center"/>
      <protection/>
    </xf>
    <xf numFmtId="0" fontId="9" fillId="0" borderId="23" xfId="116" applyFont="1" applyBorder="1" applyAlignment="1">
      <alignment vertical="center"/>
      <protection/>
    </xf>
    <xf numFmtId="0" fontId="8" fillId="0" borderId="23" xfId="116" applyFont="1" applyFill="1" applyBorder="1" applyAlignment="1">
      <alignment vertical="center"/>
      <protection/>
    </xf>
    <xf numFmtId="3" fontId="13" fillId="0" borderId="24" xfId="0" applyNumberFormat="1" applyFont="1" applyBorder="1" applyAlignment="1">
      <alignment vertical="center" wrapText="1"/>
    </xf>
    <xf numFmtId="0" fontId="8" fillId="0" borderId="23" xfId="97" applyFont="1" applyFill="1" applyBorder="1" applyAlignment="1">
      <alignment horizontal="left" vertical="center" wrapText="1"/>
      <protection/>
    </xf>
    <xf numFmtId="0" fontId="13" fillId="4" borderId="15" xfId="93" applyFont="1" applyFill="1" applyBorder="1" applyAlignment="1">
      <alignment vertical="center" wrapText="1"/>
      <protection/>
    </xf>
    <xf numFmtId="0" fontId="9" fillId="4" borderId="38" xfId="111" applyFont="1" applyFill="1" applyBorder="1" applyAlignment="1">
      <alignment horizontal="center" vertical="center" wrapText="1"/>
      <protection/>
    </xf>
    <xf numFmtId="0" fontId="8" fillId="0" borderId="23" xfId="105" applyFont="1" applyFill="1" applyBorder="1" applyAlignment="1">
      <alignment vertical="center" wrapText="1"/>
      <protection/>
    </xf>
    <xf numFmtId="3" fontId="8" fillId="0" borderId="23" xfId="103" applyNumberFormat="1" applyFont="1" applyFill="1" applyBorder="1" applyAlignment="1">
      <alignment vertical="center" wrapText="1"/>
      <protection/>
    </xf>
    <xf numFmtId="0" fontId="8" fillId="0" borderId="23" xfId="105" applyFont="1" applyBorder="1" applyAlignment="1">
      <alignment vertical="center" wrapText="1"/>
      <protection/>
    </xf>
    <xf numFmtId="49" fontId="8" fillId="0" borderId="23" xfId="107" applyNumberFormat="1" applyFont="1" applyBorder="1" applyAlignment="1">
      <alignment horizontal="left" vertical="center" wrapText="1"/>
      <protection/>
    </xf>
    <xf numFmtId="49" fontId="8" fillId="0" borderId="23" xfId="0" applyNumberFormat="1" applyFont="1" applyFill="1" applyBorder="1" applyAlignment="1">
      <alignment horizontal="left" vertical="top" wrapText="1"/>
    </xf>
    <xf numFmtId="3" fontId="8" fillId="26" borderId="23" xfId="0" applyNumberFormat="1" applyFont="1" applyFill="1" applyBorder="1" applyAlignment="1">
      <alignment horizontal="left" vertical="top" wrapText="1"/>
    </xf>
    <xf numFmtId="16" fontId="8" fillId="24" borderId="15" xfId="97" applyNumberFormat="1" applyFont="1" applyFill="1" applyBorder="1" applyAlignment="1">
      <alignment horizontal="center" vertical="center" wrapText="1"/>
      <protection/>
    </xf>
    <xf numFmtId="3" fontId="8" fillId="0" borderId="23" xfId="0" applyNumberFormat="1" applyFont="1" applyBorder="1" applyAlignment="1">
      <alignment vertical="center"/>
    </xf>
    <xf numFmtId="3" fontId="8" fillId="0" borderId="23" xfId="0" applyNumberFormat="1" applyFont="1" applyFill="1" applyBorder="1" applyAlignment="1">
      <alignment vertical="center" wrapText="1"/>
    </xf>
    <xf numFmtId="3" fontId="9" fillId="4" borderId="15" xfId="97" applyNumberFormat="1" applyFont="1" applyFill="1" applyBorder="1" applyAlignment="1">
      <alignment vertical="center"/>
      <protection/>
    </xf>
    <xf numFmtId="3" fontId="9" fillId="4" borderId="15" xfId="97" applyNumberFormat="1" applyFont="1" applyFill="1" applyBorder="1" applyAlignment="1">
      <alignment horizontal="right" vertical="center"/>
      <protection/>
    </xf>
    <xf numFmtId="0" fontId="8" fillId="0" borderId="39" xfId="100" applyFont="1" applyFill="1" applyBorder="1" applyAlignment="1">
      <alignment vertical="center"/>
      <protection/>
    </xf>
    <xf numFmtId="0" fontId="16" fillId="0" borderId="15" xfId="111" applyFont="1" applyFill="1" applyBorder="1" applyAlignment="1">
      <alignment horizontal="center" vertical="center"/>
      <protection/>
    </xf>
    <xf numFmtId="0" fontId="14" fillId="0" borderId="15" xfId="111" applyFont="1" applyFill="1" applyBorder="1" applyAlignment="1">
      <alignment horizontal="center" vertical="center"/>
      <protection/>
    </xf>
    <xf numFmtId="3" fontId="14" fillId="0" borderId="15" xfId="0" applyNumberFormat="1" applyFont="1" applyFill="1" applyBorder="1" applyAlignment="1">
      <alignment horizontal="right" vertical="center"/>
    </xf>
    <xf numFmtId="3" fontId="6" fillId="0" borderId="0" xfId="101" applyNumberFormat="1" applyFont="1" applyAlignment="1">
      <alignment vertical="center"/>
      <protection/>
    </xf>
    <xf numFmtId="0" fontId="6" fillId="0" borderId="0" xfId="101" applyFont="1" applyAlignment="1">
      <alignment vertical="center"/>
      <protection/>
    </xf>
    <xf numFmtId="3" fontId="6" fillId="0" borderId="0" xfId="101" applyNumberFormat="1" applyFont="1" applyBorder="1" applyAlignment="1">
      <alignment vertical="center"/>
      <protection/>
    </xf>
    <xf numFmtId="0" fontId="6" fillId="0" borderId="0" xfId="101" applyFont="1" applyBorder="1" applyAlignment="1">
      <alignment vertical="center"/>
      <protection/>
    </xf>
    <xf numFmtId="3" fontId="7" fillId="0" borderId="0" xfId="101" applyNumberFormat="1" applyFont="1" applyAlignment="1">
      <alignment vertical="center"/>
      <protection/>
    </xf>
    <xf numFmtId="0" fontId="7" fillId="0" borderId="0" xfId="101" applyFont="1" applyAlignment="1">
      <alignment vertical="center"/>
      <protection/>
    </xf>
    <xf numFmtId="0" fontId="13" fillId="0" borderId="0" xfId="101" applyFont="1" applyFill="1" applyBorder="1" applyAlignment="1">
      <alignment vertical="center"/>
      <protection/>
    </xf>
    <xf numFmtId="0" fontId="6" fillId="0" borderId="0" xfId="101" applyFont="1" applyFill="1" applyBorder="1" applyAlignment="1">
      <alignment vertical="center" wrapText="1"/>
      <protection/>
    </xf>
    <xf numFmtId="0" fontId="6" fillId="0" borderId="0" xfId="101" applyFont="1" applyBorder="1" applyAlignment="1">
      <alignment vertical="center" wrapText="1"/>
      <protection/>
    </xf>
    <xf numFmtId="3" fontId="8" fillId="0" borderId="15" xfId="111" applyNumberFormat="1" applyFont="1" applyFill="1" applyBorder="1" applyAlignment="1">
      <alignment horizontal="right" vertical="center" wrapText="1"/>
      <protection/>
    </xf>
    <xf numFmtId="0" fontId="0" fillId="0" borderId="15" xfId="0" applyFill="1" applyBorder="1" applyAlignment="1">
      <alignment horizontal="center" vertical="center" wrapText="1"/>
    </xf>
    <xf numFmtId="3" fontId="8" fillId="0" borderId="0" xfId="96" applyNumberFormat="1" applyFont="1">
      <alignment/>
      <protection/>
    </xf>
    <xf numFmtId="3" fontId="41" fillId="0" borderId="15" xfId="111" applyNumberFormat="1" applyFont="1" applyBorder="1" applyAlignment="1">
      <alignment horizontal="right" vertical="center"/>
      <protection/>
    </xf>
    <xf numFmtId="0" fontId="8" fillId="26" borderId="23" xfId="97" applyFont="1" applyFill="1" applyBorder="1" applyAlignment="1">
      <alignment horizontal="left" vertical="top" wrapText="1"/>
      <protection/>
    </xf>
    <xf numFmtId="3" fontId="8" fillId="0" borderId="15" xfId="111" applyNumberFormat="1" applyFont="1" applyFill="1" applyBorder="1" applyAlignment="1">
      <alignment horizontal="right" vertical="center"/>
      <protection/>
    </xf>
    <xf numFmtId="3" fontId="41" fillId="0" borderId="15" xfId="111" applyNumberFormat="1" applyFont="1" applyFill="1" applyBorder="1" applyAlignment="1">
      <alignment horizontal="right" vertical="center"/>
      <protection/>
    </xf>
    <xf numFmtId="3" fontId="8" fillId="0" borderId="15" xfId="97" applyNumberFormat="1" applyFont="1" applyBorder="1">
      <alignment/>
      <protection/>
    </xf>
    <xf numFmtId="0" fontId="8" fillId="0" borderId="15" xfId="97" applyFont="1" applyBorder="1">
      <alignment/>
      <protection/>
    </xf>
    <xf numFmtId="0" fontId="8" fillId="0" borderId="15" xfId="97" applyFont="1" applyFill="1" applyBorder="1" applyAlignment="1">
      <alignment horizontal="center" vertical="top" wrapText="1"/>
      <protection/>
    </xf>
    <xf numFmtId="0" fontId="8" fillId="0" borderId="40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3" fontId="6" fillId="0" borderId="0" xfId="101" applyNumberFormat="1" applyFont="1" applyFill="1" applyAlignment="1">
      <alignment vertical="center"/>
      <protection/>
    </xf>
    <xf numFmtId="3" fontId="13" fillId="0" borderId="0" xfId="101" applyNumberFormat="1" applyFont="1" applyFill="1" applyBorder="1" applyAlignment="1">
      <alignment vertical="center"/>
      <protection/>
    </xf>
    <xf numFmtId="3" fontId="6" fillId="0" borderId="0" xfId="101" applyNumberFormat="1" applyFont="1" applyBorder="1" applyAlignment="1">
      <alignment vertical="center" wrapText="1"/>
      <protection/>
    </xf>
    <xf numFmtId="3" fontId="7" fillId="27" borderId="26" xfId="118" applyNumberFormat="1" applyFont="1" applyFill="1" applyBorder="1" applyAlignment="1">
      <alignment horizontal="center" vertical="center" wrapText="1"/>
      <protection/>
    </xf>
    <xf numFmtId="3" fontId="9" fillId="27" borderId="25" xfId="118" applyNumberFormat="1" applyFont="1" applyFill="1" applyBorder="1" applyAlignment="1">
      <alignment horizontal="center" vertical="center" wrapText="1"/>
      <protection/>
    </xf>
    <xf numFmtId="3" fontId="20" fillId="0" borderId="0" xfId="118" applyNumberFormat="1" applyFont="1" applyAlignment="1">
      <alignment vertical="center"/>
      <protection/>
    </xf>
    <xf numFmtId="3" fontId="7" fillId="0" borderId="15" xfId="118" applyNumberFormat="1" applyFont="1" applyFill="1" applyBorder="1" applyAlignment="1">
      <alignment horizontal="center" vertical="center" wrapText="1"/>
      <protection/>
    </xf>
    <xf numFmtId="3" fontId="9" fillId="0" borderId="15" xfId="118" applyNumberFormat="1" applyFont="1" applyFill="1" applyBorder="1" applyAlignment="1">
      <alignment horizontal="center" vertical="center" wrapText="1"/>
      <protection/>
    </xf>
    <xf numFmtId="3" fontId="9" fillId="0" borderId="15" xfId="118" applyNumberFormat="1" applyFont="1" applyFill="1" applyBorder="1" applyAlignment="1">
      <alignment horizontal="left" vertical="center" wrapText="1"/>
      <protection/>
    </xf>
    <xf numFmtId="3" fontId="9" fillId="0" borderId="15" xfId="118" applyNumberFormat="1" applyFont="1" applyFill="1" applyBorder="1" applyAlignment="1">
      <alignment vertical="center" wrapText="1"/>
      <protection/>
    </xf>
    <xf numFmtId="3" fontId="6" fillId="0" borderId="15" xfId="118" applyNumberFormat="1" applyFont="1" applyFill="1" applyBorder="1" applyAlignment="1">
      <alignment horizontal="center" vertical="center" wrapText="1"/>
      <protection/>
    </xf>
    <xf numFmtId="3" fontId="8" fillId="0" borderId="15" xfId="118" applyNumberFormat="1" applyFont="1" applyFill="1" applyBorder="1" applyAlignment="1">
      <alignment horizontal="center" vertical="center" wrapText="1"/>
      <protection/>
    </xf>
    <xf numFmtId="3" fontId="8" fillId="0" borderId="15" xfId="118" applyNumberFormat="1" applyFont="1" applyFill="1" applyBorder="1" applyAlignment="1">
      <alignment horizontal="left" vertical="center" wrapText="1"/>
      <protection/>
    </xf>
    <xf numFmtId="3" fontId="8" fillId="0" borderId="15" xfId="118" applyNumberFormat="1" applyFont="1" applyFill="1" applyBorder="1" applyAlignment="1">
      <alignment vertical="center" wrapText="1"/>
      <protection/>
    </xf>
    <xf numFmtId="3" fontId="6" fillId="0" borderId="0" xfId="118" applyNumberFormat="1" applyFont="1" applyFill="1" applyAlignment="1">
      <alignment vertical="center"/>
      <protection/>
    </xf>
    <xf numFmtId="3" fontId="6" fillId="0" borderId="15" xfId="118" applyNumberFormat="1" applyFont="1" applyBorder="1" applyAlignment="1">
      <alignment horizontal="center" vertical="center"/>
      <protection/>
    </xf>
    <xf numFmtId="3" fontId="8" fillId="0" borderId="15" xfId="118" applyNumberFormat="1" applyFont="1" applyBorder="1" applyAlignment="1">
      <alignment horizontal="left" vertical="center" wrapText="1"/>
      <protection/>
    </xf>
    <xf numFmtId="3" fontId="8" fillId="0" borderId="15" xfId="118" applyNumberFormat="1" applyFont="1" applyBorder="1" applyAlignment="1">
      <alignment vertical="center"/>
      <protection/>
    </xf>
    <xf numFmtId="3" fontId="8" fillId="0" borderId="15" xfId="118" applyNumberFormat="1" applyFont="1" applyBorder="1" applyAlignment="1">
      <alignment horizontal="left" vertical="center"/>
      <protection/>
    </xf>
    <xf numFmtId="3" fontId="8" fillId="0" borderId="15" xfId="118" applyNumberFormat="1" applyFont="1" applyBorder="1" applyAlignment="1">
      <alignment horizontal="right" vertical="center"/>
      <protection/>
    </xf>
    <xf numFmtId="3" fontId="8" fillId="0" borderId="15" xfId="118" applyNumberFormat="1" applyFont="1" applyFill="1" applyBorder="1" applyAlignment="1">
      <alignment vertical="center"/>
      <protection/>
    </xf>
    <xf numFmtId="3" fontId="9" fillId="0" borderId="15" xfId="118" applyNumberFormat="1" applyFont="1" applyBorder="1" applyAlignment="1">
      <alignment vertical="center"/>
      <protection/>
    </xf>
    <xf numFmtId="3" fontId="9" fillId="0" borderId="15" xfId="118" applyNumberFormat="1" applyFont="1" applyFill="1" applyBorder="1" applyAlignment="1">
      <alignment horizontal="right" vertical="center" wrapText="1"/>
      <protection/>
    </xf>
    <xf numFmtId="3" fontId="9" fillId="0" borderId="15" xfId="118" applyNumberFormat="1" applyFont="1" applyBorder="1" applyAlignment="1">
      <alignment horizontal="center" vertical="center"/>
      <protection/>
    </xf>
    <xf numFmtId="3" fontId="9" fillId="0" borderId="15" xfId="118" applyNumberFormat="1" applyFont="1" applyBorder="1" applyAlignment="1">
      <alignment horizontal="left" vertical="center" wrapText="1"/>
      <protection/>
    </xf>
    <xf numFmtId="3" fontId="8" fillId="0" borderId="15" xfId="118" applyNumberFormat="1" applyFont="1" applyBorder="1" applyAlignment="1">
      <alignment horizontal="center" vertical="center"/>
      <protection/>
    </xf>
    <xf numFmtId="3" fontId="9" fillId="0" borderId="15" xfId="118" applyNumberFormat="1" applyFont="1" applyFill="1" applyBorder="1" applyAlignment="1">
      <alignment vertical="center"/>
      <protection/>
    </xf>
    <xf numFmtId="3" fontId="6" fillId="4" borderId="15" xfId="118" applyNumberFormat="1" applyFont="1" applyFill="1" applyBorder="1" applyAlignment="1">
      <alignment horizontal="center" vertical="center"/>
      <protection/>
    </xf>
    <xf numFmtId="3" fontId="8" fillId="4" borderId="15" xfId="118" applyNumberFormat="1" applyFont="1" applyFill="1" applyBorder="1" applyAlignment="1">
      <alignment horizontal="center" vertical="center"/>
      <protection/>
    </xf>
    <xf numFmtId="3" fontId="9" fillId="4" borderId="15" xfId="118" applyNumberFormat="1" applyFont="1" applyFill="1" applyBorder="1" applyAlignment="1">
      <alignment horizontal="left" vertical="center" wrapText="1"/>
      <protection/>
    </xf>
    <xf numFmtId="3" fontId="9" fillId="4" borderId="15" xfId="118" applyNumberFormat="1" applyFont="1" applyFill="1" applyBorder="1" applyAlignment="1">
      <alignment vertical="center"/>
      <protection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0" fontId="13" fillId="4" borderId="15" xfId="116" applyFont="1" applyFill="1" applyBorder="1" applyAlignment="1">
      <alignment horizontal="center" vertical="center" wrapText="1"/>
      <protection/>
    </xf>
    <xf numFmtId="0" fontId="13" fillId="4" borderId="34" xfId="93" applyFont="1" applyFill="1" applyBorder="1" applyAlignment="1">
      <alignment horizontal="center" vertical="center" wrapText="1"/>
      <protection/>
    </xf>
    <xf numFmtId="0" fontId="8" fillId="4" borderId="38" xfId="111" applyFont="1" applyFill="1" applyBorder="1" applyAlignment="1">
      <alignment horizontal="center"/>
      <protection/>
    </xf>
    <xf numFmtId="0" fontId="8" fillId="4" borderId="38" xfId="111" applyFont="1" applyFill="1" applyBorder="1">
      <alignment/>
      <protection/>
    </xf>
    <xf numFmtId="3" fontId="0" fillId="0" borderId="15" xfId="0" applyNumberFormat="1" applyFont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/>
    </xf>
    <xf numFmtId="0" fontId="0" fillId="0" borderId="35" xfId="0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right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center" vertical="center" wrapText="1"/>
    </xf>
    <xf numFmtId="3" fontId="41" fillId="0" borderId="15" xfId="0" applyNumberFormat="1" applyFont="1" applyFill="1" applyBorder="1" applyAlignment="1">
      <alignment horizontal="right" vertical="center" wrapText="1"/>
    </xf>
    <xf numFmtId="3" fontId="8" fillId="0" borderId="15" xfId="113" applyNumberFormat="1" applyFont="1" applyFill="1" applyBorder="1" applyAlignment="1">
      <alignment horizontal="right" vertical="center"/>
      <protection/>
    </xf>
    <xf numFmtId="3" fontId="0" fillId="0" borderId="15" xfId="0" applyNumberFormat="1" applyFill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3" fontId="41" fillId="0" borderId="15" xfId="111" applyNumberFormat="1" applyFont="1" applyFill="1" applyBorder="1" applyAlignment="1">
      <alignment horizontal="right" vertical="center" wrapText="1"/>
      <protection/>
    </xf>
    <xf numFmtId="3" fontId="2" fillId="0" borderId="15" xfId="0" applyNumberFormat="1" applyFont="1" applyBorder="1" applyAlignment="1">
      <alignment horizontal="right" vertical="center" wrapText="1"/>
    </xf>
    <xf numFmtId="0" fontId="14" fillId="0" borderId="35" xfId="93" applyFont="1" applyBorder="1" applyAlignment="1">
      <alignment horizontal="center" vertical="center"/>
      <protection/>
    </xf>
    <xf numFmtId="3" fontId="13" fillId="4" borderId="14" xfId="118" applyNumberFormat="1" applyFont="1" applyFill="1" applyBorder="1" applyAlignment="1">
      <alignment horizontal="center" vertical="center" wrapText="1"/>
      <protection/>
    </xf>
    <xf numFmtId="3" fontId="13" fillId="4" borderId="20" xfId="118" applyNumberFormat="1" applyFont="1" applyFill="1" applyBorder="1" applyAlignment="1">
      <alignment horizontal="center" vertical="center" wrapText="1"/>
      <protection/>
    </xf>
    <xf numFmtId="0" fontId="14" fillId="0" borderId="15" xfId="94" applyFont="1" applyBorder="1" applyAlignment="1">
      <alignment vertical="center"/>
      <protection/>
    </xf>
    <xf numFmtId="3" fontId="14" fillId="0" borderId="21" xfId="118" applyNumberFormat="1" applyFont="1" applyFill="1" applyBorder="1" applyAlignment="1">
      <alignment vertical="center"/>
      <protection/>
    </xf>
    <xf numFmtId="0" fontId="13" fillId="4" borderId="15" xfId="94" applyFont="1" applyFill="1" applyBorder="1" applyAlignment="1">
      <alignment vertical="center" wrapText="1"/>
      <protection/>
    </xf>
    <xf numFmtId="0" fontId="14" fillId="0" borderId="15" xfId="94" applyFont="1" applyFill="1" applyBorder="1" applyAlignment="1">
      <alignment vertical="center"/>
      <protection/>
    </xf>
    <xf numFmtId="3" fontId="14" fillId="0" borderId="15" xfId="118" applyNumberFormat="1" applyFont="1" applyFill="1" applyBorder="1" applyAlignment="1">
      <alignment horizontal="right" vertical="center" wrapText="1"/>
      <protection/>
    </xf>
    <xf numFmtId="3" fontId="14" fillId="4" borderId="15" xfId="118" applyNumberFormat="1" applyFont="1" applyFill="1" applyBorder="1" applyAlignment="1">
      <alignment horizontal="center" vertical="center" wrapText="1"/>
      <protection/>
    </xf>
    <xf numFmtId="3" fontId="14" fillId="4" borderId="22" xfId="0" applyNumberFormat="1" applyFont="1" applyFill="1" applyBorder="1" applyAlignment="1">
      <alignment vertical="center"/>
    </xf>
    <xf numFmtId="3" fontId="13" fillId="4" borderId="15" xfId="118" applyNumberFormat="1" applyFont="1" applyFill="1" applyBorder="1" applyAlignment="1">
      <alignment horizontal="center" vertical="center" wrapText="1"/>
      <protection/>
    </xf>
    <xf numFmtId="3" fontId="13" fillId="4" borderId="15" xfId="118" applyNumberFormat="1" applyFont="1" applyFill="1" applyBorder="1" applyAlignment="1">
      <alignment horizontal="right" vertical="center" wrapText="1"/>
      <protection/>
    </xf>
    <xf numFmtId="3" fontId="6" fillId="4" borderId="31" xfId="0" applyNumberFormat="1" applyFont="1" applyFill="1" applyBorder="1" applyAlignment="1">
      <alignment vertical="center"/>
    </xf>
    <xf numFmtId="3" fontId="14" fillId="4" borderId="15" xfId="0" applyNumberFormat="1" applyFont="1" applyFill="1" applyBorder="1" applyAlignment="1">
      <alignment horizontal="center" vertical="center"/>
    </xf>
    <xf numFmtId="3" fontId="13" fillId="0" borderId="15" xfId="118" applyNumberFormat="1" applyFont="1" applyFill="1" applyBorder="1" applyAlignment="1">
      <alignment horizontal="right" vertical="center" wrapText="1"/>
      <protection/>
    </xf>
    <xf numFmtId="0" fontId="8" fillId="0" borderId="15" xfId="97" applyFont="1" applyFill="1" applyBorder="1" applyAlignment="1">
      <alignment horizontal="center"/>
      <protection/>
    </xf>
    <xf numFmtId="3" fontId="6" fillId="0" borderId="41" xfId="0" applyNumberFormat="1" applyFont="1" applyBorder="1" applyAlignment="1">
      <alignment vertical="center"/>
    </xf>
    <xf numFmtId="3" fontId="13" fillId="4" borderId="21" xfId="118" applyNumberFormat="1" applyFont="1" applyFill="1" applyBorder="1" applyAlignment="1">
      <alignment vertical="center"/>
      <protection/>
    </xf>
    <xf numFmtId="0" fontId="14" fillId="0" borderId="23" xfId="93" applyFont="1" applyBorder="1" applyAlignment="1">
      <alignment vertical="center"/>
      <protection/>
    </xf>
    <xf numFmtId="3" fontId="13" fillId="0" borderId="22" xfId="0" applyNumberFormat="1" applyFont="1" applyFill="1" applyBorder="1" applyAlignment="1">
      <alignment vertical="center"/>
    </xf>
    <xf numFmtId="3" fontId="13" fillId="4" borderId="22" xfId="0" applyNumberFormat="1" applyFont="1" applyFill="1" applyBorder="1" applyAlignment="1">
      <alignment vertical="center"/>
    </xf>
    <xf numFmtId="0" fontId="13" fillId="4" borderId="23" xfId="93" applyFont="1" applyFill="1" applyBorder="1" applyAlignment="1">
      <alignment vertical="center"/>
      <protection/>
    </xf>
    <xf numFmtId="3" fontId="7" fillId="4" borderId="31" xfId="0" applyNumberFormat="1" applyFont="1" applyFill="1" applyBorder="1" applyAlignment="1">
      <alignment vertical="center"/>
    </xf>
    <xf numFmtId="3" fontId="14" fillId="0" borderId="22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3" fontId="16" fillId="0" borderId="15" xfId="118" applyNumberFormat="1" applyFont="1" applyFill="1" applyBorder="1" applyAlignment="1">
      <alignment horizontal="right" vertical="center" wrapText="1"/>
      <protection/>
    </xf>
    <xf numFmtId="3" fontId="62" fillId="0" borderId="23" xfId="0" applyNumberFormat="1" applyFont="1" applyFill="1" applyBorder="1" applyAlignment="1">
      <alignment vertical="center"/>
    </xf>
    <xf numFmtId="0" fontId="8" fillId="4" borderId="15" xfId="97" applyFont="1" applyFill="1" applyBorder="1" applyAlignment="1">
      <alignment horizontal="center"/>
      <protection/>
    </xf>
    <xf numFmtId="0" fontId="9" fillId="4" borderId="15" xfId="97" applyFont="1" applyFill="1" applyBorder="1" applyAlignment="1">
      <alignment horizontal="center"/>
      <protection/>
    </xf>
    <xf numFmtId="0" fontId="63" fillId="4" borderId="22" xfId="0" applyFont="1" applyFill="1" applyBorder="1" applyAlignment="1">
      <alignment vertical="center"/>
    </xf>
    <xf numFmtId="0" fontId="13" fillId="4" borderId="42" xfId="0" applyFont="1" applyFill="1" applyBorder="1" applyAlignment="1">
      <alignment/>
    </xf>
    <xf numFmtId="0" fontId="13" fillId="4" borderId="43" xfId="0" applyFont="1" applyFill="1" applyBorder="1" applyAlignment="1">
      <alignment/>
    </xf>
    <xf numFmtId="0" fontId="13" fillId="4" borderId="44" xfId="0" applyFont="1" applyFill="1" applyBorder="1" applyAlignment="1">
      <alignment/>
    </xf>
    <xf numFmtId="0" fontId="8" fillId="4" borderId="10" xfId="97" applyFont="1" applyFill="1" applyBorder="1" applyAlignment="1">
      <alignment horizontal="center"/>
      <protection/>
    </xf>
    <xf numFmtId="0" fontId="8" fillId="4" borderId="28" xfId="97" applyFont="1" applyFill="1" applyBorder="1" applyAlignment="1">
      <alignment horizontal="center"/>
      <protection/>
    </xf>
    <xf numFmtId="0" fontId="8" fillId="4" borderId="11" xfId="97" applyFont="1" applyFill="1" applyBorder="1" applyAlignment="1">
      <alignment horizontal="centerContinuous" vertical="center"/>
      <protection/>
    </xf>
    <xf numFmtId="0" fontId="8" fillId="4" borderId="27" xfId="97" applyFont="1" applyFill="1" applyBorder="1" applyAlignment="1">
      <alignment horizontal="centerContinuous" vertical="center"/>
      <protection/>
    </xf>
    <xf numFmtId="0" fontId="8" fillId="4" borderId="28" xfId="97" applyFont="1" applyFill="1" applyBorder="1" applyAlignment="1">
      <alignment horizontal="centerContinuous" vertical="center"/>
      <protection/>
    </xf>
    <xf numFmtId="0" fontId="8" fillId="4" borderId="45" xfId="97" applyFont="1" applyFill="1" applyBorder="1" applyAlignment="1">
      <alignment horizontal="centerContinuous" vertical="center"/>
      <protection/>
    </xf>
    <xf numFmtId="0" fontId="9" fillId="4" borderId="13" xfId="97" applyFont="1" applyFill="1" applyBorder="1" applyAlignment="1">
      <alignment horizontal="center" vertical="top" wrapText="1"/>
      <protection/>
    </xf>
    <xf numFmtId="0" fontId="9" fillId="4" borderId="30" xfId="97" applyFont="1" applyFill="1" applyBorder="1" applyAlignment="1">
      <alignment horizontal="center" vertical="top" wrapText="1"/>
      <protection/>
    </xf>
    <xf numFmtId="0" fontId="9" fillId="4" borderId="14" xfId="97" applyFont="1" applyFill="1" applyBorder="1" applyAlignment="1">
      <alignment horizontal="center" vertical="top" wrapText="1"/>
      <protection/>
    </xf>
    <xf numFmtId="0" fontId="9" fillId="4" borderId="29" xfId="97" applyFont="1" applyFill="1" applyBorder="1" applyAlignment="1">
      <alignment horizontal="center" vertical="top"/>
      <protection/>
    </xf>
    <xf numFmtId="0" fontId="8" fillId="0" borderId="15" xfId="97" applyFont="1" applyFill="1" applyBorder="1" applyAlignment="1">
      <alignment vertical="top" wrapText="1"/>
      <protection/>
    </xf>
    <xf numFmtId="0" fontId="8" fillId="24" borderId="15" xfId="97" applyFont="1" applyFill="1" applyBorder="1" applyAlignment="1">
      <alignment horizontal="center"/>
      <protection/>
    </xf>
    <xf numFmtId="0" fontId="8" fillId="0" borderId="23" xfId="93" applyFont="1" applyBorder="1" applyAlignment="1">
      <alignment vertical="center"/>
      <protection/>
    </xf>
    <xf numFmtId="0" fontId="9" fillId="24" borderId="21" xfId="97" applyFont="1" applyFill="1" applyBorder="1" applyAlignment="1">
      <alignment vertical="center"/>
      <protection/>
    </xf>
    <xf numFmtId="0" fontId="8" fillId="24" borderId="36" xfId="97" applyFont="1" applyFill="1" applyBorder="1" applyAlignment="1">
      <alignment horizontal="center"/>
      <protection/>
    </xf>
    <xf numFmtId="0" fontId="8" fillId="24" borderId="46" xfId="97" applyFont="1" applyFill="1" applyBorder="1" applyAlignment="1">
      <alignment horizontal="center"/>
      <protection/>
    </xf>
    <xf numFmtId="0" fontId="8" fillId="0" borderId="47" xfId="0" applyFont="1" applyFill="1" applyBorder="1" applyAlignment="1">
      <alignment horizontal="left" vertical="center" wrapText="1"/>
    </xf>
    <xf numFmtId="49" fontId="0" fillId="0" borderId="23" xfId="106" applyNumberFormat="1" applyFont="1" applyFill="1" applyBorder="1" applyAlignment="1">
      <alignment horizontal="left" vertical="center" wrapText="1"/>
      <protection/>
    </xf>
    <xf numFmtId="3" fontId="8" fillId="0" borderId="48" xfId="0" applyNumberFormat="1" applyFont="1" applyFill="1" applyBorder="1" applyAlignment="1">
      <alignment horizontal="left" vertical="center" wrapText="1"/>
    </xf>
    <xf numFmtId="49" fontId="8" fillId="0" borderId="23" xfId="106" applyNumberFormat="1" applyFont="1" applyFill="1" applyBorder="1" applyAlignment="1">
      <alignment horizontal="left" vertical="center" wrapText="1"/>
      <protection/>
    </xf>
    <xf numFmtId="3" fontId="8" fillId="0" borderId="15" xfId="116" applyNumberFormat="1" applyFont="1" applyFill="1" applyBorder="1" applyAlignment="1">
      <alignment vertical="center"/>
      <protection/>
    </xf>
    <xf numFmtId="49" fontId="0" fillId="0" borderId="23" xfId="106" applyNumberFormat="1" applyFont="1" applyBorder="1" applyAlignment="1">
      <alignment horizontal="left" vertical="center" wrapText="1"/>
      <protection/>
    </xf>
    <xf numFmtId="0" fontId="8" fillId="0" borderId="48" xfId="0" applyFont="1" applyFill="1" applyBorder="1" applyAlignment="1">
      <alignment horizontal="left" vertical="center" wrapText="1"/>
    </xf>
    <xf numFmtId="49" fontId="8" fillId="0" borderId="23" xfId="108" applyNumberFormat="1" applyFont="1" applyFill="1" applyBorder="1" applyAlignment="1">
      <alignment horizontal="left" vertical="center" wrapText="1"/>
      <protection/>
    </xf>
    <xf numFmtId="0" fontId="8" fillId="0" borderId="22" xfId="0" applyFont="1" applyFill="1" applyBorder="1" applyAlignment="1">
      <alignment horizontal="left" vertical="center" wrapText="1"/>
    </xf>
    <xf numFmtId="3" fontId="8" fillId="0" borderId="23" xfId="106" applyNumberFormat="1" applyFont="1" applyFill="1" applyBorder="1" applyAlignment="1">
      <alignment vertical="center" wrapText="1"/>
      <protection/>
    </xf>
    <xf numFmtId="0" fontId="9" fillId="0" borderId="21" xfId="97" applyFont="1" applyFill="1" applyBorder="1" applyAlignment="1">
      <alignment vertical="center"/>
      <protection/>
    </xf>
    <xf numFmtId="0" fontId="8" fillId="0" borderId="23" xfId="113" applyFont="1" applyFill="1" applyBorder="1" applyAlignment="1">
      <alignment vertical="center" wrapText="1"/>
      <protection/>
    </xf>
    <xf numFmtId="0" fontId="8" fillId="24" borderId="21" xfId="97" applyFont="1" applyFill="1" applyBorder="1" applyAlignment="1">
      <alignment vertical="top"/>
      <protection/>
    </xf>
    <xf numFmtId="0" fontId="5" fillId="0" borderId="21" xfId="97" applyFont="1" applyBorder="1">
      <alignment/>
      <protection/>
    </xf>
    <xf numFmtId="3" fontId="14" fillId="0" borderId="15" xfId="97" applyNumberFormat="1" applyFont="1" applyBorder="1">
      <alignment/>
      <protection/>
    </xf>
    <xf numFmtId="49" fontId="8" fillId="0" borderId="49" xfId="105" applyNumberFormat="1" applyFont="1" applyFill="1" applyBorder="1" applyAlignment="1">
      <alignment horizontal="left" vertical="center" wrapText="1"/>
      <protection/>
    </xf>
    <xf numFmtId="0" fontId="5" fillId="0" borderId="0" xfId="97" applyFont="1" applyBorder="1">
      <alignment/>
      <protection/>
    </xf>
    <xf numFmtId="0" fontId="8" fillId="4" borderId="36" xfId="97" applyFont="1" applyFill="1" applyBorder="1" applyAlignment="1">
      <alignment/>
      <protection/>
    </xf>
    <xf numFmtId="0" fontId="8" fillId="4" borderId="46" xfId="97" applyFont="1" applyFill="1" applyBorder="1" applyAlignment="1">
      <alignment/>
      <protection/>
    </xf>
    <xf numFmtId="0" fontId="8" fillId="4" borderId="15" xfId="97" applyFont="1" applyFill="1" applyBorder="1" applyAlignment="1">
      <alignment horizontal="center" vertical="center"/>
      <protection/>
    </xf>
    <xf numFmtId="0" fontId="9" fillId="4" borderId="23" xfId="97" applyFont="1" applyFill="1" applyBorder="1" applyAlignment="1">
      <alignment vertical="center"/>
      <protection/>
    </xf>
    <xf numFmtId="0" fontId="9" fillId="4" borderId="21" xfId="97" applyFont="1" applyFill="1" applyBorder="1" applyAlignment="1">
      <alignment vertical="center"/>
      <protection/>
    </xf>
    <xf numFmtId="0" fontId="8" fillId="0" borderId="36" xfId="97" applyFont="1" applyFill="1" applyBorder="1" applyAlignment="1">
      <alignment/>
      <protection/>
    </xf>
    <xf numFmtId="0" fontId="8" fillId="0" borderId="46" xfId="97" applyFont="1" applyFill="1" applyBorder="1" applyAlignment="1">
      <alignment/>
      <protection/>
    </xf>
    <xf numFmtId="0" fontId="9" fillId="0" borderId="21" xfId="97" applyFont="1" applyFill="1" applyBorder="1" applyAlignment="1">
      <alignment horizontal="left" vertical="center"/>
      <protection/>
    </xf>
    <xf numFmtId="3" fontId="9" fillId="0" borderId="15" xfId="97" applyNumberFormat="1" applyFont="1" applyFill="1" applyBorder="1" applyAlignment="1">
      <alignment horizontal="right" vertical="center"/>
      <protection/>
    </xf>
    <xf numFmtId="49" fontId="8" fillId="0" borderId="23" xfId="0" applyNumberFormat="1" applyFont="1" applyFill="1" applyBorder="1" applyAlignment="1">
      <alignment horizontal="left" vertical="center" wrapText="1"/>
    </xf>
    <xf numFmtId="0" fontId="9" fillId="0" borderId="21" xfId="116" applyFont="1" applyFill="1" applyBorder="1" applyAlignment="1">
      <alignment vertical="center"/>
      <protection/>
    </xf>
    <xf numFmtId="0" fontId="8" fillId="0" borderId="23" xfId="99" applyFont="1" applyFill="1" applyBorder="1" applyAlignment="1">
      <alignment vertical="center" wrapText="1"/>
      <protection/>
    </xf>
    <xf numFmtId="49" fontId="0" fillId="0" borderId="23" xfId="0" applyNumberFormat="1" applyFont="1" applyBorder="1" applyAlignment="1">
      <alignment horizontal="left" vertical="center" wrapText="1"/>
    </xf>
    <xf numFmtId="0" fontId="9" fillId="0" borderId="23" xfId="97" applyFont="1" applyFill="1" applyBorder="1" applyAlignment="1">
      <alignment vertical="top"/>
      <protection/>
    </xf>
    <xf numFmtId="49" fontId="0" fillId="0" borderId="23" xfId="0" applyNumberFormat="1" applyFont="1" applyFill="1" applyBorder="1" applyAlignment="1">
      <alignment vertical="center" wrapText="1"/>
    </xf>
    <xf numFmtId="49" fontId="0" fillId="0" borderId="23" xfId="0" applyNumberFormat="1" applyFont="1" applyBorder="1" applyAlignment="1">
      <alignment vertical="center" wrapText="1"/>
    </xf>
    <xf numFmtId="0" fontId="8" fillId="0" borderId="23" xfId="97" applyFont="1" applyBorder="1">
      <alignment/>
      <protection/>
    </xf>
    <xf numFmtId="0" fontId="8" fillId="0" borderId="23" xfId="0" applyFont="1" applyBorder="1" applyAlignment="1">
      <alignment horizontal="left" wrapText="1"/>
    </xf>
    <xf numFmtId="0" fontId="8" fillId="0" borderId="23" xfId="0" applyFont="1" applyFill="1" applyBorder="1" applyAlignment="1">
      <alignment/>
    </xf>
    <xf numFmtId="3" fontId="8" fillId="0" borderId="23" xfId="106" applyNumberFormat="1" applyFont="1" applyBorder="1" applyAlignment="1">
      <alignment vertical="center" wrapText="1"/>
      <protection/>
    </xf>
    <xf numFmtId="0" fontId="8" fillId="0" borderId="23" xfId="113" applyFont="1" applyBorder="1" applyAlignment="1">
      <alignment vertical="center" wrapText="1"/>
      <protection/>
    </xf>
    <xf numFmtId="0" fontId="9" fillId="4" borderId="23" xfId="97" applyFont="1" applyFill="1" applyBorder="1" applyAlignment="1">
      <alignment horizontal="left" vertical="center"/>
      <protection/>
    </xf>
    <xf numFmtId="0" fontId="9" fillId="4" borderId="24" xfId="97" applyFont="1" applyFill="1" applyBorder="1" applyAlignment="1">
      <alignment horizontal="left" vertical="center"/>
      <protection/>
    </xf>
    <xf numFmtId="0" fontId="9" fillId="24" borderId="23" xfId="97" applyFont="1" applyFill="1" applyBorder="1" applyAlignment="1">
      <alignment horizontal="left" vertical="center"/>
      <protection/>
    </xf>
    <xf numFmtId="0" fontId="9" fillId="24" borderId="24" xfId="97" applyFont="1" applyFill="1" applyBorder="1" applyAlignment="1">
      <alignment horizontal="left" vertical="center"/>
      <protection/>
    </xf>
    <xf numFmtId="3" fontId="9" fillId="24" borderId="15" xfId="97" applyNumberFormat="1" applyFont="1" applyFill="1" applyBorder="1" applyAlignment="1">
      <alignment vertical="center"/>
      <protection/>
    </xf>
    <xf numFmtId="0" fontId="8" fillId="0" borderId="15" xfId="97" applyFont="1" applyFill="1" applyBorder="1" applyAlignment="1">
      <alignment/>
      <protection/>
    </xf>
    <xf numFmtId="49" fontId="8" fillId="0" borderId="23" xfId="118" applyNumberFormat="1" applyFont="1" applyFill="1" applyBorder="1" applyAlignment="1">
      <alignment horizontal="left" vertical="center"/>
      <protection/>
    </xf>
    <xf numFmtId="49" fontId="8" fillId="0" borderId="23" xfId="106" applyNumberFormat="1" applyFont="1" applyFill="1" applyBorder="1" applyAlignment="1">
      <alignment vertical="center" wrapText="1"/>
      <protection/>
    </xf>
    <xf numFmtId="0" fontId="5" fillId="0" borderId="0" xfId="97" applyFont="1">
      <alignment/>
      <protection/>
    </xf>
    <xf numFmtId="49" fontId="8" fillId="0" borderId="23" xfId="106" applyNumberFormat="1" applyFont="1" applyBorder="1" applyAlignment="1">
      <alignment horizontal="left" vertical="center" wrapText="1"/>
      <protection/>
    </xf>
    <xf numFmtId="2" fontId="8" fillId="0" borderId="23" xfId="92" applyNumberFormat="1" applyFont="1" applyFill="1" applyBorder="1" applyAlignment="1">
      <alignment vertical="center" wrapText="1"/>
      <protection/>
    </xf>
    <xf numFmtId="3" fontId="8" fillId="26" borderId="23" xfId="0" applyNumberFormat="1" applyFont="1" applyFill="1" applyBorder="1" applyAlignment="1">
      <alignment horizontal="left" vertical="center" wrapText="1"/>
    </xf>
    <xf numFmtId="3" fontId="8" fillId="0" borderId="23" xfId="0" applyNumberFormat="1" applyFont="1" applyFill="1" applyBorder="1" applyAlignment="1">
      <alignment horizontal="left" vertical="top" wrapText="1"/>
    </xf>
    <xf numFmtId="0" fontId="8" fillId="0" borderId="15" xfId="97" applyFont="1" applyBorder="1" applyAlignment="1">
      <alignment/>
      <protection/>
    </xf>
    <xf numFmtId="0" fontId="8" fillId="0" borderId="23" xfId="99" applyFont="1" applyFill="1" applyBorder="1" applyAlignment="1">
      <alignment horizontal="left" vertical="center" wrapText="1"/>
      <protection/>
    </xf>
    <xf numFmtId="0" fontId="8" fillId="26" borderId="23" xfId="99" applyFont="1" applyFill="1" applyBorder="1" applyAlignment="1">
      <alignment vertical="top" wrapText="1"/>
      <protection/>
    </xf>
    <xf numFmtId="0" fontId="9" fillId="0" borderId="24" xfId="97" applyFont="1" applyFill="1" applyBorder="1" applyAlignment="1">
      <alignment vertical="top"/>
      <protection/>
    </xf>
    <xf numFmtId="0" fontId="8" fillId="0" borderId="23" xfId="99" applyFont="1" applyFill="1" applyBorder="1" applyAlignment="1">
      <alignment vertical="top"/>
      <protection/>
    </xf>
    <xf numFmtId="0" fontId="8" fillId="0" borderId="23" xfId="92" applyFont="1" applyFill="1" applyBorder="1" applyAlignment="1">
      <alignment vertical="center" wrapText="1"/>
      <protection/>
    </xf>
    <xf numFmtId="0" fontId="8" fillId="24" borderId="15" xfId="97" applyFont="1" applyFill="1" applyBorder="1" applyAlignment="1">
      <alignment horizontal="left" vertical="top" wrapText="1"/>
      <protection/>
    </xf>
    <xf numFmtId="0" fontId="8" fillId="26" borderId="23" xfId="97" applyFont="1" applyFill="1" applyBorder="1" applyAlignment="1">
      <alignment vertical="top" wrapText="1"/>
      <protection/>
    </xf>
    <xf numFmtId="49" fontId="8" fillId="0" borderId="23" xfId="0" applyNumberFormat="1" applyFont="1" applyBorder="1" applyAlignment="1">
      <alignment horizontal="left" vertical="center" wrapText="1"/>
    </xf>
    <xf numFmtId="0" fontId="8" fillId="0" borderId="23" xfId="99" applyFont="1" applyFill="1" applyBorder="1" applyAlignment="1">
      <alignment horizontal="left" vertical="top"/>
      <protection/>
    </xf>
    <xf numFmtId="0" fontId="8" fillId="0" borderId="23" xfId="99" applyFont="1" applyFill="1" applyBorder="1" applyAlignment="1">
      <alignment vertical="top" wrapText="1"/>
      <protection/>
    </xf>
    <xf numFmtId="49" fontId="0" fillId="0" borderId="23" xfId="106" applyNumberFormat="1" applyFont="1" applyFill="1" applyBorder="1" applyAlignment="1">
      <alignment horizontal="left" vertical="center"/>
      <protection/>
    </xf>
    <xf numFmtId="0" fontId="8" fillId="26" borderId="23" xfId="97" applyFont="1" applyFill="1" applyBorder="1" applyAlignment="1">
      <alignment vertical="top"/>
      <protection/>
    </xf>
    <xf numFmtId="0" fontId="8" fillId="0" borderId="23" xfId="0" applyFont="1" applyFill="1" applyBorder="1" applyAlignment="1">
      <alignment vertical="center" wrapText="1"/>
    </xf>
    <xf numFmtId="0" fontId="8" fillId="4" borderId="15" xfId="97" applyFont="1" applyFill="1" applyBorder="1" applyAlignment="1">
      <alignment/>
      <protection/>
    </xf>
    <xf numFmtId="0" fontId="9" fillId="4" borderId="24" xfId="97" applyFont="1" applyFill="1" applyBorder="1" applyAlignment="1">
      <alignment vertical="center"/>
      <protection/>
    </xf>
    <xf numFmtId="0" fontId="9" fillId="0" borderId="23" xfId="97" applyFont="1" applyFill="1" applyBorder="1" applyAlignment="1">
      <alignment vertical="center"/>
      <protection/>
    </xf>
    <xf numFmtId="0" fontId="64" fillId="0" borderId="0" xfId="0" applyFont="1" applyAlignment="1">
      <alignment wrapText="1"/>
    </xf>
    <xf numFmtId="0" fontId="9" fillId="24" borderId="23" xfId="97" applyFont="1" applyFill="1" applyBorder="1" applyAlignment="1">
      <alignment vertical="center"/>
      <protection/>
    </xf>
    <xf numFmtId="0" fontId="8" fillId="0" borderId="15" xfId="97" applyFont="1" applyBorder="1" applyAlignment="1">
      <alignment horizontal="center"/>
      <protection/>
    </xf>
    <xf numFmtId="0" fontId="9" fillId="4" borderId="23" xfId="97" applyFont="1" applyFill="1" applyBorder="1">
      <alignment/>
      <protection/>
    </xf>
    <xf numFmtId="0" fontId="9" fillId="4" borderId="24" xfId="97" applyFont="1" applyFill="1" applyBorder="1">
      <alignment/>
      <protection/>
    </xf>
    <xf numFmtId="3" fontId="9" fillId="4" borderId="15" xfId="97" applyNumberFormat="1" applyFont="1" applyFill="1" applyBorder="1">
      <alignment/>
      <protection/>
    </xf>
    <xf numFmtId="0" fontId="9" fillId="4" borderId="23" xfId="93" applyFont="1" applyFill="1" applyBorder="1" applyAlignment="1">
      <alignment vertical="center" wrapText="1"/>
      <protection/>
    </xf>
    <xf numFmtId="3" fontId="8" fillId="0" borderId="15" xfId="97" applyNumberFormat="1" applyFont="1" applyBorder="1" applyAlignment="1">
      <alignment horizontal="center"/>
      <protection/>
    </xf>
    <xf numFmtId="16" fontId="8" fillId="0" borderId="15" xfId="97" applyNumberFormat="1" applyFont="1" applyBorder="1" applyAlignment="1">
      <alignment horizontal="center"/>
      <protection/>
    </xf>
    <xf numFmtId="0" fontId="8" fillId="0" borderId="24" xfId="97" applyFont="1" applyBorder="1">
      <alignment/>
      <protection/>
    </xf>
    <xf numFmtId="0" fontId="8" fillId="0" borderId="0" xfId="97" applyFont="1" applyAlignment="1">
      <alignment horizontal="left"/>
      <protection/>
    </xf>
    <xf numFmtId="0" fontId="13" fillId="4" borderId="28" xfId="116" applyFont="1" applyFill="1" applyBorder="1" applyAlignment="1">
      <alignment horizontal="center" vertical="center"/>
      <protection/>
    </xf>
    <xf numFmtId="0" fontId="13" fillId="4" borderId="30" xfId="116" applyFont="1" applyFill="1" applyBorder="1" applyAlignment="1">
      <alignment horizontal="center" vertical="top"/>
      <protection/>
    </xf>
    <xf numFmtId="0" fontId="13" fillId="0" borderId="50" xfId="116" applyFont="1" applyBorder="1" applyAlignment="1">
      <alignment vertical="center"/>
      <protection/>
    </xf>
    <xf numFmtId="3" fontId="13" fillId="0" borderId="23" xfId="116" applyNumberFormat="1" applyFont="1" applyFill="1" applyBorder="1" applyAlignment="1">
      <alignment vertical="center"/>
      <protection/>
    </xf>
    <xf numFmtId="0" fontId="14" fillId="0" borderId="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49" fontId="42" fillId="0" borderId="23" xfId="106" applyNumberFormat="1" applyFont="1" applyFill="1" applyBorder="1" applyAlignment="1">
      <alignment horizontal="left" vertical="center" wrapText="1"/>
      <protection/>
    </xf>
    <xf numFmtId="49" fontId="14" fillId="0" borderId="23" xfId="106" applyNumberFormat="1" applyFont="1" applyFill="1" applyBorder="1" applyAlignment="1">
      <alignment horizontal="left" vertical="center" wrapText="1"/>
      <protection/>
    </xf>
    <xf numFmtId="49" fontId="42" fillId="0" borderId="23" xfId="106" applyNumberFormat="1" applyFont="1" applyFill="1" applyBorder="1" applyAlignment="1">
      <alignment horizontal="left" vertical="center"/>
      <protection/>
    </xf>
    <xf numFmtId="49" fontId="42" fillId="0" borderId="23" xfId="106" applyNumberFormat="1" applyFont="1" applyFill="1" applyBorder="1" applyAlignment="1">
      <alignment vertical="center" wrapText="1"/>
      <protection/>
    </xf>
    <xf numFmtId="49" fontId="42" fillId="0" borderId="23" xfId="0" applyNumberFormat="1" applyFont="1" applyFill="1" applyBorder="1" applyAlignment="1">
      <alignment horizontal="left" vertical="center" wrapText="1"/>
    </xf>
    <xf numFmtId="49" fontId="42" fillId="0" borderId="51" xfId="106" applyNumberFormat="1" applyFont="1" applyFill="1" applyBorder="1" applyAlignment="1">
      <alignment horizontal="left" vertical="center" wrapText="1"/>
      <protection/>
    </xf>
    <xf numFmtId="49" fontId="42" fillId="0" borderId="0" xfId="106" applyNumberFormat="1" applyFont="1" applyFill="1" applyBorder="1" applyAlignment="1">
      <alignment horizontal="left" vertical="center" wrapText="1"/>
      <protection/>
    </xf>
    <xf numFmtId="0" fontId="14" fillId="0" borderId="52" xfId="116" applyFont="1" applyFill="1" applyBorder="1" applyAlignment="1">
      <alignment vertical="center"/>
      <protection/>
    </xf>
    <xf numFmtId="3" fontId="14" fillId="0" borderId="15" xfId="0" applyNumberFormat="1" applyFont="1" applyFill="1" applyBorder="1" applyAlignment="1">
      <alignment horizontal="left" vertical="center" wrapText="1"/>
    </xf>
    <xf numFmtId="0" fontId="14" fillId="0" borderId="23" xfId="116" applyFont="1" applyFill="1" applyBorder="1" applyAlignment="1">
      <alignment horizontal="left" vertical="center" wrapText="1"/>
      <protection/>
    </xf>
    <xf numFmtId="3" fontId="14" fillId="0" borderId="21" xfId="0" applyNumberFormat="1" applyFont="1" applyFill="1" applyBorder="1" applyAlignment="1">
      <alignment horizontal="left" vertical="center" wrapText="1"/>
    </xf>
    <xf numFmtId="0" fontId="14" fillId="0" borderId="23" xfId="105" applyFont="1" applyFill="1" applyBorder="1" applyAlignment="1">
      <alignment vertical="center" wrapText="1"/>
      <protection/>
    </xf>
    <xf numFmtId="0" fontId="14" fillId="0" borderId="23" xfId="105" applyFont="1" applyFill="1" applyBorder="1" applyAlignment="1">
      <alignment horizontal="left" vertical="center" wrapText="1"/>
      <protection/>
    </xf>
    <xf numFmtId="0" fontId="13" fillId="0" borderId="21" xfId="116" applyFont="1" applyFill="1" applyBorder="1" applyAlignment="1">
      <alignment vertical="center"/>
      <protection/>
    </xf>
    <xf numFmtId="0" fontId="13" fillId="0" borderId="15" xfId="116" applyFont="1" applyFill="1" applyBorder="1" applyAlignment="1">
      <alignment vertical="center"/>
      <protection/>
    </xf>
    <xf numFmtId="0" fontId="14" fillId="0" borderId="23" xfId="0" applyFont="1" applyFill="1" applyBorder="1" applyAlignment="1">
      <alignment horizontal="left" wrapText="1"/>
    </xf>
    <xf numFmtId="49" fontId="14" fillId="0" borderId="23" xfId="0" applyNumberFormat="1" applyFont="1" applyFill="1" applyBorder="1" applyAlignment="1">
      <alignment horizontal="left" vertical="center" wrapText="1"/>
    </xf>
    <xf numFmtId="0" fontId="14" fillId="0" borderId="23" xfId="116" applyFont="1" applyFill="1" applyBorder="1" applyAlignment="1">
      <alignment vertical="center"/>
      <protection/>
    </xf>
    <xf numFmtId="49" fontId="14" fillId="0" borderId="23" xfId="109" applyNumberFormat="1" applyFont="1" applyBorder="1" applyAlignment="1">
      <alignment horizontal="left" vertical="center" wrapText="1"/>
      <protection/>
    </xf>
    <xf numFmtId="49" fontId="42" fillId="0" borderId="23" xfId="0" applyNumberFormat="1" applyFont="1" applyFill="1" applyBorder="1" applyAlignment="1">
      <alignment vertical="center" wrapText="1"/>
    </xf>
    <xf numFmtId="0" fontId="14" fillId="0" borderId="21" xfId="116" applyFont="1" applyFill="1" applyBorder="1" applyAlignment="1">
      <alignment vertical="center"/>
      <protection/>
    </xf>
    <xf numFmtId="0" fontId="14" fillId="0" borderId="15" xfId="116" applyFont="1" applyFill="1" applyBorder="1" applyAlignment="1">
      <alignment vertical="center"/>
      <protection/>
    </xf>
    <xf numFmtId="0" fontId="6" fillId="0" borderId="15" xfId="116" applyFont="1" applyFill="1" applyBorder="1" applyAlignment="1">
      <alignment vertical="center"/>
      <protection/>
    </xf>
    <xf numFmtId="3" fontId="14" fillId="0" borderId="23" xfId="109" applyNumberFormat="1" applyFont="1" applyFill="1" applyBorder="1" applyAlignment="1">
      <alignment vertical="center" wrapText="1"/>
      <protection/>
    </xf>
    <xf numFmtId="3" fontId="42" fillId="0" borderId="23" xfId="0" applyNumberFormat="1" applyFont="1" applyFill="1" applyBorder="1" applyAlignment="1">
      <alignment vertical="center" wrapText="1"/>
    </xf>
    <xf numFmtId="3" fontId="14" fillId="0" borderId="23" xfId="109" applyNumberFormat="1" applyFont="1" applyFill="1" applyBorder="1" applyAlignment="1">
      <alignment horizontal="left" vertical="center" wrapText="1"/>
      <protection/>
    </xf>
    <xf numFmtId="49" fontId="14" fillId="0" borderId="23" xfId="109" applyNumberFormat="1" applyFont="1" applyFill="1" applyBorder="1" applyAlignment="1">
      <alignment vertical="center" wrapText="1"/>
      <protection/>
    </xf>
    <xf numFmtId="49" fontId="14" fillId="0" borderId="23" xfId="109" applyNumberFormat="1" applyFont="1" applyFill="1" applyBorder="1" applyAlignment="1">
      <alignment horizontal="left" vertical="center" wrapText="1"/>
      <protection/>
    </xf>
    <xf numFmtId="49" fontId="14" fillId="0" borderId="23" xfId="109" applyNumberFormat="1" applyFont="1" applyBorder="1" applyAlignment="1">
      <alignment horizontal="left" vertical="center" wrapText="1"/>
      <protection/>
    </xf>
    <xf numFmtId="0" fontId="14" fillId="0" borderId="23" xfId="97" applyFont="1" applyFill="1" applyBorder="1" applyAlignment="1">
      <alignment horizontal="left" vertical="center"/>
      <protection/>
    </xf>
    <xf numFmtId="0" fontId="14" fillId="0" borderId="23" xfId="0" applyFont="1" applyBorder="1" applyAlignment="1">
      <alignment horizontal="left" wrapText="1"/>
    </xf>
    <xf numFmtId="0" fontId="14" fillId="0" borderId="23" xfId="0" applyFont="1" applyFill="1" applyBorder="1" applyAlignment="1">
      <alignment/>
    </xf>
    <xf numFmtId="0" fontId="9" fillId="0" borderId="23" xfId="116" applyFont="1" applyFill="1" applyBorder="1" applyAlignment="1">
      <alignment vertical="center" wrapText="1"/>
      <protection/>
    </xf>
    <xf numFmtId="3" fontId="42" fillId="0" borderId="23" xfId="0" applyNumberFormat="1" applyFont="1" applyFill="1" applyBorder="1" applyAlignment="1">
      <alignment horizontal="left" vertical="center" wrapText="1"/>
    </xf>
    <xf numFmtId="3" fontId="14" fillId="0" borderId="23" xfId="106" applyNumberFormat="1" applyFont="1" applyFill="1" applyBorder="1" applyAlignment="1">
      <alignment vertical="center" wrapText="1"/>
      <protection/>
    </xf>
    <xf numFmtId="0" fontId="14" fillId="24" borderId="23" xfId="97" applyFont="1" applyFill="1" applyBorder="1" applyAlignment="1">
      <alignment vertical="top" wrapText="1"/>
      <protection/>
    </xf>
    <xf numFmtId="0" fontId="9" fillId="4" borderId="23" xfId="116" applyFont="1" applyFill="1" applyBorder="1" applyAlignment="1">
      <alignment vertical="center" wrapText="1"/>
      <protection/>
    </xf>
    <xf numFmtId="3" fontId="13" fillId="4" borderId="15" xfId="116" applyNumberFormat="1" applyFont="1" applyFill="1" applyBorder="1" applyAlignment="1">
      <alignment vertical="center" wrapText="1"/>
      <protection/>
    </xf>
    <xf numFmtId="3" fontId="13" fillId="0" borderId="15" xfId="116" applyNumberFormat="1" applyFont="1" applyFill="1" applyBorder="1" applyAlignment="1">
      <alignment vertical="center" wrapText="1"/>
      <protection/>
    </xf>
    <xf numFmtId="3" fontId="14" fillId="0" borderId="15" xfId="116" applyNumberFormat="1" applyFont="1" applyFill="1" applyBorder="1" applyAlignment="1">
      <alignment vertical="center" wrapText="1"/>
      <protection/>
    </xf>
    <xf numFmtId="0" fontId="9" fillId="0" borderId="23" xfId="116" applyFont="1" applyFill="1" applyBorder="1" applyAlignment="1">
      <alignment horizontal="left" vertical="center"/>
      <protection/>
    </xf>
    <xf numFmtId="3" fontId="14" fillId="0" borderId="15" xfId="116" applyNumberFormat="1" applyFont="1" applyFill="1" applyBorder="1" applyAlignment="1">
      <alignment vertical="center" wrapText="1"/>
      <protection/>
    </xf>
    <xf numFmtId="3" fontId="9" fillId="4" borderId="15" xfId="116" applyNumberFormat="1" applyFont="1" applyFill="1" applyBorder="1" applyAlignment="1">
      <alignment vertical="center"/>
      <protection/>
    </xf>
    <xf numFmtId="0" fontId="8" fillId="24" borderId="15" xfId="116" applyNumberFormat="1" applyFont="1" applyFill="1" applyBorder="1" applyAlignment="1">
      <alignment horizontal="center" vertical="center"/>
      <protection/>
    </xf>
    <xf numFmtId="3" fontId="14" fillId="24" borderId="15" xfId="97" applyNumberFormat="1" applyFont="1" applyFill="1" applyBorder="1" applyAlignment="1">
      <alignment vertical="center"/>
      <protection/>
    </xf>
    <xf numFmtId="3" fontId="13" fillId="4" borderId="53" xfId="0" applyNumberFormat="1" applyFont="1" applyFill="1" applyBorder="1" applyAlignment="1">
      <alignment horizontal="center" vertical="center" wrapText="1"/>
    </xf>
    <xf numFmtId="0" fontId="13" fillId="4" borderId="53" xfId="111" applyFont="1" applyFill="1" applyBorder="1" applyAlignment="1">
      <alignment horizontal="center" vertical="center" wrapText="1"/>
      <protection/>
    </xf>
    <xf numFmtId="3" fontId="13" fillId="4" borderId="53" xfId="0" applyNumberFormat="1" applyFont="1" applyFill="1" applyBorder="1" applyAlignment="1">
      <alignment horizontal="centerContinuous" vertical="center" wrapText="1"/>
    </xf>
    <xf numFmtId="3" fontId="8" fillId="0" borderId="35" xfId="0" applyNumberFormat="1" applyFont="1" applyFill="1" applyBorder="1" applyAlignment="1">
      <alignment horizontal="right" vertical="center" wrapText="1"/>
    </xf>
    <xf numFmtId="0" fontId="14" fillId="0" borderId="23" xfId="0" applyFont="1" applyFill="1" applyBorder="1" applyAlignment="1">
      <alignment horizontal="left" wrapText="1"/>
    </xf>
    <xf numFmtId="3" fontId="14" fillId="0" borderId="23" xfId="0" applyNumberFormat="1" applyFont="1" applyFill="1" applyBorder="1" applyAlignment="1">
      <alignment horizontal="left" vertical="center"/>
    </xf>
    <xf numFmtId="0" fontId="9" fillId="0" borderId="15" xfId="97" applyFont="1" applyFill="1" applyBorder="1" applyAlignment="1">
      <alignment horizontal="center" vertical="top" wrapText="1"/>
      <protection/>
    </xf>
    <xf numFmtId="0" fontId="14" fillId="0" borderId="23" xfId="97" applyFont="1" applyFill="1" applyBorder="1" applyAlignment="1">
      <alignment vertical="top" wrapText="1"/>
      <protection/>
    </xf>
    <xf numFmtId="3" fontId="17" fillId="0" borderId="23" xfId="0" applyNumberFormat="1" applyFont="1" applyBorder="1" applyAlignment="1">
      <alignment vertical="center"/>
    </xf>
    <xf numFmtId="49" fontId="0" fillId="0" borderId="23" xfId="0" applyNumberFormat="1" applyFont="1" applyFill="1" applyBorder="1" applyAlignment="1">
      <alignment horizontal="left" vertical="center" wrapText="1"/>
    </xf>
    <xf numFmtId="3" fontId="8" fillId="0" borderId="23" xfId="118" applyNumberFormat="1" applyFont="1" applyFill="1" applyBorder="1" applyAlignment="1">
      <alignment vertical="center"/>
      <protection/>
    </xf>
    <xf numFmtId="3" fontId="14" fillId="0" borderId="23" xfId="0" applyNumberFormat="1" applyFont="1" applyBorder="1" applyAlignment="1">
      <alignment horizontal="left" vertical="center"/>
    </xf>
    <xf numFmtId="3" fontId="14" fillId="24" borderId="23" xfId="0" applyNumberFormat="1" applyFont="1" applyFill="1" applyBorder="1" applyAlignment="1">
      <alignment vertical="center"/>
    </xf>
    <xf numFmtId="3" fontId="14" fillId="24" borderId="24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horizontal="left" vertical="center"/>
    </xf>
    <xf numFmtId="3" fontId="14" fillId="0" borderId="24" xfId="0" applyNumberFormat="1" applyFont="1" applyFill="1" applyBorder="1" applyAlignment="1">
      <alignment horizontal="left" vertical="center"/>
    </xf>
    <xf numFmtId="0" fontId="14" fillId="0" borderId="22" xfId="0" applyFont="1" applyBorder="1" applyAlignment="1">
      <alignment vertical="center" wrapText="1"/>
    </xf>
    <xf numFmtId="0" fontId="14" fillId="0" borderId="24" xfId="0" applyFont="1" applyFill="1" applyBorder="1" applyAlignment="1">
      <alignment horizontal="left" vertical="center"/>
    </xf>
    <xf numFmtId="3" fontId="14" fillId="0" borderId="21" xfId="0" applyNumberFormat="1" applyFont="1" applyFill="1" applyBorder="1" applyAlignment="1">
      <alignment horizontal="left" vertical="center"/>
    </xf>
    <xf numFmtId="3" fontId="59" fillId="0" borderId="0" xfId="0" applyNumberFormat="1" applyFont="1" applyBorder="1" applyAlignment="1">
      <alignment vertical="center"/>
    </xf>
    <xf numFmtId="0" fontId="8" fillId="0" borderId="0" xfId="97" applyFont="1" applyAlignment="1">
      <alignment vertical="center"/>
      <protection/>
    </xf>
    <xf numFmtId="3" fontId="9" fillId="0" borderId="15" xfId="113" applyNumberFormat="1" applyFont="1" applyBorder="1" applyAlignment="1">
      <alignment vertical="center"/>
      <protection/>
    </xf>
    <xf numFmtId="3" fontId="8" fillId="0" borderId="15" xfId="68" applyNumberFormat="1" applyFont="1" applyBorder="1" applyAlignment="1">
      <alignment vertical="center"/>
    </xf>
    <xf numFmtId="3" fontId="8" fillId="25" borderId="15" xfId="68" applyNumberFormat="1" applyFont="1" applyFill="1" applyBorder="1" applyAlignment="1">
      <alignment vertical="center"/>
    </xf>
    <xf numFmtId="3" fontId="9" fillId="4" borderId="15" xfId="113" applyNumberFormat="1" applyFont="1" applyFill="1" applyBorder="1" applyAlignment="1">
      <alignment vertical="center"/>
      <protection/>
    </xf>
    <xf numFmtId="3" fontId="9" fillId="4" borderId="15" xfId="68" applyNumberFormat="1" applyFont="1" applyFill="1" applyBorder="1" applyAlignment="1">
      <alignment vertical="center"/>
    </xf>
    <xf numFmtId="3" fontId="8" fillId="0" borderId="15" xfId="113" applyNumberFormat="1" applyFont="1" applyBorder="1" applyAlignment="1">
      <alignment vertical="center" wrapText="1"/>
      <protection/>
    </xf>
    <xf numFmtId="3" fontId="8" fillId="0" borderId="24" xfId="68" applyNumberFormat="1" applyFont="1" applyBorder="1" applyAlignment="1">
      <alignment vertical="center"/>
    </xf>
    <xf numFmtId="3" fontId="9" fillId="0" borderId="15" xfId="113" applyNumberFormat="1" applyFont="1" applyFill="1" applyBorder="1" applyAlignment="1">
      <alignment vertical="center"/>
      <protection/>
    </xf>
    <xf numFmtId="3" fontId="9" fillId="0" borderId="15" xfId="68" applyNumberFormat="1" applyFont="1" applyFill="1" applyBorder="1" applyAlignment="1">
      <alignment vertical="center"/>
    </xf>
    <xf numFmtId="3" fontId="8" fillId="0" borderId="15" xfId="113" applyNumberFormat="1" applyFont="1" applyFill="1" applyBorder="1" applyAlignment="1">
      <alignment vertical="center"/>
      <protection/>
    </xf>
    <xf numFmtId="3" fontId="8" fillId="0" borderId="15" xfId="68" applyNumberFormat="1" applyFont="1" applyFill="1" applyBorder="1" applyAlignment="1">
      <alignment vertical="center"/>
    </xf>
    <xf numFmtId="3" fontId="9" fillId="4" borderId="15" xfId="93" applyNumberFormat="1" applyFont="1" applyFill="1" applyBorder="1" applyAlignment="1">
      <alignment vertical="center" wrapText="1"/>
      <protection/>
    </xf>
    <xf numFmtId="3" fontId="8" fillId="0" borderId="23" xfId="118" applyNumberFormat="1" applyFont="1" applyFill="1" applyBorder="1" applyAlignment="1">
      <alignment horizontal="left" vertical="center" wrapText="1"/>
      <protection/>
    </xf>
    <xf numFmtId="49" fontId="8" fillId="0" borderId="22" xfId="0" applyNumberFormat="1" applyFont="1" applyFill="1" applyBorder="1" applyAlignment="1">
      <alignment horizontal="left" vertical="top" wrapText="1"/>
    </xf>
    <xf numFmtId="3" fontId="14" fillId="0" borderId="15" xfId="115" applyNumberFormat="1" applyFont="1" applyFill="1" applyBorder="1" applyAlignment="1">
      <alignment vertical="center" wrapText="1"/>
      <protection/>
    </xf>
    <xf numFmtId="0" fontId="5" fillId="0" borderId="15" xfId="96" applyBorder="1" applyAlignment="1">
      <alignment vertical="center"/>
      <protection/>
    </xf>
    <xf numFmtId="3" fontId="8" fillId="0" borderId="15" xfId="0" applyNumberFormat="1" applyFont="1" applyFill="1" applyBorder="1" applyAlignment="1">
      <alignment vertical="center"/>
    </xf>
    <xf numFmtId="3" fontId="8" fillId="24" borderId="15" xfId="116" applyNumberFormat="1" applyFont="1" applyFill="1" applyBorder="1" applyAlignment="1">
      <alignment vertical="center"/>
      <protection/>
    </xf>
    <xf numFmtId="3" fontId="8" fillId="0" borderId="15" xfId="118" applyNumberFormat="1" applyFont="1" applyFill="1" applyBorder="1" applyAlignment="1">
      <alignment horizontal="right" vertical="center" wrapText="1"/>
      <protection/>
    </xf>
    <xf numFmtId="3" fontId="8" fillId="0" borderId="15" xfId="118" applyNumberFormat="1" applyFont="1" applyBorder="1" applyAlignment="1">
      <alignment horizontal="right" vertical="center" wrapText="1"/>
      <protection/>
    </xf>
    <xf numFmtId="0" fontId="65" fillId="28" borderId="54" xfId="101" applyFont="1" applyFill="1" applyBorder="1" applyAlignment="1">
      <alignment vertical="center"/>
      <protection/>
    </xf>
    <xf numFmtId="0" fontId="61" fillId="28" borderId="55" xfId="101" applyFont="1" applyFill="1" applyBorder="1" applyAlignment="1">
      <alignment horizontal="center" vertical="top"/>
      <protection/>
    </xf>
    <xf numFmtId="3" fontId="61" fillId="28" borderId="56" xfId="101" applyNumberFormat="1" applyFont="1" applyFill="1" applyBorder="1" applyAlignment="1">
      <alignment horizontal="center" vertical="center" wrapText="1"/>
      <protection/>
    </xf>
    <xf numFmtId="3" fontId="61" fillId="28" borderId="57" xfId="101" applyNumberFormat="1" applyFont="1" applyFill="1" applyBorder="1" applyAlignment="1">
      <alignment horizontal="center" vertical="center" wrapText="1"/>
      <protection/>
    </xf>
    <xf numFmtId="3" fontId="61" fillId="28" borderId="58" xfId="101" applyNumberFormat="1" applyFont="1" applyFill="1" applyBorder="1" applyAlignment="1">
      <alignment horizontal="center" vertical="center" wrapText="1"/>
      <protection/>
    </xf>
    <xf numFmtId="0" fontId="60" fillId="0" borderId="59" xfId="101" applyFont="1" applyBorder="1" applyAlignment="1">
      <alignment vertical="center"/>
      <protection/>
    </xf>
    <xf numFmtId="3" fontId="65" fillId="0" borderId="59" xfId="101" applyNumberFormat="1" applyFont="1" applyFill="1" applyBorder="1" applyAlignment="1">
      <alignment vertical="center"/>
      <protection/>
    </xf>
    <xf numFmtId="0" fontId="65" fillId="0" borderId="59" xfId="101" applyFont="1" applyBorder="1" applyAlignment="1">
      <alignment vertical="center"/>
      <protection/>
    </xf>
    <xf numFmtId="4" fontId="65" fillId="0" borderId="59" xfId="101" applyNumberFormat="1" applyFont="1" applyFill="1" applyBorder="1" applyAlignment="1">
      <alignment vertical="center"/>
      <protection/>
    </xf>
    <xf numFmtId="0" fontId="65" fillId="0" borderId="59" xfId="101" applyFont="1" applyBorder="1" applyAlignment="1">
      <alignment vertical="center" wrapText="1"/>
      <protection/>
    </xf>
    <xf numFmtId="0" fontId="65" fillId="0" borderId="60" xfId="101" applyFont="1" applyBorder="1" applyAlignment="1">
      <alignment vertical="center"/>
      <protection/>
    </xf>
    <xf numFmtId="3" fontId="65" fillId="0" borderId="59" xfId="101" applyNumberFormat="1" applyFont="1" applyBorder="1" applyAlignment="1">
      <alignment vertical="center"/>
      <protection/>
    </xf>
    <xf numFmtId="3" fontId="65" fillId="0" borderId="59" xfId="101" applyNumberFormat="1" applyFont="1" applyBorder="1" applyAlignment="1">
      <alignment horizontal="right" vertical="center"/>
      <protection/>
    </xf>
    <xf numFmtId="0" fontId="66" fillId="0" borderId="59" xfId="101" applyFont="1" applyBorder="1" applyAlignment="1">
      <alignment vertical="center"/>
      <protection/>
    </xf>
    <xf numFmtId="0" fontId="66" fillId="0" borderId="59" xfId="101" applyFont="1" applyFill="1" applyBorder="1" applyAlignment="1">
      <alignment vertical="center"/>
      <protection/>
    </xf>
    <xf numFmtId="179" fontId="65" fillId="0" borderId="59" xfId="101" applyNumberFormat="1" applyFont="1" applyBorder="1" applyAlignment="1">
      <alignment vertical="center"/>
      <protection/>
    </xf>
    <xf numFmtId="0" fontId="60" fillId="0" borderId="59" xfId="101" applyFont="1" applyBorder="1" applyAlignment="1">
      <alignment vertical="center" wrapText="1"/>
      <protection/>
    </xf>
    <xf numFmtId="3" fontId="65" fillId="0" borderId="59" xfId="101" applyNumberFormat="1" applyFont="1" applyFill="1" applyBorder="1" applyAlignment="1">
      <alignment horizontal="right" vertical="center"/>
      <protection/>
    </xf>
    <xf numFmtId="0" fontId="65" fillId="0" borderId="59" xfId="101" applyFont="1" applyFill="1" applyBorder="1" applyAlignment="1">
      <alignment vertical="center"/>
      <protection/>
    </xf>
    <xf numFmtId="0" fontId="60" fillId="0" borderId="59" xfId="101" applyFont="1" applyFill="1" applyBorder="1" applyAlignment="1">
      <alignment vertical="center"/>
      <protection/>
    </xf>
    <xf numFmtId="3" fontId="61" fillId="0" borderId="59" xfId="101" applyNumberFormat="1" applyFont="1" applyBorder="1" applyAlignment="1">
      <alignment vertical="center"/>
      <protection/>
    </xf>
    <xf numFmtId="3" fontId="61" fillId="0" borderId="59" xfId="101" applyNumberFormat="1" applyFont="1" applyFill="1" applyBorder="1" applyAlignment="1">
      <alignment vertical="center"/>
      <protection/>
    </xf>
    <xf numFmtId="179" fontId="65" fillId="0" borderId="59" xfId="101" applyNumberFormat="1" applyFont="1" applyFill="1" applyBorder="1" applyAlignment="1">
      <alignment vertical="center"/>
      <protection/>
    </xf>
    <xf numFmtId="0" fontId="61" fillId="28" borderId="59" xfId="101" applyFont="1" applyFill="1" applyBorder="1" applyAlignment="1">
      <alignment vertical="center"/>
      <protection/>
    </xf>
    <xf numFmtId="3" fontId="61" fillId="28" borderId="59" xfId="101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 wrapText="1"/>
    </xf>
    <xf numFmtId="0" fontId="14" fillId="0" borderId="24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" fontId="8" fillId="0" borderId="24" xfId="118" applyNumberFormat="1" applyFont="1" applyFill="1" applyBorder="1" applyAlignment="1">
      <alignment horizontal="center" vertical="center"/>
      <protection/>
    </xf>
    <xf numFmtId="3" fontId="14" fillId="0" borderId="2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24" borderId="24" xfId="0" applyFont="1" applyFill="1" applyBorder="1" applyAlignment="1">
      <alignment horizontal="center" vertical="center"/>
    </xf>
    <xf numFmtId="3" fontId="14" fillId="24" borderId="24" xfId="0" applyNumberFormat="1" applyFont="1" applyFill="1" applyBorder="1" applyAlignment="1">
      <alignment horizontal="center" vertical="center"/>
    </xf>
    <xf numFmtId="3" fontId="14" fillId="4" borderId="22" xfId="0" applyNumberFormat="1" applyFont="1" applyFill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3" fontId="13" fillId="0" borderId="24" xfId="0" applyNumberFormat="1" applyFont="1" applyFill="1" applyBorder="1" applyAlignment="1">
      <alignment horizontal="center" vertical="center"/>
    </xf>
    <xf numFmtId="3" fontId="13" fillId="0" borderId="22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wrapText="1"/>
    </xf>
    <xf numFmtId="3" fontId="14" fillId="0" borderId="22" xfId="0" applyNumberFormat="1" applyFont="1" applyFill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3" fontId="13" fillId="4" borderId="22" xfId="0" applyNumberFormat="1" applyFont="1" applyFill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63" fillId="4" borderId="2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3" fontId="13" fillId="4" borderId="24" xfId="0" applyNumberFormat="1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8" fillId="0" borderId="15" xfId="93" applyFont="1" applyFill="1" applyBorder="1" applyAlignment="1">
      <alignment horizontal="left" vertical="center" wrapText="1"/>
      <protection/>
    </xf>
    <xf numFmtId="3" fontId="8" fillId="0" borderId="23" xfId="0" applyNumberFormat="1" applyFont="1" applyFill="1" applyBorder="1" applyAlignment="1">
      <alignment horizontal="left" vertical="center"/>
    </xf>
    <xf numFmtId="3" fontId="41" fillId="0" borderId="35" xfId="0" applyNumberFormat="1" applyFont="1" applyFill="1" applyBorder="1" applyAlignment="1">
      <alignment horizontal="right" vertical="center" wrapText="1"/>
    </xf>
    <xf numFmtId="3" fontId="41" fillId="0" borderId="15" xfId="113" applyNumberFormat="1" applyFont="1" applyFill="1" applyBorder="1" applyAlignment="1">
      <alignment horizontal="right" vertical="center"/>
      <protection/>
    </xf>
    <xf numFmtId="3" fontId="8" fillId="0" borderId="15" xfId="0" applyNumberFormat="1" applyFont="1" applyFill="1" applyBorder="1" applyAlignment="1">
      <alignment horizontal="left" vertical="center" wrapText="1"/>
    </xf>
    <xf numFmtId="0" fontId="8" fillId="0" borderId="15" xfId="97" applyFont="1" applyFill="1" applyBorder="1" applyAlignment="1">
      <alignment horizontal="left" vertical="center"/>
      <protection/>
    </xf>
    <xf numFmtId="0" fontId="8" fillId="0" borderId="35" xfId="97" applyFont="1" applyFill="1" applyBorder="1" applyAlignment="1">
      <alignment vertical="top" wrapText="1"/>
      <protection/>
    </xf>
    <xf numFmtId="0" fontId="9" fillId="0" borderId="61" xfId="97" applyFont="1" applyFill="1" applyBorder="1" applyAlignment="1">
      <alignment horizontal="left" vertical="top"/>
      <protection/>
    </xf>
    <xf numFmtId="0" fontId="9" fillId="0" borderId="22" xfId="97" applyFont="1" applyFill="1" applyBorder="1" applyAlignment="1">
      <alignment horizontal="left" vertical="top"/>
      <protection/>
    </xf>
    <xf numFmtId="0" fontId="9" fillId="4" borderId="30" xfId="97" applyFont="1" applyFill="1" applyBorder="1" applyAlignment="1">
      <alignment horizontal="center" vertical="top"/>
      <protection/>
    </xf>
    <xf numFmtId="0" fontId="14" fillId="0" borderId="48" xfId="0" applyFont="1" applyFill="1" applyBorder="1" applyAlignment="1">
      <alignment horizontal="left" vertical="center" wrapText="1"/>
    </xf>
    <xf numFmtId="0" fontId="14" fillId="0" borderId="47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3" fillId="0" borderId="62" xfId="116" applyFont="1" applyFill="1" applyBorder="1" applyAlignment="1">
      <alignment vertical="center"/>
      <protection/>
    </xf>
    <xf numFmtId="0" fontId="13" fillId="4" borderId="21" xfId="116" applyFont="1" applyFill="1" applyBorder="1" applyAlignment="1">
      <alignment vertical="center"/>
      <protection/>
    </xf>
    <xf numFmtId="0" fontId="13" fillId="24" borderId="21" xfId="116" applyFont="1" applyFill="1" applyBorder="1" applyAlignment="1">
      <alignment vertical="center"/>
      <protection/>
    </xf>
    <xf numFmtId="0" fontId="9" fillId="4" borderId="21" xfId="116" applyFont="1" applyFill="1" applyBorder="1" applyAlignment="1">
      <alignment vertical="center" wrapText="1"/>
      <protection/>
    </xf>
    <xf numFmtId="0" fontId="9" fillId="0" borderId="21" xfId="116" applyFont="1" applyFill="1" applyBorder="1" applyAlignment="1">
      <alignment vertical="center" wrapText="1"/>
      <protection/>
    </xf>
    <xf numFmtId="0" fontId="8" fillId="0" borderId="21" xfId="116" applyFont="1" applyFill="1" applyBorder="1" applyAlignment="1">
      <alignment vertical="center" wrapText="1"/>
      <protection/>
    </xf>
    <xf numFmtId="0" fontId="9" fillId="0" borderId="21" xfId="116" applyFont="1" applyBorder="1" applyAlignment="1">
      <alignment vertical="center"/>
      <protection/>
    </xf>
    <xf numFmtId="0" fontId="8" fillId="0" borderId="21" xfId="116" applyFont="1" applyBorder="1" applyAlignment="1">
      <alignment vertical="center"/>
      <protection/>
    </xf>
    <xf numFmtId="0" fontId="9" fillId="4" borderId="21" xfId="116" applyFont="1" applyFill="1" applyBorder="1" applyAlignment="1">
      <alignment vertical="center"/>
      <protection/>
    </xf>
    <xf numFmtId="0" fontId="8" fillId="24" borderId="21" xfId="116" applyFont="1" applyFill="1" applyBorder="1" applyAlignment="1">
      <alignment vertical="center"/>
      <protection/>
    </xf>
    <xf numFmtId="0" fontId="14" fillId="24" borderId="15" xfId="116" applyFont="1" applyFill="1" applyBorder="1" applyAlignment="1">
      <alignment vertical="center"/>
      <protection/>
    </xf>
    <xf numFmtId="0" fontId="14" fillId="4" borderId="15" xfId="116" applyFont="1" applyFill="1" applyBorder="1" applyAlignment="1">
      <alignment vertical="center"/>
      <protection/>
    </xf>
    <xf numFmtId="0" fontId="8" fillId="4" borderId="15" xfId="116" applyFont="1" applyFill="1" applyBorder="1" applyAlignment="1">
      <alignment vertical="center" wrapText="1"/>
      <protection/>
    </xf>
    <xf numFmtId="0" fontId="8" fillId="0" borderId="15" xfId="116" applyFont="1" applyFill="1" applyBorder="1" applyAlignment="1">
      <alignment vertical="center" wrapText="1"/>
      <protection/>
    </xf>
    <xf numFmtId="0" fontId="8" fillId="0" borderId="15" xfId="116" applyFont="1" applyBorder="1" applyAlignment="1">
      <alignment vertical="center"/>
      <protection/>
    </xf>
    <xf numFmtId="0" fontId="9" fillId="4" borderId="15" xfId="116" applyFont="1" applyFill="1" applyBorder="1" applyAlignment="1">
      <alignment vertical="center"/>
      <protection/>
    </xf>
    <xf numFmtId="0" fontId="8" fillId="24" borderId="15" xfId="116" applyFont="1" applyFill="1" applyBorder="1" applyAlignment="1">
      <alignment vertical="center"/>
      <protection/>
    </xf>
    <xf numFmtId="0" fontId="14" fillId="0" borderId="35" xfId="116" applyFont="1" applyBorder="1" applyAlignment="1">
      <alignment horizontal="center" vertical="center"/>
      <protection/>
    </xf>
    <xf numFmtId="0" fontId="9" fillId="0" borderId="61" xfId="116" applyFont="1" applyBorder="1" applyAlignment="1">
      <alignment vertical="center"/>
      <protection/>
    </xf>
    <xf numFmtId="0" fontId="14" fillId="0" borderId="35" xfId="116" applyFont="1" applyBorder="1" applyAlignment="1">
      <alignment vertical="center"/>
      <protection/>
    </xf>
    <xf numFmtId="3" fontId="8" fillId="0" borderId="35" xfId="97" applyNumberFormat="1" applyFont="1" applyFill="1" applyBorder="1" applyAlignment="1">
      <alignment vertical="center"/>
      <protection/>
    </xf>
    <xf numFmtId="3" fontId="8" fillId="0" borderId="61" xfId="97" applyNumberFormat="1" applyFont="1" applyFill="1" applyBorder="1" applyAlignment="1">
      <alignment vertical="center"/>
      <protection/>
    </xf>
    <xf numFmtId="0" fontId="13" fillId="4" borderId="29" xfId="116" applyFont="1" applyFill="1" applyBorder="1" applyAlignment="1">
      <alignment horizontal="center" vertical="top"/>
      <protection/>
    </xf>
    <xf numFmtId="3" fontId="8" fillId="0" borderId="15" xfId="0" applyNumberFormat="1" applyFont="1" applyBorder="1" applyAlignment="1">
      <alignment vertical="center"/>
    </xf>
    <xf numFmtId="0" fontId="8" fillId="0" borderId="35" xfId="114" applyFont="1" applyBorder="1" applyAlignment="1">
      <alignment vertical="center" wrapText="1"/>
      <protection/>
    </xf>
    <xf numFmtId="0" fontId="8" fillId="0" borderId="23" xfId="114" applyFont="1" applyFill="1" applyBorder="1" applyAlignment="1">
      <alignment vertical="center" wrapText="1"/>
      <protection/>
    </xf>
    <xf numFmtId="3" fontId="8" fillId="0" borderId="23" xfId="0" applyNumberFormat="1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114" applyFont="1" applyFill="1" applyBorder="1" applyAlignment="1">
      <alignment vertical="center" wrapText="1"/>
      <protection/>
    </xf>
    <xf numFmtId="49" fontId="42" fillId="0" borderId="52" xfId="106" applyNumberFormat="1" applyFont="1" applyFill="1" applyBorder="1" applyAlignment="1">
      <alignment horizontal="left" vertical="center" wrapText="1"/>
      <protection/>
    </xf>
    <xf numFmtId="0" fontId="8" fillId="0" borderId="23" xfId="100" applyFont="1" applyFill="1" applyBorder="1" applyAlignment="1">
      <alignment vertical="center" wrapText="1"/>
      <protection/>
    </xf>
    <xf numFmtId="0" fontId="8" fillId="0" borderId="23" xfId="100" applyFont="1" applyFill="1" applyBorder="1" applyAlignment="1">
      <alignment vertical="top"/>
      <protection/>
    </xf>
    <xf numFmtId="14" fontId="8" fillId="0" borderId="15" xfId="100" applyNumberFormat="1" applyFont="1" applyFill="1" applyBorder="1" applyAlignment="1">
      <alignment horizontal="center" vertical="top" wrapText="1"/>
      <protection/>
    </xf>
    <xf numFmtId="0" fontId="8" fillId="0" borderId="23" xfId="100" applyFont="1" applyFill="1" applyBorder="1" applyAlignment="1">
      <alignment vertical="top" wrapText="1"/>
      <protection/>
    </xf>
    <xf numFmtId="0" fontId="8" fillId="0" borderId="15" xfId="95" applyFont="1" applyFill="1" applyBorder="1" applyAlignment="1">
      <alignment horizontal="left" vertical="center" wrapText="1"/>
      <protection/>
    </xf>
    <xf numFmtId="0" fontId="8" fillId="0" borderId="15" xfId="100" applyFont="1" applyFill="1" applyBorder="1" applyAlignment="1">
      <alignment horizontal="center" vertical="top" wrapText="1"/>
      <protection/>
    </xf>
    <xf numFmtId="0" fontId="8" fillId="0" borderId="15" xfId="100" applyFont="1" applyFill="1" applyBorder="1" applyAlignment="1">
      <alignment vertical="top" wrapText="1"/>
      <protection/>
    </xf>
    <xf numFmtId="0" fontId="9" fillId="0" borderId="15" xfId="100" applyFont="1" applyFill="1" applyBorder="1" applyAlignment="1">
      <alignment horizontal="center" vertical="top" wrapText="1"/>
      <protection/>
    </xf>
    <xf numFmtId="0" fontId="64" fillId="0" borderId="23" xfId="0" applyFont="1" applyFill="1" applyBorder="1" applyAlignment="1">
      <alignment wrapText="1"/>
    </xf>
    <xf numFmtId="3" fontId="14" fillId="0" borderId="39" xfId="119" applyNumberFormat="1" applyFont="1" applyFill="1" applyBorder="1" applyAlignment="1">
      <alignment vertical="center"/>
      <protection/>
    </xf>
    <xf numFmtId="0" fontId="17" fillId="0" borderId="23" xfId="93" applyFont="1" applyBorder="1" applyAlignment="1">
      <alignment vertical="center"/>
      <protection/>
    </xf>
    <xf numFmtId="3" fontId="14" fillId="24" borderId="15" xfId="118" applyNumberFormat="1" applyFont="1" applyFill="1" applyBorder="1" applyAlignment="1">
      <alignment horizontal="left" vertical="top"/>
      <protection/>
    </xf>
    <xf numFmtId="3" fontId="14" fillId="24" borderId="15" xfId="118" applyNumberFormat="1" applyFont="1" applyFill="1" applyBorder="1" applyAlignment="1">
      <alignment horizontal="left" vertical="top" wrapText="1"/>
      <protection/>
    </xf>
    <xf numFmtId="196" fontId="65" fillId="0" borderId="59" xfId="101" applyNumberFormat="1" applyFont="1" applyFill="1" applyBorder="1" applyAlignment="1">
      <alignment vertical="center"/>
      <protection/>
    </xf>
    <xf numFmtId="0" fontId="60" fillId="0" borderId="0" xfId="101" applyFont="1" applyBorder="1" applyAlignment="1">
      <alignment vertical="center" wrapText="1"/>
      <protection/>
    </xf>
    <xf numFmtId="0" fontId="65" fillId="0" borderId="59" xfId="101" applyFont="1" applyFill="1" applyBorder="1" applyAlignment="1">
      <alignment vertical="center" wrapText="1"/>
      <protection/>
    </xf>
    <xf numFmtId="3" fontId="14" fillId="0" borderId="39" xfId="104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center" vertical="center" wrapText="1"/>
    </xf>
    <xf numFmtId="3" fontId="9" fillId="4" borderId="15" xfId="113" applyNumberFormat="1" applyFont="1" applyFill="1" applyBorder="1" applyAlignment="1">
      <alignment vertical="center" wrapText="1"/>
      <protection/>
    </xf>
    <xf numFmtId="0" fontId="8" fillId="0" borderId="36" xfId="113" applyFont="1" applyBorder="1" applyAlignment="1">
      <alignment vertical="center"/>
      <protection/>
    </xf>
    <xf numFmtId="0" fontId="8" fillId="0" borderId="36" xfId="113" applyFont="1" applyBorder="1" applyAlignment="1">
      <alignment vertical="center" wrapText="1"/>
      <protection/>
    </xf>
    <xf numFmtId="0" fontId="14" fillId="0" borderId="22" xfId="0" applyFont="1" applyBorder="1" applyAlignment="1">
      <alignment horizontal="center" vertical="center"/>
    </xf>
    <xf numFmtId="3" fontId="59" fillId="0" borderId="0" xfId="0" applyNumberFormat="1" applyFont="1" applyAlignment="1">
      <alignment vertical="center"/>
    </xf>
    <xf numFmtId="3" fontId="8" fillId="0" borderId="24" xfId="68" applyNumberFormat="1" applyFont="1" applyFill="1" applyBorder="1" applyAlignment="1">
      <alignment vertical="center"/>
    </xf>
    <xf numFmtId="49" fontId="0" fillId="0" borderId="52" xfId="106" applyNumberFormat="1" applyFont="1" applyFill="1" applyBorder="1" applyAlignment="1">
      <alignment horizontal="left" vertical="center" wrapText="1"/>
      <protection/>
    </xf>
    <xf numFmtId="3" fontId="61" fillId="28" borderId="63" xfId="101" applyNumberFormat="1" applyFont="1" applyFill="1" applyBorder="1" applyAlignment="1">
      <alignment horizontal="center" vertical="center" wrapText="1"/>
      <protection/>
    </xf>
    <xf numFmtId="3" fontId="61" fillId="28" borderId="64" xfId="101" applyNumberFormat="1" applyFont="1" applyFill="1" applyBorder="1" applyAlignment="1">
      <alignment horizontal="center" vertical="center" wrapText="1"/>
      <protection/>
    </xf>
    <xf numFmtId="0" fontId="8" fillId="0" borderId="23" xfId="95" applyFont="1" applyFill="1" applyBorder="1" applyAlignment="1">
      <alignment horizontal="left" vertical="center" wrapText="1"/>
      <protection/>
    </xf>
    <xf numFmtId="0" fontId="14" fillId="0" borderId="24" xfId="0" applyFont="1" applyBorder="1" applyAlignment="1">
      <alignment vertical="center" wrapText="1"/>
    </xf>
    <xf numFmtId="0" fontId="13" fillId="4" borderId="36" xfId="116" applyFont="1" applyFill="1" applyBorder="1" applyAlignment="1">
      <alignment horizontal="center" vertical="center" wrapText="1"/>
      <protection/>
    </xf>
    <xf numFmtId="0" fontId="9" fillId="4" borderId="65" xfId="97" applyFont="1" applyFill="1" applyBorder="1" applyAlignment="1">
      <alignment horizontal="center" vertical="center" wrapText="1"/>
      <protection/>
    </xf>
    <xf numFmtId="3" fontId="8" fillId="0" borderId="15" xfId="0" applyNumberFormat="1" applyFont="1" applyBorder="1" applyAlignment="1">
      <alignment horizontal="center"/>
    </xf>
    <xf numFmtId="3" fontId="8" fillId="0" borderId="15" xfId="97" applyNumberFormat="1" applyFont="1" applyFill="1" applyBorder="1" applyAlignment="1">
      <alignment horizontal="left" vertical="center" wrapText="1"/>
      <protection/>
    </xf>
    <xf numFmtId="3" fontId="8" fillId="24" borderId="15" xfId="97" applyNumberFormat="1" applyFont="1" applyFill="1" applyBorder="1" applyAlignment="1">
      <alignment vertical="top"/>
      <protection/>
    </xf>
    <xf numFmtId="3" fontId="9" fillId="0" borderId="15" xfId="97" applyNumberFormat="1" applyFont="1" applyFill="1" applyBorder="1" applyAlignment="1">
      <alignment horizontal="left" vertical="center"/>
      <protection/>
    </xf>
    <xf numFmtId="3" fontId="8" fillId="0" borderId="15" xfId="97" applyNumberFormat="1" applyFont="1" applyFill="1" applyBorder="1" applyAlignment="1">
      <alignment horizontal="left" vertical="center"/>
      <protection/>
    </xf>
    <xf numFmtId="3" fontId="8" fillId="4" borderId="15" xfId="97" applyNumberFormat="1" applyFont="1" applyFill="1" applyBorder="1" applyAlignment="1">
      <alignment horizontal="left" vertical="center"/>
      <protection/>
    </xf>
    <xf numFmtId="3" fontId="8" fillId="24" borderId="15" xfId="97" applyNumberFormat="1" applyFont="1" applyFill="1" applyBorder="1" applyAlignment="1">
      <alignment horizontal="left" vertical="center"/>
      <protection/>
    </xf>
    <xf numFmtId="3" fontId="8" fillId="0" borderId="15" xfId="97" applyNumberFormat="1" applyFont="1" applyFill="1" applyBorder="1" applyAlignment="1">
      <alignment vertical="top"/>
      <protection/>
    </xf>
    <xf numFmtId="3" fontId="8" fillId="24" borderId="15" xfId="97" applyNumberFormat="1" applyFont="1" applyFill="1" applyBorder="1" applyAlignment="1">
      <alignment horizontal="center" vertical="top"/>
      <protection/>
    </xf>
    <xf numFmtId="3" fontId="8" fillId="24" borderId="15" xfId="97" applyNumberFormat="1" applyFont="1" applyFill="1" applyBorder="1" applyAlignment="1">
      <alignment horizontal="left" vertical="top"/>
      <protection/>
    </xf>
    <xf numFmtId="3" fontId="8" fillId="4" borderId="15" xfId="97" applyNumberFormat="1" applyFont="1" applyFill="1" applyBorder="1" applyAlignment="1">
      <alignment vertical="center"/>
      <protection/>
    </xf>
    <xf numFmtId="3" fontId="8" fillId="4" borderId="15" xfId="97" applyNumberFormat="1" applyFont="1" applyFill="1" applyBorder="1">
      <alignment/>
      <protection/>
    </xf>
    <xf numFmtId="3" fontId="14" fillId="0" borderId="23" xfId="0" applyNumberFormat="1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4" fillId="0" borderId="24" xfId="0" applyFont="1" applyFill="1" applyBorder="1" applyAlignment="1">
      <alignment vertical="center" wrapText="1"/>
    </xf>
    <xf numFmtId="0" fontId="8" fillId="0" borderId="61" xfId="114" applyFont="1" applyBorder="1" applyAlignment="1">
      <alignment vertical="center" wrapText="1"/>
      <protection/>
    </xf>
    <xf numFmtId="0" fontId="8" fillId="0" borderId="15" xfId="113" applyFont="1" applyFill="1" applyBorder="1" applyAlignment="1">
      <alignment vertical="center" wrapText="1"/>
      <protection/>
    </xf>
    <xf numFmtId="0" fontId="8" fillId="0" borderId="61" xfId="113" applyFont="1" applyFill="1" applyBorder="1" applyAlignment="1">
      <alignment vertical="center" wrapText="1"/>
      <protection/>
    </xf>
    <xf numFmtId="0" fontId="8" fillId="0" borderId="15" xfId="96" applyFont="1" applyBorder="1" applyAlignment="1">
      <alignment vertical="center" wrapText="1"/>
      <protection/>
    </xf>
    <xf numFmtId="0" fontId="8" fillId="0" borderId="35" xfId="113" applyFont="1" applyBorder="1" applyAlignment="1">
      <alignment vertical="center" wrapText="1"/>
      <protection/>
    </xf>
    <xf numFmtId="0" fontId="8" fillId="0" borderId="36" xfId="96" applyFont="1" applyBorder="1" applyAlignment="1">
      <alignment vertical="center"/>
      <protection/>
    </xf>
    <xf numFmtId="3" fontId="8" fillId="0" borderId="15" xfId="0" applyNumberFormat="1" applyFont="1" applyBorder="1" applyAlignment="1">
      <alignment vertical="center" wrapText="1"/>
    </xf>
    <xf numFmtId="0" fontId="8" fillId="0" borderId="23" xfId="97" applyFont="1" applyFill="1" applyBorder="1" applyAlignment="1">
      <alignment horizontal="left" vertical="top" wrapText="1"/>
      <protection/>
    </xf>
    <xf numFmtId="0" fontId="14" fillId="0" borderId="0" xfId="116" applyFont="1" applyAlignment="1">
      <alignment vertical="center"/>
      <protection/>
    </xf>
    <xf numFmtId="3" fontId="14" fillId="0" borderId="24" xfId="118" applyNumberFormat="1" applyFont="1" applyFill="1" applyBorder="1" applyAlignment="1">
      <alignment horizontal="left" vertical="center"/>
      <protection/>
    </xf>
    <xf numFmtId="3" fontId="17" fillId="0" borderId="23" xfId="0" applyNumberFormat="1" applyFont="1" applyFill="1" applyBorder="1" applyAlignment="1">
      <alignment vertical="center"/>
    </xf>
    <xf numFmtId="0" fontId="14" fillId="24" borderId="23" xfId="113" applyFont="1" applyFill="1" applyBorder="1" applyAlignment="1">
      <alignment vertical="center"/>
      <protection/>
    </xf>
    <xf numFmtId="0" fontId="14" fillId="24" borderId="24" xfId="0" applyFont="1" applyFill="1" applyBorder="1" applyAlignment="1">
      <alignment vertical="center"/>
    </xf>
    <xf numFmtId="0" fontId="0" fillId="0" borderId="21" xfId="0" applyBorder="1" applyAlignment="1">
      <alignment vertical="center" wrapText="1"/>
    </xf>
    <xf numFmtId="0" fontId="8" fillId="0" borderId="23" xfId="0" applyFont="1" applyFill="1" applyBorder="1" applyAlignment="1">
      <alignment wrapText="1"/>
    </xf>
    <xf numFmtId="0" fontId="8" fillId="4" borderId="15" xfId="97" applyFont="1" applyFill="1" applyBorder="1" applyAlignment="1">
      <alignment horizontal="center" vertical="top" wrapText="1"/>
      <protection/>
    </xf>
    <xf numFmtId="0" fontId="8" fillId="4" borderId="15" xfId="97" applyFont="1" applyFill="1" applyBorder="1" applyAlignment="1">
      <alignment vertical="top" wrapText="1"/>
      <protection/>
    </xf>
    <xf numFmtId="0" fontId="8" fillId="4" borderId="35" xfId="97" applyFont="1" applyFill="1" applyBorder="1" applyAlignment="1">
      <alignment vertical="top" wrapText="1"/>
      <protection/>
    </xf>
    <xf numFmtId="0" fontId="14" fillId="4" borderId="23" xfId="93" applyFont="1" applyFill="1" applyBorder="1" applyAlignment="1">
      <alignment vertical="center"/>
      <protection/>
    </xf>
    <xf numFmtId="0" fontId="9" fillId="4" borderId="22" xfId="97" applyFont="1" applyFill="1" applyBorder="1" applyAlignment="1">
      <alignment horizontal="left" vertical="top"/>
      <protection/>
    </xf>
    <xf numFmtId="3" fontId="8" fillId="4" borderId="15" xfId="0" applyNumberFormat="1" applyFont="1" applyFill="1" applyBorder="1" applyAlignment="1">
      <alignment horizontal="center"/>
    </xf>
    <xf numFmtId="3" fontId="8" fillId="4" borderId="15" xfId="97" applyNumberFormat="1" applyFont="1" applyFill="1" applyBorder="1" applyAlignment="1">
      <alignment horizontal="left" vertical="center" wrapText="1"/>
      <protection/>
    </xf>
    <xf numFmtId="3" fontId="14" fillId="4" borderId="15" xfId="116" applyNumberFormat="1" applyFont="1" applyFill="1" applyBorder="1" applyAlignment="1">
      <alignment vertical="center"/>
      <protection/>
    </xf>
    <xf numFmtId="3" fontId="8" fillId="4" borderId="15" xfId="97" applyNumberFormat="1" applyFont="1" applyFill="1" applyBorder="1" applyAlignment="1">
      <alignment horizontal="right" vertical="center" wrapText="1"/>
      <protection/>
    </xf>
    <xf numFmtId="3" fontId="14" fillId="0" borderId="39" xfId="0" applyNumberFormat="1" applyFont="1" applyFill="1" applyBorder="1" applyAlignment="1">
      <alignment horizontal="left" vertical="center"/>
    </xf>
    <xf numFmtId="0" fontId="14" fillId="0" borderId="24" xfId="0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3" xfId="97" applyFont="1" applyFill="1" applyBorder="1" applyAlignment="1">
      <alignment horizontal="left" vertical="center"/>
      <protection/>
    </xf>
    <xf numFmtId="0" fontId="65" fillId="0" borderId="0" xfId="101" applyFont="1" applyBorder="1" applyAlignment="1">
      <alignment vertical="center" wrapText="1"/>
      <protection/>
    </xf>
    <xf numFmtId="0" fontId="14" fillId="0" borderId="35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16" fillId="0" borderId="15" xfId="111" applyFont="1" applyFill="1" applyBorder="1" applyAlignment="1">
      <alignment vertical="center"/>
      <protection/>
    </xf>
    <xf numFmtId="0" fontId="16" fillId="0" borderId="15" xfId="111" applyFont="1" applyFill="1" applyBorder="1" applyAlignment="1">
      <alignment vertical="center" wrapText="1"/>
      <protection/>
    </xf>
    <xf numFmtId="0" fontId="14" fillId="0" borderId="15" xfId="111" applyFont="1" applyFill="1" applyBorder="1" applyAlignment="1">
      <alignment vertical="center"/>
      <protection/>
    </xf>
    <xf numFmtId="0" fontId="14" fillId="0" borderId="15" xfId="111" applyFont="1" applyFill="1" applyBorder="1" applyAlignment="1">
      <alignment vertical="center" wrapText="1"/>
      <protection/>
    </xf>
    <xf numFmtId="0" fontId="14" fillId="0" borderId="15" xfId="113" applyFont="1" applyFill="1" applyBorder="1" applyAlignment="1">
      <alignment vertical="center"/>
      <protection/>
    </xf>
    <xf numFmtId="0" fontId="14" fillId="0" borderId="15" xfId="111" applyFont="1" applyBorder="1" applyAlignment="1">
      <alignment vertical="center"/>
      <protection/>
    </xf>
    <xf numFmtId="3" fontId="14" fillId="0" borderId="23" xfId="0" applyNumberFormat="1" applyFont="1" applyFill="1" applyBorder="1" applyAlignment="1">
      <alignment vertical="center"/>
    </xf>
    <xf numFmtId="0" fontId="60" fillId="0" borderId="0" xfId="102" applyFont="1">
      <alignment/>
      <protection/>
    </xf>
    <xf numFmtId="0" fontId="65" fillId="0" borderId="0" xfId="102" applyFont="1">
      <alignment/>
      <protection/>
    </xf>
    <xf numFmtId="0" fontId="65" fillId="0" borderId="0" xfId="102" applyFont="1" applyAlignment="1">
      <alignment wrapText="1"/>
      <protection/>
    </xf>
    <xf numFmtId="0" fontId="65" fillId="0" borderId="0" xfId="102" applyFont="1" applyAlignment="1">
      <alignment vertical="center" wrapText="1"/>
      <protection/>
    </xf>
    <xf numFmtId="0" fontId="60" fillId="0" borderId="0" xfId="102" applyFont="1" applyAlignment="1">
      <alignment vertical="center" wrapText="1"/>
      <protection/>
    </xf>
    <xf numFmtId="0" fontId="60" fillId="0" borderId="0" xfId="102" applyFont="1" applyAlignment="1">
      <alignment horizontal="center"/>
      <protection/>
    </xf>
    <xf numFmtId="0" fontId="60" fillId="0" borderId="0" xfId="102" applyFont="1" applyAlignment="1">
      <alignment wrapText="1"/>
      <protection/>
    </xf>
    <xf numFmtId="0" fontId="65" fillId="0" borderId="0" xfId="102" applyFont="1" applyAlignment="1">
      <alignment horizontal="center"/>
      <protection/>
    </xf>
    <xf numFmtId="0" fontId="65" fillId="0" borderId="0" xfId="110" applyFont="1">
      <alignment/>
      <protection/>
    </xf>
    <xf numFmtId="0" fontId="65" fillId="0" borderId="0" xfId="112" applyFont="1" applyAlignment="1">
      <alignment horizontal="center"/>
      <protection/>
    </xf>
    <xf numFmtId="0" fontId="65" fillId="0" borderId="0" xfId="112" applyFont="1">
      <alignment/>
      <protection/>
    </xf>
    <xf numFmtId="0" fontId="60" fillId="0" borderId="0" xfId="102" applyFont="1" applyAlignment="1">
      <alignment horizontal="center" vertical="center"/>
      <protection/>
    </xf>
    <xf numFmtId="49" fontId="65" fillId="0" borderId="0" xfId="102" applyNumberFormat="1" applyFont="1">
      <alignment/>
      <protection/>
    </xf>
    <xf numFmtId="49" fontId="60" fillId="0" borderId="0" xfId="102" applyNumberFormat="1" applyFont="1">
      <alignment/>
      <protection/>
    </xf>
    <xf numFmtId="49" fontId="65" fillId="0" borderId="0" xfId="102" applyNumberFormat="1" applyFont="1" applyAlignment="1">
      <alignment wrapText="1"/>
      <protection/>
    </xf>
    <xf numFmtId="0" fontId="65" fillId="0" borderId="0" xfId="110" applyFont="1" applyAlignment="1">
      <alignment horizontal="center"/>
      <protection/>
    </xf>
    <xf numFmtId="0" fontId="60" fillId="0" borderId="0" xfId="102" applyFont="1" applyAlignment="1">
      <alignment horizontal="center" vertical="top"/>
      <protection/>
    </xf>
    <xf numFmtId="0" fontId="68" fillId="25" borderId="15" xfId="93" applyFont="1" applyFill="1" applyBorder="1" applyAlignment="1">
      <alignment horizontal="left" vertical="center" wrapText="1"/>
      <protection/>
    </xf>
    <xf numFmtId="0" fontId="8" fillId="25" borderId="15" xfId="93" applyFont="1" applyFill="1" applyBorder="1" applyAlignment="1">
      <alignment horizontal="left" vertical="center" wrapText="1"/>
      <protection/>
    </xf>
    <xf numFmtId="0" fontId="8" fillId="0" borderId="52" xfId="113" applyFont="1" applyBorder="1" applyAlignment="1">
      <alignment vertical="center" wrapText="1"/>
      <protection/>
    </xf>
    <xf numFmtId="0" fontId="68" fillId="25" borderId="23" xfId="93" applyFont="1" applyFill="1" applyBorder="1" applyAlignment="1">
      <alignment horizontal="left" vertical="center" wrapText="1"/>
      <protection/>
    </xf>
    <xf numFmtId="0" fontId="8" fillId="0" borderId="60" xfId="115" applyFont="1" applyFill="1" applyBorder="1" applyAlignment="1">
      <alignment vertical="center" wrapText="1"/>
      <protection/>
    </xf>
    <xf numFmtId="0" fontId="8" fillId="0" borderId="59" xfId="98" applyFont="1" applyFill="1" applyBorder="1" applyAlignment="1">
      <alignment vertical="top" wrapText="1"/>
      <protection/>
    </xf>
    <xf numFmtId="3" fontId="8" fillId="0" borderId="15" xfId="96" applyNumberFormat="1" applyFont="1" applyBorder="1" applyAlignment="1">
      <alignment vertical="center"/>
      <protection/>
    </xf>
    <xf numFmtId="3" fontId="61" fillId="28" borderId="66" xfId="101" applyNumberFormat="1" applyFont="1" applyFill="1" applyBorder="1" applyAlignment="1">
      <alignment horizontal="center" vertical="center" wrapText="1"/>
      <protection/>
    </xf>
    <xf numFmtId="3" fontId="65" fillId="0" borderId="39" xfId="101" applyNumberFormat="1" applyFont="1" applyFill="1" applyBorder="1" applyAlignment="1">
      <alignment vertical="center"/>
      <protection/>
    </xf>
    <xf numFmtId="3" fontId="61" fillId="0" borderId="39" xfId="101" applyNumberFormat="1" applyFont="1" applyFill="1" applyBorder="1" applyAlignment="1">
      <alignment vertical="center"/>
      <protection/>
    </xf>
    <xf numFmtId="3" fontId="61" fillId="28" borderId="39" xfId="101" applyNumberFormat="1" applyFont="1" applyFill="1" applyBorder="1" applyAlignment="1">
      <alignment vertical="center"/>
      <protection/>
    </xf>
    <xf numFmtId="0" fontId="8" fillId="25" borderId="23" xfId="93" applyFont="1" applyFill="1" applyBorder="1" applyAlignment="1">
      <alignment horizontal="left" vertical="center" wrapText="1"/>
      <protection/>
    </xf>
    <xf numFmtId="3" fontId="61" fillId="28" borderId="39" xfId="101" applyNumberFormat="1" applyFont="1" applyFill="1" applyBorder="1" applyAlignment="1">
      <alignment horizontal="center" vertical="center" wrapText="1"/>
      <protection/>
    </xf>
    <xf numFmtId="3" fontId="61" fillId="28" borderId="48" xfId="101" applyNumberFormat="1" applyFont="1" applyFill="1" applyBorder="1" applyAlignment="1">
      <alignment horizontal="center" vertical="center" wrapText="1"/>
      <protection/>
    </xf>
    <xf numFmtId="3" fontId="61" fillId="28" borderId="39" xfId="101" applyNumberFormat="1" applyFont="1" applyFill="1" applyBorder="1" applyAlignment="1">
      <alignment horizontal="center" vertical="center"/>
      <protection/>
    </xf>
    <xf numFmtId="3" fontId="61" fillId="28" borderId="48" xfId="101" applyNumberFormat="1" applyFont="1" applyFill="1" applyBorder="1" applyAlignment="1">
      <alignment horizontal="center" vertical="center"/>
      <protection/>
    </xf>
    <xf numFmtId="3" fontId="61" fillId="28" borderId="67" xfId="101" applyNumberFormat="1" applyFont="1" applyFill="1" applyBorder="1" applyAlignment="1">
      <alignment horizontal="center" vertical="center"/>
      <protection/>
    </xf>
    <xf numFmtId="0" fontId="13" fillId="4" borderId="38" xfId="93" applyFont="1" applyFill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3" fillId="4" borderId="36" xfId="93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13" fillId="4" borderId="27" xfId="93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3" fillId="4" borderId="28" xfId="93" applyFont="1" applyFill="1" applyBorder="1" applyAlignment="1">
      <alignment horizontal="center" vertical="center"/>
      <protection/>
    </xf>
    <xf numFmtId="0" fontId="0" fillId="0" borderId="65" xfId="0" applyBorder="1" applyAlignment="1">
      <alignment vertical="center"/>
    </xf>
    <xf numFmtId="0" fontId="0" fillId="0" borderId="50" xfId="0" applyBorder="1" applyAlignment="1">
      <alignment vertical="center"/>
    </xf>
    <xf numFmtId="0" fontId="13" fillId="4" borderId="11" xfId="93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3" fillId="4" borderId="11" xfId="93" applyFont="1" applyFill="1" applyBorder="1" applyAlignment="1">
      <alignment horizontal="center" vertical="center"/>
      <protection/>
    </xf>
    <xf numFmtId="0" fontId="13" fillId="4" borderId="34" xfId="93" applyFont="1" applyFill="1" applyBorder="1" applyAlignment="1">
      <alignment horizontal="center" vertical="center" wrapText="1"/>
      <protection/>
    </xf>
    <xf numFmtId="0" fontId="13" fillId="4" borderId="23" xfId="93" applyFont="1" applyFill="1" applyBorder="1" applyAlignment="1">
      <alignment horizontal="center" vertical="center"/>
      <protection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3" fontId="18" fillId="4" borderId="70" xfId="0" applyNumberFormat="1" applyFont="1" applyFill="1" applyBorder="1" applyAlignment="1">
      <alignment horizontal="center" vertical="center" wrapText="1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13" fillId="4" borderId="70" xfId="0" applyFont="1" applyFill="1" applyBorder="1" applyAlignment="1">
      <alignment horizontal="center" vertical="center"/>
    </xf>
    <xf numFmtId="0" fontId="13" fillId="4" borderId="71" xfId="0" applyFont="1" applyFill="1" applyBorder="1" applyAlignment="1">
      <alignment horizontal="center" vertical="center"/>
    </xf>
    <xf numFmtId="0" fontId="13" fillId="4" borderId="72" xfId="0" applyFont="1" applyFill="1" applyBorder="1" applyAlignment="1">
      <alignment horizontal="center" vertical="center"/>
    </xf>
    <xf numFmtId="0" fontId="9" fillId="4" borderId="16" xfId="97" applyFont="1" applyFill="1" applyBorder="1" applyAlignment="1">
      <alignment horizontal="center" vertical="center" wrapText="1"/>
      <protection/>
    </xf>
    <xf numFmtId="0" fontId="9" fillId="4" borderId="17" xfId="97" applyFont="1" applyFill="1" applyBorder="1" applyAlignment="1">
      <alignment horizontal="center" vertical="center" wrapText="1"/>
      <protection/>
    </xf>
    <xf numFmtId="0" fontId="9" fillId="4" borderId="18" xfId="97" applyFont="1" applyFill="1" applyBorder="1" applyAlignment="1">
      <alignment horizontal="center" vertical="center" wrapText="1"/>
      <protection/>
    </xf>
    <xf numFmtId="3" fontId="8" fillId="0" borderId="59" xfId="0" applyNumberFormat="1" applyFont="1" applyFill="1" applyBorder="1" applyAlignment="1">
      <alignment horizontal="left" vertical="center" wrapText="1"/>
    </xf>
    <xf numFmtId="3" fontId="8" fillId="0" borderId="39" xfId="0" applyNumberFormat="1" applyFont="1" applyFill="1" applyBorder="1" applyAlignment="1">
      <alignment horizontal="left" vertical="center" wrapText="1"/>
    </xf>
    <xf numFmtId="0" fontId="9" fillId="4" borderId="16" xfId="97" applyFont="1" applyFill="1" applyBorder="1" applyAlignment="1">
      <alignment horizontal="center" vertical="center"/>
      <protection/>
    </xf>
    <xf numFmtId="0" fontId="9" fillId="4" borderId="17" xfId="97" applyFont="1" applyFill="1" applyBorder="1" applyAlignment="1">
      <alignment horizontal="center" vertical="center"/>
      <protection/>
    </xf>
    <xf numFmtId="0" fontId="9" fillId="4" borderId="18" xfId="97" applyFont="1" applyFill="1" applyBorder="1" applyAlignment="1">
      <alignment horizontal="center" vertical="center"/>
      <protection/>
    </xf>
    <xf numFmtId="3" fontId="14" fillId="0" borderId="15" xfId="0" applyNumberFormat="1" applyFont="1" applyFill="1" applyBorder="1" applyAlignment="1">
      <alignment horizontal="left" vertical="center" wrapText="1"/>
    </xf>
    <xf numFmtId="3" fontId="14" fillId="0" borderId="23" xfId="0" applyNumberFormat="1" applyFont="1" applyFill="1" applyBorder="1" applyAlignment="1">
      <alignment horizontal="left" vertical="center" wrapText="1"/>
    </xf>
    <xf numFmtId="0" fontId="13" fillId="4" borderId="11" xfId="116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9" fillId="4" borderId="45" xfId="11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9" fillId="4" borderId="12" xfId="111" applyFont="1" applyFill="1" applyBorder="1" applyAlignment="1">
      <alignment horizontal="center" vertical="center" wrapText="1"/>
      <protection/>
    </xf>
    <xf numFmtId="0" fontId="0" fillId="0" borderId="73" xfId="0" applyBorder="1" applyAlignment="1">
      <alignment horizontal="center"/>
    </xf>
    <xf numFmtId="0" fontId="0" fillId="0" borderId="41" xfId="0" applyBorder="1" applyAlignment="1">
      <alignment horizontal="center"/>
    </xf>
    <xf numFmtId="0" fontId="9" fillId="4" borderId="38" xfId="111" applyFont="1" applyFill="1" applyBorder="1" applyAlignment="1">
      <alignment horizontal="center" vertical="center" wrapText="1"/>
      <protection/>
    </xf>
    <xf numFmtId="0" fontId="0" fillId="0" borderId="68" xfId="0" applyBorder="1" applyAlignment="1">
      <alignment/>
    </xf>
    <xf numFmtId="0" fontId="0" fillId="0" borderId="74" xfId="0" applyBorder="1" applyAlignment="1">
      <alignment/>
    </xf>
    <xf numFmtId="0" fontId="3" fillId="0" borderId="68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9" fillId="4" borderId="75" xfId="111" applyFont="1" applyFill="1" applyBorder="1" applyAlignment="1">
      <alignment horizontal="center" vertical="center" wrapText="1"/>
      <protection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9" fillId="4" borderId="0" xfId="11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9" fillId="4" borderId="68" xfId="111" applyFont="1" applyFill="1" applyBorder="1" applyAlignment="1">
      <alignment horizontal="center" vertical="center" wrapText="1"/>
      <protection/>
    </xf>
    <xf numFmtId="0" fontId="9" fillId="4" borderId="74" xfId="111" applyFont="1" applyFill="1" applyBorder="1" applyAlignment="1">
      <alignment horizontal="center" vertical="center" wrapText="1"/>
      <protection/>
    </xf>
    <xf numFmtId="0" fontId="0" fillId="0" borderId="73" xfId="0" applyBorder="1" applyAlignment="1">
      <alignment horizontal="center" vertical="center" wrapText="1"/>
    </xf>
    <xf numFmtId="0" fontId="9" fillId="4" borderId="36" xfId="111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65" xfId="0" applyFont="1" applyFill="1" applyBorder="1" applyAlignment="1">
      <alignment horizontal="center" vertical="center" wrapText="1"/>
    </xf>
    <xf numFmtId="0" fontId="9" fillId="4" borderId="45" xfId="111" applyFont="1" applyFill="1" applyBorder="1" applyAlignment="1">
      <alignment horizontal="center"/>
      <protection/>
    </xf>
    <xf numFmtId="0" fontId="0" fillId="0" borderId="45" xfId="0" applyBorder="1" applyAlignment="1">
      <alignment/>
    </xf>
    <xf numFmtId="0" fontId="0" fillId="0" borderId="76" xfId="0" applyBorder="1" applyAlignment="1">
      <alignment/>
    </xf>
    <xf numFmtId="0" fontId="9" fillId="4" borderId="53" xfId="111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/>
    </xf>
    <xf numFmtId="0" fontId="41" fillId="4" borderId="79" xfId="111" applyFont="1" applyFill="1" applyBorder="1" applyAlignment="1">
      <alignment horizontal="center" vertical="center"/>
      <protection/>
    </xf>
    <xf numFmtId="0" fontId="41" fillId="4" borderId="80" xfId="111" applyFont="1" applyFill="1" applyBorder="1" applyAlignment="1">
      <alignment horizontal="center" vertical="center"/>
      <protection/>
    </xf>
    <xf numFmtId="0" fontId="41" fillId="4" borderId="81" xfId="111" applyFont="1" applyFill="1" applyBorder="1" applyAlignment="1">
      <alignment horizontal="center" vertical="center"/>
      <protection/>
    </xf>
    <xf numFmtId="0" fontId="9" fillId="4" borderId="23" xfId="113" applyFont="1" applyFill="1" applyBorder="1" applyAlignment="1">
      <alignment horizontal="center" vertical="center"/>
      <protection/>
    </xf>
    <xf numFmtId="0" fontId="9" fillId="4" borderId="24" xfId="113" applyFont="1" applyFill="1" applyBorder="1" applyAlignment="1">
      <alignment horizontal="center" vertical="center"/>
      <protection/>
    </xf>
    <xf numFmtId="0" fontId="9" fillId="4" borderId="23" xfId="113" applyFont="1" applyFill="1" applyBorder="1" applyAlignment="1">
      <alignment vertical="center"/>
      <protection/>
    </xf>
    <xf numFmtId="0" fontId="9" fillId="4" borderId="24" xfId="113" applyFont="1" applyFill="1" applyBorder="1" applyAlignment="1">
      <alignment vertical="center"/>
      <protection/>
    </xf>
    <xf numFmtId="0" fontId="9" fillId="4" borderId="11" xfId="11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/>
    </xf>
    <xf numFmtId="3" fontId="14" fillId="0" borderId="23" xfId="0" applyNumberFormat="1" applyFont="1" applyFill="1" applyBorder="1" applyAlignment="1">
      <alignment horizontal="left" vertical="center"/>
    </xf>
    <xf numFmtId="0" fontId="14" fillId="0" borderId="24" xfId="0" applyFont="1" applyBorder="1" applyAlignment="1">
      <alignment vertical="center"/>
    </xf>
    <xf numFmtId="0" fontId="8" fillId="0" borderId="23" xfId="113" applyFont="1" applyBorder="1" applyAlignment="1">
      <alignment horizontal="left" vertical="center" wrapText="1"/>
      <protection/>
    </xf>
    <xf numFmtId="0" fontId="8" fillId="0" borderId="21" xfId="113" applyFont="1" applyBorder="1" applyAlignment="1">
      <alignment horizontal="left" vertical="center" wrapText="1"/>
      <protection/>
    </xf>
    <xf numFmtId="0" fontId="14" fillId="0" borderId="23" xfId="113" applyFont="1" applyFill="1" applyBorder="1" applyAlignment="1">
      <alignment vertical="center"/>
      <protection/>
    </xf>
    <xf numFmtId="0" fontId="14" fillId="0" borderId="24" xfId="0" applyFont="1" applyFill="1" applyBorder="1" applyAlignment="1">
      <alignment vertical="center"/>
    </xf>
    <xf numFmtId="3" fontId="14" fillId="0" borderId="23" xfId="0" applyNumberFormat="1" applyFont="1" applyFill="1" applyBorder="1" applyAlignment="1">
      <alignment vertical="center"/>
    </xf>
    <xf numFmtId="3" fontId="14" fillId="0" borderId="23" xfId="0" applyNumberFormat="1" applyFont="1" applyBorder="1" applyAlignment="1">
      <alignment horizontal="left" vertical="center"/>
    </xf>
    <xf numFmtId="3" fontId="14" fillId="0" borderId="24" xfId="0" applyNumberFormat="1" applyFont="1" applyFill="1" applyBorder="1" applyAlignment="1">
      <alignment horizontal="left" vertical="center" wrapText="1"/>
    </xf>
    <xf numFmtId="3" fontId="14" fillId="0" borderId="23" xfId="0" applyNumberFormat="1" applyFont="1" applyFill="1" applyBorder="1" applyAlignment="1">
      <alignment vertical="center" wrapText="1"/>
    </xf>
    <xf numFmtId="0" fontId="42" fillId="0" borderId="24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 wrapText="1"/>
    </xf>
    <xf numFmtId="3" fontId="14" fillId="0" borderId="23" xfId="0" applyNumberFormat="1" applyFont="1" applyBorder="1" applyAlignment="1">
      <alignment horizontal="center" vertical="center"/>
    </xf>
    <xf numFmtId="3" fontId="14" fillId="0" borderId="21" xfId="0" applyNumberFormat="1" applyFont="1" applyBorder="1" applyAlignment="1">
      <alignment horizontal="center" vertical="center"/>
    </xf>
    <xf numFmtId="3" fontId="14" fillId="0" borderId="23" xfId="118" applyNumberFormat="1" applyFont="1" applyFill="1" applyBorder="1" applyAlignment="1">
      <alignment horizontal="left" vertical="center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68" fillId="25" borderId="23" xfId="93" applyFont="1" applyFill="1" applyBorder="1" applyAlignment="1">
      <alignment horizontal="left" vertical="center" wrapText="1"/>
      <protection/>
    </xf>
    <xf numFmtId="0" fontId="68" fillId="25" borderId="24" xfId="93" applyFont="1" applyFill="1" applyBorder="1" applyAlignment="1">
      <alignment horizontal="left" vertical="center" wrapText="1"/>
      <protection/>
    </xf>
    <xf numFmtId="0" fontId="0" fillId="0" borderId="24" xfId="0" applyFill="1" applyBorder="1" applyAlignment="1">
      <alignment vertical="center" wrapText="1"/>
    </xf>
    <xf numFmtId="3" fontId="14" fillId="0" borderId="24" xfId="0" applyNumberFormat="1" applyFont="1" applyFill="1" applyBorder="1" applyAlignment="1">
      <alignment horizontal="left" vertical="center"/>
    </xf>
    <xf numFmtId="3" fontId="14" fillId="0" borderId="23" xfId="0" applyNumberFormat="1" applyFont="1" applyBorder="1" applyAlignment="1">
      <alignment vertical="center"/>
    </xf>
    <xf numFmtId="3" fontId="14" fillId="0" borderId="23" xfId="0" applyNumberFormat="1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3" fontId="14" fillId="0" borderId="21" xfId="0" applyNumberFormat="1" applyFont="1" applyBorder="1" applyAlignment="1">
      <alignment horizontal="left" vertical="center"/>
    </xf>
    <xf numFmtId="3" fontId="14" fillId="0" borderId="23" xfId="0" applyNumberFormat="1" applyFont="1" applyBorder="1" applyAlignment="1">
      <alignment horizontal="left" vertical="center" wrapText="1"/>
    </xf>
    <xf numFmtId="0" fontId="14" fillId="0" borderId="23" xfId="113" applyFont="1" applyBorder="1" applyAlignment="1">
      <alignment vertical="center" wrapText="1"/>
      <protection/>
    </xf>
    <xf numFmtId="0" fontId="0" fillId="0" borderId="24" xfId="0" applyBorder="1" applyAlignment="1">
      <alignment vertical="center" wrapText="1"/>
    </xf>
    <xf numFmtId="3" fontId="14" fillId="0" borderId="23" xfId="115" applyNumberFormat="1" applyFont="1" applyBorder="1" applyAlignment="1">
      <alignment vertical="center" wrapText="1"/>
      <protection/>
    </xf>
    <xf numFmtId="0" fontId="14" fillId="25" borderId="23" xfId="93" applyFont="1" applyFill="1" applyBorder="1" applyAlignment="1">
      <alignment horizontal="left" vertical="center" wrapText="1"/>
      <protection/>
    </xf>
    <xf numFmtId="3" fontId="17" fillId="0" borderId="23" xfId="113" applyNumberFormat="1" applyFont="1" applyFill="1" applyBorder="1" applyAlignment="1">
      <alignment vertical="center"/>
      <protection/>
    </xf>
    <xf numFmtId="0" fontId="67" fillId="0" borderId="24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14" fillId="0" borderId="23" xfId="94" applyFont="1" applyFill="1" applyBorder="1" applyAlignment="1">
      <alignment horizontal="left" vertical="center" wrapText="1"/>
      <protection/>
    </xf>
    <xf numFmtId="0" fontId="14" fillId="0" borderId="24" xfId="94" applyFont="1" applyFill="1" applyBorder="1" applyAlignment="1">
      <alignment horizontal="left" vertical="center" wrapText="1"/>
      <protection/>
    </xf>
    <xf numFmtId="0" fontId="14" fillId="25" borderId="24" xfId="93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3" fontId="14" fillId="0" borderId="21" xfId="0" applyNumberFormat="1" applyFont="1" applyBorder="1" applyAlignment="1">
      <alignment horizontal="left" vertical="center" wrapText="1"/>
    </xf>
    <xf numFmtId="3" fontId="21" fillId="4" borderId="12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3" fontId="18" fillId="4" borderId="36" xfId="0" applyNumberFormat="1" applyFont="1" applyFill="1" applyBorder="1" applyAlignment="1">
      <alignment vertical="center" wrapText="1"/>
    </xf>
    <xf numFmtId="0" fontId="0" fillId="0" borderId="35" xfId="0" applyBorder="1" applyAlignment="1">
      <alignment wrapText="1"/>
    </xf>
    <xf numFmtId="0" fontId="13" fillId="4" borderId="16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3" fontId="14" fillId="0" borderId="23" xfId="118" applyNumberFormat="1" applyFont="1" applyFill="1" applyBorder="1" applyAlignment="1">
      <alignment vertical="center"/>
      <protection/>
    </xf>
    <xf numFmtId="0" fontId="0" fillId="0" borderId="24" xfId="0" applyFill="1" applyBorder="1" applyAlignment="1">
      <alignment horizontal="left" vertical="center"/>
    </xf>
    <xf numFmtId="3" fontId="18" fillId="4" borderId="23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14" fillId="0" borderId="23" xfId="116" applyFont="1" applyFill="1" applyBorder="1" applyAlignment="1">
      <alignment vertical="center" wrapText="1"/>
      <protection/>
    </xf>
    <xf numFmtId="0" fontId="42" fillId="0" borderId="24" xfId="0" applyFont="1" applyFill="1" applyBorder="1" applyAlignment="1">
      <alignment/>
    </xf>
    <xf numFmtId="3" fontId="14" fillId="0" borderId="23" xfId="118" applyNumberFormat="1" applyFont="1" applyFill="1" applyBorder="1" applyAlignment="1">
      <alignment horizontal="left" vertical="center"/>
      <protection/>
    </xf>
    <xf numFmtId="0" fontId="14" fillId="0" borderId="24" xfId="0" applyFont="1" applyBorder="1" applyAlignment="1">
      <alignment horizontal="left" vertical="center"/>
    </xf>
    <xf numFmtId="0" fontId="0" fillId="0" borderId="24" xfId="0" applyFont="1" applyFill="1" applyBorder="1" applyAlignment="1">
      <alignment vertical="center"/>
    </xf>
    <xf numFmtId="3" fontId="17" fillId="0" borderId="23" xfId="0" applyNumberFormat="1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4" fillId="0" borderId="23" xfId="117" applyFont="1" applyFill="1" applyBorder="1" applyAlignment="1">
      <alignment vertical="center" wrapText="1"/>
      <protection/>
    </xf>
    <xf numFmtId="3" fontId="14" fillId="24" borderId="23" xfId="0" applyNumberFormat="1" applyFont="1" applyFill="1" applyBorder="1" applyAlignment="1">
      <alignment horizontal="left" vertical="center"/>
    </xf>
    <xf numFmtId="3" fontId="14" fillId="24" borderId="24" xfId="0" applyNumberFormat="1" applyFont="1" applyFill="1" applyBorder="1" applyAlignment="1">
      <alignment horizontal="left" vertical="center"/>
    </xf>
    <xf numFmtId="0" fontId="14" fillId="0" borderId="24" xfId="0" applyFont="1" applyFill="1" applyBorder="1" applyAlignment="1">
      <alignment wrapText="1"/>
    </xf>
    <xf numFmtId="3" fontId="14" fillId="0" borderId="23" xfId="118" applyNumberFormat="1" applyFont="1" applyBorder="1" applyAlignment="1">
      <alignment horizontal="left" vertical="center"/>
      <protection/>
    </xf>
    <xf numFmtId="3" fontId="14" fillId="0" borderId="24" xfId="118" applyNumberFormat="1" applyFont="1" applyFill="1" applyBorder="1" applyAlignment="1">
      <alignment horizontal="left" vertical="center"/>
      <protection/>
    </xf>
    <xf numFmtId="3" fontId="13" fillId="0" borderId="62" xfId="0" applyNumberFormat="1" applyFont="1" applyBorder="1" applyAlignment="1">
      <alignment vertical="center" wrapText="1"/>
    </xf>
    <xf numFmtId="0" fontId="0" fillId="0" borderId="62" xfId="0" applyBorder="1" applyAlignment="1">
      <alignment vertical="center" wrapText="1"/>
    </xf>
    <xf numFmtId="3" fontId="14" fillId="0" borderId="21" xfId="0" applyNumberFormat="1" applyFont="1" applyFill="1" applyBorder="1" applyAlignment="1">
      <alignment horizontal="left" vertical="center"/>
    </xf>
    <xf numFmtId="0" fontId="14" fillId="0" borderId="23" xfId="97" applyFont="1" applyFill="1" applyBorder="1" applyAlignment="1">
      <alignment vertical="center"/>
      <protection/>
    </xf>
    <xf numFmtId="0" fontId="42" fillId="0" borderId="24" xfId="0" applyFont="1" applyBorder="1" applyAlignment="1">
      <alignment vertical="center"/>
    </xf>
    <xf numFmtId="0" fontId="13" fillId="4" borderId="23" xfId="93" applyFont="1" applyFill="1" applyBorder="1" applyAlignment="1">
      <alignment vertical="center" wrapText="1"/>
      <protection/>
    </xf>
    <xf numFmtId="3" fontId="14" fillId="0" borderId="23" xfId="0" applyNumberFormat="1" applyFont="1" applyFill="1" applyBorder="1" applyAlignment="1">
      <alignment horizontal="center" vertical="center" wrapText="1"/>
    </xf>
    <xf numFmtId="3" fontId="14" fillId="0" borderId="24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1" xfId="0" applyFill="1" applyBorder="1" applyAlignment="1">
      <alignment vertical="center"/>
    </xf>
    <xf numFmtId="0" fontId="14" fillId="0" borderId="23" xfId="113" applyFont="1" applyBorder="1" applyAlignment="1">
      <alignment vertical="center"/>
      <protection/>
    </xf>
    <xf numFmtId="0" fontId="0" fillId="0" borderId="38" xfId="0" applyBorder="1" applyAlignment="1">
      <alignment horizontal="center" vertical="center" wrapText="1"/>
    </xf>
    <xf numFmtId="0" fontId="41" fillId="4" borderId="53" xfId="111" applyFont="1" applyFill="1" applyBorder="1" applyAlignment="1">
      <alignment horizontal="center" vertical="center"/>
      <protection/>
    </xf>
    <xf numFmtId="0" fontId="13" fillId="4" borderId="53" xfId="111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 wrapText="1"/>
    </xf>
    <xf numFmtId="0" fontId="0" fillId="0" borderId="53" xfId="0" applyBorder="1" applyAlignment="1">
      <alignment horizontal="center" wrapText="1"/>
    </xf>
    <xf numFmtId="0" fontId="41" fillId="4" borderId="53" xfId="111" applyFont="1" applyFill="1" applyBorder="1" applyAlignment="1">
      <alignment horizontal="center" vertical="center" wrapText="1"/>
      <protection/>
    </xf>
  </cellXfs>
  <cellStyles count="11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 2" xfId="92"/>
    <cellStyle name="Normál_   5    (2)" xfId="93"/>
    <cellStyle name="Normál_   5    (2) 2" xfId="94"/>
    <cellStyle name="Normál_   5    (2)_7" xfId="95"/>
    <cellStyle name="Normál_   5-a    (2)" xfId="96"/>
    <cellStyle name="Normál_   7   x" xfId="97"/>
    <cellStyle name="Normál_   7   x_2012. évi beszámoló 5.a 6a" xfId="98"/>
    <cellStyle name="Normál_   7   x_2012. III.negyedévi ei. módosítás" xfId="99"/>
    <cellStyle name="Normál_   7   x_7" xfId="100"/>
    <cellStyle name="Normál_  3   _2010.évi állami" xfId="101"/>
    <cellStyle name="Normál_18. sz. melléklet" xfId="102"/>
    <cellStyle name="Normál_2012 költségvetés_fejlesztés_Doszpoth Attilának" xfId="103"/>
    <cellStyle name="Normál_2012. évi beszámoló 5.a 6a" xfId="104"/>
    <cellStyle name="Normál_2012_költségvetés_MCS_111215" xfId="105"/>
    <cellStyle name="Normál_213_évi_költségvetés_MCS" xfId="106"/>
    <cellStyle name="Normál_7" xfId="107"/>
    <cellStyle name="Normál_7_2013_zold_STB" xfId="108"/>
    <cellStyle name="Normál_8" xfId="109"/>
    <cellStyle name="Normál_Beillesztendő 17. tábla 2013.IV.név" xfId="110"/>
    <cellStyle name="Normál_INTKIA96" xfId="111"/>
    <cellStyle name="Normál_Munka1" xfId="112"/>
    <cellStyle name="Normál_Munka2 (2)" xfId="113"/>
    <cellStyle name="Normál_Munka2 (2)_11" xfId="114"/>
    <cellStyle name="Normál_Munka2 (2)_2012. évi beszámoló 5.a 6a" xfId="115"/>
    <cellStyle name="Normál_Munka3 (2)" xfId="116"/>
    <cellStyle name="Normál_Munka3 (2)_12" xfId="117"/>
    <cellStyle name="Normál_ÖKIADELÖ" xfId="118"/>
    <cellStyle name="Normál_ÖKIADELÖ_2012. évi beszámoló 5.a 6a" xfId="119"/>
    <cellStyle name="Normal_tanusitv" xfId="120"/>
    <cellStyle name="Note" xfId="121"/>
    <cellStyle name="Output" xfId="122"/>
    <cellStyle name="Összesen" xfId="123"/>
    <cellStyle name="Currency" xfId="124"/>
    <cellStyle name="Currency [0]" xfId="125"/>
    <cellStyle name="Rossz" xfId="126"/>
    <cellStyle name="Semleges" xfId="127"/>
    <cellStyle name="Számítás" xfId="128"/>
    <cellStyle name="Percent" xfId="129"/>
    <cellStyle name="Title" xfId="130"/>
    <cellStyle name="Total" xfId="131"/>
    <cellStyle name="Warning Text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I7" sqref="I7:I8"/>
    </sheetView>
  </sheetViews>
  <sheetFormatPr defaultColWidth="9.00390625" defaultRowHeight="12.75"/>
  <cols>
    <col min="1" max="1" width="39.625" style="205" customWidth="1"/>
    <col min="2" max="3" width="13.625" style="205" customWidth="1"/>
    <col min="4" max="4" width="12.625" style="24" customWidth="1"/>
    <col min="5" max="5" width="2.00390625" style="204" customWidth="1"/>
    <col min="6" max="6" width="44.375" style="205" customWidth="1"/>
    <col min="7" max="7" width="12.375" style="205" customWidth="1"/>
    <col min="8" max="8" width="14.875" style="205" customWidth="1"/>
    <col min="9" max="9" width="14.00390625" style="24" customWidth="1"/>
    <col min="10" max="12" width="9.375" style="24" customWidth="1"/>
    <col min="13" max="16384" width="9.375" style="58" customWidth="1"/>
  </cols>
  <sheetData>
    <row r="1" spans="1:12" s="191" customFormat="1" ht="36" customHeight="1" thickBot="1">
      <c r="A1" s="187"/>
      <c r="B1" s="189" t="s">
        <v>570</v>
      </c>
      <c r="C1" s="188" t="s">
        <v>571</v>
      </c>
      <c r="D1" s="189" t="s">
        <v>572</v>
      </c>
      <c r="E1" s="190"/>
      <c r="F1" s="187" t="s">
        <v>353</v>
      </c>
      <c r="G1" s="189" t="s">
        <v>570</v>
      </c>
      <c r="H1" s="188" t="s">
        <v>571</v>
      </c>
      <c r="I1" s="189" t="s">
        <v>572</v>
      </c>
      <c r="J1" s="57"/>
      <c r="K1" s="57"/>
      <c r="L1" s="57"/>
    </row>
    <row r="2" spans="1:12" s="194" customFormat="1" ht="12.75" customHeight="1">
      <c r="A2" s="192" t="s">
        <v>105</v>
      </c>
      <c r="B2" s="53"/>
      <c r="C2" s="248"/>
      <c r="D2" s="53"/>
      <c r="E2" s="193"/>
      <c r="F2" s="192" t="s">
        <v>106</v>
      </c>
      <c r="G2" s="192"/>
      <c r="H2" s="192"/>
      <c r="I2" s="52"/>
      <c r="J2" s="56"/>
      <c r="K2" s="56"/>
      <c r="L2" s="56"/>
    </row>
    <row r="3" spans="1:9" ht="12.75" customHeight="1">
      <c r="A3" s="195" t="s">
        <v>107</v>
      </c>
      <c r="B3" s="51">
        <v>5605644</v>
      </c>
      <c r="C3" s="195">
        <v>494381</v>
      </c>
      <c r="D3" s="51">
        <f aca="true" t="shared" si="0" ref="D3:D13">SUM(B3:C3)</f>
        <v>6100025</v>
      </c>
      <c r="E3" s="196"/>
      <c r="F3" s="195" t="s">
        <v>271</v>
      </c>
      <c r="G3" s="51">
        <v>6201445</v>
      </c>
      <c r="H3" s="195">
        <v>152613</v>
      </c>
      <c r="I3" s="51">
        <f aca="true" t="shared" si="1" ref="I3:I29">SUM(G3:H3)</f>
        <v>6354058</v>
      </c>
    </row>
    <row r="4" spans="1:9" ht="24" customHeight="1">
      <c r="A4" s="195" t="s">
        <v>18</v>
      </c>
      <c r="B4" s="51">
        <v>59600</v>
      </c>
      <c r="C4" s="195">
        <v>15574</v>
      </c>
      <c r="D4" s="51">
        <f t="shared" si="0"/>
        <v>75174</v>
      </c>
      <c r="E4" s="196"/>
      <c r="F4" s="195" t="s">
        <v>272</v>
      </c>
      <c r="G4" s="51">
        <v>1888880</v>
      </c>
      <c r="H4" s="195">
        <v>1047056</v>
      </c>
      <c r="I4" s="51">
        <f t="shared" si="1"/>
        <v>2935936</v>
      </c>
    </row>
    <row r="5" spans="1:9" ht="15" customHeight="1">
      <c r="A5" s="195" t="s">
        <v>19</v>
      </c>
      <c r="B5" s="51">
        <v>186063</v>
      </c>
      <c r="C5" s="195">
        <v>236528</v>
      </c>
      <c r="D5" s="51">
        <f t="shared" si="0"/>
        <v>422591</v>
      </c>
      <c r="E5" s="196"/>
      <c r="F5" s="195" t="s">
        <v>273</v>
      </c>
      <c r="G5" s="51">
        <v>11760</v>
      </c>
      <c r="H5" s="195">
        <v>11780</v>
      </c>
      <c r="I5" s="51">
        <f t="shared" si="1"/>
        <v>23540</v>
      </c>
    </row>
    <row r="6" spans="1:9" ht="24" customHeight="1">
      <c r="A6" s="231" t="s">
        <v>20</v>
      </c>
      <c r="B6" s="232">
        <v>248000</v>
      </c>
      <c r="C6" s="231"/>
      <c r="D6" s="51">
        <f t="shared" si="0"/>
        <v>248000</v>
      </c>
      <c r="E6" s="196"/>
      <c r="F6" s="195" t="s">
        <v>274</v>
      </c>
      <c r="G6" s="39">
        <v>967192</v>
      </c>
      <c r="H6" s="195">
        <v>541442</v>
      </c>
      <c r="I6" s="51">
        <f t="shared" si="1"/>
        <v>1508634</v>
      </c>
    </row>
    <row r="7" spans="1:9" ht="13.5" customHeight="1">
      <c r="A7" s="195" t="s">
        <v>21</v>
      </c>
      <c r="B7" s="51">
        <v>2076249</v>
      </c>
      <c r="C7" s="195">
        <v>758128</v>
      </c>
      <c r="D7" s="51">
        <f t="shared" si="0"/>
        <v>2834377</v>
      </c>
      <c r="E7" s="196"/>
      <c r="F7" s="195" t="s">
        <v>114</v>
      </c>
      <c r="G7" s="51">
        <v>234727</v>
      </c>
      <c r="H7" s="195">
        <v>-87261</v>
      </c>
      <c r="I7" s="51">
        <f t="shared" si="1"/>
        <v>147466</v>
      </c>
    </row>
    <row r="8" spans="1:9" ht="13.5" customHeight="1">
      <c r="A8" s="195" t="s">
        <v>22</v>
      </c>
      <c r="B8" s="198">
        <v>231745</v>
      </c>
      <c r="C8" s="195">
        <v>19000</v>
      </c>
      <c r="D8" s="51">
        <f t="shared" si="0"/>
        <v>250745</v>
      </c>
      <c r="E8" s="196"/>
      <c r="F8" s="195" t="s">
        <v>115</v>
      </c>
      <c r="G8" s="51">
        <v>5000</v>
      </c>
      <c r="H8" s="195">
        <v>-2825</v>
      </c>
      <c r="I8" s="51">
        <f t="shared" si="1"/>
        <v>2175</v>
      </c>
    </row>
    <row r="9" spans="1:9" ht="13.5" customHeight="1">
      <c r="A9" s="197" t="s">
        <v>119</v>
      </c>
      <c r="B9" s="197">
        <f>SUM(B2:B8)</f>
        <v>8407301</v>
      </c>
      <c r="C9" s="197">
        <f>SUM(C2:C8)</f>
        <v>1523611</v>
      </c>
      <c r="D9" s="52">
        <f t="shared" si="0"/>
        <v>9930912</v>
      </c>
      <c r="E9" s="196"/>
      <c r="F9" s="197" t="s">
        <v>118</v>
      </c>
      <c r="G9" s="192">
        <f>SUM(G3:G8)-G5</f>
        <v>9297244</v>
      </c>
      <c r="H9" s="192">
        <f>SUM(H3:H8)-H5</f>
        <v>1651025</v>
      </c>
      <c r="I9" s="192">
        <f>SUM(I3:I8)-I5</f>
        <v>10948269</v>
      </c>
    </row>
    <row r="10" spans="1:12" s="194" customFormat="1" ht="13.5" customHeight="1">
      <c r="A10" s="199" t="s">
        <v>135</v>
      </c>
      <c r="B10" s="197"/>
      <c r="C10" s="197"/>
      <c r="D10" s="51">
        <f t="shared" si="0"/>
        <v>0</v>
      </c>
      <c r="E10" s="196"/>
      <c r="F10" s="199"/>
      <c r="G10" s="51"/>
      <c r="H10" s="195"/>
      <c r="I10" s="51">
        <f t="shared" si="1"/>
        <v>0</v>
      </c>
      <c r="J10" s="56"/>
      <c r="K10" s="56"/>
      <c r="L10" s="56"/>
    </row>
    <row r="11" spans="1:12" s="194" customFormat="1" ht="13.5" customHeight="1">
      <c r="A11" s="199" t="s">
        <v>275</v>
      </c>
      <c r="B11" s="197"/>
      <c r="C11" s="199"/>
      <c r="D11" s="51">
        <f t="shared" si="0"/>
        <v>0</v>
      </c>
      <c r="E11" s="196"/>
      <c r="F11" s="199" t="s">
        <v>276</v>
      </c>
      <c r="G11" s="51"/>
      <c r="H11" s="195"/>
      <c r="I11" s="51">
        <f t="shared" si="1"/>
        <v>0</v>
      </c>
      <c r="J11" s="56"/>
      <c r="K11" s="56"/>
      <c r="L11" s="56"/>
    </row>
    <row r="12" spans="1:12" s="194" customFormat="1" ht="12" customHeight="1">
      <c r="A12" s="199" t="s">
        <v>277</v>
      </c>
      <c r="B12" s="266">
        <v>890723</v>
      </c>
      <c r="C12" s="199">
        <v>268771</v>
      </c>
      <c r="D12" s="51">
        <f t="shared" si="0"/>
        <v>1159494</v>
      </c>
      <c r="E12" s="196"/>
      <c r="F12" s="200" t="s">
        <v>120</v>
      </c>
      <c r="G12" s="200">
        <f>SUM(G9:G11)</f>
        <v>9297244</v>
      </c>
      <c r="H12" s="200">
        <f>SUM(H9:H11)</f>
        <v>1651025</v>
      </c>
      <c r="I12" s="200">
        <f>SUM(I9:I11)</f>
        <v>10948269</v>
      </c>
      <c r="J12" s="56"/>
      <c r="K12" s="56"/>
      <c r="L12" s="56"/>
    </row>
    <row r="13" spans="1:9" ht="13.5" customHeight="1">
      <c r="A13" s="199" t="s">
        <v>278</v>
      </c>
      <c r="B13" s="55"/>
      <c r="C13" s="199">
        <v>26</v>
      </c>
      <c r="D13" s="51">
        <f t="shared" si="0"/>
        <v>26</v>
      </c>
      <c r="E13" s="196"/>
      <c r="F13" s="192" t="s">
        <v>121</v>
      </c>
      <c r="G13" s="197"/>
      <c r="H13" s="192"/>
      <c r="I13" s="51">
        <f t="shared" si="1"/>
        <v>0</v>
      </c>
    </row>
    <row r="14" spans="1:9" ht="24" customHeight="1">
      <c r="A14" s="199"/>
      <c r="B14" s="55"/>
      <c r="C14" s="199"/>
      <c r="D14" s="199"/>
      <c r="E14" s="196"/>
      <c r="F14" s="195" t="s">
        <v>196</v>
      </c>
      <c r="G14" s="39">
        <v>241925</v>
      </c>
      <c r="H14" s="195">
        <v>90749</v>
      </c>
      <c r="I14" s="51">
        <f t="shared" si="1"/>
        <v>332674</v>
      </c>
    </row>
    <row r="15" spans="1:9" ht="19.5" customHeight="1">
      <c r="A15" s="201" t="s">
        <v>123</v>
      </c>
      <c r="B15" s="202">
        <f>SUM(B9:B14)</f>
        <v>9298024</v>
      </c>
      <c r="C15" s="202">
        <f>SUM(C9:C14)</f>
        <v>1792408</v>
      </c>
      <c r="D15" s="44">
        <f aca="true" t="shared" si="2" ref="D15:D25">SUM(B15:C15)</f>
        <v>11090432</v>
      </c>
      <c r="E15" s="196"/>
      <c r="F15" s="195" t="s">
        <v>122</v>
      </c>
      <c r="G15" s="51">
        <v>62918</v>
      </c>
      <c r="H15" s="195">
        <v>40293</v>
      </c>
      <c r="I15" s="51">
        <f t="shared" si="1"/>
        <v>103211</v>
      </c>
    </row>
    <row r="16" spans="1:9" ht="15" customHeight="1">
      <c r="A16" s="192" t="s">
        <v>125</v>
      </c>
      <c r="B16" s="51"/>
      <c r="C16" s="192"/>
      <c r="D16" s="51">
        <f t="shared" si="2"/>
        <v>0</v>
      </c>
      <c r="E16" s="196"/>
      <c r="F16" s="195" t="s">
        <v>124</v>
      </c>
      <c r="G16" s="55">
        <v>179007</v>
      </c>
      <c r="H16" s="195">
        <v>50013</v>
      </c>
      <c r="I16" s="51">
        <f t="shared" si="1"/>
        <v>229020</v>
      </c>
    </row>
    <row r="17" spans="1:9" ht="13.5" customHeight="1">
      <c r="A17" s="195" t="s">
        <v>107</v>
      </c>
      <c r="B17" s="51">
        <v>494894</v>
      </c>
      <c r="C17" s="195">
        <v>-88218</v>
      </c>
      <c r="D17" s="51">
        <f t="shared" si="2"/>
        <v>406676</v>
      </c>
      <c r="E17" s="196"/>
      <c r="F17" s="195" t="s">
        <v>279</v>
      </c>
      <c r="G17" s="51"/>
      <c r="H17" s="195">
        <v>443</v>
      </c>
      <c r="I17" s="51">
        <f t="shared" si="1"/>
        <v>443</v>
      </c>
    </row>
    <row r="18" spans="1:9" ht="24.75" customHeight="1">
      <c r="A18" s="195" t="s">
        <v>23</v>
      </c>
      <c r="B18" s="51">
        <v>200800</v>
      </c>
      <c r="C18" s="195">
        <v>78469</v>
      </c>
      <c r="D18" s="51">
        <f t="shared" si="2"/>
        <v>279269</v>
      </c>
      <c r="E18" s="193"/>
      <c r="F18" s="195" t="s">
        <v>126</v>
      </c>
      <c r="G18" s="51">
        <v>2496292</v>
      </c>
      <c r="H18" s="195">
        <v>4023441</v>
      </c>
      <c r="I18" s="51">
        <f t="shared" si="1"/>
        <v>6519733</v>
      </c>
    </row>
    <row r="19" spans="1:9" ht="12.75" customHeight="1">
      <c r="A19" s="195" t="s">
        <v>24</v>
      </c>
      <c r="B19" s="55">
        <v>626407</v>
      </c>
      <c r="C19" s="195">
        <v>3938784</v>
      </c>
      <c r="D19" s="51">
        <f t="shared" si="2"/>
        <v>4565191</v>
      </c>
      <c r="E19" s="193"/>
      <c r="F19" s="195" t="s">
        <v>280</v>
      </c>
      <c r="G19" s="51">
        <v>25000</v>
      </c>
      <c r="H19" s="195">
        <v>58049</v>
      </c>
      <c r="I19" s="51">
        <f t="shared" si="1"/>
        <v>83049</v>
      </c>
    </row>
    <row r="20" spans="1:9" ht="15.75" customHeight="1">
      <c r="A20" s="195" t="s">
        <v>116</v>
      </c>
      <c r="B20" s="55"/>
      <c r="C20" s="195">
        <v>283565</v>
      </c>
      <c r="D20" s="51">
        <f t="shared" si="2"/>
        <v>283565</v>
      </c>
      <c r="E20" s="196"/>
      <c r="F20" s="195" t="s">
        <v>127</v>
      </c>
      <c r="G20" s="51">
        <v>436993</v>
      </c>
      <c r="H20" s="195">
        <v>201240</v>
      </c>
      <c r="I20" s="51">
        <f t="shared" si="1"/>
        <v>638233</v>
      </c>
    </row>
    <row r="21" spans="1:9" ht="12.75" customHeight="1">
      <c r="A21" s="195" t="s">
        <v>25</v>
      </c>
      <c r="B21" s="55">
        <v>25600</v>
      </c>
      <c r="C21" s="195"/>
      <c r="D21" s="51">
        <f t="shared" si="2"/>
        <v>25600</v>
      </c>
      <c r="E21" s="196"/>
      <c r="F21" s="195" t="s">
        <v>280</v>
      </c>
      <c r="G21" s="51">
        <v>7500</v>
      </c>
      <c r="H21" s="195">
        <v>87362</v>
      </c>
      <c r="I21" s="51">
        <f t="shared" si="1"/>
        <v>94862</v>
      </c>
    </row>
    <row r="22" spans="1:9" ht="12.75" customHeight="1">
      <c r="A22" s="197" t="s">
        <v>133</v>
      </c>
      <c r="B22" s="192">
        <f>SUM(B16:B21)</f>
        <v>1347701</v>
      </c>
      <c r="C22" s="192">
        <f>SUM(C16:C21)</f>
        <v>4212600</v>
      </c>
      <c r="D22" s="52">
        <f t="shared" si="2"/>
        <v>5560301</v>
      </c>
      <c r="E22" s="196"/>
      <c r="F22" s="195" t="s">
        <v>129</v>
      </c>
      <c r="G22" s="51">
        <v>76000</v>
      </c>
      <c r="H22" s="195">
        <v>-66944</v>
      </c>
      <c r="I22" s="51">
        <f t="shared" si="1"/>
        <v>9056</v>
      </c>
    </row>
    <row r="23" spans="1:9" ht="12.75" customHeight="1">
      <c r="A23" s="199" t="s">
        <v>135</v>
      </c>
      <c r="B23" s="192"/>
      <c r="C23" s="192"/>
      <c r="D23" s="51">
        <f t="shared" si="2"/>
        <v>0</v>
      </c>
      <c r="E23" s="196"/>
      <c r="F23" s="195" t="s">
        <v>130</v>
      </c>
      <c r="G23" s="51">
        <v>20000</v>
      </c>
      <c r="H23" s="195">
        <v>31085</v>
      </c>
      <c r="I23" s="51">
        <f t="shared" si="1"/>
        <v>51085</v>
      </c>
    </row>
    <row r="24" spans="1:9" ht="12.75" customHeight="1">
      <c r="A24" s="199" t="s">
        <v>384</v>
      </c>
      <c r="B24" s="195">
        <v>862489</v>
      </c>
      <c r="C24" s="195"/>
      <c r="D24" s="51">
        <f t="shared" si="2"/>
        <v>862489</v>
      </c>
      <c r="E24" s="196"/>
      <c r="F24" s="195" t="s">
        <v>131</v>
      </c>
      <c r="G24" s="51">
        <v>85963</v>
      </c>
      <c r="H24" s="195">
        <v>-16791</v>
      </c>
      <c r="I24" s="51">
        <f t="shared" si="1"/>
        <v>69172</v>
      </c>
    </row>
    <row r="25" spans="1:9" ht="12.75" customHeight="1">
      <c r="A25" s="195" t="s">
        <v>385</v>
      </c>
      <c r="B25" s="266">
        <v>1396731</v>
      </c>
      <c r="C25" s="195">
        <v>59558</v>
      </c>
      <c r="D25" s="51">
        <f t="shared" si="2"/>
        <v>1456289</v>
      </c>
      <c r="E25" s="196"/>
      <c r="F25" s="197" t="s">
        <v>134</v>
      </c>
      <c r="G25" s="192">
        <f>SUM(G14+G18+G20+G22+G23+G24)</f>
        <v>3357173</v>
      </c>
      <c r="H25" s="192">
        <f>SUM(H14+H18+H20+H22+H23+H24)</f>
        <v>4262780</v>
      </c>
      <c r="I25" s="52">
        <f t="shared" si="1"/>
        <v>7619953</v>
      </c>
    </row>
    <row r="26" spans="1:9" ht="12.75" customHeight="1">
      <c r="A26" s="195"/>
      <c r="B26" s="266"/>
      <c r="C26" s="195"/>
      <c r="D26" s="51"/>
      <c r="E26" s="196"/>
      <c r="F26" s="199" t="s">
        <v>135</v>
      </c>
      <c r="G26" s="192"/>
      <c r="H26" s="192"/>
      <c r="I26" s="51">
        <f t="shared" si="1"/>
        <v>0</v>
      </c>
    </row>
    <row r="27" spans="1:9" ht="12.75" customHeight="1">
      <c r="A27" s="199"/>
      <c r="B27" s="195"/>
      <c r="C27" s="195"/>
      <c r="D27" s="51"/>
      <c r="E27" s="196"/>
      <c r="F27" s="199" t="s">
        <v>26</v>
      </c>
      <c r="G27" s="39">
        <v>250528</v>
      </c>
      <c r="H27" s="199">
        <v>150761</v>
      </c>
      <c r="I27" s="51">
        <f t="shared" si="1"/>
        <v>401289</v>
      </c>
    </row>
    <row r="28" spans="1:12" s="191" customFormat="1" ht="22.5" customHeight="1">
      <c r="A28" s="200" t="s">
        <v>138</v>
      </c>
      <c r="B28" s="44">
        <f>SUM(B22:B27)</f>
        <v>3606921</v>
      </c>
      <c r="C28" s="44">
        <f>SUM(C22:C27)</f>
        <v>4272158</v>
      </c>
      <c r="D28" s="43">
        <f>SUM(B28:C28)</f>
        <v>7879079</v>
      </c>
      <c r="E28" s="193"/>
      <c r="F28" s="200" t="s">
        <v>139</v>
      </c>
      <c r="G28" s="44">
        <f>SUM(G25:G27)</f>
        <v>3607701</v>
      </c>
      <c r="H28" s="44">
        <f>SUM(H25:H27)</f>
        <v>4413541</v>
      </c>
      <c r="I28" s="44">
        <f t="shared" si="1"/>
        <v>8021242</v>
      </c>
      <c r="J28" s="57"/>
      <c r="K28" s="57"/>
      <c r="L28" s="57"/>
    </row>
    <row r="29" spans="1:12" s="191" customFormat="1" ht="19.5" customHeight="1">
      <c r="A29" s="200" t="s">
        <v>281</v>
      </c>
      <c r="B29" s="44">
        <f>SUM(B15+B28)</f>
        <v>12904945</v>
      </c>
      <c r="C29" s="44">
        <f>SUM(C15+C28)</f>
        <v>6064566</v>
      </c>
      <c r="D29" s="43">
        <f>SUM(B29:C29)</f>
        <v>18969511</v>
      </c>
      <c r="E29" s="196"/>
      <c r="F29" s="200" t="s">
        <v>281</v>
      </c>
      <c r="G29" s="200">
        <f>SUM(G12+G28)</f>
        <v>12904945</v>
      </c>
      <c r="H29" s="200">
        <f>SUM(H12+H28)</f>
        <v>6064566</v>
      </c>
      <c r="I29" s="44">
        <f t="shared" si="1"/>
        <v>18969511</v>
      </c>
      <c r="J29" s="57"/>
      <c r="K29" s="57"/>
      <c r="L29" s="57"/>
    </row>
    <row r="30" spans="1:4" ht="12">
      <c r="A30" s="203"/>
      <c r="B30" s="203"/>
      <c r="C30" s="203"/>
      <c r="D30" s="59"/>
    </row>
    <row r="31" ht="12">
      <c r="D31" s="59"/>
    </row>
    <row r="32" ht="12">
      <c r="D32" s="59"/>
    </row>
    <row r="33" ht="12">
      <c r="D33" s="59"/>
    </row>
    <row r="34" ht="12">
      <c r="D34" s="59"/>
    </row>
    <row r="35" ht="12">
      <c r="D35" s="59"/>
    </row>
    <row r="36" ht="12">
      <c r="D36" s="59"/>
    </row>
  </sheetData>
  <sheetProtection/>
  <printOptions horizontalCentered="1" verticalCentered="1"/>
  <pageMargins left="0.11811023622047245" right="0.11811023622047245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2013.  ÉVBEN
&amp;R&amp;"Times New Roman CE,Félkövér dőlt"1. sz.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12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2" sqref="C22"/>
    </sheetView>
  </sheetViews>
  <sheetFormatPr defaultColWidth="9.00390625" defaultRowHeight="12.75"/>
  <cols>
    <col min="1" max="1" width="4.875" style="77" customWidth="1"/>
    <col min="2" max="2" width="6.375" style="77" customWidth="1"/>
    <col min="3" max="3" width="40.00390625" style="74" customWidth="1"/>
    <col min="4" max="5" width="13.875" style="74" customWidth="1"/>
    <col min="6" max="6" width="11.125" style="74" customWidth="1"/>
    <col min="7" max="7" width="12.125" style="74" customWidth="1"/>
    <col min="8" max="8" width="11.125" style="74" customWidth="1"/>
    <col min="9" max="9" width="12.875" style="74" customWidth="1"/>
    <col min="10" max="10" width="10.00390625" style="74" customWidth="1"/>
    <col min="11" max="12" width="10.625" style="74" customWidth="1"/>
    <col min="13" max="13" width="9.50390625" style="74" customWidth="1"/>
    <col min="14" max="14" width="12.625" style="74" customWidth="1"/>
    <col min="15" max="16384" width="9.375" style="74" customWidth="1"/>
  </cols>
  <sheetData>
    <row r="1" spans="1:14" ht="10.5" customHeight="1" thickBot="1">
      <c r="A1" s="848" t="s">
        <v>11</v>
      </c>
      <c r="B1" s="848" t="s">
        <v>12</v>
      </c>
      <c r="C1" s="848" t="s">
        <v>58</v>
      </c>
      <c r="D1" s="848" t="s">
        <v>98</v>
      </c>
      <c r="E1" s="848" t="s">
        <v>655</v>
      </c>
      <c r="F1" s="851" t="s">
        <v>656</v>
      </c>
      <c r="G1" s="852"/>
      <c r="H1" s="852"/>
      <c r="I1" s="852"/>
      <c r="J1" s="853"/>
      <c r="K1" s="851" t="s">
        <v>662</v>
      </c>
      <c r="L1" s="852"/>
      <c r="M1" s="853"/>
      <c r="N1" s="848" t="s">
        <v>15</v>
      </c>
    </row>
    <row r="2" spans="1:17" ht="44.25" customHeight="1" thickBot="1">
      <c r="A2" s="849"/>
      <c r="B2" s="849"/>
      <c r="C2" s="850"/>
      <c r="D2" s="850"/>
      <c r="E2" s="850"/>
      <c r="F2" s="526" t="s">
        <v>97</v>
      </c>
      <c r="G2" s="526" t="s">
        <v>13</v>
      </c>
      <c r="H2" s="526" t="s">
        <v>14</v>
      </c>
      <c r="I2" s="525" t="s">
        <v>660</v>
      </c>
      <c r="J2" s="527" t="s">
        <v>394</v>
      </c>
      <c r="K2" s="525" t="s">
        <v>663</v>
      </c>
      <c r="L2" s="526" t="s">
        <v>664</v>
      </c>
      <c r="M2" s="526" t="s">
        <v>665</v>
      </c>
      <c r="N2" s="850"/>
      <c r="O2" s="73"/>
      <c r="P2" s="73"/>
      <c r="Q2" s="73"/>
    </row>
    <row r="3" spans="1:17" ht="13.5" customHeight="1">
      <c r="A3" s="336">
        <v>2</v>
      </c>
      <c r="B3" s="336">
        <v>1</v>
      </c>
      <c r="C3" s="737" t="s">
        <v>365</v>
      </c>
      <c r="D3" s="528">
        <v>1188163</v>
      </c>
      <c r="E3" s="528">
        <f>45345+'táj.2.'!L3</f>
        <v>52735</v>
      </c>
      <c r="F3" s="528">
        <f>761512+'táj.2.'!D3</f>
        <v>760830</v>
      </c>
      <c r="G3" s="528">
        <f>195553+'táj.2.'!E3</f>
        <v>207236</v>
      </c>
      <c r="H3" s="528">
        <f>228792+'táj.2.'!F3</f>
        <v>225152</v>
      </c>
      <c r="I3" s="528">
        <f>17+'táj.2.'!G3</f>
        <v>41</v>
      </c>
      <c r="J3" s="528">
        <f>0+'táj.2.'!H3</f>
        <v>0</v>
      </c>
      <c r="K3" s="528">
        <f>37508+'táj.2.'!I3</f>
        <v>36878</v>
      </c>
      <c r="L3" s="528">
        <f>10126+'táj.2.'!J3</f>
        <v>10761</v>
      </c>
      <c r="M3" s="528">
        <f>0+'táj.2.'!K3</f>
        <v>0</v>
      </c>
      <c r="N3" s="528">
        <f>SUM(F3:M3)</f>
        <v>1240898</v>
      </c>
      <c r="O3" s="73"/>
      <c r="P3" s="73"/>
      <c r="Q3" s="73"/>
    </row>
    <row r="4" spans="1:17" ht="12" customHeight="1">
      <c r="A4" s="336">
        <v>2</v>
      </c>
      <c r="B4" s="336">
        <v>2</v>
      </c>
      <c r="C4" s="738" t="s">
        <v>873</v>
      </c>
      <c r="D4" s="335">
        <v>497197</v>
      </c>
      <c r="E4" s="335">
        <f>-497197+'táj.2.'!L4</f>
        <v>-497197</v>
      </c>
      <c r="F4" s="335">
        <f>0+'táj.2.'!D4</f>
        <v>0</v>
      </c>
      <c r="G4" s="335">
        <f>0+'táj.2.'!E4</f>
        <v>0</v>
      </c>
      <c r="H4" s="335">
        <f>0+'táj.2.'!F4</f>
        <v>0</v>
      </c>
      <c r="I4" s="335">
        <f>0+'táj.2.'!G4</f>
        <v>0</v>
      </c>
      <c r="J4" s="335">
        <f>0+'táj.2.'!H4</f>
        <v>0</v>
      </c>
      <c r="K4" s="528">
        <f>0+'táj.2.'!I4</f>
        <v>0</v>
      </c>
      <c r="L4" s="528">
        <f>0+'táj.2.'!J4</f>
        <v>0</v>
      </c>
      <c r="M4" s="528">
        <f>0+'táj.2.'!K4</f>
        <v>0</v>
      </c>
      <c r="N4" s="335">
        <f>SUM(F4:M4)</f>
        <v>0</v>
      </c>
      <c r="O4" s="73"/>
      <c r="P4" s="73"/>
      <c r="Q4" s="73"/>
    </row>
    <row r="5" spans="1:17" ht="13.5" customHeight="1">
      <c r="A5" s="336">
        <v>2</v>
      </c>
      <c r="B5" s="336">
        <v>3</v>
      </c>
      <c r="C5" s="479" t="s">
        <v>674</v>
      </c>
      <c r="D5" s="335">
        <f>SUM(D6:D13)</f>
        <v>2034364</v>
      </c>
      <c r="E5" s="335">
        <f aca="true" t="shared" si="0" ref="E5:N5">SUM(E6:E13)</f>
        <v>997109</v>
      </c>
      <c r="F5" s="335">
        <f t="shared" si="0"/>
        <v>1182342</v>
      </c>
      <c r="G5" s="335">
        <f t="shared" si="0"/>
        <v>290859</v>
      </c>
      <c r="H5" s="335">
        <f t="shared" si="0"/>
        <v>1532675</v>
      </c>
      <c r="I5" s="335">
        <f t="shared" si="0"/>
        <v>774</v>
      </c>
      <c r="J5" s="335">
        <f t="shared" si="0"/>
        <v>0</v>
      </c>
      <c r="K5" s="335">
        <f t="shared" si="0"/>
        <v>10423</v>
      </c>
      <c r="L5" s="335">
        <f t="shared" si="0"/>
        <v>14400</v>
      </c>
      <c r="M5" s="335">
        <f t="shared" si="0"/>
        <v>0</v>
      </c>
      <c r="N5" s="335">
        <f t="shared" si="0"/>
        <v>3031473</v>
      </c>
      <c r="O5" s="73"/>
      <c r="P5" s="73"/>
      <c r="Q5" s="73"/>
    </row>
    <row r="6" spans="1:17" ht="13.5" customHeight="1">
      <c r="A6" s="336"/>
      <c r="B6" s="331" t="s">
        <v>316</v>
      </c>
      <c r="C6" s="739" t="s">
        <v>552</v>
      </c>
      <c r="D6" s="282">
        <v>339145</v>
      </c>
      <c r="E6" s="338">
        <f>16170+'táj.2.'!L6</f>
        <v>16930</v>
      </c>
      <c r="F6" s="338">
        <f>184060+'táj.2.'!D6</f>
        <v>188410</v>
      </c>
      <c r="G6" s="338">
        <f>39812+'táj.2.'!E6</f>
        <v>46075</v>
      </c>
      <c r="H6" s="338">
        <f>124702+'táj.2.'!F6</f>
        <v>114849</v>
      </c>
      <c r="I6" s="338">
        <f>88+'táj.2.'!G6</f>
        <v>88</v>
      </c>
      <c r="J6" s="338">
        <f>0+'táj.2.'!H6</f>
        <v>0</v>
      </c>
      <c r="K6" s="621">
        <f>165+'táj.2.'!I6</f>
        <v>653</v>
      </c>
      <c r="L6" s="621">
        <f>6488+'táj.2.'!J6</f>
        <v>6000</v>
      </c>
      <c r="M6" s="621">
        <f>0+'táj.2.'!K6</f>
        <v>0</v>
      </c>
      <c r="N6" s="338">
        <f aca="true" t="shared" si="1" ref="N6:N27">SUM(F6:M6)</f>
        <v>356075</v>
      </c>
      <c r="O6" s="73"/>
      <c r="P6" s="73"/>
      <c r="Q6" s="73"/>
    </row>
    <row r="7" spans="1:17" ht="22.5" customHeight="1">
      <c r="A7" s="336"/>
      <c r="B7" s="331" t="s">
        <v>317</v>
      </c>
      <c r="C7" s="740" t="s">
        <v>875</v>
      </c>
      <c r="D7" s="282">
        <v>96603</v>
      </c>
      <c r="E7" s="338">
        <f>-96603+'táj.2.'!L7</f>
        <v>-96603</v>
      </c>
      <c r="F7" s="338">
        <f>0+'táj.2.'!D7</f>
        <v>0</v>
      </c>
      <c r="G7" s="338">
        <f>0+'táj.2.'!E7</f>
        <v>0</v>
      </c>
      <c r="H7" s="338">
        <f>0+'táj.2.'!F7</f>
        <v>0</v>
      </c>
      <c r="I7" s="338">
        <f>0+'táj.2.'!G7</f>
        <v>0</v>
      </c>
      <c r="J7" s="338">
        <f>0+'táj.2.'!H7</f>
        <v>0</v>
      </c>
      <c r="K7" s="621">
        <f>0+'táj.2.'!I7</f>
        <v>0</v>
      </c>
      <c r="L7" s="621">
        <f>0+'táj.2.'!J7</f>
        <v>0</v>
      </c>
      <c r="M7" s="621">
        <f>0+'táj.2.'!K7</f>
        <v>0</v>
      </c>
      <c r="N7" s="338">
        <f t="shared" si="1"/>
        <v>0</v>
      </c>
      <c r="O7" s="73"/>
      <c r="P7" s="73"/>
      <c r="Q7" s="73"/>
    </row>
    <row r="8" spans="1:17" ht="13.5" customHeight="1">
      <c r="A8" s="336"/>
      <c r="B8" s="331" t="s">
        <v>339</v>
      </c>
      <c r="C8" s="739" t="s">
        <v>876</v>
      </c>
      <c r="D8" s="282">
        <v>266362</v>
      </c>
      <c r="E8" s="338">
        <f>59899+'táj.2.'!L8</f>
        <v>80715</v>
      </c>
      <c r="F8" s="338">
        <f>145816+'táj.2.'!D8</f>
        <v>157568</v>
      </c>
      <c r="G8" s="338">
        <f>40941+'táj.2.'!E8</f>
        <v>43698</v>
      </c>
      <c r="H8" s="338">
        <f>139504+'táj.2.'!F8</f>
        <v>141311</v>
      </c>
      <c r="I8" s="338">
        <f>0+'táj.2.'!G8</f>
        <v>0</v>
      </c>
      <c r="J8" s="338">
        <f>0+'táj.2.'!H8</f>
        <v>0</v>
      </c>
      <c r="K8" s="621">
        <f>0+'táj.2.'!I8</f>
        <v>4500</v>
      </c>
      <c r="L8" s="621">
        <f>0+'táj.2.'!J8</f>
        <v>0</v>
      </c>
      <c r="M8" s="621">
        <f>0+'táj.2.'!K8</f>
        <v>0</v>
      </c>
      <c r="N8" s="338">
        <f t="shared" si="1"/>
        <v>347077</v>
      </c>
      <c r="O8" s="73"/>
      <c r="P8" s="73"/>
      <c r="Q8" s="73"/>
    </row>
    <row r="9" spans="1:17" ht="13.5" customHeight="1">
      <c r="A9" s="336"/>
      <c r="B9" s="331" t="s">
        <v>48</v>
      </c>
      <c r="C9" s="739" t="s">
        <v>877</v>
      </c>
      <c r="D9" s="282">
        <v>0</v>
      </c>
      <c r="E9" s="338">
        <f>235203+'táj.2.'!L9</f>
        <v>259457</v>
      </c>
      <c r="F9" s="338">
        <f>133913+'táj.2.'!D9</f>
        <v>141168</v>
      </c>
      <c r="G9" s="338">
        <f>34472+'táj.2.'!E9</f>
        <v>36936</v>
      </c>
      <c r="H9" s="338">
        <f>66810+'táj.2.'!F9</f>
        <v>81045</v>
      </c>
      <c r="I9" s="338">
        <f>8+'táj.2.'!G9</f>
        <v>178</v>
      </c>
      <c r="J9" s="338">
        <f>0+'táj.2.'!H9</f>
        <v>0</v>
      </c>
      <c r="K9" s="621">
        <f>0+'táj.2.'!I9</f>
        <v>130</v>
      </c>
      <c r="L9" s="621">
        <f>0+'táj.2.'!J9</f>
        <v>0</v>
      </c>
      <c r="M9" s="621">
        <f>0+'táj.2.'!K9</f>
        <v>0</v>
      </c>
      <c r="N9" s="338">
        <f t="shared" si="1"/>
        <v>259457</v>
      </c>
      <c r="O9" s="73"/>
      <c r="P9" s="73"/>
      <c r="Q9" s="73"/>
    </row>
    <row r="10" spans="1:17" ht="13.5" customHeight="1">
      <c r="A10" s="336"/>
      <c r="B10" s="331" t="s">
        <v>622</v>
      </c>
      <c r="C10" s="739" t="s">
        <v>878</v>
      </c>
      <c r="D10" s="282">
        <v>0</v>
      </c>
      <c r="E10" s="338">
        <f>230286+'táj.2.'!L10</f>
        <v>253781</v>
      </c>
      <c r="F10" s="338">
        <f>134457+'táj.2.'!D10</f>
        <v>140470</v>
      </c>
      <c r="G10" s="338">
        <f>33638+'táj.2.'!E10</f>
        <v>35953</v>
      </c>
      <c r="H10" s="338">
        <f>60025+'táj.2.'!F10</f>
        <v>73792</v>
      </c>
      <c r="I10" s="338">
        <f>178+'táj.2.'!G10</f>
        <v>178</v>
      </c>
      <c r="J10" s="338">
        <f>0+'táj.2.'!H10</f>
        <v>0</v>
      </c>
      <c r="K10" s="621">
        <f>1988+'táj.2.'!I10</f>
        <v>1988</v>
      </c>
      <c r="L10" s="621">
        <f>0+'táj.2.'!J10</f>
        <v>1400</v>
      </c>
      <c r="M10" s="621">
        <f>0+'táj.2.'!K10</f>
        <v>0</v>
      </c>
      <c r="N10" s="338">
        <f t="shared" si="1"/>
        <v>253781</v>
      </c>
      <c r="O10" s="73"/>
      <c r="P10" s="73"/>
      <c r="Q10" s="73"/>
    </row>
    <row r="11" spans="1:17" ht="13.5" customHeight="1">
      <c r="A11" s="336"/>
      <c r="B11" s="331" t="s">
        <v>623</v>
      </c>
      <c r="C11" s="739" t="s">
        <v>879</v>
      </c>
      <c r="D11" s="282">
        <v>0</v>
      </c>
      <c r="E11" s="338">
        <f>206934+'táj.2.'!L11</f>
        <v>212463</v>
      </c>
      <c r="F11" s="338">
        <f>118120+'táj.2.'!D11</f>
        <v>121951</v>
      </c>
      <c r="G11" s="338">
        <f>30091+'táj.2.'!E11</f>
        <v>31682</v>
      </c>
      <c r="H11" s="338">
        <f>58723+'táj.2.'!F11</f>
        <v>58530</v>
      </c>
      <c r="I11" s="338">
        <f>0+'táj.2.'!G11</f>
        <v>300</v>
      </c>
      <c r="J11" s="338">
        <f>0+'táj.2.'!H11</f>
        <v>0</v>
      </c>
      <c r="K11" s="621">
        <f>0+'táj.2.'!I11</f>
        <v>0</v>
      </c>
      <c r="L11" s="621">
        <f>0+'táj.2.'!J11</f>
        <v>0</v>
      </c>
      <c r="M11" s="621">
        <f>0+'táj.2.'!K11</f>
        <v>0</v>
      </c>
      <c r="N11" s="338">
        <f t="shared" si="1"/>
        <v>212463</v>
      </c>
      <c r="O11" s="73"/>
      <c r="P11" s="73"/>
      <c r="Q11" s="73"/>
    </row>
    <row r="12" spans="1:17" ht="13.5" customHeight="1">
      <c r="A12" s="336"/>
      <c r="B12" s="331" t="s">
        <v>624</v>
      </c>
      <c r="C12" s="739" t="s">
        <v>880</v>
      </c>
      <c r="D12" s="282">
        <v>0</v>
      </c>
      <c r="E12" s="338">
        <f>225955+'táj.2.'!L12</f>
        <v>241152</v>
      </c>
      <c r="F12" s="338">
        <f>130366+'táj.2.'!D12</f>
        <v>133750</v>
      </c>
      <c r="G12" s="338">
        <f>33345+'táj.2.'!E12</f>
        <v>34348</v>
      </c>
      <c r="H12" s="338">
        <f>61744+'táj.2.'!F12</f>
        <v>72524</v>
      </c>
      <c r="I12" s="338">
        <f>0+'táj.2.'!G12</f>
        <v>30</v>
      </c>
      <c r="J12" s="338">
        <f>0+'táj.2.'!H12</f>
        <v>0</v>
      </c>
      <c r="K12" s="621">
        <f>500+'táj.2.'!I12</f>
        <v>500</v>
      </c>
      <c r="L12" s="621">
        <f>0+'táj.2.'!J12</f>
        <v>0</v>
      </c>
      <c r="M12" s="621">
        <f>0+'táj.2.'!K12</f>
        <v>0</v>
      </c>
      <c r="N12" s="338">
        <f t="shared" si="1"/>
        <v>241152</v>
      </c>
      <c r="O12" s="73"/>
      <c r="P12" s="73"/>
      <c r="Q12" s="73"/>
    </row>
    <row r="13" spans="1:17" ht="13.5" customHeight="1">
      <c r="A13" s="336"/>
      <c r="B13" s="331" t="s">
        <v>625</v>
      </c>
      <c r="C13" s="739" t="s">
        <v>881</v>
      </c>
      <c r="D13" s="282">
        <v>1332254</v>
      </c>
      <c r="E13" s="338">
        <f>61360+'táj.2.'!L13</f>
        <v>29214</v>
      </c>
      <c r="F13" s="338">
        <f>281754+'táj.2.'!D13</f>
        <v>299025</v>
      </c>
      <c r="G13" s="338">
        <f>63354+'táj.2.'!E13</f>
        <v>62167</v>
      </c>
      <c r="H13" s="338">
        <f>1045506+'táj.2.'!F13</f>
        <v>990624</v>
      </c>
      <c r="I13" s="338">
        <f>0+'táj.2.'!G13</f>
        <v>0</v>
      </c>
      <c r="J13" s="338">
        <f>0+'táj.2.'!H13</f>
        <v>0</v>
      </c>
      <c r="K13" s="621">
        <f>500+'táj.2.'!I13</f>
        <v>2652</v>
      </c>
      <c r="L13" s="621">
        <f>2500+'táj.2.'!J13</f>
        <v>7000</v>
      </c>
      <c r="M13" s="621">
        <f>0+'táj.2.'!K13</f>
        <v>0</v>
      </c>
      <c r="N13" s="338">
        <f t="shared" si="1"/>
        <v>1361468</v>
      </c>
      <c r="O13" s="73"/>
      <c r="P13" s="73"/>
      <c r="Q13" s="73"/>
    </row>
    <row r="14" spans="1:17" ht="10.5" customHeight="1">
      <c r="A14" s="336">
        <v>2</v>
      </c>
      <c r="B14" s="336">
        <v>4</v>
      </c>
      <c r="C14" s="741" t="s">
        <v>16</v>
      </c>
      <c r="D14" s="281">
        <f>SUM(D15:D19)</f>
        <v>850235</v>
      </c>
      <c r="E14" s="281">
        <f aca="true" t="shared" si="2" ref="E14:N14">SUM(E15:E19)</f>
        <v>-831933</v>
      </c>
      <c r="F14" s="281">
        <f t="shared" si="2"/>
        <v>8613</v>
      </c>
      <c r="G14" s="281">
        <f t="shared" si="2"/>
        <v>1822</v>
      </c>
      <c r="H14" s="281">
        <f t="shared" si="2"/>
        <v>5889</v>
      </c>
      <c r="I14" s="281">
        <f t="shared" si="2"/>
        <v>1978</v>
      </c>
      <c r="J14" s="281">
        <f t="shared" si="2"/>
        <v>0</v>
      </c>
      <c r="K14" s="282">
        <f t="shared" si="2"/>
        <v>0</v>
      </c>
      <c r="L14" s="282">
        <f t="shared" si="2"/>
        <v>0</v>
      </c>
      <c r="M14" s="282">
        <f t="shared" si="2"/>
        <v>0</v>
      </c>
      <c r="N14" s="282">
        <f t="shared" si="2"/>
        <v>18302</v>
      </c>
      <c r="O14" s="73"/>
      <c r="P14" s="73"/>
      <c r="Q14" s="73"/>
    </row>
    <row r="15" spans="1:17" ht="11.25" customHeight="1">
      <c r="A15" s="336"/>
      <c r="B15" s="337" t="s">
        <v>319</v>
      </c>
      <c r="C15" s="739" t="s">
        <v>882</v>
      </c>
      <c r="D15" s="282">
        <v>207494</v>
      </c>
      <c r="E15" s="338">
        <f>-207494+'táj.2.'!L15</f>
        <v>-207494</v>
      </c>
      <c r="F15" s="338">
        <f>0+'táj.2.'!D15</f>
        <v>0</v>
      </c>
      <c r="G15" s="338">
        <f>0+'táj.2.'!E15</f>
        <v>0</v>
      </c>
      <c r="H15" s="338">
        <f>0+'táj.2.'!F15</f>
        <v>0</v>
      </c>
      <c r="I15" s="338">
        <f>0+'táj.2.'!G15</f>
        <v>0</v>
      </c>
      <c r="J15" s="338">
        <f>0+'táj.2.'!H15</f>
        <v>0</v>
      </c>
      <c r="K15" s="621">
        <f>0+'táj.2.'!I15</f>
        <v>0</v>
      </c>
      <c r="L15" s="621">
        <f>0+'táj.2.'!J15</f>
        <v>0</v>
      </c>
      <c r="M15" s="621">
        <f>0+'táj.2.'!K15</f>
        <v>0</v>
      </c>
      <c r="N15" s="338">
        <f t="shared" si="1"/>
        <v>0</v>
      </c>
      <c r="O15" s="73"/>
      <c r="P15" s="73"/>
      <c r="Q15" s="73"/>
    </row>
    <row r="16" spans="1:17" ht="9.75" customHeight="1">
      <c r="A16" s="336"/>
      <c r="B16" s="337" t="s">
        <v>320</v>
      </c>
      <c r="C16" s="739" t="s">
        <v>883</v>
      </c>
      <c r="D16" s="282">
        <v>205632</v>
      </c>
      <c r="E16" s="338">
        <f>-205632+'táj.2.'!L16</f>
        <v>-205632</v>
      </c>
      <c r="F16" s="338">
        <f>0+'táj.2.'!D16</f>
        <v>0</v>
      </c>
      <c r="G16" s="338">
        <f>0+'táj.2.'!E16</f>
        <v>0</v>
      </c>
      <c r="H16" s="338">
        <f>0+'táj.2.'!F16</f>
        <v>0</v>
      </c>
      <c r="I16" s="338">
        <f>0+'táj.2.'!G16</f>
        <v>0</v>
      </c>
      <c r="J16" s="338">
        <f>0+'táj.2.'!H16</f>
        <v>0</v>
      </c>
      <c r="K16" s="621">
        <f>0+'táj.2.'!I16</f>
        <v>0</v>
      </c>
      <c r="L16" s="621">
        <f>0+'táj.2.'!J16</f>
        <v>0</v>
      </c>
      <c r="M16" s="621">
        <f>0+'táj.2.'!K16</f>
        <v>0</v>
      </c>
      <c r="N16" s="338">
        <f t="shared" si="1"/>
        <v>0</v>
      </c>
      <c r="O16" s="73"/>
      <c r="P16" s="73"/>
      <c r="Q16" s="73"/>
    </row>
    <row r="17" spans="1:17" ht="11.25" customHeight="1">
      <c r="A17" s="336"/>
      <c r="B17" s="337" t="s">
        <v>321</v>
      </c>
      <c r="C17" s="739" t="s">
        <v>884</v>
      </c>
      <c r="D17" s="282">
        <v>169219</v>
      </c>
      <c r="E17" s="338">
        <f>-169219+'táj.2.'!L17</f>
        <v>-169219</v>
      </c>
      <c r="F17" s="338">
        <f>0+'táj.2.'!D17</f>
        <v>0</v>
      </c>
      <c r="G17" s="338">
        <f>0+'táj.2.'!E17</f>
        <v>0</v>
      </c>
      <c r="H17" s="338">
        <f>0+'táj.2.'!F17</f>
        <v>0</v>
      </c>
      <c r="I17" s="338">
        <f>0+'táj.2.'!G17</f>
        <v>0</v>
      </c>
      <c r="J17" s="338">
        <f>0+'táj.2.'!H17</f>
        <v>0</v>
      </c>
      <c r="K17" s="621">
        <f>0+'táj.2.'!I17</f>
        <v>0</v>
      </c>
      <c r="L17" s="621">
        <f>0+'táj.2.'!J17</f>
        <v>0</v>
      </c>
      <c r="M17" s="621">
        <f>0+'táj.2.'!K17</f>
        <v>0</v>
      </c>
      <c r="N17" s="338">
        <f t="shared" si="1"/>
        <v>0</v>
      </c>
      <c r="O17" s="73"/>
      <c r="P17" s="73"/>
      <c r="Q17" s="73"/>
    </row>
    <row r="18" spans="1:17" ht="10.5" customHeight="1">
      <c r="A18" s="336"/>
      <c r="B18" s="337" t="s">
        <v>322</v>
      </c>
      <c r="C18" s="739" t="s">
        <v>880</v>
      </c>
      <c r="D18" s="282">
        <v>207492</v>
      </c>
      <c r="E18" s="338">
        <f>-207492+'táj.2.'!L18</f>
        <v>-207492</v>
      </c>
      <c r="F18" s="338">
        <f>0+'táj.2.'!D18</f>
        <v>0</v>
      </c>
      <c r="G18" s="338">
        <f>0+'táj.2.'!E18</f>
        <v>0</v>
      </c>
      <c r="H18" s="338">
        <f>0+'táj.2.'!F18</f>
        <v>0</v>
      </c>
      <c r="I18" s="338">
        <f>0+'táj.2.'!G18</f>
        <v>0</v>
      </c>
      <c r="J18" s="338">
        <f>0+'táj.2.'!H18</f>
        <v>0</v>
      </c>
      <c r="K18" s="621">
        <f>0+'táj.2.'!I18</f>
        <v>0</v>
      </c>
      <c r="L18" s="621">
        <f>0+'táj.2.'!J18</f>
        <v>0</v>
      </c>
      <c r="M18" s="621">
        <f>0+'táj.2.'!K18</f>
        <v>0</v>
      </c>
      <c r="N18" s="338">
        <f t="shared" si="1"/>
        <v>0</v>
      </c>
      <c r="O18" s="73"/>
      <c r="P18" s="73"/>
      <c r="Q18" s="73"/>
    </row>
    <row r="19" spans="1:17" ht="13.5" customHeight="1">
      <c r="A19" s="336"/>
      <c r="B19" s="337" t="s">
        <v>323</v>
      </c>
      <c r="C19" s="739" t="s">
        <v>865</v>
      </c>
      <c r="D19" s="282">
        <v>60398</v>
      </c>
      <c r="E19" s="338">
        <f>-42096+'táj.2.'!L19</f>
        <v>-42096</v>
      </c>
      <c r="F19" s="338">
        <f>8613+'táj.2.'!D19</f>
        <v>8613</v>
      </c>
      <c r="G19" s="338">
        <f>1822+'táj.2.'!E19</f>
        <v>1822</v>
      </c>
      <c r="H19" s="338">
        <f>5889+'táj.2.'!F19</f>
        <v>5889</v>
      </c>
      <c r="I19" s="338">
        <f>1978+'táj.2.'!G19</f>
        <v>1978</v>
      </c>
      <c r="J19" s="338">
        <f>0+'táj.2.'!H19</f>
        <v>0</v>
      </c>
      <c r="K19" s="621">
        <f>0+'táj.2.'!I19</f>
        <v>0</v>
      </c>
      <c r="L19" s="621">
        <f>0+'táj.2.'!J19</f>
        <v>0</v>
      </c>
      <c r="M19" s="621">
        <f>0+'táj.2.'!K19</f>
        <v>0</v>
      </c>
      <c r="N19" s="338">
        <f t="shared" si="1"/>
        <v>18302</v>
      </c>
      <c r="O19" s="73"/>
      <c r="P19" s="73"/>
      <c r="Q19" s="73"/>
    </row>
    <row r="20" spans="1:17" ht="13.5" customHeight="1">
      <c r="A20" s="336">
        <v>2</v>
      </c>
      <c r="B20" s="336">
        <v>5</v>
      </c>
      <c r="C20" s="741" t="s">
        <v>89</v>
      </c>
      <c r="D20" s="281">
        <v>93058</v>
      </c>
      <c r="E20" s="335">
        <f>-35135+'táj.2.'!L20</f>
        <v>-35135</v>
      </c>
      <c r="F20" s="335">
        <f>15555+'táj.2.'!D20</f>
        <v>15555</v>
      </c>
      <c r="G20" s="335">
        <f>3877+'táj.2.'!E20</f>
        <v>3877</v>
      </c>
      <c r="H20" s="335">
        <f>32865+'táj.2.'!F20</f>
        <v>32865</v>
      </c>
      <c r="I20" s="335">
        <f>531+'táj.2.'!G20</f>
        <v>531</v>
      </c>
      <c r="J20" s="335">
        <f>158+'táj.2.'!H20</f>
        <v>158</v>
      </c>
      <c r="K20" s="528">
        <f>2341+'táj.2.'!I20</f>
        <v>2341</v>
      </c>
      <c r="L20" s="528">
        <f>2153+'táj.2.'!J20</f>
        <v>2153</v>
      </c>
      <c r="M20" s="528">
        <f>443+'táj.2.'!K20</f>
        <v>443</v>
      </c>
      <c r="N20" s="335">
        <f t="shared" si="1"/>
        <v>57923</v>
      </c>
      <c r="O20" s="73"/>
      <c r="P20" s="73"/>
      <c r="Q20" s="73"/>
    </row>
    <row r="21" spans="1:17" ht="13.5" customHeight="1">
      <c r="A21" s="336">
        <v>2</v>
      </c>
      <c r="B21" s="336">
        <v>6</v>
      </c>
      <c r="C21" s="741" t="s">
        <v>90</v>
      </c>
      <c r="D21" s="281">
        <v>77936</v>
      </c>
      <c r="E21" s="335">
        <f>-32012+'táj.2.'!L21</f>
        <v>-32012</v>
      </c>
      <c r="F21" s="335">
        <f>19254+'táj.2.'!D21</f>
        <v>19254</v>
      </c>
      <c r="G21" s="335">
        <f>4901+'táj.2.'!E21</f>
        <v>4901</v>
      </c>
      <c r="H21" s="335">
        <f>21739+'táj.2.'!F21</f>
        <v>21739</v>
      </c>
      <c r="I21" s="335">
        <f>30+'táj.2.'!G21</f>
        <v>30</v>
      </c>
      <c r="J21" s="335">
        <f>0+'táj.2.'!H21</f>
        <v>0</v>
      </c>
      <c r="K21" s="528">
        <f>0+'táj.2.'!I21</f>
        <v>0</v>
      </c>
      <c r="L21" s="528">
        <f>0+'táj.2.'!J21</f>
        <v>0</v>
      </c>
      <c r="M21" s="528">
        <f>0+'táj.2.'!K21</f>
        <v>0</v>
      </c>
      <c r="N21" s="335">
        <f t="shared" si="1"/>
        <v>45924</v>
      </c>
      <c r="O21" s="73"/>
      <c r="P21" s="73"/>
      <c r="Q21" s="73"/>
    </row>
    <row r="22" spans="1:17" ht="34.5" customHeight="1">
      <c r="A22" s="336">
        <v>2</v>
      </c>
      <c r="B22" s="336">
        <v>7</v>
      </c>
      <c r="C22" s="742" t="s">
        <v>829</v>
      </c>
      <c r="D22" s="281">
        <v>69724</v>
      </c>
      <c r="E22" s="335">
        <f>69498+'táj.2.'!L22</f>
        <v>73299</v>
      </c>
      <c r="F22" s="335">
        <f>44523+'táj.2.'!D22</f>
        <v>47367</v>
      </c>
      <c r="G22" s="335">
        <f>12577+'táj.2.'!E22</f>
        <v>12898</v>
      </c>
      <c r="H22" s="335">
        <f>78880+'táj.2.'!F22</f>
        <v>78986</v>
      </c>
      <c r="I22" s="335">
        <f>0+'táj.2.'!G22</f>
        <v>130</v>
      </c>
      <c r="J22" s="335">
        <f>0+'táj.2.'!H22</f>
        <v>0</v>
      </c>
      <c r="K22" s="528">
        <f>2443+'táj.2.'!I22</f>
        <v>2843</v>
      </c>
      <c r="L22" s="528">
        <f>799+'táj.2.'!J22</f>
        <v>799</v>
      </c>
      <c r="M22" s="528">
        <f>0+'táj.2.'!K22</f>
        <v>0</v>
      </c>
      <c r="N22" s="335">
        <f t="shared" si="1"/>
        <v>143023</v>
      </c>
      <c r="O22" s="73"/>
      <c r="P22" s="73"/>
      <c r="Q22" s="73"/>
    </row>
    <row r="23" spans="1:14" s="75" customFormat="1" ht="13.5" customHeight="1">
      <c r="A23" s="265">
        <v>2</v>
      </c>
      <c r="B23" s="265">
        <v>8</v>
      </c>
      <c r="C23" s="743" t="s">
        <v>91</v>
      </c>
      <c r="D23" s="339">
        <f>SUM(D24:D25)</f>
        <v>204182</v>
      </c>
      <c r="E23" s="339">
        <f aca="true" t="shared" si="3" ref="E23:N23">SUM(E24:E25)</f>
        <v>65865</v>
      </c>
      <c r="F23" s="339">
        <f t="shared" si="3"/>
        <v>113258</v>
      </c>
      <c r="G23" s="339">
        <f t="shared" si="3"/>
        <v>25456</v>
      </c>
      <c r="H23" s="339">
        <f t="shared" si="3"/>
        <v>124863</v>
      </c>
      <c r="I23" s="339">
        <f t="shared" si="3"/>
        <v>4917</v>
      </c>
      <c r="J23" s="622">
        <f t="shared" si="3"/>
        <v>0</v>
      </c>
      <c r="K23" s="622">
        <f t="shared" si="3"/>
        <v>1314</v>
      </c>
      <c r="L23" s="622">
        <f t="shared" si="3"/>
        <v>239</v>
      </c>
      <c r="M23" s="622">
        <f t="shared" si="3"/>
        <v>0</v>
      </c>
      <c r="N23" s="622">
        <f t="shared" si="3"/>
        <v>270047</v>
      </c>
    </row>
    <row r="24" spans="1:14" s="75" customFormat="1" ht="13.5" customHeight="1">
      <c r="A24" s="265"/>
      <c r="B24" s="264" t="s">
        <v>92</v>
      </c>
      <c r="C24" s="739" t="s">
        <v>885</v>
      </c>
      <c r="D24" s="282">
        <v>191427</v>
      </c>
      <c r="E24" s="338">
        <f>39025+'táj.2.'!L24</f>
        <v>59135</v>
      </c>
      <c r="F24" s="338">
        <f>98433+'táj.2.'!D24</f>
        <v>103366</v>
      </c>
      <c r="G24" s="338">
        <f>22865+'táj.2.'!E24</f>
        <v>23185</v>
      </c>
      <c r="H24" s="338">
        <f>108494+'táj.2.'!F24</f>
        <v>117704</v>
      </c>
      <c r="I24" s="338">
        <f>17+'táj.2.'!G24</f>
        <v>4917</v>
      </c>
      <c r="J24" s="338">
        <f>0+'táj.2.'!H24</f>
        <v>0</v>
      </c>
      <c r="K24" s="621">
        <f>404+'táj.2.'!I24</f>
        <v>1151</v>
      </c>
      <c r="L24" s="621">
        <f>239+'táj.2.'!J24</f>
        <v>239</v>
      </c>
      <c r="M24" s="621">
        <f>0+'táj.2.'!K24</f>
        <v>0</v>
      </c>
      <c r="N24" s="338">
        <f t="shared" si="1"/>
        <v>250562</v>
      </c>
    </row>
    <row r="25" spans="1:14" s="75" customFormat="1" ht="13.5" customHeight="1">
      <c r="A25" s="265"/>
      <c r="B25" s="264" t="s">
        <v>93</v>
      </c>
      <c r="C25" s="739" t="s">
        <v>886</v>
      </c>
      <c r="D25" s="282">
        <v>12755</v>
      </c>
      <c r="E25" s="338">
        <f>6660+'táj.2.'!L25</f>
        <v>6730</v>
      </c>
      <c r="F25" s="338">
        <f>9841+'táj.2.'!D25</f>
        <v>9892</v>
      </c>
      <c r="G25" s="338">
        <f>2502+'táj.2.'!E25</f>
        <v>2271</v>
      </c>
      <c r="H25" s="338">
        <f>7072+'táj.2.'!F25</f>
        <v>7159</v>
      </c>
      <c r="I25" s="338">
        <f>0+'táj.2.'!G25</f>
        <v>0</v>
      </c>
      <c r="J25" s="338">
        <f>0+'táj.2.'!H25</f>
        <v>0</v>
      </c>
      <c r="K25" s="621">
        <f>0+'táj.2.'!I25</f>
        <v>163</v>
      </c>
      <c r="L25" s="621">
        <f>0+'táj.2.'!J25</f>
        <v>0</v>
      </c>
      <c r="M25" s="621">
        <f>0+'táj.2.'!K25</f>
        <v>0</v>
      </c>
      <c r="N25" s="338">
        <f t="shared" si="1"/>
        <v>19485</v>
      </c>
    </row>
    <row r="26" spans="1:14" s="75" customFormat="1" ht="13.5" customHeight="1">
      <c r="A26" s="265">
        <v>2</v>
      </c>
      <c r="B26" s="265">
        <v>9</v>
      </c>
      <c r="C26" s="744" t="s">
        <v>94</v>
      </c>
      <c r="D26" s="102">
        <v>163611</v>
      </c>
      <c r="E26" s="335">
        <f>181530+'táj.2.'!L26</f>
        <v>206958</v>
      </c>
      <c r="F26" s="335">
        <f>135824+'táj.2.'!D26</f>
        <v>139877</v>
      </c>
      <c r="G26" s="335">
        <f>34084+'táj.2.'!E26</f>
        <v>34785</v>
      </c>
      <c r="H26" s="335">
        <f>173857+'táj.2.'!F26</f>
        <v>192748</v>
      </c>
      <c r="I26" s="335">
        <f>800+'táj.2.'!G26</f>
        <v>800</v>
      </c>
      <c r="J26" s="335">
        <f>0+'táj.2.'!H26</f>
        <v>0</v>
      </c>
      <c r="K26" s="528">
        <f>576+'táj.2.'!I26</f>
        <v>2359</v>
      </c>
      <c r="L26" s="528">
        <f>0+'táj.2.'!J26</f>
        <v>0</v>
      </c>
      <c r="M26" s="528">
        <f>0+'táj.2.'!K26</f>
        <v>0</v>
      </c>
      <c r="N26" s="335">
        <f t="shared" si="1"/>
        <v>370569</v>
      </c>
    </row>
    <row r="27" spans="1:14" s="75" customFormat="1" ht="13.5" customHeight="1">
      <c r="A27" s="265">
        <v>2</v>
      </c>
      <c r="B27" s="265">
        <v>10</v>
      </c>
      <c r="C27" s="744" t="s">
        <v>95</v>
      </c>
      <c r="D27" s="102">
        <v>200000</v>
      </c>
      <c r="E27" s="335">
        <f>153545+'táj.2.'!L27</f>
        <v>233192</v>
      </c>
      <c r="F27" s="335">
        <f>119687+'táj.2.'!D27</f>
        <v>129296</v>
      </c>
      <c r="G27" s="335">
        <f>29626+'táj.2.'!E27</f>
        <v>33087</v>
      </c>
      <c r="H27" s="335">
        <f>134572+'táj.2.'!F27</f>
        <v>188793</v>
      </c>
      <c r="I27" s="335">
        <f>493+'táj.2.'!G27</f>
        <v>693</v>
      </c>
      <c r="J27" s="335">
        <f>0+'táj.2.'!H27</f>
        <v>0</v>
      </c>
      <c r="K27" s="528">
        <f>5343+'táj.2.'!I27</f>
        <v>15913</v>
      </c>
      <c r="L27" s="528">
        <f>63824+'táj.2.'!J27</f>
        <v>65410</v>
      </c>
      <c r="M27" s="528">
        <f>0+'táj.2.'!K27</f>
        <v>0</v>
      </c>
      <c r="N27" s="335">
        <f t="shared" si="1"/>
        <v>433192</v>
      </c>
    </row>
    <row r="28" spans="1:14" s="75" customFormat="1" ht="13.5" customHeight="1">
      <c r="A28" s="265">
        <v>2</v>
      </c>
      <c r="B28" s="265">
        <v>11</v>
      </c>
      <c r="C28" s="744" t="s">
        <v>137</v>
      </c>
      <c r="D28" s="102">
        <v>561466</v>
      </c>
      <c r="E28" s="335">
        <f>18931+'táj.2.'!L28</f>
        <v>31555</v>
      </c>
      <c r="F28" s="335">
        <f>293770+'táj.2.'!D28</f>
        <v>282540</v>
      </c>
      <c r="G28" s="335">
        <f>72860+'táj.2.'!E28</f>
        <v>71979</v>
      </c>
      <c r="H28" s="335">
        <f>213617+'táj.2.'!F28</f>
        <v>238352</v>
      </c>
      <c r="I28" s="335">
        <f>0+'táj.2.'!G28</f>
        <v>0</v>
      </c>
      <c r="J28" s="335">
        <f>0+'táj.2.'!H28</f>
        <v>0</v>
      </c>
      <c r="K28" s="528">
        <f>150+'táj.2.'!I28</f>
        <v>150</v>
      </c>
      <c r="L28" s="528">
        <f>0+'táj.2.'!J28</f>
        <v>0</v>
      </c>
      <c r="M28" s="528">
        <f>0+'táj.2.'!K28</f>
        <v>0</v>
      </c>
      <c r="N28" s="335">
        <f>SUM(F28:M28)</f>
        <v>593021</v>
      </c>
    </row>
    <row r="29" spans="1:14" s="75" customFormat="1" ht="11.25" customHeight="1">
      <c r="A29" s="265">
        <v>2</v>
      </c>
      <c r="B29" s="265">
        <v>12</v>
      </c>
      <c r="C29" s="744" t="s">
        <v>99</v>
      </c>
      <c r="D29" s="102">
        <v>101364</v>
      </c>
      <c r="E29" s="335">
        <f>3645+'táj.2.'!L29</f>
        <v>6034</v>
      </c>
      <c r="F29" s="335">
        <f>51817+'táj.2.'!D29</f>
        <v>44921</v>
      </c>
      <c r="G29" s="335">
        <f>13356+'táj.2.'!E29</f>
        <v>11691</v>
      </c>
      <c r="H29" s="335">
        <f>39836+'táj.2.'!F29</f>
        <v>50777</v>
      </c>
      <c r="I29" s="335">
        <f>0+'táj.2.'!G29</f>
        <v>9</v>
      </c>
      <c r="J29" s="335">
        <f>0+'táj.2.'!H29</f>
        <v>0</v>
      </c>
      <c r="K29" s="528">
        <f>0+'táj.2.'!I29</f>
        <v>0</v>
      </c>
      <c r="L29" s="528">
        <f>0+'táj.2.'!J29</f>
        <v>0</v>
      </c>
      <c r="M29" s="528">
        <f>0+'táj.2.'!K29</f>
        <v>0</v>
      </c>
      <c r="N29" s="335">
        <f>SUM(F29:M29)</f>
        <v>107398</v>
      </c>
    </row>
    <row r="30" spans="1:14" s="75" customFormat="1" ht="12" customHeight="1">
      <c r="A30" s="265">
        <v>2</v>
      </c>
      <c r="B30" s="265">
        <v>13</v>
      </c>
      <c r="C30" s="744" t="s">
        <v>96</v>
      </c>
      <c r="D30" s="102">
        <v>101745</v>
      </c>
      <c r="E30" s="335">
        <f>7788+'táj.2.'!L30</f>
        <v>10793</v>
      </c>
      <c r="F30" s="335">
        <f>38253+'táj.2.'!D30</f>
        <v>40197</v>
      </c>
      <c r="G30" s="335">
        <f>8251+'táj.2.'!E30</f>
        <v>10326</v>
      </c>
      <c r="H30" s="335">
        <f>61899+'táj.2.'!F30</f>
        <v>51469</v>
      </c>
      <c r="I30" s="335">
        <f>0+'táj.2.'!G30</f>
        <v>0</v>
      </c>
      <c r="J30" s="335">
        <f>0+'táj.2.'!H30</f>
        <v>0</v>
      </c>
      <c r="K30" s="528">
        <f>30+'táj.2.'!I30</f>
        <v>9446</v>
      </c>
      <c r="L30" s="528">
        <f>1100+'táj.2.'!J30</f>
        <v>1100</v>
      </c>
      <c r="M30" s="528">
        <f>0+'táj.2.'!K30</f>
        <v>0</v>
      </c>
      <c r="N30" s="335">
        <f>SUM(F30:M30)</f>
        <v>112538</v>
      </c>
    </row>
    <row r="31" spans="1:14" s="75" customFormat="1" ht="12" customHeight="1" thickBot="1">
      <c r="A31" s="265">
        <v>2</v>
      </c>
      <c r="B31" s="265">
        <v>14</v>
      </c>
      <c r="C31" s="744" t="s">
        <v>17</v>
      </c>
      <c r="D31" s="102">
        <v>90900</v>
      </c>
      <c r="E31" s="335">
        <f>9112+'táj.2.'!L31</f>
        <v>17204</v>
      </c>
      <c r="F31" s="335">
        <f>28193+'táj.2.'!D31</f>
        <v>28365</v>
      </c>
      <c r="G31" s="335">
        <f>7624+'táj.2.'!E31</f>
        <v>7672</v>
      </c>
      <c r="H31" s="335">
        <f>63985+'táj.2.'!F31</f>
        <v>70665</v>
      </c>
      <c r="I31" s="335">
        <f>0+'táj.2.'!G31</f>
        <v>20</v>
      </c>
      <c r="J31" s="335">
        <f>0+'táj.2.'!H31</f>
        <v>0</v>
      </c>
      <c r="K31" s="528">
        <f>210+'táj.2.'!I31</f>
        <v>1382</v>
      </c>
      <c r="L31" s="528">
        <f>0+'táj.2.'!J31</f>
        <v>0</v>
      </c>
      <c r="M31" s="528">
        <f>0+'táj.2.'!K31</f>
        <v>0</v>
      </c>
      <c r="N31" s="335">
        <f>SUM(F31:M31)</f>
        <v>108104</v>
      </c>
    </row>
    <row r="32" spans="1:14" s="75" customFormat="1" ht="13.5" customHeight="1" thickBot="1">
      <c r="A32" s="112"/>
      <c r="B32" s="113"/>
      <c r="C32" s="106" t="s">
        <v>59</v>
      </c>
      <c r="D32" s="107">
        <f>SUM(D3+D4+D5+D14+D20+D21+D22+D23+D26+D27+D28+D29+D30+D31)</f>
        <v>6233945</v>
      </c>
      <c r="E32" s="107">
        <f>SUM(E3+E4+E5+E14+E20+E21+E22+E23+E26+E27+E28+E29+E30+E31)</f>
        <v>298467</v>
      </c>
      <c r="F32" s="107">
        <f aca="true" t="shared" si="4" ref="F32:N32">SUM(F3+F4+F5+F14+F20+F21+F22+F23+F26+F27+F28+F29+F30+F31)</f>
        <v>2812415</v>
      </c>
      <c r="G32" s="107">
        <f t="shared" si="4"/>
        <v>716589</v>
      </c>
      <c r="H32" s="107">
        <f t="shared" si="4"/>
        <v>2814973</v>
      </c>
      <c r="I32" s="107">
        <f t="shared" si="4"/>
        <v>9923</v>
      </c>
      <c r="J32" s="107">
        <f t="shared" si="4"/>
        <v>158</v>
      </c>
      <c r="K32" s="107">
        <f t="shared" si="4"/>
        <v>83049</v>
      </c>
      <c r="L32" s="107">
        <f t="shared" si="4"/>
        <v>94862</v>
      </c>
      <c r="M32" s="107">
        <f t="shared" si="4"/>
        <v>443</v>
      </c>
      <c r="N32" s="107">
        <f t="shared" si="4"/>
        <v>6532412</v>
      </c>
    </row>
    <row r="33" spans="1:14" s="75" customFormat="1" ht="12.75">
      <c r="A33" s="114"/>
      <c r="B33" s="114"/>
      <c r="C33" s="109"/>
      <c r="D33" s="109"/>
      <c r="E33" s="109"/>
      <c r="F33" s="110"/>
      <c r="G33" s="110"/>
      <c r="H33" s="110"/>
      <c r="I33" s="110"/>
      <c r="J33" s="110"/>
      <c r="K33" s="110"/>
      <c r="L33" s="110"/>
      <c r="M33" s="110"/>
      <c r="N33" s="110"/>
    </row>
    <row r="34" spans="1:14" s="75" customFormat="1" ht="12.75">
      <c r="A34" s="114"/>
      <c r="B34" s="114"/>
      <c r="C34" s="109"/>
      <c r="D34" s="109"/>
      <c r="E34" s="109"/>
      <c r="F34" s="111"/>
      <c r="G34" s="111"/>
      <c r="H34" s="111"/>
      <c r="I34" s="111"/>
      <c r="J34" s="111"/>
      <c r="K34" s="111"/>
      <c r="L34" s="111"/>
      <c r="M34" s="111"/>
      <c r="N34" s="111"/>
    </row>
    <row r="35" spans="1:14" s="75" customFormat="1" ht="12.75">
      <c r="A35" s="114"/>
      <c r="B35" s="114"/>
      <c r="C35" s="109"/>
      <c r="D35" s="109"/>
      <c r="E35" s="109"/>
      <c r="F35" s="111"/>
      <c r="G35" s="111"/>
      <c r="H35" s="111"/>
      <c r="I35" s="111"/>
      <c r="J35" s="111"/>
      <c r="K35" s="111"/>
      <c r="L35" s="111"/>
      <c r="M35" s="111"/>
      <c r="N35" s="111"/>
    </row>
    <row r="36" spans="1:14" s="75" customFormat="1" ht="12.75">
      <c r="A36" s="114"/>
      <c r="B36" s="114"/>
      <c r="C36" s="109"/>
      <c r="D36" s="109"/>
      <c r="E36" s="109"/>
      <c r="F36" s="111"/>
      <c r="G36" s="111"/>
      <c r="H36" s="111"/>
      <c r="I36" s="111"/>
      <c r="J36" s="111"/>
      <c r="K36" s="111"/>
      <c r="L36" s="111"/>
      <c r="M36" s="111"/>
      <c r="N36" s="111"/>
    </row>
    <row r="37" spans="1:14" s="75" customFormat="1" ht="12.75">
      <c r="A37" s="114"/>
      <c r="B37" s="114"/>
      <c r="C37" s="109"/>
      <c r="D37" s="109"/>
      <c r="E37" s="109"/>
      <c r="F37" s="108"/>
      <c r="G37" s="108"/>
      <c r="H37" s="108"/>
      <c r="I37" s="108"/>
      <c r="J37" s="108"/>
      <c r="K37" s="108"/>
      <c r="L37" s="108"/>
      <c r="M37" s="108"/>
      <c r="N37" s="108"/>
    </row>
    <row r="38" spans="1:14" s="75" customFormat="1" ht="12.75">
      <c r="A38" s="114"/>
      <c r="B38" s="114"/>
      <c r="C38" s="109"/>
      <c r="D38" s="109"/>
      <c r="E38" s="109"/>
      <c r="F38" s="108"/>
      <c r="G38" s="108"/>
      <c r="H38" s="108"/>
      <c r="I38" s="108"/>
      <c r="J38" s="108"/>
      <c r="K38" s="108"/>
      <c r="L38" s="108"/>
      <c r="M38" s="108"/>
      <c r="N38" s="108"/>
    </row>
    <row r="39" spans="1:14" s="75" customFormat="1" ht="12.75">
      <c r="A39" s="114"/>
      <c r="B39" s="114"/>
      <c r="C39" s="109"/>
      <c r="D39" s="109"/>
      <c r="E39" s="109"/>
      <c r="F39" s="108"/>
      <c r="G39" s="108"/>
      <c r="H39" s="108"/>
      <c r="I39" s="108"/>
      <c r="J39" s="108"/>
      <c r="K39" s="108"/>
      <c r="L39" s="108"/>
      <c r="M39" s="108"/>
      <c r="N39" s="108"/>
    </row>
    <row r="40" spans="1:14" s="75" customFormat="1" ht="12.75">
      <c r="A40" s="114"/>
      <c r="B40" s="114"/>
      <c r="C40" s="109"/>
      <c r="D40" s="109"/>
      <c r="E40" s="109"/>
      <c r="F40" s="108"/>
      <c r="G40" s="108"/>
      <c r="H40" s="108"/>
      <c r="I40" s="108"/>
      <c r="J40" s="108"/>
      <c r="K40" s="108"/>
      <c r="L40" s="108"/>
      <c r="M40" s="108"/>
      <c r="N40" s="108"/>
    </row>
    <row r="41" spans="1:14" s="75" customFormat="1" ht="12.75">
      <c r="A41" s="114"/>
      <c r="B41" s="114"/>
      <c r="C41" s="109"/>
      <c r="D41" s="109"/>
      <c r="E41" s="109"/>
      <c r="F41" s="108"/>
      <c r="G41" s="108"/>
      <c r="H41" s="108"/>
      <c r="I41" s="108"/>
      <c r="J41" s="108"/>
      <c r="K41" s="108"/>
      <c r="L41" s="108"/>
      <c r="M41" s="108"/>
      <c r="N41" s="108"/>
    </row>
    <row r="42" spans="1:14" s="75" customFormat="1" ht="12.75">
      <c r="A42" s="114"/>
      <c r="B42" s="114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</row>
    <row r="43" spans="1:14" s="75" customFormat="1" ht="12.75">
      <c r="A43" s="114"/>
      <c r="B43" s="114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  <row r="44" spans="1:14" s="75" customFormat="1" ht="12.75">
      <c r="A44" s="114"/>
      <c r="B44" s="114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</row>
    <row r="45" spans="1:14" s="75" customFormat="1" ht="12.75">
      <c r="A45" s="114"/>
      <c r="B45" s="114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</row>
    <row r="46" spans="1:14" s="75" customFormat="1" ht="12.75">
      <c r="A46" s="114"/>
      <c r="B46" s="114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</row>
    <row r="47" spans="1:14" s="75" customFormat="1" ht="12.75">
      <c r="A47" s="114"/>
      <c r="B47" s="114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</row>
    <row r="48" spans="1:14" s="75" customFormat="1" ht="12.75">
      <c r="A48" s="114"/>
      <c r="B48" s="114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1:14" s="75" customFormat="1" ht="12.75">
      <c r="A49" s="114"/>
      <c r="B49" s="114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</row>
    <row r="50" spans="1:2" s="75" customFormat="1" ht="12.75">
      <c r="A50" s="76"/>
      <c r="B50" s="76"/>
    </row>
    <row r="51" spans="1:2" s="75" customFormat="1" ht="12.75">
      <c r="A51" s="76"/>
      <c r="B51" s="76"/>
    </row>
    <row r="52" spans="1:2" s="75" customFormat="1" ht="12.75">
      <c r="A52" s="76"/>
      <c r="B52" s="76"/>
    </row>
    <row r="53" spans="1:2" s="75" customFormat="1" ht="12.75">
      <c r="A53" s="76"/>
      <c r="B53" s="76"/>
    </row>
    <row r="54" spans="1:2" s="75" customFormat="1" ht="12.75">
      <c r="A54" s="76"/>
      <c r="B54" s="76"/>
    </row>
    <row r="55" spans="1:2" s="75" customFormat="1" ht="12.75">
      <c r="A55" s="76"/>
      <c r="B55" s="76"/>
    </row>
    <row r="56" spans="1:2" s="75" customFormat="1" ht="12.75">
      <c r="A56" s="76"/>
      <c r="B56" s="76"/>
    </row>
    <row r="57" spans="1:2" s="75" customFormat="1" ht="12.75">
      <c r="A57" s="76"/>
      <c r="B57" s="76"/>
    </row>
    <row r="58" spans="1:2" s="75" customFormat="1" ht="12.75">
      <c r="A58" s="76"/>
      <c r="B58" s="76"/>
    </row>
    <row r="59" spans="1:2" s="75" customFormat="1" ht="12.75">
      <c r="A59" s="76"/>
      <c r="B59" s="76"/>
    </row>
    <row r="60" spans="1:2" s="75" customFormat="1" ht="12.75">
      <c r="A60" s="76"/>
      <c r="B60" s="76"/>
    </row>
    <row r="61" spans="1:2" s="75" customFormat="1" ht="12.75">
      <c r="A61" s="76"/>
      <c r="B61" s="76"/>
    </row>
    <row r="62" spans="1:2" s="75" customFormat="1" ht="12.75">
      <c r="A62" s="76"/>
      <c r="B62" s="76"/>
    </row>
    <row r="63" spans="1:2" s="75" customFormat="1" ht="12.75">
      <c r="A63" s="76"/>
      <c r="B63" s="76"/>
    </row>
    <row r="64" spans="1:2" s="75" customFormat="1" ht="12.75">
      <c r="A64" s="76"/>
      <c r="B64" s="76"/>
    </row>
    <row r="65" spans="1:2" s="75" customFormat="1" ht="12.75">
      <c r="A65" s="76"/>
      <c r="B65" s="76"/>
    </row>
    <row r="66" spans="1:2" s="75" customFormat="1" ht="12.75">
      <c r="A66" s="76"/>
      <c r="B66" s="76"/>
    </row>
    <row r="67" spans="1:2" s="75" customFormat="1" ht="12.75">
      <c r="A67" s="76"/>
      <c r="B67" s="76"/>
    </row>
    <row r="68" spans="1:2" s="75" customFormat="1" ht="12.75">
      <c r="A68" s="76"/>
      <c r="B68" s="76"/>
    </row>
    <row r="69" spans="1:2" s="75" customFormat="1" ht="12.75">
      <c r="A69" s="76"/>
      <c r="B69" s="76"/>
    </row>
    <row r="70" spans="1:2" s="75" customFormat="1" ht="12.75">
      <c r="A70" s="76"/>
      <c r="B70" s="76"/>
    </row>
    <row r="71" spans="1:2" s="75" customFormat="1" ht="12.75">
      <c r="A71" s="76"/>
      <c r="B71" s="76"/>
    </row>
    <row r="72" spans="1:2" s="75" customFormat="1" ht="12.75">
      <c r="A72" s="76"/>
      <c r="B72" s="76"/>
    </row>
    <row r="73" spans="1:2" s="75" customFormat="1" ht="12.75">
      <c r="A73" s="76"/>
      <c r="B73" s="76"/>
    </row>
    <row r="74" spans="1:2" s="75" customFormat="1" ht="12.75">
      <c r="A74" s="76"/>
      <c r="B74" s="76"/>
    </row>
    <row r="75" spans="1:2" s="75" customFormat="1" ht="12.75">
      <c r="A75" s="76"/>
      <c r="B75" s="76"/>
    </row>
    <row r="76" spans="1:2" s="75" customFormat="1" ht="12.75">
      <c r="A76" s="76"/>
      <c r="B76" s="76"/>
    </row>
    <row r="77" spans="1:2" s="75" customFormat="1" ht="12.75">
      <c r="A77" s="76"/>
      <c r="B77" s="76"/>
    </row>
    <row r="78" spans="1:2" s="75" customFormat="1" ht="12.75">
      <c r="A78" s="76"/>
      <c r="B78" s="76"/>
    </row>
    <row r="79" spans="1:2" s="75" customFormat="1" ht="12.75">
      <c r="A79" s="76"/>
      <c r="B79" s="76"/>
    </row>
    <row r="80" spans="1:2" s="75" customFormat="1" ht="12.75">
      <c r="A80" s="76"/>
      <c r="B80" s="76"/>
    </row>
    <row r="81" spans="1:2" s="75" customFormat="1" ht="12.75">
      <c r="A81" s="76"/>
      <c r="B81" s="76"/>
    </row>
    <row r="82" spans="1:2" s="75" customFormat="1" ht="12.75">
      <c r="A82" s="76"/>
      <c r="B82" s="76"/>
    </row>
    <row r="83" spans="1:2" s="75" customFormat="1" ht="12.75">
      <c r="A83" s="76"/>
      <c r="B83" s="76"/>
    </row>
    <row r="84" spans="1:2" s="75" customFormat="1" ht="12.75">
      <c r="A84" s="76"/>
      <c r="B84" s="76"/>
    </row>
    <row r="85" spans="1:2" s="75" customFormat="1" ht="12.75">
      <c r="A85" s="76"/>
      <c r="B85" s="76"/>
    </row>
    <row r="86" spans="1:2" s="75" customFormat="1" ht="12.75">
      <c r="A86" s="76"/>
      <c r="B86" s="76"/>
    </row>
    <row r="87" spans="1:2" s="75" customFormat="1" ht="12.75">
      <c r="A87" s="76"/>
      <c r="B87" s="76"/>
    </row>
    <row r="88" spans="1:2" s="75" customFormat="1" ht="12.75">
      <c r="A88" s="76"/>
      <c r="B88" s="76"/>
    </row>
    <row r="89" spans="1:2" s="75" customFormat="1" ht="12.75">
      <c r="A89" s="76"/>
      <c r="B89" s="76"/>
    </row>
    <row r="90" spans="1:2" s="75" customFormat="1" ht="12.75">
      <c r="A90" s="76"/>
      <c r="B90" s="76"/>
    </row>
    <row r="91" spans="1:2" s="75" customFormat="1" ht="12.75">
      <c r="A91" s="76"/>
      <c r="B91" s="76"/>
    </row>
    <row r="92" spans="1:2" s="75" customFormat="1" ht="12.75">
      <c r="A92" s="76"/>
      <c r="B92" s="76"/>
    </row>
    <row r="93" spans="1:2" s="75" customFormat="1" ht="12.75">
      <c r="A93" s="76"/>
      <c r="B93" s="76"/>
    </row>
    <row r="94" spans="1:2" s="75" customFormat="1" ht="12.75">
      <c r="A94" s="76"/>
      <c r="B94" s="76"/>
    </row>
    <row r="95" spans="1:2" s="75" customFormat="1" ht="12.75">
      <c r="A95" s="76"/>
      <c r="B95" s="76"/>
    </row>
    <row r="96" spans="1:2" s="75" customFormat="1" ht="12.75">
      <c r="A96" s="76"/>
      <c r="B96" s="76"/>
    </row>
    <row r="97" spans="1:2" s="75" customFormat="1" ht="12.75">
      <c r="A97" s="76"/>
      <c r="B97" s="76"/>
    </row>
    <row r="98" spans="1:2" s="75" customFormat="1" ht="12.75">
      <c r="A98" s="76"/>
      <c r="B98" s="76"/>
    </row>
    <row r="99" spans="1:2" s="75" customFormat="1" ht="12.75">
      <c r="A99" s="76"/>
      <c r="B99" s="76"/>
    </row>
    <row r="100" spans="1:2" s="75" customFormat="1" ht="12.75">
      <c r="A100" s="76"/>
      <c r="B100" s="76"/>
    </row>
    <row r="101" spans="1:2" s="75" customFormat="1" ht="12.75">
      <c r="A101" s="76"/>
      <c r="B101" s="76"/>
    </row>
    <row r="102" spans="1:2" s="75" customFormat="1" ht="12.75">
      <c r="A102" s="76"/>
      <c r="B102" s="76"/>
    </row>
    <row r="103" spans="1:2" s="75" customFormat="1" ht="12.75">
      <c r="A103" s="76"/>
      <c r="B103" s="76"/>
    </row>
    <row r="104" spans="1:2" s="75" customFormat="1" ht="12.75">
      <c r="A104" s="76"/>
      <c r="B104" s="76"/>
    </row>
    <row r="105" spans="1:2" s="75" customFormat="1" ht="12.75">
      <c r="A105" s="76"/>
      <c r="B105" s="76"/>
    </row>
    <row r="106" spans="1:2" s="75" customFormat="1" ht="12.75">
      <c r="A106" s="76"/>
      <c r="B106" s="76"/>
    </row>
    <row r="107" spans="1:2" s="75" customFormat="1" ht="12.75">
      <c r="A107" s="76"/>
      <c r="B107" s="76"/>
    </row>
    <row r="108" spans="1:2" s="75" customFormat="1" ht="12.75">
      <c r="A108" s="76"/>
      <c r="B108" s="76"/>
    </row>
    <row r="109" spans="1:2" s="75" customFormat="1" ht="12.75">
      <c r="A109" s="76"/>
      <c r="B109" s="76"/>
    </row>
    <row r="110" spans="1:2" s="75" customFormat="1" ht="12.75">
      <c r="A110" s="76"/>
      <c r="B110" s="76"/>
    </row>
    <row r="111" spans="1:2" s="75" customFormat="1" ht="12.75">
      <c r="A111" s="76"/>
      <c r="B111" s="76"/>
    </row>
    <row r="112" spans="1:2" s="75" customFormat="1" ht="12.75">
      <c r="A112" s="76"/>
      <c r="B112" s="76"/>
    </row>
    <row r="113" spans="1:2" s="75" customFormat="1" ht="12.75">
      <c r="A113" s="76"/>
      <c r="B113" s="76"/>
    </row>
    <row r="114" spans="1:2" s="75" customFormat="1" ht="12.75">
      <c r="A114" s="76"/>
      <c r="B114" s="76"/>
    </row>
    <row r="115" spans="1:2" s="75" customFormat="1" ht="12.75">
      <c r="A115" s="76"/>
      <c r="B115" s="76"/>
    </row>
    <row r="116" spans="1:2" s="75" customFormat="1" ht="12.75">
      <c r="A116" s="76"/>
      <c r="B116" s="76"/>
    </row>
    <row r="117" spans="1:2" s="75" customFormat="1" ht="12.75">
      <c r="A117" s="76"/>
      <c r="B117" s="76"/>
    </row>
    <row r="118" spans="1:2" s="75" customFormat="1" ht="12.75">
      <c r="A118" s="76"/>
      <c r="B118" s="76"/>
    </row>
    <row r="119" spans="1:2" s="75" customFormat="1" ht="12.75">
      <c r="A119" s="76"/>
      <c r="B119" s="76"/>
    </row>
    <row r="120" spans="1:2" s="75" customFormat="1" ht="12.75">
      <c r="A120" s="76"/>
      <c r="B120" s="76"/>
    </row>
  </sheetData>
  <sheetProtection/>
  <mergeCells count="8">
    <mergeCell ref="A1:A2"/>
    <mergeCell ref="B1:B2"/>
    <mergeCell ref="C1:C2"/>
    <mergeCell ref="D1:D2"/>
    <mergeCell ref="E1:E2"/>
    <mergeCell ref="N1:N2"/>
    <mergeCell ref="F1:J1"/>
    <mergeCell ref="K1:M1"/>
  </mergeCells>
  <printOptions horizontalCentered="1" verticalCentered="1"/>
  <pageMargins left="0.07874015748031496" right="0.07874015748031496" top="1.4173228346456694" bottom="0.7480314960629921" header="0.4330708661417323" footer="0.31496062992125984"/>
  <pageSetup fitToHeight="0" fitToWidth="0" horizontalDpi="300" verticalDpi="300" orientation="landscape" paperSize="9" scale="90" r:id="rId1"/>
  <headerFooter alignWithMargins="0">
    <oddHeader>&amp;C&amp;"Times New Roman,Dőlt"ZALAEGERSZEG MEGYEI JOGÚ VÁROS ÖNKORMÁNYZATA ÁLTAL IRÁNYÍTOTT KÖLTSÉGVETÉSI SZERVEK
2013. ÉVI  KIADÁSI ELŐIRÁNYZATAI&amp;R&amp;"Times New Roman,Dőlt"&amp;9 10.  számú melléklet
Adatok: eFt-ban</oddHeader>
    <oddFooter>&amp;C 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3"/>
  <sheetViews>
    <sheetView zoomScale="80" zoomScaleNormal="80" zoomScalePageLayoutView="0" workbookViewId="0" topLeftCell="A1">
      <pane ySplit="2" topLeftCell="A51" activePane="bottomLeft" state="frozen"/>
      <selection pane="topLeft" activeCell="A1" sqref="A1"/>
      <selection pane="bottomLeft" activeCell="C66" sqref="C66"/>
    </sheetView>
  </sheetViews>
  <sheetFormatPr defaultColWidth="9.00390625" defaultRowHeight="12.75"/>
  <cols>
    <col min="1" max="1" width="5.625" style="4" customWidth="1"/>
    <col min="2" max="2" width="6.375" style="4" customWidth="1"/>
    <col min="3" max="3" width="39.00390625" style="4" customWidth="1"/>
    <col min="4" max="4" width="11.125" style="4" customWidth="1"/>
    <col min="5" max="5" width="9.875" style="4" customWidth="1"/>
    <col min="6" max="6" width="11.875" style="4" customWidth="1"/>
    <col min="7" max="7" width="9.875" style="4" customWidth="1"/>
    <col min="8" max="8" width="10.625" style="4" customWidth="1"/>
    <col min="9" max="9" width="11.375" style="4" customWidth="1"/>
    <col min="10" max="10" width="8.50390625" style="4" customWidth="1"/>
    <col min="11" max="11" width="9.50390625" style="4" customWidth="1"/>
    <col min="12" max="12" width="12.50390625" style="4" customWidth="1"/>
    <col min="13" max="14" width="11.00390625" style="4" customWidth="1"/>
    <col min="15" max="15" width="11.875" style="4" customWidth="1"/>
    <col min="16" max="16384" width="9.375" style="4" customWidth="1"/>
  </cols>
  <sheetData>
    <row r="1" spans="1:15" s="3" customFormat="1" ht="16.5" customHeight="1">
      <c r="A1" s="1"/>
      <c r="B1" s="2"/>
      <c r="C1" s="5"/>
      <c r="D1" s="854" t="s">
        <v>356</v>
      </c>
      <c r="E1" s="855"/>
      <c r="F1" s="858" t="s">
        <v>783</v>
      </c>
      <c r="G1" s="856" t="s">
        <v>357</v>
      </c>
      <c r="H1" s="857"/>
      <c r="I1" s="5"/>
      <c r="J1" s="13" t="s">
        <v>391</v>
      </c>
      <c r="K1" s="14"/>
      <c r="L1" s="15"/>
      <c r="M1" s="5"/>
      <c r="N1" s="5"/>
      <c r="O1" s="6"/>
    </row>
    <row r="2" spans="1:15" s="3" customFormat="1" ht="49.5" customHeight="1" thickBot="1">
      <c r="A2" s="8" t="s">
        <v>354</v>
      </c>
      <c r="B2" s="9" t="s">
        <v>355</v>
      </c>
      <c r="C2" s="16" t="s">
        <v>353</v>
      </c>
      <c r="D2" s="9" t="s">
        <v>389</v>
      </c>
      <c r="E2" s="9" t="s">
        <v>390</v>
      </c>
      <c r="F2" s="859"/>
      <c r="G2" s="9" t="s">
        <v>389</v>
      </c>
      <c r="H2" s="9" t="s">
        <v>390</v>
      </c>
      <c r="I2" s="9" t="s">
        <v>358</v>
      </c>
      <c r="J2" s="17" t="s">
        <v>359</v>
      </c>
      <c r="K2" s="17" t="s">
        <v>360</v>
      </c>
      <c r="L2" s="9" t="s">
        <v>361</v>
      </c>
      <c r="M2" s="9" t="s">
        <v>362</v>
      </c>
      <c r="N2" s="9" t="s">
        <v>363</v>
      </c>
      <c r="O2" s="18" t="s">
        <v>364</v>
      </c>
    </row>
    <row r="3" spans="1:15" s="3" customFormat="1" ht="12.75" customHeight="1">
      <c r="A3" s="10">
        <v>1</v>
      </c>
      <c r="B3" s="10"/>
      <c r="C3" s="19" t="s">
        <v>52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19"/>
    </row>
    <row r="4" spans="1:15" s="3" customFormat="1" ht="12.75" customHeight="1">
      <c r="A4" s="10">
        <v>1</v>
      </c>
      <c r="B4" s="10">
        <v>1</v>
      </c>
      <c r="C4" s="547" t="s">
        <v>793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119"/>
    </row>
    <row r="5" spans="1:15" s="3" customFormat="1" ht="12.75" customHeight="1">
      <c r="A5" s="10">
        <v>1</v>
      </c>
      <c r="B5" s="10">
        <v>12</v>
      </c>
      <c r="C5" s="547" t="s">
        <v>786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19"/>
    </row>
    <row r="6" spans="1:15" s="3" customFormat="1" ht="12.75" customHeight="1">
      <c r="A6" s="10"/>
      <c r="B6" s="10"/>
      <c r="C6" s="535" t="s">
        <v>424</v>
      </c>
      <c r="D6" s="548"/>
      <c r="E6" s="548"/>
      <c r="F6" s="548"/>
      <c r="G6" s="548"/>
      <c r="H6" s="548"/>
      <c r="I6" s="548"/>
      <c r="J6" s="548"/>
      <c r="K6" s="548">
        <v>27</v>
      </c>
      <c r="L6" s="548"/>
      <c r="M6" s="548"/>
      <c r="N6" s="548"/>
      <c r="O6" s="549">
        <f>SUM(D6:N6)</f>
        <v>27</v>
      </c>
    </row>
    <row r="7" spans="1:15" s="3" customFormat="1" ht="12.75" customHeight="1">
      <c r="A7" s="10"/>
      <c r="B7" s="10"/>
      <c r="C7" s="620" t="s">
        <v>991</v>
      </c>
      <c r="D7" s="655">
        <v>875</v>
      </c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9">
        <f>SUM(D7:N7)</f>
        <v>875</v>
      </c>
    </row>
    <row r="8" spans="1:15" s="3" customFormat="1" ht="16.5" customHeight="1">
      <c r="A8" s="11"/>
      <c r="B8" s="11"/>
      <c r="C8" s="550" t="s">
        <v>794</v>
      </c>
      <c r="D8" s="551">
        <f aca="true" t="shared" si="0" ref="D8:O8">SUM(D6:D7)</f>
        <v>875</v>
      </c>
      <c r="E8" s="551">
        <f t="shared" si="0"/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27</v>
      </c>
      <c r="L8" s="551">
        <f t="shared" si="0"/>
        <v>0</v>
      </c>
      <c r="M8" s="551">
        <f t="shared" si="0"/>
        <v>0</v>
      </c>
      <c r="N8" s="551">
        <f t="shared" si="0"/>
        <v>0</v>
      </c>
      <c r="O8" s="551">
        <f t="shared" si="0"/>
        <v>902</v>
      </c>
    </row>
    <row r="9" spans="1:15" s="3" customFormat="1" ht="12.75" customHeight="1">
      <c r="A9" s="10">
        <v>1</v>
      </c>
      <c r="B9" s="10">
        <v>13</v>
      </c>
      <c r="C9" s="547" t="s">
        <v>787</v>
      </c>
      <c r="D9" s="548"/>
      <c r="E9" s="548"/>
      <c r="F9" s="548"/>
      <c r="G9" s="548"/>
      <c r="H9" s="548"/>
      <c r="I9" s="548"/>
      <c r="J9" s="548"/>
      <c r="K9" s="548"/>
      <c r="L9" s="548"/>
      <c r="M9" s="548"/>
      <c r="N9" s="548"/>
      <c r="O9" s="549"/>
    </row>
    <row r="10" spans="1:15" s="3" customFormat="1" ht="12.75" customHeight="1">
      <c r="A10" s="10"/>
      <c r="B10" s="10"/>
      <c r="C10" s="860"/>
      <c r="D10" s="861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9"/>
    </row>
    <row r="11" spans="1:15" s="3" customFormat="1" ht="18.75" customHeight="1">
      <c r="A11" s="12"/>
      <c r="B11" s="12"/>
      <c r="C11" s="680" t="s">
        <v>795</v>
      </c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</row>
    <row r="12" spans="1:15" s="3" customFormat="1" ht="12.75" customHeight="1">
      <c r="A12" s="10">
        <v>1</v>
      </c>
      <c r="B12" s="10">
        <v>15</v>
      </c>
      <c r="C12" s="547" t="s">
        <v>366</v>
      </c>
      <c r="D12" s="548"/>
      <c r="E12" s="548"/>
      <c r="F12" s="548"/>
      <c r="G12" s="548"/>
      <c r="H12" s="548"/>
      <c r="I12" s="548"/>
      <c r="J12" s="548"/>
      <c r="K12" s="548"/>
      <c r="L12" s="548"/>
      <c r="M12" s="548"/>
      <c r="N12" s="548"/>
      <c r="O12" s="549"/>
    </row>
    <row r="13" spans="1:15" s="3" customFormat="1" ht="12.75" customHeight="1">
      <c r="A13" s="10"/>
      <c r="B13" s="10"/>
      <c r="C13" s="170" t="s">
        <v>1014</v>
      </c>
      <c r="D13" s="548"/>
      <c r="E13" s="548"/>
      <c r="F13" s="548"/>
      <c r="G13" s="548"/>
      <c r="H13" s="548"/>
      <c r="I13" s="548"/>
      <c r="J13" s="548"/>
      <c r="K13" s="548"/>
      <c r="L13" s="548"/>
      <c r="M13" s="548"/>
      <c r="N13" s="548"/>
      <c r="O13" s="549"/>
    </row>
    <row r="14" spans="1:15" s="3" customFormat="1" ht="15" customHeight="1">
      <c r="A14" s="10"/>
      <c r="B14" s="10"/>
      <c r="C14" s="530" t="s">
        <v>1015</v>
      </c>
      <c r="D14" s="548"/>
      <c r="E14" s="548"/>
      <c r="F14" s="548"/>
      <c r="G14" s="548"/>
      <c r="H14" s="548"/>
      <c r="I14" s="548"/>
      <c r="J14" s="548"/>
      <c r="K14" s="548">
        <v>1503</v>
      </c>
      <c r="L14" s="548"/>
      <c r="M14" s="548"/>
      <c r="N14" s="548"/>
      <c r="O14" s="549">
        <f aca="true" t="shared" si="1" ref="O14:O23">SUM(D14:N14)</f>
        <v>1503</v>
      </c>
    </row>
    <row r="15" spans="1:15" s="3" customFormat="1" ht="15" customHeight="1">
      <c r="A15" s="10"/>
      <c r="B15" s="10"/>
      <c r="C15" s="432" t="s">
        <v>425</v>
      </c>
      <c r="D15" s="548"/>
      <c r="E15" s="548"/>
      <c r="F15" s="548"/>
      <c r="G15" s="548"/>
      <c r="H15" s="548"/>
      <c r="I15" s="548"/>
      <c r="J15" s="548"/>
      <c r="K15" s="548"/>
      <c r="L15" s="548"/>
      <c r="M15" s="548"/>
      <c r="N15" s="548"/>
      <c r="O15" s="549"/>
    </row>
    <row r="16" spans="1:15" s="3" customFormat="1" ht="24.75" customHeight="1">
      <c r="A16" s="10"/>
      <c r="B16" s="10"/>
      <c r="C16" s="710" t="s">
        <v>1019</v>
      </c>
      <c r="D16" s="548"/>
      <c r="E16" s="548"/>
      <c r="F16" s="548"/>
      <c r="G16" s="548"/>
      <c r="H16" s="548">
        <v>247</v>
      </c>
      <c r="I16" s="548"/>
      <c r="J16" s="548"/>
      <c r="K16" s="548"/>
      <c r="L16" s="548"/>
      <c r="M16" s="548"/>
      <c r="N16" s="548"/>
      <c r="O16" s="549">
        <f t="shared" si="1"/>
        <v>247</v>
      </c>
    </row>
    <row r="17" spans="1:15" s="3" customFormat="1" ht="24.75" customHeight="1">
      <c r="A17" s="10"/>
      <c r="B17" s="10"/>
      <c r="C17" s="658" t="s">
        <v>448</v>
      </c>
      <c r="D17" s="548"/>
      <c r="E17" s="548"/>
      <c r="F17" s="548"/>
      <c r="G17" s="548"/>
      <c r="H17" s="548"/>
      <c r="I17" s="548"/>
      <c r="J17" s="548"/>
      <c r="K17" s="548"/>
      <c r="L17" s="548"/>
      <c r="M17" s="548"/>
      <c r="N17" s="548"/>
      <c r="O17" s="549"/>
    </row>
    <row r="18" spans="1:15" s="3" customFormat="1" ht="24.75" customHeight="1">
      <c r="A18" s="10"/>
      <c r="B18" s="10"/>
      <c r="C18" s="709" t="s">
        <v>1017</v>
      </c>
      <c r="D18" s="557">
        <v>29013</v>
      </c>
      <c r="E18" s="548"/>
      <c r="F18" s="548"/>
      <c r="G18" s="548"/>
      <c r="H18" s="548"/>
      <c r="I18" s="548"/>
      <c r="J18" s="548"/>
      <c r="K18" s="548"/>
      <c r="L18" s="548"/>
      <c r="M18" s="548"/>
      <c r="N18" s="548"/>
      <c r="O18" s="549">
        <f t="shared" si="1"/>
        <v>29013</v>
      </c>
    </row>
    <row r="19" spans="1:15" s="3" customFormat="1" ht="24.75" customHeight="1">
      <c r="A19" s="10"/>
      <c r="B19" s="10"/>
      <c r="C19" s="710" t="s">
        <v>1018</v>
      </c>
      <c r="D19" s="557"/>
      <c r="E19" s="548"/>
      <c r="F19" s="548"/>
      <c r="G19" s="548"/>
      <c r="H19" s="548">
        <v>468</v>
      </c>
      <c r="I19" s="548"/>
      <c r="J19" s="548"/>
      <c r="K19" s="548"/>
      <c r="L19" s="548"/>
      <c r="M19" s="548"/>
      <c r="N19" s="548"/>
      <c r="O19" s="549">
        <f t="shared" si="1"/>
        <v>468</v>
      </c>
    </row>
    <row r="20" spans="1:15" s="3" customFormat="1" ht="24.75" customHeight="1">
      <c r="A20" s="10"/>
      <c r="B20" s="10"/>
      <c r="C20" s="766" t="s">
        <v>713</v>
      </c>
      <c r="D20" s="763"/>
      <c r="E20" s="548"/>
      <c r="F20" s="548"/>
      <c r="G20" s="548">
        <v>3469</v>
      </c>
      <c r="H20" s="548"/>
      <c r="I20" s="548"/>
      <c r="J20" s="548"/>
      <c r="K20" s="548"/>
      <c r="L20" s="548"/>
      <c r="M20" s="548"/>
      <c r="N20" s="548"/>
      <c r="O20" s="549">
        <f t="shared" si="1"/>
        <v>3469</v>
      </c>
    </row>
    <row r="21" spans="1:15" s="3" customFormat="1" ht="24.75" customHeight="1">
      <c r="A21" s="10"/>
      <c r="B21" s="10"/>
      <c r="C21" s="656" t="s">
        <v>426</v>
      </c>
      <c r="D21" s="548"/>
      <c r="E21" s="548"/>
      <c r="F21" s="548"/>
      <c r="G21" s="548"/>
      <c r="H21" s="548"/>
      <c r="I21" s="548"/>
      <c r="J21" s="548"/>
      <c r="K21" s="548"/>
      <c r="L21" s="548"/>
      <c r="M21" s="548"/>
      <c r="N21" s="548"/>
      <c r="O21" s="549"/>
    </row>
    <row r="22" spans="1:15" s="3" customFormat="1" ht="15" customHeight="1">
      <c r="A22" s="10"/>
      <c r="B22" s="10"/>
      <c r="C22" s="708" t="s">
        <v>1016</v>
      </c>
      <c r="D22" s="548">
        <v>45</v>
      </c>
      <c r="E22" s="548"/>
      <c r="F22" s="548"/>
      <c r="G22" s="548"/>
      <c r="H22" s="548"/>
      <c r="I22" s="548"/>
      <c r="J22" s="548"/>
      <c r="K22" s="548"/>
      <c r="L22" s="548"/>
      <c r="M22" s="548"/>
      <c r="N22" s="548"/>
      <c r="O22" s="549">
        <f t="shared" si="1"/>
        <v>45</v>
      </c>
    </row>
    <row r="23" spans="1:15" s="3" customFormat="1" ht="15" customHeight="1">
      <c r="A23" s="10"/>
      <c r="B23" s="10"/>
      <c r="C23" s="657" t="s">
        <v>995</v>
      </c>
      <c r="D23" s="548"/>
      <c r="E23" s="548"/>
      <c r="F23" s="548"/>
      <c r="G23" s="548"/>
      <c r="H23" s="548">
        <v>6596</v>
      </c>
      <c r="I23" s="548"/>
      <c r="J23" s="548"/>
      <c r="K23" s="548"/>
      <c r="L23" s="548"/>
      <c r="M23" s="548"/>
      <c r="N23" s="548"/>
      <c r="O23" s="549">
        <f t="shared" si="1"/>
        <v>6596</v>
      </c>
    </row>
    <row r="24" spans="1:15" s="3" customFormat="1" ht="18.75" customHeight="1">
      <c r="A24" s="11"/>
      <c r="B24" s="11"/>
      <c r="C24" s="550" t="s">
        <v>290</v>
      </c>
      <c r="D24" s="551">
        <f aca="true" t="shared" si="2" ref="D24:O24">SUM(D13:D23)</f>
        <v>29058</v>
      </c>
      <c r="E24" s="551">
        <f t="shared" si="2"/>
        <v>0</v>
      </c>
      <c r="F24" s="551">
        <f t="shared" si="2"/>
        <v>0</v>
      </c>
      <c r="G24" s="551">
        <f t="shared" si="2"/>
        <v>3469</v>
      </c>
      <c r="H24" s="551">
        <f t="shared" si="2"/>
        <v>7311</v>
      </c>
      <c r="I24" s="551">
        <f t="shared" si="2"/>
        <v>0</v>
      </c>
      <c r="J24" s="551">
        <f t="shared" si="2"/>
        <v>0</v>
      </c>
      <c r="K24" s="551">
        <f t="shared" si="2"/>
        <v>1503</v>
      </c>
      <c r="L24" s="551">
        <f t="shared" si="2"/>
        <v>0</v>
      </c>
      <c r="M24" s="551">
        <f t="shared" si="2"/>
        <v>0</v>
      </c>
      <c r="N24" s="551">
        <f t="shared" si="2"/>
        <v>0</v>
      </c>
      <c r="O24" s="551">
        <f t="shared" si="2"/>
        <v>41341</v>
      </c>
    </row>
    <row r="25" spans="1:15" s="3" customFormat="1" ht="12.75" customHeight="1">
      <c r="A25" s="10">
        <v>1</v>
      </c>
      <c r="B25" s="10">
        <v>16</v>
      </c>
      <c r="C25" s="547" t="s">
        <v>1201</v>
      </c>
      <c r="D25" s="548"/>
      <c r="E25" s="548"/>
      <c r="F25" s="548"/>
      <c r="G25" s="548"/>
      <c r="H25" s="548"/>
      <c r="I25" s="548"/>
      <c r="J25" s="548"/>
      <c r="K25" s="548"/>
      <c r="L25" s="548"/>
      <c r="M25" s="548"/>
      <c r="N25" s="548"/>
      <c r="O25" s="549"/>
    </row>
    <row r="26" spans="1:15" s="3" customFormat="1" ht="24.75" customHeight="1">
      <c r="A26" s="10"/>
      <c r="B26" s="10"/>
      <c r="C26" s="559" t="s">
        <v>428</v>
      </c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O26" s="549"/>
    </row>
    <row r="27" spans="1:15" s="3" customFormat="1" ht="37.5" customHeight="1">
      <c r="A27" s="10"/>
      <c r="B27" s="10"/>
      <c r="C27" s="228" t="s">
        <v>1020</v>
      </c>
      <c r="D27" s="548"/>
      <c r="E27" s="548"/>
      <c r="F27" s="548"/>
      <c r="G27" s="548"/>
      <c r="H27" s="548"/>
      <c r="I27" s="548"/>
      <c r="J27" s="548"/>
      <c r="K27" s="548"/>
      <c r="L27" s="548">
        <v>410499</v>
      </c>
      <c r="M27" s="548"/>
      <c r="N27" s="548"/>
      <c r="O27" s="549">
        <f>SUM(D27:N27)</f>
        <v>410499</v>
      </c>
    </row>
    <row r="28" spans="1:15" s="3" customFormat="1" ht="24.75" customHeight="1">
      <c r="A28" s="10"/>
      <c r="B28" s="10"/>
      <c r="C28" s="228" t="s">
        <v>817</v>
      </c>
      <c r="D28" s="553">
        <v>10706</v>
      </c>
      <c r="E28" s="548"/>
      <c r="F28" s="548"/>
      <c r="G28" s="548"/>
      <c r="H28" s="548"/>
      <c r="I28" s="548"/>
      <c r="J28" s="548"/>
      <c r="K28" s="548"/>
      <c r="L28" s="548"/>
      <c r="M28" s="548"/>
      <c r="N28" s="548"/>
      <c r="O28" s="549">
        <f>SUM(D28:N28)</f>
        <v>10706</v>
      </c>
    </row>
    <row r="29" spans="1:15" s="3" customFormat="1" ht="24.75" customHeight="1">
      <c r="A29" s="10"/>
      <c r="B29" s="10"/>
      <c r="C29" s="767" t="s">
        <v>714</v>
      </c>
      <c r="D29" s="553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9"/>
    </row>
    <row r="30" spans="1:15" s="3" customFormat="1" ht="24.75" customHeight="1">
      <c r="A30" s="10"/>
      <c r="B30" s="10"/>
      <c r="C30" s="768" t="s">
        <v>715</v>
      </c>
      <c r="D30" s="553">
        <v>9396</v>
      </c>
      <c r="E30" s="548"/>
      <c r="F30" s="548"/>
      <c r="G30" s="548"/>
      <c r="H30" s="548"/>
      <c r="I30" s="548"/>
      <c r="J30" s="548"/>
      <c r="K30" s="548"/>
      <c r="L30" s="548"/>
      <c r="M30" s="548"/>
      <c r="N30" s="548"/>
      <c r="O30" s="549">
        <f>SUM(D30:N30)</f>
        <v>9396</v>
      </c>
    </row>
    <row r="31" spans="1:15" s="3" customFormat="1" ht="15" customHeight="1">
      <c r="A31" s="10"/>
      <c r="B31" s="10"/>
      <c r="C31" s="530" t="s">
        <v>1021</v>
      </c>
      <c r="D31" s="553"/>
      <c r="E31" s="548"/>
      <c r="F31" s="548"/>
      <c r="G31" s="548"/>
      <c r="H31" s="548"/>
      <c r="I31" s="548"/>
      <c r="J31" s="548"/>
      <c r="K31" s="548"/>
      <c r="L31" s="548"/>
      <c r="M31" s="548"/>
      <c r="N31" s="548"/>
      <c r="O31" s="549"/>
    </row>
    <row r="32" spans="1:15" s="3" customFormat="1" ht="51.75" customHeight="1">
      <c r="A32" s="10"/>
      <c r="B32" s="10"/>
      <c r="C32" s="456" t="s">
        <v>818</v>
      </c>
      <c r="D32" s="553"/>
      <c r="E32" s="548"/>
      <c r="F32" s="548"/>
      <c r="G32" s="548"/>
      <c r="H32" s="548"/>
      <c r="I32" s="548"/>
      <c r="J32" s="548"/>
      <c r="K32" s="548"/>
      <c r="L32" s="548">
        <v>491005</v>
      </c>
      <c r="M32" s="548"/>
      <c r="N32" s="548"/>
      <c r="O32" s="549">
        <f>SUM(D32:N32)</f>
        <v>491005</v>
      </c>
    </row>
    <row r="33" spans="1:15" s="3" customFormat="1" ht="51.75" customHeight="1">
      <c r="A33" s="10"/>
      <c r="B33" s="10"/>
      <c r="C33" s="456" t="s">
        <v>819</v>
      </c>
      <c r="D33" s="236"/>
      <c r="E33" s="548"/>
      <c r="F33" s="548"/>
      <c r="G33" s="548"/>
      <c r="H33" s="548"/>
      <c r="I33" s="548"/>
      <c r="J33" s="548"/>
      <c r="K33" s="548"/>
      <c r="L33" s="548">
        <v>494387</v>
      </c>
      <c r="M33" s="548"/>
      <c r="N33" s="548"/>
      <c r="O33" s="549">
        <f>SUM(D33:N33)</f>
        <v>494387</v>
      </c>
    </row>
    <row r="34" spans="1:15" s="3" customFormat="1" ht="19.5" customHeight="1">
      <c r="A34" s="12"/>
      <c r="B34" s="12"/>
      <c r="C34" s="550" t="s">
        <v>3</v>
      </c>
      <c r="D34" s="551">
        <f aca="true" t="shared" si="3" ref="D34:O34">SUM(D26:D33)</f>
        <v>20102</v>
      </c>
      <c r="E34" s="551">
        <f t="shared" si="3"/>
        <v>0</v>
      </c>
      <c r="F34" s="551">
        <f t="shared" si="3"/>
        <v>0</v>
      </c>
      <c r="G34" s="551">
        <f t="shared" si="3"/>
        <v>0</v>
      </c>
      <c r="H34" s="551">
        <f t="shared" si="3"/>
        <v>0</v>
      </c>
      <c r="I34" s="551">
        <f t="shared" si="3"/>
        <v>0</v>
      </c>
      <c r="J34" s="551">
        <f t="shared" si="3"/>
        <v>0</v>
      </c>
      <c r="K34" s="551">
        <f t="shared" si="3"/>
        <v>0</v>
      </c>
      <c r="L34" s="551">
        <f t="shared" si="3"/>
        <v>1395891</v>
      </c>
      <c r="M34" s="551">
        <f t="shared" si="3"/>
        <v>0</v>
      </c>
      <c r="N34" s="551">
        <f t="shared" si="3"/>
        <v>0</v>
      </c>
      <c r="O34" s="551">
        <f t="shared" si="3"/>
        <v>1415993</v>
      </c>
    </row>
    <row r="35" spans="1:15" s="3" customFormat="1" ht="12.75" customHeight="1">
      <c r="A35" s="10">
        <v>1</v>
      </c>
      <c r="B35" s="10">
        <v>17</v>
      </c>
      <c r="C35" s="547" t="s">
        <v>367</v>
      </c>
      <c r="D35" s="548"/>
      <c r="E35" s="548"/>
      <c r="F35" s="548"/>
      <c r="G35" s="548"/>
      <c r="H35" s="548"/>
      <c r="I35" s="548"/>
      <c r="J35" s="548"/>
      <c r="K35" s="548"/>
      <c r="L35" s="548"/>
      <c r="M35" s="548"/>
      <c r="N35" s="548"/>
      <c r="O35" s="549"/>
    </row>
    <row r="36" spans="1:15" s="3" customFormat="1" ht="24.75" customHeight="1">
      <c r="A36" s="10"/>
      <c r="B36" s="10"/>
      <c r="C36" s="22" t="s">
        <v>1022</v>
      </c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9"/>
    </row>
    <row r="37" spans="1:15" s="3" customFormat="1" ht="24.75" customHeight="1">
      <c r="A37" s="10"/>
      <c r="B37" s="10"/>
      <c r="C37" s="711" t="s">
        <v>1023</v>
      </c>
      <c r="D37" s="548">
        <v>20000</v>
      </c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9">
        <f>SUM(D37:N37)</f>
        <v>20000</v>
      </c>
    </row>
    <row r="38" spans="1:15" s="3" customFormat="1" ht="24.75" customHeight="1">
      <c r="A38" s="10"/>
      <c r="B38" s="10"/>
      <c r="C38" s="712" t="s">
        <v>426</v>
      </c>
      <c r="D38" s="659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9"/>
    </row>
    <row r="39" spans="1:15" s="3" customFormat="1" ht="15" customHeight="1">
      <c r="A39" s="10"/>
      <c r="B39" s="10"/>
      <c r="C39" s="20" t="s">
        <v>1024</v>
      </c>
      <c r="D39" s="557">
        <v>1715</v>
      </c>
      <c r="E39" s="548"/>
      <c r="F39" s="548"/>
      <c r="G39" s="548"/>
      <c r="H39" s="548"/>
      <c r="I39" s="548"/>
      <c r="J39" s="548"/>
      <c r="K39" s="548"/>
      <c r="L39" s="548"/>
      <c r="M39" s="548"/>
      <c r="N39" s="548"/>
      <c r="O39" s="549">
        <f>SUM(D39:N39)</f>
        <v>1715</v>
      </c>
    </row>
    <row r="40" spans="1:15" s="3" customFormat="1" ht="15" customHeight="1">
      <c r="A40" s="10"/>
      <c r="B40" s="10"/>
      <c r="C40" s="681" t="s">
        <v>636</v>
      </c>
      <c r="D40" s="548"/>
      <c r="E40" s="548"/>
      <c r="F40" s="548"/>
      <c r="G40" s="548"/>
      <c r="H40" s="548"/>
      <c r="I40" s="548"/>
      <c r="J40" s="548"/>
      <c r="K40" s="548"/>
      <c r="L40" s="548"/>
      <c r="M40" s="548"/>
      <c r="N40" s="548"/>
      <c r="O40" s="549"/>
    </row>
    <row r="41" spans="1:15" s="3" customFormat="1" ht="24.75" customHeight="1">
      <c r="A41" s="10"/>
      <c r="B41" s="10"/>
      <c r="C41" s="682" t="s">
        <v>637</v>
      </c>
      <c r="D41" s="557">
        <v>41292</v>
      </c>
      <c r="E41" s="548"/>
      <c r="F41" s="548"/>
      <c r="G41" s="548"/>
      <c r="H41" s="548"/>
      <c r="I41" s="548"/>
      <c r="J41" s="548"/>
      <c r="K41" s="548"/>
      <c r="L41" s="548"/>
      <c r="M41" s="548"/>
      <c r="N41" s="548"/>
      <c r="O41" s="549">
        <f>SUM(D41:N41)</f>
        <v>41292</v>
      </c>
    </row>
    <row r="42" spans="1:15" s="3" customFormat="1" ht="24.75" customHeight="1">
      <c r="A42" s="10"/>
      <c r="B42" s="10"/>
      <c r="C42" s="765" t="s">
        <v>711</v>
      </c>
      <c r="D42" s="685"/>
      <c r="E42" s="548"/>
      <c r="F42" s="548"/>
      <c r="G42" s="548">
        <v>1250</v>
      </c>
      <c r="H42" s="548"/>
      <c r="I42" s="548"/>
      <c r="J42" s="548"/>
      <c r="K42" s="548"/>
      <c r="L42" s="548"/>
      <c r="M42" s="548"/>
      <c r="N42" s="548"/>
      <c r="O42" s="549">
        <f>SUM(D42:N42)</f>
        <v>1250</v>
      </c>
    </row>
    <row r="43" spans="1:15" s="3" customFormat="1" ht="24.75" customHeight="1">
      <c r="A43" s="10"/>
      <c r="B43" s="10"/>
      <c r="C43" s="658" t="s">
        <v>448</v>
      </c>
      <c r="D43" s="734"/>
      <c r="E43" s="548"/>
      <c r="F43" s="548"/>
      <c r="G43" s="548"/>
      <c r="H43" s="548"/>
      <c r="I43" s="548"/>
      <c r="J43" s="548"/>
      <c r="K43" s="548"/>
      <c r="L43" s="548"/>
      <c r="M43" s="548"/>
      <c r="N43" s="548"/>
      <c r="O43" s="549"/>
    </row>
    <row r="44" spans="1:15" s="3" customFormat="1" ht="15" customHeight="1">
      <c r="A44" s="10"/>
      <c r="B44" s="10"/>
      <c r="C44" s="20" t="s">
        <v>812</v>
      </c>
      <c r="D44" s="21"/>
      <c r="E44" s="548"/>
      <c r="F44" s="548"/>
      <c r="G44" s="548">
        <v>2000</v>
      </c>
      <c r="H44" s="548"/>
      <c r="I44" s="548"/>
      <c r="J44" s="548"/>
      <c r="K44" s="548"/>
      <c r="L44" s="548"/>
      <c r="M44" s="548"/>
      <c r="N44" s="548"/>
      <c r="O44" s="549">
        <f>SUM(D44:N44)</f>
        <v>2000</v>
      </c>
    </row>
    <row r="45" spans="1:15" s="3" customFormat="1" ht="15" customHeight="1">
      <c r="A45" s="10"/>
      <c r="B45" s="10"/>
      <c r="C45" s="713" t="s">
        <v>1025</v>
      </c>
      <c r="D45" s="557"/>
      <c r="E45" s="548"/>
      <c r="F45" s="548"/>
      <c r="G45" s="548"/>
      <c r="H45" s="548"/>
      <c r="I45" s="548"/>
      <c r="J45" s="548"/>
      <c r="K45" s="548"/>
      <c r="L45" s="548"/>
      <c r="M45" s="548"/>
      <c r="N45" s="548"/>
      <c r="O45" s="549"/>
    </row>
    <row r="46" spans="1:15" s="3" customFormat="1" ht="24.75" customHeight="1">
      <c r="A46" s="10"/>
      <c r="B46" s="10"/>
      <c r="C46" s="714" t="s">
        <v>448</v>
      </c>
      <c r="D46" s="557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9"/>
    </row>
    <row r="47" spans="1:15" s="3" customFormat="1" ht="24.75" customHeight="1">
      <c r="A47" s="10"/>
      <c r="B47" s="10"/>
      <c r="C47" s="714" t="s">
        <v>1027</v>
      </c>
      <c r="D47" s="557">
        <v>3413</v>
      </c>
      <c r="E47" s="548"/>
      <c r="F47" s="548"/>
      <c r="G47" s="548"/>
      <c r="H47" s="548"/>
      <c r="I47" s="548"/>
      <c r="J47" s="548"/>
      <c r="K47" s="548"/>
      <c r="L47" s="548"/>
      <c r="M47" s="548"/>
      <c r="N47" s="548"/>
      <c r="O47" s="549">
        <f>SUM(D47:N47)</f>
        <v>3413</v>
      </c>
    </row>
    <row r="48" spans="1:15" s="3" customFormat="1" ht="15" customHeight="1">
      <c r="A48" s="10"/>
      <c r="B48" s="10"/>
      <c r="C48" s="20" t="s">
        <v>1026</v>
      </c>
      <c r="D48" s="548"/>
      <c r="E48" s="548"/>
      <c r="F48" s="548"/>
      <c r="G48" s="548">
        <v>8751</v>
      </c>
      <c r="H48" s="548"/>
      <c r="I48" s="548"/>
      <c r="J48" s="548"/>
      <c r="K48" s="548"/>
      <c r="L48" s="548"/>
      <c r="M48" s="548"/>
      <c r="N48" s="548"/>
      <c r="O48" s="549">
        <f>SUM(D48:N48)</f>
        <v>8751</v>
      </c>
    </row>
    <row r="49" spans="1:15" s="3" customFormat="1" ht="16.5" customHeight="1">
      <c r="A49" s="11"/>
      <c r="B49" s="11"/>
      <c r="C49" s="550" t="s">
        <v>1152</v>
      </c>
      <c r="D49" s="551">
        <f aca="true" t="shared" si="4" ref="D49:O49">SUM(D36:D48)</f>
        <v>66420</v>
      </c>
      <c r="E49" s="551">
        <f t="shared" si="4"/>
        <v>0</v>
      </c>
      <c r="F49" s="551">
        <f t="shared" si="4"/>
        <v>0</v>
      </c>
      <c r="G49" s="551">
        <f t="shared" si="4"/>
        <v>12001</v>
      </c>
      <c r="H49" s="551">
        <f t="shared" si="4"/>
        <v>0</v>
      </c>
      <c r="I49" s="551">
        <f t="shared" si="4"/>
        <v>0</v>
      </c>
      <c r="J49" s="551">
        <f t="shared" si="4"/>
        <v>0</v>
      </c>
      <c r="K49" s="551">
        <f t="shared" si="4"/>
        <v>0</v>
      </c>
      <c r="L49" s="551">
        <f t="shared" si="4"/>
        <v>0</v>
      </c>
      <c r="M49" s="551">
        <f t="shared" si="4"/>
        <v>0</v>
      </c>
      <c r="N49" s="551">
        <f t="shared" si="4"/>
        <v>0</v>
      </c>
      <c r="O49" s="551">
        <f t="shared" si="4"/>
        <v>78421</v>
      </c>
    </row>
    <row r="50" spans="1:15" s="3" customFormat="1" ht="12.75" customHeight="1">
      <c r="A50" s="10">
        <v>1</v>
      </c>
      <c r="B50" s="10">
        <v>18</v>
      </c>
      <c r="C50" s="547" t="s">
        <v>796</v>
      </c>
      <c r="D50" s="548"/>
      <c r="E50" s="548"/>
      <c r="F50" s="548"/>
      <c r="G50" s="548"/>
      <c r="H50" s="548"/>
      <c r="I50" s="548"/>
      <c r="J50" s="548"/>
      <c r="K50" s="548"/>
      <c r="L50" s="548"/>
      <c r="M50" s="548"/>
      <c r="N50" s="548"/>
      <c r="O50" s="549"/>
    </row>
    <row r="51" spans="1:15" s="3" customFormat="1" ht="15" customHeight="1">
      <c r="A51" s="10"/>
      <c r="B51" s="10"/>
      <c r="C51" s="705"/>
      <c r="D51" s="707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9"/>
    </row>
    <row r="52" spans="1:15" s="3" customFormat="1" ht="18.75" customHeight="1">
      <c r="A52" s="12"/>
      <c r="B52" s="12"/>
      <c r="C52" s="550" t="s">
        <v>797</v>
      </c>
      <c r="D52" s="551">
        <f>SUM(D51)</f>
        <v>0</v>
      </c>
      <c r="E52" s="551">
        <f aca="true" t="shared" si="5" ref="E52:O52">SUM(E51)</f>
        <v>0</v>
      </c>
      <c r="F52" s="551">
        <f t="shared" si="5"/>
        <v>0</v>
      </c>
      <c r="G52" s="551">
        <f t="shared" si="5"/>
        <v>0</v>
      </c>
      <c r="H52" s="551">
        <f t="shared" si="5"/>
        <v>0</v>
      </c>
      <c r="I52" s="551">
        <f t="shared" si="5"/>
        <v>0</v>
      </c>
      <c r="J52" s="551">
        <f t="shared" si="5"/>
        <v>0</v>
      </c>
      <c r="K52" s="551">
        <f t="shared" si="5"/>
        <v>0</v>
      </c>
      <c r="L52" s="551">
        <f t="shared" si="5"/>
        <v>0</v>
      </c>
      <c r="M52" s="551">
        <f t="shared" si="5"/>
        <v>0</v>
      </c>
      <c r="N52" s="551">
        <f t="shared" si="5"/>
        <v>0</v>
      </c>
      <c r="O52" s="551">
        <f t="shared" si="5"/>
        <v>0</v>
      </c>
    </row>
    <row r="53" spans="1:15" s="3" customFormat="1" ht="15" customHeight="1">
      <c r="A53" s="10">
        <v>1</v>
      </c>
      <c r="B53" s="10">
        <v>19</v>
      </c>
      <c r="C53" s="547" t="s">
        <v>368</v>
      </c>
      <c r="D53" s="548"/>
      <c r="E53" s="548"/>
      <c r="F53" s="548"/>
      <c r="G53" s="548"/>
      <c r="H53" s="548"/>
      <c r="I53" s="548"/>
      <c r="J53" s="548"/>
      <c r="K53" s="548"/>
      <c r="L53" s="548"/>
      <c r="M53" s="548"/>
      <c r="N53" s="548"/>
      <c r="O53" s="549"/>
    </row>
    <row r="54" spans="1:15" s="3" customFormat="1" ht="37.5" customHeight="1">
      <c r="A54" s="10"/>
      <c r="B54" s="10"/>
      <c r="C54" s="552" t="s">
        <v>220</v>
      </c>
      <c r="D54" s="548"/>
      <c r="E54" s="548"/>
      <c r="F54" s="548"/>
      <c r="G54" s="548"/>
      <c r="H54" s="548"/>
      <c r="I54" s="548"/>
      <c r="J54" s="548"/>
      <c r="K54" s="548"/>
      <c r="L54" s="548"/>
      <c r="M54" s="548"/>
      <c r="N54" s="548"/>
      <c r="O54" s="549"/>
    </row>
    <row r="55" spans="1:15" s="3" customFormat="1" ht="24.75" customHeight="1">
      <c r="A55" s="10"/>
      <c r="B55" s="10"/>
      <c r="C55" s="552" t="s">
        <v>784</v>
      </c>
      <c r="D55" s="548"/>
      <c r="E55" s="548"/>
      <c r="F55" s="548"/>
      <c r="G55" s="548"/>
      <c r="H55" s="548"/>
      <c r="I55" s="548">
        <v>107191</v>
      </c>
      <c r="J55" s="548"/>
      <c r="K55" s="548"/>
      <c r="L55" s="548"/>
      <c r="M55" s="548"/>
      <c r="N55" s="548"/>
      <c r="O55" s="549">
        <f aca="true" t="shared" si="6" ref="O55:O67">SUM(D55:N55)</f>
        <v>107191</v>
      </c>
    </row>
    <row r="56" spans="1:15" s="3" customFormat="1" ht="15" customHeight="1">
      <c r="A56" s="10"/>
      <c r="B56" s="10"/>
      <c r="C56" s="21" t="s">
        <v>1149</v>
      </c>
      <c r="D56" s="548"/>
      <c r="E56" s="548"/>
      <c r="F56" s="548"/>
      <c r="G56" s="548"/>
      <c r="H56" s="548"/>
      <c r="I56" s="548">
        <v>20362</v>
      </c>
      <c r="J56" s="548"/>
      <c r="K56" s="548"/>
      <c r="L56" s="548"/>
      <c r="M56" s="548"/>
      <c r="N56" s="548"/>
      <c r="O56" s="549">
        <f t="shared" si="6"/>
        <v>20362</v>
      </c>
    </row>
    <row r="57" spans="1:15" s="3" customFormat="1" ht="15" customHeight="1">
      <c r="A57" s="10"/>
      <c r="B57" s="10"/>
      <c r="C57" s="21" t="s">
        <v>430</v>
      </c>
      <c r="D57" s="553"/>
      <c r="E57" s="548"/>
      <c r="F57" s="548"/>
      <c r="G57" s="548"/>
      <c r="H57" s="548"/>
      <c r="I57" s="548">
        <v>26662</v>
      </c>
      <c r="J57" s="548"/>
      <c r="K57" s="548"/>
      <c r="L57" s="548"/>
      <c r="M57" s="548"/>
      <c r="N57" s="548"/>
      <c r="O57" s="549">
        <f t="shared" si="6"/>
        <v>26662</v>
      </c>
    </row>
    <row r="58" spans="1:15" s="3" customFormat="1" ht="24.75" customHeight="1">
      <c r="A58" s="10"/>
      <c r="B58" s="10"/>
      <c r="C58" s="660" t="s">
        <v>966</v>
      </c>
      <c r="D58" s="553"/>
      <c r="E58" s="548"/>
      <c r="F58" s="548"/>
      <c r="G58" s="548"/>
      <c r="H58" s="548"/>
      <c r="I58" s="548">
        <v>1467</v>
      </c>
      <c r="J58" s="548"/>
      <c r="K58" s="548"/>
      <c r="L58" s="548"/>
      <c r="M58" s="548"/>
      <c r="N58" s="548"/>
      <c r="O58" s="549">
        <f t="shared" si="6"/>
        <v>1467</v>
      </c>
    </row>
    <row r="59" spans="1:15" s="3" customFormat="1" ht="24.75" customHeight="1">
      <c r="A59" s="10"/>
      <c r="B59" s="10"/>
      <c r="C59" s="705" t="s">
        <v>1028</v>
      </c>
      <c r="D59" s="553">
        <v>2515</v>
      </c>
      <c r="E59" s="548"/>
      <c r="F59" s="548"/>
      <c r="G59" s="548"/>
      <c r="H59" s="548"/>
      <c r="I59" s="548"/>
      <c r="J59" s="548"/>
      <c r="K59" s="548"/>
      <c r="L59" s="548"/>
      <c r="M59" s="548"/>
      <c r="N59" s="548"/>
      <c r="O59" s="549">
        <f t="shared" si="6"/>
        <v>2515</v>
      </c>
    </row>
    <row r="60" spans="1:15" s="3" customFormat="1" ht="15" customHeight="1">
      <c r="A60" s="10"/>
      <c r="B60" s="10"/>
      <c r="C60" s="20" t="s">
        <v>638</v>
      </c>
      <c r="D60" s="685">
        <v>50117</v>
      </c>
      <c r="E60" s="548"/>
      <c r="F60" s="548"/>
      <c r="G60" s="548"/>
      <c r="H60" s="548"/>
      <c r="I60" s="548"/>
      <c r="J60" s="548"/>
      <c r="K60" s="548"/>
      <c r="L60" s="548"/>
      <c r="M60" s="548"/>
      <c r="N60" s="548"/>
      <c r="O60" s="549">
        <f>SUM(D60:N60)</f>
        <v>50117</v>
      </c>
    </row>
    <row r="61" spans="1:15" s="3" customFormat="1" ht="15" customHeight="1">
      <c r="A61" s="10"/>
      <c r="B61" s="10"/>
      <c r="C61" s="20" t="s">
        <v>639</v>
      </c>
      <c r="D61" s="685">
        <v>50240</v>
      </c>
      <c r="E61" s="548"/>
      <c r="F61" s="548"/>
      <c r="G61" s="548"/>
      <c r="H61" s="548"/>
      <c r="I61" s="548"/>
      <c r="J61" s="548"/>
      <c r="K61" s="548"/>
      <c r="L61" s="548"/>
      <c r="M61" s="548"/>
      <c r="N61" s="548"/>
      <c r="O61" s="549">
        <f>SUM(D61:N61)</f>
        <v>50240</v>
      </c>
    </row>
    <row r="62" spans="1:15" s="3" customFormat="1" ht="24.75" customHeight="1">
      <c r="A62" s="10"/>
      <c r="B62" s="10"/>
      <c r="C62" s="22" t="s">
        <v>429</v>
      </c>
      <c r="D62" s="685"/>
      <c r="E62" s="548"/>
      <c r="F62" s="548"/>
      <c r="G62" s="548"/>
      <c r="H62" s="548"/>
      <c r="I62" s="548"/>
      <c r="J62" s="548"/>
      <c r="K62" s="548"/>
      <c r="L62" s="548"/>
      <c r="M62" s="548"/>
      <c r="N62" s="548"/>
      <c r="O62" s="549">
        <f>SUM(D62:N62)</f>
        <v>0</v>
      </c>
    </row>
    <row r="63" spans="1:15" s="3" customFormat="1" ht="15" customHeight="1">
      <c r="A63" s="10"/>
      <c r="B63" s="10"/>
      <c r="C63" s="20" t="s">
        <v>559</v>
      </c>
      <c r="D63" s="685">
        <v>10000</v>
      </c>
      <c r="E63" s="548"/>
      <c r="F63" s="548"/>
      <c r="G63" s="548"/>
      <c r="H63" s="548"/>
      <c r="I63" s="548"/>
      <c r="J63" s="548"/>
      <c r="K63" s="548"/>
      <c r="L63" s="548"/>
      <c r="M63" s="548"/>
      <c r="N63" s="548"/>
      <c r="O63" s="549">
        <f>SUM(D63:N63)</f>
        <v>10000</v>
      </c>
    </row>
    <row r="64" spans="1:15" s="3" customFormat="1" ht="24.75" customHeight="1">
      <c r="A64" s="10"/>
      <c r="B64" s="10"/>
      <c r="C64" s="22" t="s">
        <v>717</v>
      </c>
      <c r="D64" s="685">
        <v>17000</v>
      </c>
      <c r="E64" s="548"/>
      <c r="F64" s="548"/>
      <c r="G64" s="548"/>
      <c r="H64" s="548"/>
      <c r="I64" s="548"/>
      <c r="J64" s="548"/>
      <c r="K64" s="548"/>
      <c r="L64" s="548"/>
      <c r="M64" s="548"/>
      <c r="N64" s="548"/>
      <c r="O64" s="549">
        <f>SUM(D64:N64)</f>
        <v>17000</v>
      </c>
    </row>
    <row r="65" spans="1:15" s="3" customFormat="1" ht="15" customHeight="1">
      <c r="A65" s="10"/>
      <c r="B65" s="10"/>
      <c r="C65" s="563" t="s">
        <v>938</v>
      </c>
      <c r="D65" s="553"/>
      <c r="E65" s="548"/>
      <c r="F65" s="548"/>
      <c r="G65" s="548"/>
      <c r="H65" s="548"/>
      <c r="I65" s="548"/>
      <c r="J65" s="548"/>
      <c r="K65" s="548"/>
      <c r="L65" s="548"/>
      <c r="M65" s="548"/>
      <c r="N65" s="548"/>
      <c r="O65" s="549"/>
    </row>
    <row r="66" spans="1:15" s="3" customFormat="1" ht="24.75" customHeight="1">
      <c r="A66" s="10"/>
      <c r="B66" s="10"/>
      <c r="C66" s="212" t="s">
        <v>132</v>
      </c>
      <c r="D66" s="553"/>
      <c r="E66" s="548"/>
      <c r="F66" s="548"/>
      <c r="G66" s="548"/>
      <c r="H66" s="548"/>
      <c r="I66" s="548"/>
      <c r="J66" s="548"/>
      <c r="K66" s="548">
        <v>40255</v>
      </c>
      <c r="L66" s="548"/>
      <c r="M66" s="548"/>
      <c r="N66" s="548"/>
      <c r="O66" s="549">
        <f>SUM(K66:N66)</f>
        <v>40255</v>
      </c>
    </row>
    <row r="67" spans="1:15" s="3" customFormat="1" ht="24.75" customHeight="1">
      <c r="A67" s="10"/>
      <c r="B67" s="10"/>
      <c r="C67" s="561" t="s">
        <v>813</v>
      </c>
      <c r="D67" s="562"/>
      <c r="E67" s="562"/>
      <c r="F67" s="562"/>
      <c r="G67" s="562"/>
      <c r="H67" s="562"/>
      <c r="I67" s="562"/>
      <c r="J67" s="562"/>
      <c r="K67" s="769">
        <v>1325</v>
      </c>
      <c r="L67" s="562"/>
      <c r="M67" s="562"/>
      <c r="N67" s="562"/>
      <c r="O67" s="549">
        <f t="shared" si="6"/>
        <v>1325</v>
      </c>
    </row>
    <row r="68" spans="1:15" s="3" customFormat="1" ht="15" customHeight="1">
      <c r="A68" s="12"/>
      <c r="B68" s="11"/>
      <c r="C68" s="550" t="s">
        <v>369</v>
      </c>
      <c r="D68" s="551">
        <f aca="true" t="shared" si="7" ref="D68:O68">SUM(D53:D67)</f>
        <v>129872</v>
      </c>
      <c r="E68" s="551">
        <f t="shared" si="7"/>
        <v>0</v>
      </c>
      <c r="F68" s="551">
        <f t="shared" si="7"/>
        <v>0</v>
      </c>
      <c r="G68" s="551">
        <f t="shared" si="7"/>
        <v>0</v>
      </c>
      <c r="H68" s="551">
        <f t="shared" si="7"/>
        <v>0</v>
      </c>
      <c r="I68" s="551">
        <f t="shared" si="7"/>
        <v>155682</v>
      </c>
      <c r="J68" s="551">
        <f t="shared" si="7"/>
        <v>0</v>
      </c>
      <c r="K68" s="551">
        <f t="shared" si="7"/>
        <v>41580</v>
      </c>
      <c r="L68" s="551">
        <f t="shared" si="7"/>
        <v>0</v>
      </c>
      <c r="M68" s="551">
        <f t="shared" si="7"/>
        <v>0</v>
      </c>
      <c r="N68" s="551">
        <f t="shared" si="7"/>
        <v>0</v>
      </c>
      <c r="O68" s="551">
        <f t="shared" si="7"/>
        <v>327134</v>
      </c>
    </row>
    <row r="69" spans="1:15" s="3" customFormat="1" ht="15" customHeight="1">
      <c r="A69" s="237">
        <v>1</v>
      </c>
      <c r="B69" s="237">
        <v>20</v>
      </c>
      <c r="C69" s="554" t="s">
        <v>292</v>
      </c>
      <c r="D69" s="555"/>
      <c r="E69" s="555"/>
      <c r="F69" s="555"/>
      <c r="G69" s="555"/>
      <c r="H69" s="555"/>
      <c r="I69" s="555"/>
      <c r="J69" s="555"/>
      <c r="K69" s="555"/>
      <c r="L69" s="555"/>
      <c r="M69" s="555"/>
      <c r="N69" s="555"/>
      <c r="O69" s="555"/>
    </row>
    <row r="70" spans="1:15" s="3" customFormat="1" ht="15" customHeight="1">
      <c r="A70" s="237"/>
      <c r="B70" s="237"/>
      <c r="C70" s="556"/>
      <c r="D70" s="555"/>
      <c r="E70" s="555"/>
      <c r="F70" s="557"/>
      <c r="G70" s="555"/>
      <c r="H70" s="555"/>
      <c r="I70" s="555"/>
      <c r="J70" s="555"/>
      <c r="K70" s="555"/>
      <c r="L70" s="555"/>
      <c r="M70" s="555"/>
      <c r="N70" s="555"/>
      <c r="O70" s="555">
        <f>SUM(D70:N70)</f>
        <v>0</v>
      </c>
    </row>
    <row r="71" spans="1:15" s="3" customFormat="1" ht="15" customHeight="1">
      <c r="A71" s="12"/>
      <c r="B71" s="11"/>
      <c r="C71" s="550" t="s">
        <v>798</v>
      </c>
      <c r="D71" s="551">
        <f aca="true" t="shared" si="8" ref="D71:O71">SUM(D69:D70)</f>
        <v>0</v>
      </c>
      <c r="E71" s="551">
        <f t="shared" si="8"/>
        <v>0</v>
      </c>
      <c r="F71" s="551">
        <f t="shared" si="8"/>
        <v>0</v>
      </c>
      <c r="G71" s="551">
        <f t="shared" si="8"/>
        <v>0</v>
      </c>
      <c r="H71" s="551">
        <f t="shared" si="8"/>
        <v>0</v>
      </c>
      <c r="I71" s="551">
        <f t="shared" si="8"/>
        <v>0</v>
      </c>
      <c r="J71" s="551">
        <f t="shared" si="8"/>
        <v>0</v>
      </c>
      <c r="K71" s="551">
        <f t="shared" si="8"/>
        <v>0</v>
      </c>
      <c r="L71" s="551">
        <f t="shared" si="8"/>
        <v>0</v>
      </c>
      <c r="M71" s="551">
        <f t="shared" si="8"/>
        <v>0</v>
      </c>
      <c r="N71" s="551">
        <f t="shared" si="8"/>
        <v>0</v>
      </c>
      <c r="O71" s="551">
        <f t="shared" si="8"/>
        <v>0</v>
      </c>
    </row>
    <row r="72" spans="1:15" s="3" customFormat="1" ht="15" customHeight="1">
      <c r="A72" s="237">
        <v>1</v>
      </c>
      <c r="B72" s="237">
        <v>22</v>
      </c>
      <c r="C72" s="554" t="s">
        <v>799</v>
      </c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</row>
    <row r="73" spans="1:15" s="3" customFormat="1" ht="15" customHeight="1">
      <c r="A73" s="237"/>
      <c r="B73" s="237"/>
      <c r="C73" s="678"/>
      <c r="D73" s="555"/>
      <c r="E73" s="555"/>
      <c r="F73" s="555"/>
      <c r="G73" s="555"/>
      <c r="H73" s="555"/>
      <c r="I73" s="555"/>
      <c r="J73" s="555"/>
      <c r="K73" s="555"/>
      <c r="L73" s="555"/>
      <c r="M73" s="555"/>
      <c r="N73" s="555"/>
      <c r="O73" s="555"/>
    </row>
    <row r="74" spans="1:15" s="3" customFormat="1" ht="15" customHeight="1">
      <c r="A74" s="12"/>
      <c r="B74" s="11"/>
      <c r="C74" s="550" t="s">
        <v>800</v>
      </c>
      <c r="D74" s="551">
        <f>SUM(D73)</f>
        <v>0</v>
      </c>
      <c r="E74" s="551">
        <f aca="true" t="shared" si="9" ref="E74:O74">SUM(E73)</f>
        <v>0</v>
      </c>
      <c r="F74" s="551">
        <f t="shared" si="9"/>
        <v>0</v>
      </c>
      <c r="G74" s="551">
        <f t="shared" si="9"/>
        <v>0</v>
      </c>
      <c r="H74" s="551">
        <f t="shared" si="9"/>
        <v>0</v>
      </c>
      <c r="I74" s="551">
        <f t="shared" si="9"/>
        <v>0</v>
      </c>
      <c r="J74" s="551">
        <f t="shared" si="9"/>
        <v>0</v>
      </c>
      <c r="K74" s="551">
        <f t="shared" si="9"/>
        <v>0</v>
      </c>
      <c r="L74" s="551">
        <f t="shared" si="9"/>
        <v>0</v>
      </c>
      <c r="M74" s="551">
        <f t="shared" si="9"/>
        <v>0</v>
      </c>
      <c r="N74" s="551">
        <f t="shared" si="9"/>
        <v>0</v>
      </c>
      <c r="O74" s="551">
        <f t="shared" si="9"/>
        <v>0</v>
      </c>
    </row>
    <row r="75" spans="1:15" s="3" customFormat="1" ht="25.5" customHeight="1">
      <c r="A75" s="11"/>
      <c r="B75" s="11"/>
      <c r="C75" s="558" t="s">
        <v>57</v>
      </c>
      <c r="D75" s="551">
        <f aca="true" t="shared" si="10" ref="D75:O75">SUM(D8+D11+D24+D34+D49+D52+D68+D71+D74)</f>
        <v>246327</v>
      </c>
      <c r="E75" s="551">
        <f t="shared" si="10"/>
        <v>0</v>
      </c>
      <c r="F75" s="551">
        <f t="shared" si="10"/>
        <v>0</v>
      </c>
      <c r="G75" s="551">
        <f t="shared" si="10"/>
        <v>15470</v>
      </c>
      <c r="H75" s="551">
        <f t="shared" si="10"/>
        <v>7311</v>
      </c>
      <c r="I75" s="551">
        <f t="shared" si="10"/>
        <v>155682</v>
      </c>
      <c r="J75" s="551">
        <f t="shared" si="10"/>
        <v>0</v>
      </c>
      <c r="K75" s="551">
        <f t="shared" si="10"/>
        <v>43110</v>
      </c>
      <c r="L75" s="551">
        <f t="shared" si="10"/>
        <v>1395891</v>
      </c>
      <c r="M75" s="551">
        <f t="shared" si="10"/>
        <v>0</v>
      </c>
      <c r="N75" s="551">
        <f t="shared" si="10"/>
        <v>0</v>
      </c>
      <c r="O75" s="551">
        <f t="shared" si="10"/>
        <v>1863791</v>
      </c>
    </row>
    <row r="76" spans="1:15" s="3" customFormat="1" ht="15" customHeight="1">
      <c r="A76" s="237">
        <v>2</v>
      </c>
      <c r="B76" s="178"/>
      <c r="C76" s="556" t="s">
        <v>53</v>
      </c>
      <c r="D76" s="557">
        <f>'táj.1.'!D33</f>
        <v>66594</v>
      </c>
      <c r="E76" s="557">
        <f>'táj.1.'!E33</f>
        <v>6053</v>
      </c>
      <c r="F76" s="557"/>
      <c r="G76" s="557">
        <f>'táj.1.'!J33</f>
        <v>0</v>
      </c>
      <c r="H76" s="557">
        <f>'táj.1.'!K33</f>
        <v>-44</v>
      </c>
      <c r="I76" s="557"/>
      <c r="J76" s="557">
        <f>'táj.1.'!G33</f>
        <v>19000</v>
      </c>
      <c r="K76" s="557">
        <f>'táj.1.'!H33</f>
        <v>18926</v>
      </c>
      <c r="L76" s="557">
        <f>'táj.1.'!I33</f>
        <v>12734</v>
      </c>
      <c r="M76" s="557"/>
      <c r="N76" s="557">
        <f>'táj.1.'!L33</f>
        <v>0</v>
      </c>
      <c r="O76" s="557">
        <f>SUM(D76:N76)</f>
        <v>123263</v>
      </c>
    </row>
    <row r="77" spans="1:15" s="3" customFormat="1" ht="15" customHeight="1">
      <c r="A77" s="11"/>
      <c r="B77" s="11"/>
      <c r="C77" s="550" t="s">
        <v>1160</v>
      </c>
      <c r="D77" s="551">
        <f aca="true" t="shared" si="11" ref="D77:O77">SUM(D75:D76)</f>
        <v>312921</v>
      </c>
      <c r="E77" s="551">
        <f t="shared" si="11"/>
        <v>6053</v>
      </c>
      <c r="F77" s="551">
        <f t="shared" si="11"/>
        <v>0</v>
      </c>
      <c r="G77" s="551">
        <f t="shared" si="11"/>
        <v>15470</v>
      </c>
      <c r="H77" s="551">
        <f t="shared" si="11"/>
        <v>7267</v>
      </c>
      <c r="I77" s="551">
        <f t="shared" si="11"/>
        <v>155682</v>
      </c>
      <c r="J77" s="551">
        <f t="shared" si="11"/>
        <v>19000</v>
      </c>
      <c r="K77" s="551">
        <f t="shared" si="11"/>
        <v>62036</v>
      </c>
      <c r="L77" s="551">
        <f t="shared" si="11"/>
        <v>1408625</v>
      </c>
      <c r="M77" s="551">
        <f t="shared" si="11"/>
        <v>0</v>
      </c>
      <c r="N77" s="551">
        <f t="shared" si="11"/>
        <v>0</v>
      </c>
      <c r="O77" s="551">
        <f t="shared" si="11"/>
        <v>1987054</v>
      </c>
    </row>
    <row r="78" spans="1:15" s="3" customFormat="1" ht="13.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278"/>
    </row>
    <row r="82" spans="1:15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3:15" ht="12.7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3:15" ht="12.7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3:15" ht="12.7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3:15" ht="12.75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3:15" ht="12.7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3:15" ht="12.7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3:15" ht="12.7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3:15" ht="12.7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3:15" ht="12.7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3:15" ht="12.7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3:15" ht="12.7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3:15" ht="12.7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3:15" ht="12.7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3:15" ht="12.7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3:15" ht="12.7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3:15" ht="12.7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3:15" ht="12.7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</sheetData>
  <sheetProtection/>
  <mergeCells count="4">
    <mergeCell ref="D1:E1"/>
    <mergeCell ref="G1:H1"/>
    <mergeCell ref="F1:F2"/>
    <mergeCell ref="C10:D10"/>
  </mergeCells>
  <printOptions horizontalCentered="1" verticalCentered="1"/>
  <pageMargins left="0.11811023622047245" right="0.11811023622047245" top="1.1811023622047245" bottom="0.7086614173228347" header="0.5905511811023623" footer="0.5118110236220472"/>
  <pageSetup horizontalDpi="600" verticalDpi="600" orientation="landscape" paperSize="9" scale="90" r:id="rId1"/>
  <headerFooter alignWithMargins="0">
    <oddHeader>&amp;C&amp;"Times New Roman,Normál"ZALAEGERSZEG MEGYEI JOGÚ VÁROS ÖNKORMÁNYZATA
2013. ÉVI BEVÉTELI ELŐIRÁNYZATAINAK  MÓDOSÍTÁSA  A IV.NEGYEDÉVBEN&amp;R&amp;"Times New Roman,Normál"11. számú melléklet
Adatok: ezer Ft-ban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28"/>
  <sheetViews>
    <sheetView zoomScale="95" zoomScaleNormal="95" zoomScaleSheetLayoutView="120" zoomScalePageLayoutView="0" workbookViewId="0" topLeftCell="A1">
      <pane ySplit="2" topLeftCell="A195" activePane="bottomLeft" state="frozen"/>
      <selection pane="topLeft" activeCell="A1" sqref="A1"/>
      <selection pane="bottomLeft" activeCell="I107" sqref="I107"/>
    </sheetView>
  </sheetViews>
  <sheetFormatPr defaultColWidth="9.00390625" defaultRowHeight="12.75"/>
  <cols>
    <col min="1" max="1" width="5.125" style="24" customWidth="1"/>
    <col min="2" max="2" width="5.875" style="24" customWidth="1"/>
    <col min="3" max="3" width="9.375" style="24" customWidth="1"/>
    <col min="4" max="4" width="35.125" style="24" customWidth="1"/>
    <col min="5" max="5" width="4.375" style="24" customWidth="1"/>
    <col min="6" max="6" width="10.125" style="24" customWidth="1"/>
    <col min="7" max="7" width="11.00390625" style="24" customWidth="1"/>
    <col min="8" max="8" width="10.00390625" style="24" customWidth="1"/>
    <col min="9" max="10" width="9.375" style="24" customWidth="1"/>
    <col min="11" max="11" width="10.125" style="24" customWidth="1"/>
    <col min="12" max="12" width="9.375" style="24" customWidth="1"/>
    <col min="13" max="13" width="11.00390625" style="24" bestFit="1" customWidth="1"/>
    <col min="14" max="14" width="9.875" style="24" bestFit="1" customWidth="1"/>
    <col min="15" max="15" width="8.875" style="24" customWidth="1"/>
    <col min="16" max="16" width="10.125" style="24" customWidth="1"/>
    <col min="17" max="17" width="8.875" style="24" customWidth="1"/>
    <col min="18" max="16384" width="9.375" style="24" customWidth="1"/>
  </cols>
  <sheetData>
    <row r="1" spans="1:17" s="23" customFormat="1" ht="24.75" customHeight="1">
      <c r="A1" s="145"/>
      <c r="B1" s="146"/>
      <c r="C1" s="147"/>
      <c r="D1" s="148"/>
      <c r="E1" s="900" t="s">
        <v>42</v>
      </c>
      <c r="F1" s="907" t="s">
        <v>656</v>
      </c>
      <c r="G1" s="908"/>
      <c r="H1" s="908"/>
      <c r="I1" s="908"/>
      <c r="J1" s="908"/>
      <c r="K1" s="902" t="s">
        <v>662</v>
      </c>
      <c r="L1" s="903"/>
      <c r="M1" s="904"/>
      <c r="N1" s="149"/>
      <c r="O1" s="149"/>
      <c r="P1" s="147"/>
      <c r="Q1" s="898" t="s">
        <v>289</v>
      </c>
    </row>
    <row r="2" spans="1:17" ht="63.75" customHeight="1" thickBot="1">
      <c r="A2" s="150" t="s">
        <v>370</v>
      </c>
      <c r="B2" s="151" t="s">
        <v>371</v>
      </c>
      <c r="C2" s="152" t="s">
        <v>353</v>
      </c>
      <c r="D2" s="153"/>
      <c r="E2" s="901"/>
      <c r="F2" s="128" t="s">
        <v>657</v>
      </c>
      <c r="G2" s="128" t="s">
        <v>801</v>
      </c>
      <c r="H2" s="128" t="s">
        <v>14</v>
      </c>
      <c r="I2" s="128" t="s">
        <v>660</v>
      </c>
      <c r="J2" s="128" t="s">
        <v>373</v>
      </c>
      <c r="K2" s="128" t="s">
        <v>663</v>
      </c>
      <c r="L2" s="128" t="s">
        <v>664</v>
      </c>
      <c r="M2" s="128" t="s">
        <v>665</v>
      </c>
      <c r="N2" s="151" t="s">
        <v>802</v>
      </c>
      <c r="O2" s="151" t="s">
        <v>375</v>
      </c>
      <c r="P2" s="154" t="s">
        <v>364</v>
      </c>
      <c r="Q2" s="899"/>
    </row>
    <row r="3" spans="1:17" ht="13.5" customHeight="1">
      <c r="A3" s="25">
        <v>1</v>
      </c>
      <c r="B3" s="25"/>
      <c r="C3" s="26" t="s">
        <v>52</v>
      </c>
      <c r="D3" s="27"/>
      <c r="E3" s="51"/>
      <c r="F3" s="28"/>
      <c r="G3" s="28"/>
      <c r="H3" s="28"/>
      <c r="I3" s="28"/>
      <c r="J3" s="28"/>
      <c r="K3" s="28"/>
      <c r="L3" s="28"/>
      <c r="M3" s="28"/>
      <c r="N3" s="28"/>
      <c r="O3" s="28"/>
      <c r="P3" s="36"/>
      <c r="Q3" s="361"/>
    </row>
    <row r="4" spans="1:17" ht="13.5" customHeight="1">
      <c r="A4" s="25">
        <v>1</v>
      </c>
      <c r="B4" s="25">
        <v>1</v>
      </c>
      <c r="C4" s="26" t="s">
        <v>793</v>
      </c>
      <c r="D4" s="27"/>
      <c r="E4" s="51"/>
      <c r="F4" s="28"/>
      <c r="G4" s="28"/>
      <c r="H4" s="28"/>
      <c r="I4" s="28"/>
      <c r="J4" s="28"/>
      <c r="K4" s="28"/>
      <c r="L4" s="28"/>
      <c r="M4" s="28"/>
      <c r="N4" s="28"/>
      <c r="O4" s="28"/>
      <c r="P4" s="36"/>
      <c r="Q4" s="155"/>
    </row>
    <row r="5" spans="1:17" ht="13.5" customHeight="1">
      <c r="A5" s="25">
        <v>1</v>
      </c>
      <c r="B5" s="25">
        <v>12</v>
      </c>
      <c r="C5" s="349" t="s">
        <v>786</v>
      </c>
      <c r="D5" s="27"/>
      <c r="E5" s="51"/>
      <c r="F5" s="28"/>
      <c r="G5" s="28"/>
      <c r="H5" s="28"/>
      <c r="I5" s="28"/>
      <c r="J5" s="28"/>
      <c r="K5" s="28"/>
      <c r="L5" s="28"/>
      <c r="M5" s="28"/>
      <c r="N5" s="28"/>
      <c r="O5" s="28"/>
      <c r="P5" s="36"/>
      <c r="Q5" s="155"/>
    </row>
    <row r="6" spans="1:17" ht="13.5" customHeight="1">
      <c r="A6" s="25"/>
      <c r="B6" s="25"/>
      <c r="C6" s="911" t="s">
        <v>431</v>
      </c>
      <c r="D6" s="912"/>
      <c r="E6" s="593">
        <v>1</v>
      </c>
      <c r="F6" s="352"/>
      <c r="G6" s="352"/>
      <c r="H6" s="352"/>
      <c r="I6" s="352"/>
      <c r="J6" s="352">
        <v>16966</v>
      </c>
      <c r="K6" s="352"/>
      <c r="L6" s="28"/>
      <c r="M6" s="28"/>
      <c r="N6" s="28"/>
      <c r="O6" s="28"/>
      <c r="P6" s="36">
        <f aca="true" t="shared" si="0" ref="P6:P30">SUM(F6:O6)</f>
        <v>16966</v>
      </c>
      <c r="Q6" s="155" t="s">
        <v>72</v>
      </c>
    </row>
    <row r="7" spans="1:17" ht="13.5" customHeight="1">
      <c r="A7" s="25"/>
      <c r="B7" s="25"/>
      <c r="C7" s="36" t="s">
        <v>432</v>
      </c>
      <c r="D7" s="236"/>
      <c r="E7" s="593">
        <v>1</v>
      </c>
      <c r="F7" s="352"/>
      <c r="G7" s="352"/>
      <c r="H7" s="352"/>
      <c r="I7" s="352"/>
      <c r="J7" s="352">
        <v>53020</v>
      </c>
      <c r="K7" s="352"/>
      <c r="L7" s="28"/>
      <c r="M7" s="28"/>
      <c r="N7" s="28"/>
      <c r="O7" s="28"/>
      <c r="P7" s="36">
        <f t="shared" si="0"/>
        <v>53020</v>
      </c>
      <c r="Q7" s="155" t="s">
        <v>72</v>
      </c>
    </row>
    <row r="8" spans="1:17" ht="13.5" customHeight="1">
      <c r="A8" s="25"/>
      <c r="B8" s="25"/>
      <c r="C8" s="905" t="s">
        <v>433</v>
      </c>
      <c r="D8" s="861"/>
      <c r="E8" s="593">
        <v>1</v>
      </c>
      <c r="F8" s="352"/>
      <c r="G8" s="352"/>
      <c r="H8" s="352"/>
      <c r="I8" s="352"/>
      <c r="J8" s="352">
        <v>18389</v>
      </c>
      <c r="K8" s="352"/>
      <c r="L8" s="28"/>
      <c r="M8" s="28"/>
      <c r="N8" s="28"/>
      <c r="O8" s="28"/>
      <c r="P8" s="36">
        <f t="shared" si="0"/>
        <v>18389</v>
      </c>
      <c r="Q8" s="155" t="s">
        <v>72</v>
      </c>
    </row>
    <row r="9" spans="1:17" ht="13.5" customHeight="1">
      <c r="A9" s="25"/>
      <c r="B9" s="25"/>
      <c r="C9" s="905" t="s">
        <v>688</v>
      </c>
      <c r="D9" s="913"/>
      <c r="E9" s="594">
        <v>2</v>
      </c>
      <c r="F9" s="352"/>
      <c r="G9" s="352"/>
      <c r="H9" s="352"/>
      <c r="I9" s="352"/>
      <c r="J9" s="352">
        <v>400</v>
      </c>
      <c r="K9" s="352"/>
      <c r="L9" s="28"/>
      <c r="M9" s="28"/>
      <c r="N9" s="28"/>
      <c r="O9" s="28"/>
      <c r="P9" s="36">
        <f t="shared" si="0"/>
        <v>400</v>
      </c>
      <c r="Q9" s="155" t="s">
        <v>72</v>
      </c>
    </row>
    <row r="10" spans="1:17" ht="13.5" customHeight="1">
      <c r="A10" s="25"/>
      <c r="B10" s="25"/>
      <c r="C10" s="905" t="s">
        <v>689</v>
      </c>
      <c r="D10" s="861"/>
      <c r="E10" s="593"/>
      <c r="F10" s="352"/>
      <c r="G10" s="352"/>
      <c r="H10" s="352"/>
      <c r="I10" s="352"/>
      <c r="J10" s="352"/>
      <c r="K10" s="352"/>
      <c r="L10" s="28"/>
      <c r="M10" s="28"/>
      <c r="N10" s="28"/>
      <c r="O10" s="28"/>
      <c r="P10" s="36"/>
      <c r="Q10" s="155"/>
    </row>
    <row r="11" spans="1:17" ht="13.5" customHeight="1">
      <c r="A11" s="25"/>
      <c r="B11" s="25"/>
      <c r="C11" s="36" t="s">
        <v>690</v>
      </c>
      <c r="D11" s="236"/>
      <c r="E11" s="593">
        <v>2</v>
      </c>
      <c r="F11" s="352"/>
      <c r="G11" s="352"/>
      <c r="H11" s="352"/>
      <c r="I11" s="352"/>
      <c r="J11" s="352">
        <v>500</v>
      </c>
      <c r="K11" s="352"/>
      <c r="L11" s="28"/>
      <c r="M11" s="28"/>
      <c r="N11" s="28"/>
      <c r="O11" s="28"/>
      <c r="P11" s="36">
        <f t="shared" si="0"/>
        <v>500</v>
      </c>
      <c r="Q11" s="155" t="s">
        <v>72</v>
      </c>
    </row>
    <row r="12" spans="1:17" ht="13.5" customHeight="1">
      <c r="A12" s="25"/>
      <c r="B12" s="25"/>
      <c r="C12" s="909" t="s">
        <v>691</v>
      </c>
      <c r="D12" s="910"/>
      <c r="E12" s="593">
        <v>1</v>
      </c>
      <c r="F12" s="352"/>
      <c r="G12" s="352"/>
      <c r="H12" s="352"/>
      <c r="I12" s="352"/>
      <c r="J12" s="352">
        <v>70</v>
      </c>
      <c r="K12" s="352"/>
      <c r="L12" s="28"/>
      <c r="M12" s="28"/>
      <c r="N12" s="28"/>
      <c r="O12" s="28"/>
      <c r="P12" s="36">
        <f t="shared" si="0"/>
        <v>70</v>
      </c>
      <c r="Q12" s="155" t="s">
        <v>72</v>
      </c>
    </row>
    <row r="13" spans="1:17" ht="13.5" customHeight="1">
      <c r="A13" s="25"/>
      <c r="B13" s="25"/>
      <c r="C13" s="905" t="s">
        <v>436</v>
      </c>
      <c r="D13" s="861"/>
      <c r="E13" s="593">
        <v>1</v>
      </c>
      <c r="F13" s="352"/>
      <c r="G13" s="352"/>
      <c r="H13" s="352"/>
      <c r="I13" s="352"/>
      <c r="J13" s="352">
        <v>2491</v>
      </c>
      <c r="K13" s="352"/>
      <c r="L13" s="28"/>
      <c r="M13" s="28"/>
      <c r="N13" s="28"/>
      <c r="O13" s="28"/>
      <c r="P13" s="36">
        <f t="shared" si="0"/>
        <v>2491</v>
      </c>
      <c r="Q13" s="155" t="s">
        <v>72</v>
      </c>
    </row>
    <row r="14" spans="1:17" ht="13.5" customHeight="1">
      <c r="A14" s="25"/>
      <c r="B14" s="25"/>
      <c r="C14" s="911" t="s">
        <v>424</v>
      </c>
      <c r="D14" s="921"/>
      <c r="E14" s="595">
        <v>1</v>
      </c>
      <c r="F14" s="352"/>
      <c r="G14" s="352"/>
      <c r="H14" s="352"/>
      <c r="I14" s="352"/>
      <c r="J14" s="352">
        <v>27</v>
      </c>
      <c r="K14" s="352"/>
      <c r="L14" s="28"/>
      <c r="M14" s="28"/>
      <c r="N14" s="28"/>
      <c r="O14" s="28"/>
      <c r="P14" s="36">
        <f t="shared" si="0"/>
        <v>27</v>
      </c>
      <c r="Q14" s="155" t="s">
        <v>72</v>
      </c>
    </row>
    <row r="15" spans="1:17" ht="13.5" customHeight="1">
      <c r="A15" s="25"/>
      <c r="B15" s="25"/>
      <c r="C15" s="905" t="s">
        <v>692</v>
      </c>
      <c r="D15" s="861"/>
      <c r="E15" s="595">
        <v>1</v>
      </c>
      <c r="F15" s="352"/>
      <c r="G15" s="352"/>
      <c r="H15" s="352"/>
      <c r="I15" s="352"/>
      <c r="J15" s="352">
        <v>1500</v>
      </c>
      <c r="K15" s="352"/>
      <c r="L15" s="28"/>
      <c r="M15" s="28"/>
      <c r="N15" s="28"/>
      <c r="O15" s="28"/>
      <c r="P15" s="36">
        <f t="shared" si="0"/>
        <v>1500</v>
      </c>
      <c r="Q15" s="155" t="s">
        <v>72</v>
      </c>
    </row>
    <row r="16" spans="1:17" ht="13.5" customHeight="1">
      <c r="A16" s="25"/>
      <c r="B16" s="25"/>
      <c r="C16" s="905" t="s">
        <v>434</v>
      </c>
      <c r="D16" s="861"/>
      <c r="E16" s="595">
        <v>1</v>
      </c>
      <c r="F16" s="352"/>
      <c r="G16" s="352"/>
      <c r="H16" s="352"/>
      <c r="I16" s="352"/>
      <c r="J16" s="352">
        <v>1800</v>
      </c>
      <c r="K16" s="352"/>
      <c r="L16" s="28"/>
      <c r="M16" s="28"/>
      <c r="N16" s="28"/>
      <c r="O16" s="28"/>
      <c r="P16" s="36">
        <f t="shared" si="0"/>
        <v>1800</v>
      </c>
      <c r="Q16" s="155" t="s">
        <v>72</v>
      </c>
    </row>
    <row r="17" spans="1:17" ht="13.5" customHeight="1">
      <c r="A17" s="25"/>
      <c r="B17" s="25"/>
      <c r="C17" s="671" t="s">
        <v>435</v>
      </c>
      <c r="D17" s="717"/>
      <c r="E17" s="595"/>
      <c r="F17" s="352"/>
      <c r="G17" s="352"/>
      <c r="H17" s="352"/>
      <c r="I17" s="352"/>
      <c r="J17" s="352"/>
      <c r="K17" s="352"/>
      <c r="L17" s="28"/>
      <c r="M17" s="28"/>
      <c r="N17" s="28"/>
      <c r="O17" s="28"/>
      <c r="P17" s="36"/>
      <c r="Q17" s="155"/>
    </row>
    <row r="18" spans="1:17" ht="13.5" customHeight="1">
      <c r="A18" s="25"/>
      <c r="B18" s="25"/>
      <c r="C18" s="36" t="s">
        <v>970</v>
      </c>
      <c r="D18" s="717"/>
      <c r="E18" s="595">
        <v>1</v>
      </c>
      <c r="F18" s="352"/>
      <c r="G18" s="352"/>
      <c r="H18" s="352"/>
      <c r="I18" s="352"/>
      <c r="J18" s="352">
        <v>7743</v>
      </c>
      <c r="K18" s="352"/>
      <c r="L18" s="28"/>
      <c r="M18" s="28"/>
      <c r="N18" s="28"/>
      <c r="O18" s="28"/>
      <c r="P18" s="36">
        <f t="shared" si="0"/>
        <v>7743</v>
      </c>
      <c r="Q18" s="155" t="s">
        <v>72</v>
      </c>
    </row>
    <row r="19" spans="1:17" ht="13.5" customHeight="1">
      <c r="A19" s="25"/>
      <c r="B19" s="25"/>
      <c r="C19" s="905" t="s">
        <v>693</v>
      </c>
      <c r="D19" s="861"/>
      <c r="E19" s="595"/>
      <c r="F19" s="352"/>
      <c r="G19" s="352"/>
      <c r="H19" s="352"/>
      <c r="I19" s="352"/>
      <c r="J19" s="352"/>
      <c r="K19" s="352"/>
      <c r="L19" s="28"/>
      <c r="M19" s="28"/>
      <c r="N19" s="28"/>
      <c r="O19" s="28"/>
      <c r="P19" s="36">
        <f t="shared" si="0"/>
        <v>0</v>
      </c>
      <c r="Q19" s="155"/>
    </row>
    <row r="20" spans="1:17" ht="13.5" customHeight="1">
      <c r="A20" s="25"/>
      <c r="B20" s="25"/>
      <c r="C20" s="36" t="s">
        <v>694</v>
      </c>
      <c r="D20" s="236"/>
      <c r="E20" s="595">
        <v>1</v>
      </c>
      <c r="F20" s="352"/>
      <c r="G20" s="352"/>
      <c r="H20" s="352"/>
      <c r="I20" s="352"/>
      <c r="J20" s="352">
        <v>700</v>
      </c>
      <c r="K20" s="352"/>
      <c r="L20" s="28"/>
      <c r="M20" s="28"/>
      <c r="N20" s="28"/>
      <c r="O20" s="28"/>
      <c r="P20" s="36">
        <f t="shared" si="0"/>
        <v>700</v>
      </c>
      <c r="Q20" s="155" t="s">
        <v>72</v>
      </c>
    </row>
    <row r="21" spans="1:17" ht="13.5" customHeight="1">
      <c r="A21" s="25"/>
      <c r="B21" s="25"/>
      <c r="C21" s="920" t="s">
        <v>695</v>
      </c>
      <c r="D21" s="861"/>
      <c r="E21" s="593"/>
      <c r="F21" s="352"/>
      <c r="G21" s="352"/>
      <c r="H21" s="352"/>
      <c r="I21" s="352"/>
      <c r="J21" s="352"/>
      <c r="K21" s="352"/>
      <c r="L21" s="28"/>
      <c r="M21" s="28"/>
      <c r="N21" s="28"/>
      <c r="O21" s="28"/>
      <c r="P21" s="36">
        <f t="shared" si="0"/>
        <v>0</v>
      </c>
      <c r="Q21" s="155"/>
    </row>
    <row r="22" spans="1:17" ht="13.5" customHeight="1">
      <c r="A22" s="25"/>
      <c r="B22" s="25"/>
      <c r="C22" s="860" t="s">
        <v>696</v>
      </c>
      <c r="D22" s="865"/>
      <c r="E22" s="593">
        <v>1</v>
      </c>
      <c r="F22" s="352"/>
      <c r="G22" s="352"/>
      <c r="H22" s="352">
        <v>-400</v>
      </c>
      <c r="I22" s="352">
        <v>-600</v>
      </c>
      <c r="J22" s="352"/>
      <c r="K22" s="352"/>
      <c r="L22" s="28"/>
      <c r="M22" s="28"/>
      <c r="N22" s="28"/>
      <c r="O22" s="28"/>
      <c r="P22" s="36">
        <f t="shared" si="0"/>
        <v>-1000</v>
      </c>
      <c r="Q22" s="155" t="s">
        <v>72</v>
      </c>
    </row>
    <row r="23" spans="1:17" ht="13.5" customHeight="1">
      <c r="A23" s="25"/>
      <c r="B23" s="25"/>
      <c r="C23" s="860" t="s">
        <v>697</v>
      </c>
      <c r="D23" s="906"/>
      <c r="E23" s="593"/>
      <c r="F23" s="352"/>
      <c r="G23" s="352"/>
      <c r="H23" s="352"/>
      <c r="I23" s="352"/>
      <c r="J23" s="352"/>
      <c r="K23" s="352"/>
      <c r="L23" s="28"/>
      <c r="M23" s="28"/>
      <c r="N23" s="28"/>
      <c r="O23" s="28"/>
      <c r="P23" s="36"/>
      <c r="Q23" s="155"/>
    </row>
    <row r="24" spans="1:17" ht="13.5" customHeight="1">
      <c r="A24" s="25"/>
      <c r="B24" s="25"/>
      <c r="C24" s="40" t="s">
        <v>698</v>
      </c>
      <c r="D24" s="38"/>
      <c r="E24" s="593">
        <v>2</v>
      </c>
      <c r="F24" s="352"/>
      <c r="G24" s="352"/>
      <c r="H24" s="352">
        <v>-74</v>
      </c>
      <c r="I24" s="352"/>
      <c r="J24" s="352"/>
      <c r="K24" s="352"/>
      <c r="L24" s="28"/>
      <c r="M24" s="28"/>
      <c r="N24" s="28"/>
      <c r="O24" s="28"/>
      <c r="P24" s="36">
        <f t="shared" si="0"/>
        <v>-74</v>
      </c>
      <c r="Q24" s="155" t="s">
        <v>72</v>
      </c>
    </row>
    <row r="25" spans="1:17" ht="13.5" customHeight="1">
      <c r="A25" s="25"/>
      <c r="B25" s="25"/>
      <c r="C25" s="866" t="s">
        <v>437</v>
      </c>
      <c r="D25" s="913"/>
      <c r="E25" s="593"/>
      <c r="F25" s="352"/>
      <c r="G25" s="352"/>
      <c r="H25" s="352"/>
      <c r="I25" s="352"/>
      <c r="J25" s="352"/>
      <c r="K25" s="352"/>
      <c r="L25" s="28"/>
      <c r="M25" s="28"/>
      <c r="N25" s="28"/>
      <c r="O25" s="28"/>
      <c r="P25" s="36"/>
      <c r="Q25" s="155"/>
    </row>
    <row r="26" spans="1:17" ht="13.5" customHeight="1">
      <c r="A26" s="25"/>
      <c r="B26" s="25"/>
      <c r="C26" s="916" t="s">
        <v>1188</v>
      </c>
      <c r="D26" s="892"/>
      <c r="E26" s="593">
        <v>2</v>
      </c>
      <c r="F26" s="352">
        <v>560</v>
      </c>
      <c r="G26" s="352">
        <v>136</v>
      </c>
      <c r="H26" s="352">
        <v>-696</v>
      </c>
      <c r="I26" s="352"/>
      <c r="J26" s="352"/>
      <c r="K26" s="352"/>
      <c r="L26" s="28"/>
      <c r="M26" s="28"/>
      <c r="N26" s="28"/>
      <c r="O26" s="28"/>
      <c r="P26" s="36">
        <f t="shared" si="0"/>
        <v>0</v>
      </c>
      <c r="Q26" s="155" t="s">
        <v>72</v>
      </c>
    </row>
    <row r="27" spans="1:17" ht="13.5" customHeight="1">
      <c r="A27" s="25"/>
      <c r="B27" s="25"/>
      <c r="C27" s="719" t="s">
        <v>438</v>
      </c>
      <c r="D27" s="720"/>
      <c r="E27" s="598"/>
      <c r="F27" s="352"/>
      <c r="G27" s="352"/>
      <c r="H27" s="352"/>
      <c r="I27" s="352"/>
      <c r="J27" s="352"/>
      <c r="K27" s="352"/>
      <c r="L27" s="28"/>
      <c r="M27" s="28"/>
      <c r="N27" s="28"/>
      <c r="O27" s="28"/>
      <c r="P27" s="36"/>
      <c r="Q27" s="155"/>
    </row>
    <row r="28" spans="1:17" ht="13.5" customHeight="1">
      <c r="A28" s="25"/>
      <c r="B28" s="25"/>
      <c r="C28" s="537" t="s">
        <v>439</v>
      </c>
      <c r="D28" s="538"/>
      <c r="E28" s="599">
        <v>2</v>
      </c>
      <c r="F28" s="352"/>
      <c r="G28" s="352"/>
      <c r="H28" s="352">
        <v>-1532</v>
      </c>
      <c r="I28" s="352"/>
      <c r="J28" s="352"/>
      <c r="K28" s="352"/>
      <c r="L28" s="28"/>
      <c r="M28" s="28"/>
      <c r="N28" s="28"/>
      <c r="O28" s="28"/>
      <c r="P28" s="36">
        <f>SUM(F28:O28)</f>
        <v>-1532</v>
      </c>
      <c r="Q28" s="155" t="s">
        <v>72</v>
      </c>
    </row>
    <row r="29" spans="1:17" ht="13.5" customHeight="1">
      <c r="A29" s="25"/>
      <c r="B29" s="25"/>
      <c r="C29" s="917" t="s">
        <v>820</v>
      </c>
      <c r="D29" s="918"/>
      <c r="E29" s="599">
        <v>2</v>
      </c>
      <c r="F29" s="352"/>
      <c r="G29" s="352">
        <v>1500</v>
      </c>
      <c r="H29" s="352">
        <v>-2025</v>
      </c>
      <c r="I29" s="352"/>
      <c r="J29" s="352">
        <v>-500</v>
      </c>
      <c r="K29" s="352"/>
      <c r="L29" s="28"/>
      <c r="M29" s="28"/>
      <c r="N29" s="28"/>
      <c r="O29" s="28"/>
      <c r="P29" s="36">
        <f>SUM(F29:O29)</f>
        <v>-1025</v>
      </c>
      <c r="Q29" s="155" t="s">
        <v>72</v>
      </c>
    </row>
    <row r="30" spans="1:17" ht="24.75" customHeight="1">
      <c r="A30" s="25"/>
      <c r="B30" s="25"/>
      <c r="C30" s="869" t="s">
        <v>1189</v>
      </c>
      <c r="D30" s="883"/>
      <c r="E30" s="599">
        <v>2</v>
      </c>
      <c r="F30" s="352"/>
      <c r="G30" s="352"/>
      <c r="H30" s="352"/>
      <c r="I30" s="352"/>
      <c r="J30" s="352"/>
      <c r="K30" s="352"/>
      <c r="L30" s="28"/>
      <c r="M30" s="28"/>
      <c r="N30" s="352">
        <v>-1400</v>
      </c>
      <c r="O30" s="28"/>
      <c r="P30" s="36">
        <f t="shared" si="0"/>
        <v>-1400</v>
      </c>
      <c r="Q30" s="155" t="s">
        <v>72</v>
      </c>
    </row>
    <row r="31" spans="1:17" ht="13.5" customHeight="1">
      <c r="A31" s="353"/>
      <c r="B31" s="353"/>
      <c r="C31" s="362" t="s">
        <v>804</v>
      </c>
      <c r="D31" s="354"/>
      <c r="E31" s="600"/>
      <c r="F31" s="356">
        <f aca="true" t="shared" si="1" ref="F31:P31">SUM(F5:F30)</f>
        <v>560</v>
      </c>
      <c r="G31" s="356">
        <f t="shared" si="1"/>
        <v>1636</v>
      </c>
      <c r="H31" s="356">
        <f t="shared" si="1"/>
        <v>-4727</v>
      </c>
      <c r="I31" s="356">
        <f t="shared" si="1"/>
        <v>-600</v>
      </c>
      <c r="J31" s="356">
        <f t="shared" si="1"/>
        <v>103106</v>
      </c>
      <c r="K31" s="356">
        <f t="shared" si="1"/>
        <v>0</v>
      </c>
      <c r="L31" s="356">
        <f t="shared" si="1"/>
        <v>0</v>
      </c>
      <c r="M31" s="356">
        <f t="shared" si="1"/>
        <v>0</v>
      </c>
      <c r="N31" s="356">
        <f t="shared" si="1"/>
        <v>-1400</v>
      </c>
      <c r="O31" s="356">
        <f t="shared" si="1"/>
        <v>0</v>
      </c>
      <c r="P31" s="356">
        <f t="shared" si="1"/>
        <v>98575</v>
      </c>
      <c r="Q31" s="357"/>
    </row>
    <row r="32" spans="1:17" ht="13.5" customHeight="1">
      <c r="A32" s="25"/>
      <c r="B32" s="25"/>
      <c r="C32" s="349" t="s">
        <v>387</v>
      </c>
      <c r="D32" s="27"/>
      <c r="E32" s="601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36">
        <f aca="true" t="shared" si="2" ref="P32:P205">SUM(F32:O32)</f>
        <v>0</v>
      </c>
      <c r="Q32" s="155"/>
    </row>
    <row r="33" spans="1:17" ht="13.5" customHeight="1">
      <c r="A33" s="25"/>
      <c r="B33" s="25"/>
      <c r="C33" s="349" t="s">
        <v>388</v>
      </c>
      <c r="D33" s="27"/>
      <c r="E33" s="601"/>
      <c r="F33" s="28"/>
      <c r="G33" s="28"/>
      <c r="H33" s="28"/>
      <c r="I33" s="28"/>
      <c r="J33" s="28"/>
      <c r="K33" s="28"/>
      <c r="L33" s="28"/>
      <c r="M33" s="352">
        <v>1400</v>
      </c>
      <c r="N33" s="28"/>
      <c r="O33" s="28"/>
      <c r="P33" s="36">
        <f t="shared" si="2"/>
        <v>1400</v>
      </c>
      <c r="Q33" s="155"/>
    </row>
    <row r="34" spans="1:17" ht="13.5" customHeight="1">
      <c r="A34" s="353"/>
      <c r="B34" s="353"/>
      <c r="C34" s="362" t="s">
        <v>805</v>
      </c>
      <c r="D34" s="354"/>
      <c r="E34" s="600"/>
      <c r="F34" s="356">
        <f>SUM(F31:F33)</f>
        <v>560</v>
      </c>
      <c r="G34" s="356">
        <f aca="true" t="shared" si="3" ref="G34:P34">SUM(G31:G33)</f>
        <v>1636</v>
      </c>
      <c r="H34" s="356">
        <f t="shared" si="3"/>
        <v>-4727</v>
      </c>
      <c r="I34" s="356">
        <f t="shared" si="3"/>
        <v>-600</v>
      </c>
      <c r="J34" s="356">
        <f t="shared" si="3"/>
        <v>103106</v>
      </c>
      <c r="K34" s="356">
        <f t="shared" si="3"/>
        <v>0</v>
      </c>
      <c r="L34" s="356">
        <f t="shared" si="3"/>
        <v>0</v>
      </c>
      <c r="M34" s="356">
        <f t="shared" si="3"/>
        <v>1400</v>
      </c>
      <c r="N34" s="356">
        <f t="shared" si="3"/>
        <v>-1400</v>
      </c>
      <c r="O34" s="356">
        <f t="shared" si="3"/>
        <v>0</v>
      </c>
      <c r="P34" s="356">
        <f t="shared" si="3"/>
        <v>99975</v>
      </c>
      <c r="Q34" s="357"/>
    </row>
    <row r="35" spans="1:17" ht="13.5" customHeight="1">
      <c r="A35" s="37">
        <v>1</v>
      </c>
      <c r="B35" s="37">
        <v>13</v>
      </c>
      <c r="C35" s="80" t="s">
        <v>787</v>
      </c>
      <c r="D35" s="47"/>
      <c r="E35" s="602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36"/>
      <c r="Q35" s="155"/>
    </row>
    <row r="36" spans="1:17" ht="13.5" customHeight="1">
      <c r="A36" s="37"/>
      <c r="B36" s="37"/>
      <c r="C36" s="672" t="s">
        <v>38</v>
      </c>
      <c r="D36" s="47"/>
      <c r="E36" s="602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36"/>
      <c r="Q36" s="155"/>
    </row>
    <row r="37" spans="1:17" ht="13.5" customHeight="1">
      <c r="A37" s="37"/>
      <c r="B37" s="37"/>
      <c r="C37" s="860" t="s">
        <v>440</v>
      </c>
      <c r="D37" s="861"/>
      <c r="E37" s="602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36"/>
      <c r="Q37" s="155"/>
    </row>
    <row r="38" spans="1:17" ht="13.5" customHeight="1">
      <c r="A38" s="37"/>
      <c r="B38" s="37"/>
      <c r="C38" s="860" t="s">
        <v>939</v>
      </c>
      <c r="D38" s="879"/>
      <c r="E38" s="596">
        <v>2</v>
      </c>
      <c r="F38" s="28"/>
      <c r="G38" s="28"/>
      <c r="H38" s="28"/>
      <c r="I38" s="352">
        <v>500</v>
      </c>
      <c r="J38" s="28"/>
      <c r="K38" s="28"/>
      <c r="L38" s="28"/>
      <c r="M38" s="28"/>
      <c r="N38" s="28"/>
      <c r="O38" s="28"/>
      <c r="P38" s="36">
        <f>SUM(H38:O38)</f>
        <v>500</v>
      </c>
      <c r="Q38" s="155" t="s">
        <v>72</v>
      </c>
    </row>
    <row r="39" spans="1:17" ht="13.5" customHeight="1">
      <c r="A39" s="37"/>
      <c r="B39" s="37"/>
      <c r="C39" s="880" t="s">
        <v>699</v>
      </c>
      <c r="D39" s="801"/>
      <c r="E39" s="596">
        <v>2</v>
      </c>
      <c r="F39" s="28"/>
      <c r="G39" s="28"/>
      <c r="H39" s="28"/>
      <c r="I39" s="352"/>
      <c r="J39" s="352">
        <v>1680</v>
      </c>
      <c r="K39" s="28"/>
      <c r="L39" s="28"/>
      <c r="M39" s="28"/>
      <c r="N39" s="28"/>
      <c r="O39" s="28"/>
      <c r="P39" s="36">
        <f>SUM(H39:O39)</f>
        <v>1680</v>
      </c>
      <c r="Q39" s="155" t="s">
        <v>395</v>
      </c>
    </row>
    <row r="40" spans="1:17" ht="13.5" customHeight="1">
      <c r="A40" s="37"/>
      <c r="B40" s="37"/>
      <c r="C40" s="40" t="s">
        <v>700</v>
      </c>
      <c r="D40" s="706"/>
      <c r="E40" s="596">
        <v>2</v>
      </c>
      <c r="F40" s="28"/>
      <c r="G40" s="28"/>
      <c r="H40" s="28"/>
      <c r="I40" s="352"/>
      <c r="J40" s="352">
        <v>-1430</v>
      </c>
      <c r="K40" s="28"/>
      <c r="L40" s="28"/>
      <c r="M40" s="28"/>
      <c r="N40" s="28"/>
      <c r="O40" s="28"/>
      <c r="P40" s="36">
        <f>SUM(H40:O40)</f>
        <v>-1430</v>
      </c>
      <c r="Q40" s="155" t="s">
        <v>395</v>
      </c>
    </row>
    <row r="41" spans="1:17" ht="24.75" customHeight="1">
      <c r="A41" s="37"/>
      <c r="B41" s="37"/>
      <c r="C41" s="818" t="s">
        <v>551</v>
      </c>
      <c r="D41" s="868"/>
      <c r="E41" s="596">
        <v>2</v>
      </c>
      <c r="F41" s="28"/>
      <c r="G41" s="352">
        <v>66</v>
      </c>
      <c r="H41" s="352">
        <v>-1186</v>
      </c>
      <c r="I41" s="352">
        <v>1120</v>
      </c>
      <c r="J41" s="28"/>
      <c r="K41" s="28"/>
      <c r="L41" s="28"/>
      <c r="M41" s="28"/>
      <c r="N41" s="28"/>
      <c r="O41" s="28"/>
      <c r="P41" s="36">
        <f>SUM(F41:O41)</f>
        <v>0</v>
      </c>
      <c r="Q41" s="155" t="s">
        <v>72</v>
      </c>
    </row>
    <row r="42" spans="1:17" ht="24.75" customHeight="1">
      <c r="A42" s="37"/>
      <c r="B42" s="37"/>
      <c r="C42" s="818" t="s">
        <v>553</v>
      </c>
      <c r="D42" s="868"/>
      <c r="E42" s="596">
        <v>2</v>
      </c>
      <c r="F42" s="28"/>
      <c r="G42" s="352">
        <v>74</v>
      </c>
      <c r="H42" s="352"/>
      <c r="I42" s="352"/>
      <c r="J42" s="28"/>
      <c r="K42" s="28"/>
      <c r="L42" s="28"/>
      <c r="M42" s="28"/>
      <c r="N42" s="28"/>
      <c r="O42" s="28"/>
      <c r="P42" s="36">
        <f>SUM(F42:O42)</f>
        <v>74</v>
      </c>
      <c r="Q42" s="155" t="s">
        <v>395</v>
      </c>
    </row>
    <row r="43" spans="1:17" ht="15" customHeight="1">
      <c r="A43" s="37"/>
      <c r="B43" s="37"/>
      <c r="C43" s="869" t="s">
        <v>815</v>
      </c>
      <c r="D43" s="878"/>
      <c r="E43" s="596">
        <v>2</v>
      </c>
      <c r="F43" s="28"/>
      <c r="G43" s="352"/>
      <c r="H43" s="352"/>
      <c r="I43" s="352">
        <v>825</v>
      </c>
      <c r="J43" s="28"/>
      <c r="K43" s="28"/>
      <c r="L43" s="28"/>
      <c r="M43" s="28"/>
      <c r="N43" s="28"/>
      <c r="O43" s="28"/>
      <c r="P43" s="36">
        <f>SUM(F43:O43)</f>
        <v>825</v>
      </c>
      <c r="Q43" s="155" t="s">
        <v>72</v>
      </c>
    </row>
    <row r="44" spans="1:17" ht="13.5" customHeight="1">
      <c r="A44" s="37"/>
      <c r="B44" s="37"/>
      <c r="C44" s="914" t="s">
        <v>39</v>
      </c>
      <c r="D44" s="915"/>
      <c r="E44" s="596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36"/>
      <c r="Q44" s="155"/>
    </row>
    <row r="45" spans="1:17" ht="24.75" customHeight="1">
      <c r="A45" s="37"/>
      <c r="B45" s="37"/>
      <c r="C45" s="818" t="s">
        <v>701</v>
      </c>
      <c r="D45" s="883"/>
      <c r="E45" s="596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36"/>
      <c r="Q45" s="155"/>
    </row>
    <row r="46" spans="1:17" ht="13.5" customHeight="1">
      <c r="A46" s="37"/>
      <c r="B46" s="37"/>
      <c r="C46" s="40" t="s">
        <v>702</v>
      </c>
      <c r="D46" s="38"/>
      <c r="E46" s="596">
        <v>2</v>
      </c>
      <c r="F46" s="28"/>
      <c r="G46" s="352">
        <v>88</v>
      </c>
      <c r="H46" s="352">
        <v>140</v>
      </c>
      <c r="I46" s="352">
        <v>-478</v>
      </c>
      <c r="J46" s="28"/>
      <c r="K46" s="28"/>
      <c r="L46" s="28"/>
      <c r="M46" s="28"/>
      <c r="N46" s="28"/>
      <c r="O46" s="28"/>
      <c r="P46" s="36">
        <f t="shared" si="2"/>
        <v>-250</v>
      </c>
      <c r="Q46" s="155" t="s">
        <v>395</v>
      </c>
    </row>
    <row r="47" spans="1:17" ht="13.5" customHeight="1">
      <c r="A47" s="37"/>
      <c r="B47" s="37"/>
      <c r="C47" s="860" t="s">
        <v>703</v>
      </c>
      <c r="D47" s="924"/>
      <c r="E47" s="596">
        <v>2</v>
      </c>
      <c r="F47" s="28"/>
      <c r="G47" s="352">
        <v>34</v>
      </c>
      <c r="H47" s="352">
        <v>-537</v>
      </c>
      <c r="I47" s="28"/>
      <c r="J47" s="28"/>
      <c r="K47" s="28"/>
      <c r="L47" s="28"/>
      <c r="M47" s="28"/>
      <c r="N47" s="28"/>
      <c r="O47" s="28"/>
      <c r="P47" s="36">
        <f t="shared" si="2"/>
        <v>-503</v>
      </c>
      <c r="Q47" s="155" t="s">
        <v>395</v>
      </c>
    </row>
    <row r="48" spans="1:17" ht="13.5" customHeight="1">
      <c r="A48" s="37"/>
      <c r="B48" s="37"/>
      <c r="C48" s="40" t="s">
        <v>1186</v>
      </c>
      <c r="D48" s="38"/>
      <c r="E48" s="596">
        <v>2</v>
      </c>
      <c r="F48" s="28"/>
      <c r="G48" s="352">
        <v>6</v>
      </c>
      <c r="H48" s="352">
        <v>-3</v>
      </c>
      <c r="I48" s="28"/>
      <c r="J48" s="28"/>
      <c r="K48" s="28"/>
      <c r="L48" s="28"/>
      <c r="M48" s="28"/>
      <c r="N48" s="28"/>
      <c r="O48" s="28"/>
      <c r="P48" s="36">
        <f t="shared" si="2"/>
        <v>3</v>
      </c>
      <c r="Q48" s="155" t="s">
        <v>72</v>
      </c>
    </row>
    <row r="49" spans="1:17" ht="13.5" customHeight="1">
      <c r="A49" s="37"/>
      <c r="B49" s="37"/>
      <c r="C49" s="866" t="s">
        <v>437</v>
      </c>
      <c r="D49" s="861"/>
      <c r="E49" s="596"/>
      <c r="F49" s="28"/>
      <c r="G49" s="28"/>
      <c r="H49" s="352"/>
      <c r="I49" s="28"/>
      <c r="J49" s="28"/>
      <c r="K49" s="28"/>
      <c r="L49" s="28"/>
      <c r="M49" s="28"/>
      <c r="N49" s="28"/>
      <c r="O49" s="28"/>
      <c r="P49" s="36"/>
      <c r="Q49" s="155"/>
    </row>
    <row r="50" spans="1:17" ht="13.5" customHeight="1">
      <c r="A50" s="37"/>
      <c r="B50" s="37"/>
      <c r="C50" s="40" t="s">
        <v>706</v>
      </c>
      <c r="D50" s="544"/>
      <c r="E50" s="596">
        <v>2</v>
      </c>
      <c r="F50" s="28"/>
      <c r="G50" s="28"/>
      <c r="H50" s="352"/>
      <c r="I50" s="352">
        <v>-100</v>
      </c>
      <c r="J50" s="28"/>
      <c r="K50" s="28"/>
      <c r="L50" s="28"/>
      <c r="M50" s="28"/>
      <c r="N50" s="28"/>
      <c r="O50" s="28"/>
      <c r="P50" s="36">
        <f t="shared" si="2"/>
        <v>-100</v>
      </c>
      <c r="Q50" s="155" t="s">
        <v>707</v>
      </c>
    </row>
    <row r="51" spans="1:17" ht="13.5" customHeight="1">
      <c r="A51" s="37"/>
      <c r="B51" s="37"/>
      <c r="C51" s="866" t="s">
        <v>441</v>
      </c>
      <c r="D51" s="861"/>
      <c r="E51" s="593"/>
      <c r="F51" s="28"/>
      <c r="G51" s="28"/>
      <c r="H51" s="352"/>
      <c r="I51" s="352"/>
      <c r="J51" s="352"/>
      <c r="K51" s="28"/>
      <c r="L51" s="28"/>
      <c r="M51" s="28"/>
      <c r="N51" s="28"/>
      <c r="O51" s="28"/>
      <c r="P51" s="36">
        <f t="shared" si="2"/>
        <v>0</v>
      </c>
      <c r="Q51" s="155"/>
    </row>
    <row r="52" spans="1:17" ht="24.75" customHeight="1">
      <c r="A52" s="37"/>
      <c r="B52" s="37"/>
      <c r="C52" s="893" t="s">
        <v>704</v>
      </c>
      <c r="D52" s="919"/>
      <c r="E52" s="605">
        <v>2</v>
      </c>
      <c r="F52" s="28"/>
      <c r="G52" s="28"/>
      <c r="H52" s="352"/>
      <c r="I52" s="352">
        <v>-2000</v>
      </c>
      <c r="J52" s="352"/>
      <c r="K52" s="28"/>
      <c r="L52" s="28"/>
      <c r="M52" s="28"/>
      <c r="N52" s="28"/>
      <c r="O52" s="28"/>
      <c r="P52" s="36">
        <f t="shared" si="2"/>
        <v>-2000</v>
      </c>
      <c r="Q52" s="155" t="s">
        <v>72</v>
      </c>
    </row>
    <row r="53" spans="1:17" ht="24.75" customHeight="1">
      <c r="A53" s="37"/>
      <c r="B53" s="37"/>
      <c r="C53" s="893" t="s">
        <v>705</v>
      </c>
      <c r="D53" s="894"/>
      <c r="E53" s="606">
        <v>2</v>
      </c>
      <c r="F53" s="352">
        <v>525</v>
      </c>
      <c r="G53" s="352">
        <v>128</v>
      </c>
      <c r="H53" s="352">
        <v>814</v>
      </c>
      <c r="I53" s="352"/>
      <c r="J53" s="28"/>
      <c r="K53" s="359"/>
      <c r="L53" s="359"/>
      <c r="M53" s="359"/>
      <c r="N53" s="28"/>
      <c r="O53" s="28"/>
      <c r="P53" s="36">
        <f t="shared" si="2"/>
        <v>1467</v>
      </c>
      <c r="Q53" s="155" t="s">
        <v>72</v>
      </c>
    </row>
    <row r="54" spans="1:17" ht="13.5" customHeight="1">
      <c r="A54" s="37"/>
      <c r="B54" s="37"/>
      <c r="C54" s="890" t="s">
        <v>37</v>
      </c>
      <c r="D54" s="891"/>
      <c r="E54" s="597"/>
      <c r="F54" s="28"/>
      <c r="G54" s="28"/>
      <c r="H54" s="352"/>
      <c r="I54" s="352"/>
      <c r="J54" s="352"/>
      <c r="K54" s="28"/>
      <c r="L54" s="28"/>
      <c r="M54" s="28"/>
      <c r="N54" s="28"/>
      <c r="O54" s="28"/>
      <c r="P54" s="36"/>
      <c r="Q54" s="155"/>
    </row>
    <row r="55" spans="1:17" ht="24.75" customHeight="1">
      <c r="A55" s="37"/>
      <c r="B55" s="37"/>
      <c r="C55" s="916" t="s">
        <v>958</v>
      </c>
      <c r="D55" s="913"/>
      <c r="E55" s="593"/>
      <c r="F55" s="28"/>
      <c r="G55" s="28"/>
      <c r="H55" s="352"/>
      <c r="I55" s="352"/>
      <c r="J55" s="352"/>
      <c r="K55" s="28"/>
      <c r="L55" s="28"/>
      <c r="M55" s="28"/>
      <c r="N55" s="28"/>
      <c r="O55" s="28"/>
      <c r="P55" s="36"/>
      <c r="Q55" s="155"/>
    </row>
    <row r="56" spans="1:17" ht="13.5" customHeight="1">
      <c r="A56" s="37"/>
      <c r="B56" s="37"/>
      <c r="C56" s="869" t="s">
        <v>959</v>
      </c>
      <c r="D56" s="871"/>
      <c r="E56" s="596">
        <v>2</v>
      </c>
      <c r="F56" s="28"/>
      <c r="G56" s="28"/>
      <c r="H56" s="352">
        <v>26</v>
      </c>
      <c r="I56" s="352"/>
      <c r="J56" s="352"/>
      <c r="K56" s="28"/>
      <c r="L56" s="28"/>
      <c r="M56" s="28"/>
      <c r="N56" s="28"/>
      <c r="O56" s="28"/>
      <c r="P56" s="36">
        <f t="shared" si="2"/>
        <v>26</v>
      </c>
      <c r="Q56" s="155" t="s">
        <v>72</v>
      </c>
    </row>
    <row r="57" spans="1:17" ht="13.5" customHeight="1">
      <c r="A57" s="37"/>
      <c r="B57" s="37"/>
      <c r="C57" s="866" t="s">
        <v>719</v>
      </c>
      <c r="D57" s="865"/>
      <c r="E57" s="605"/>
      <c r="F57" s="28"/>
      <c r="G57" s="28"/>
      <c r="H57" s="352"/>
      <c r="I57" s="352"/>
      <c r="J57" s="352"/>
      <c r="K57" s="28"/>
      <c r="L57" s="28"/>
      <c r="M57" s="28"/>
      <c r="N57" s="28"/>
      <c r="O57" s="28"/>
      <c r="P57" s="36"/>
      <c r="Q57" s="155"/>
    </row>
    <row r="58" spans="1:17" ht="13.5" customHeight="1">
      <c r="A58" s="37"/>
      <c r="B58" s="37"/>
      <c r="C58" s="40" t="s">
        <v>720</v>
      </c>
      <c r="D58" s="38"/>
      <c r="E58" s="596">
        <v>2</v>
      </c>
      <c r="F58" s="28"/>
      <c r="G58" s="28"/>
      <c r="H58" s="352">
        <v>-40</v>
      </c>
      <c r="I58" s="352">
        <v>40</v>
      </c>
      <c r="J58" s="352"/>
      <c r="K58" s="28"/>
      <c r="L58" s="28"/>
      <c r="M58" s="28"/>
      <c r="N58" s="28"/>
      <c r="O58" s="28"/>
      <c r="P58" s="36">
        <f t="shared" si="2"/>
        <v>0</v>
      </c>
      <c r="Q58" s="155" t="s">
        <v>72</v>
      </c>
    </row>
    <row r="59" spans="1:17" ht="13.5" customHeight="1">
      <c r="A59" s="37"/>
      <c r="B59" s="37"/>
      <c r="C59" s="36" t="s">
        <v>721</v>
      </c>
      <c r="D59" s="38"/>
      <c r="E59" s="596"/>
      <c r="F59" s="28"/>
      <c r="G59" s="28"/>
      <c r="H59" s="352"/>
      <c r="I59" s="352"/>
      <c r="J59" s="352"/>
      <c r="K59" s="28"/>
      <c r="L59" s="28"/>
      <c r="M59" s="28"/>
      <c r="N59" s="28"/>
      <c r="O59" s="28"/>
      <c r="P59" s="36"/>
      <c r="Q59" s="155"/>
    </row>
    <row r="60" spans="1:17" ht="13.5" customHeight="1">
      <c r="A60" s="37"/>
      <c r="B60" s="37"/>
      <c r="C60" s="36" t="s">
        <v>722</v>
      </c>
      <c r="D60" s="38"/>
      <c r="E60" s="596">
        <v>1</v>
      </c>
      <c r="F60" s="28"/>
      <c r="G60" s="28"/>
      <c r="H60" s="352">
        <v>112</v>
      </c>
      <c r="I60" s="352"/>
      <c r="J60" s="352"/>
      <c r="K60" s="28"/>
      <c r="L60" s="28"/>
      <c r="M60" s="28"/>
      <c r="N60" s="28"/>
      <c r="O60" s="28"/>
      <c r="P60" s="36">
        <f t="shared" si="2"/>
        <v>112</v>
      </c>
      <c r="Q60" s="155" t="s">
        <v>72</v>
      </c>
    </row>
    <row r="61" spans="1:17" ht="24.75" customHeight="1">
      <c r="A61" s="37"/>
      <c r="B61" s="37"/>
      <c r="C61" s="869" t="s">
        <v>554</v>
      </c>
      <c r="D61" s="878"/>
      <c r="E61" s="596"/>
      <c r="F61" s="28"/>
      <c r="G61" s="28"/>
      <c r="H61" s="352"/>
      <c r="I61" s="352"/>
      <c r="J61" s="352"/>
      <c r="K61" s="28"/>
      <c r="L61" s="28"/>
      <c r="M61" s="28"/>
      <c r="N61" s="28"/>
      <c r="O61" s="28"/>
      <c r="P61" s="36"/>
      <c r="Q61" s="155"/>
    </row>
    <row r="62" spans="1:17" ht="13.5" customHeight="1">
      <c r="A62" s="37"/>
      <c r="B62" s="37"/>
      <c r="C62" s="866" t="s">
        <v>555</v>
      </c>
      <c r="D62" s="892"/>
      <c r="E62" s="596">
        <v>2</v>
      </c>
      <c r="F62" s="28"/>
      <c r="G62" s="28"/>
      <c r="H62" s="352">
        <v>-200</v>
      </c>
      <c r="I62" s="352">
        <v>200</v>
      </c>
      <c r="J62" s="352"/>
      <c r="K62" s="28"/>
      <c r="L62" s="28"/>
      <c r="M62" s="28"/>
      <c r="N62" s="28"/>
      <c r="O62" s="28"/>
      <c r="P62" s="36">
        <f t="shared" si="2"/>
        <v>0</v>
      </c>
      <c r="Q62" s="155" t="s">
        <v>72</v>
      </c>
    </row>
    <row r="63" spans="1:17" ht="13.5" customHeight="1">
      <c r="A63" s="37"/>
      <c r="B63" s="37"/>
      <c r="C63" s="40" t="s">
        <v>723</v>
      </c>
      <c r="D63" s="38"/>
      <c r="E63" s="596"/>
      <c r="F63" s="28"/>
      <c r="G63" s="28"/>
      <c r="H63" s="352"/>
      <c r="I63" s="352"/>
      <c r="J63" s="352"/>
      <c r="K63" s="28"/>
      <c r="L63" s="28"/>
      <c r="M63" s="28"/>
      <c r="N63" s="28"/>
      <c r="O63" s="28"/>
      <c r="P63" s="36"/>
      <c r="Q63" s="155"/>
    </row>
    <row r="64" spans="1:17" ht="13.5" customHeight="1">
      <c r="A64" s="37"/>
      <c r="B64" s="37"/>
      <c r="C64" s="40" t="s">
        <v>724</v>
      </c>
      <c r="D64" s="38"/>
      <c r="E64" s="596">
        <v>1</v>
      </c>
      <c r="F64" s="28"/>
      <c r="G64" s="28"/>
      <c r="H64" s="352">
        <v>-1075</v>
      </c>
      <c r="I64" s="352"/>
      <c r="J64" s="352"/>
      <c r="K64" s="28"/>
      <c r="L64" s="28"/>
      <c r="M64" s="28"/>
      <c r="N64" s="28"/>
      <c r="O64" s="28"/>
      <c r="P64" s="36">
        <f t="shared" si="2"/>
        <v>-1075</v>
      </c>
      <c r="Q64" s="155" t="s">
        <v>72</v>
      </c>
    </row>
    <row r="65" spans="1:17" ht="13.5" customHeight="1">
      <c r="A65" s="37"/>
      <c r="B65" s="37"/>
      <c r="C65" s="718" t="s">
        <v>40</v>
      </c>
      <c r="D65" s="38"/>
      <c r="E65" s="596"/>
      <c r="F65" s="28"/>
      <c r="G65" s="28"/>
      <c r="H65" s="352"/>
      <c r="I65" s="352"/>
      <c r="J65" s="352"/>
      <c r="K65" s="28"/>
      <c r="L65" s="28"/>
      <c r="M65" s="28"/>
      <c r="N65" s="28"/>
      <c r="O65" s="28"/>
      <c r="P65" s="36"/>
      <c r="Q65" s="155"/>
    </row>
    <row r="66" spans="1:17" ht="13.5" customHeight="1">
      <c r="A66" s="37"/>
      <c r="B66" s="37"/>
      <c r="C66" s="860" t="s">
        <v>443</v>
      </c>
      <c r="D66" s="861"/>
      <c r="E66" s="593"/>
      <c r="F66" s="28"/>
      <c r="G66" s="28"/>
      <c r="H66" s="352"/>
      <c r="I66" s="352"/>
      <c r="J66" s="352"/>
      <c r="K66" s="28"/>
      <c r="L66" s="28"/>
      <c r="M66" s="28"/>
      <c r="N66" s="28"/>
      <c r="O66" s="28"/>
      <c r="P66" s="36"/>
      <c r="Q66" s="155"/>
    </row>
    <row r="67" spans="1:17" ht="13.5" customHeight="1">
      <c r="A67" s="37"/>
      <c r="B67" s="37"/>
      <c r="C67" s="40" t="s">
        <v>725</v>
      </c>
      <c r="D67" s="236"/>
      <c r="E67" s="593">
        <v>2</v>
      </c>
      <c r="F67" s="28"/>
      <c r="G67" s="28"/>
      <c r="H67" s="352"/>
      <c r="I67" s="352">
        <v>6239</v>
      </c>
      <c r="J67" s="352"/>
      <c r="K67" s="28"/>
      <c r="L67" s="28"/>
      <c r="M67" s="28"/>
      <c r="N67" s="28"/>
      <c r="O67" s="28"/>
      <c r="P67" s="36">
        <f t="shared" si="2"/>
        <v>6239</v>
      </c>
      <c r="Q67" s="155" t="s">
        <v>72</v>
      </c>
    </row>
    <row r="68" spans="1:17" ht="13.5" customHeight="1">
      <c r="A68" s="37"/>
      <c r="B68" s="37"/>
      <c r="C68" s="40" t="s">
        <v>904</v>
      </c>
      <c r="D68" s="236"/>
      <c r="E68" s="593">
        <v>2</v>
      </c>
      <c r="F68" s="28"/>
      <c r="G68" s="28"/>
      <c r="H68" s="352"/>
      <c r="I68" s="352">
        <v>20000</v>
      </c>
      <c r="J68" s="352"/>
      <c r="K68" s="28"/>
      <c r="L68" s="28"/>
      <c r="M68" s="28"/>
      <c r="N68" s="28"/>
      <c r="O68" s="28"/>
      <c r="P68" s="36">
        <f t="shared" si="2"/>
        <v>20000</v>
      </c>
      <c r="Q68" s="155" t="s">
        <v>72</v>
      </c>
    </row>
    <row r="69" spans="1:17" ht="13.5" customHeight="1">
      <c r="A69" s="37"/>
      <c r="B69" s="37"/>
      <c r="C69" s="40" t="s">
        <v>444</v>
      </c>
      <c r="D69" s="38"/>
      <c r="E69" s="596">
        <v>2</v>
      </c>
      <c r="F69" s="28"/>
      <c r="G69" s="28"/>
      <c r="H69" s="352">
        <v>-622</v>
      </c>
      <c r="I69" s="352">
        <v>46502</v>
      </c>
      <c r="J69" s="352"/>
      <c r="K69" s="28"/>
      <c r="L69" s="28"/>
      <c r="M69" s="28"/>
      <c r="N69" s="352">
        <v>-5880</v>
      </c>
      <c r="O69" s="28"/>
      <c r="P69" s="36">
        <f t="shared" si="2"/>
        <v>40000</v>
      </c>
      <c r="Q69" s="155" t="s">
        <v>72</v>
      </c>
    </row>
    <row r="70" spans="1:17" ht="13.5" customHeight="1">
      <c r="A70" s="37"/>
      <c r="B70" s="37"/>
      <c r="C70" s="40" t="s">
        <v>41</v>
      </c>
      <c r="D70" s="38"/>
      <c r="E70" s="596">
        <v>2</v>
      </c>
      <c r="F70" s="28"/>
      <c r="G70" s="28"/>
      <c r="H70" s="352"/>
      <c r="I70" s="352">
        <v>225</v>
      </c>
      <c r="J70" s="352"/>
      <c r="K70" s="28"/>
      <c r="L70" s="28"/>
      <c r="M70" s="28"/>
      <c r="N70" s="352"/>
      <c r="O70" s="28"/>
      <c r="P70" s="36">
        <f t="shared" si="2"/>
        <v>225</v>
      </c>
      <c r="Q70" s="155" t="s">
        <v>72</v>
      </c>
    </row>
    <row r="71" spans="1:17" ht="13.5" customHeight="1">
      <c r="A71" s="37"/>
      <c r="B71" s="37"/>
      <c r="C71" s="880" t="s">
        <v>726</v>
      </c>
      <c r="D71" s="861"/>
      <c r="E71" s="596">
        <v>1</v>
      </c>
      <c r="F71" s="28"/>
      <c r="G71" s="28"/>
      <c r="H71" s="352"/>
      <c r="I71" s="352">
        <v>-1739</v>
      </c>
      <c r="J71" s="352"/>
      <c r="K71" s="28"/>
      <c r="L71" s="28"/>
      <c r="M71" s="28"/>
      <c r="N71" s="352"/>
      <c r="O71" s="28"/>
      <c r="P71" s="36">
        <f t="shared" si="2"/>
        <v>-1739</v>
      </c>
      <c r="Q71" s="155" t="s">
        <v>707</v>
      </c>
    </row>
    <row r="72" spans="1:17" ht="13.5" customHeight="1">
      <c r="A72" s="37"/>
      <c r="B72" s="37"/>
      <c r="C72" s="889" t="s">
        <v>716</v>
      </c>
      <c r="D72" s="895"/>
      <c r="E72" s="596">
        <v>1</v>
      </c>
      <c r="F72" s="28"/>
      <c r="G72" s="28"/>
      <c r="H72" s="352"/>
      <c r="I72" s="352">
        <v>1000</v>
      </c>
      <c r="J72" s="352"/>
      <c r="K72" s="28"/>
      <c r="L72" s="28"/>
      <c r="M72" s="28"/>
      <c r="N72" s="352"/>
      <c r="O72" s="28"/>
      <c r="P72" s="36">
        <f t="shared" si="2"/>
        <v>1000</v>
      </c>
      <c r="Q72" s="155" t="s">
        <v>72</v>
      </c>
    </row>
    <row r="73" spans="1:17" ht="13.5" customHeight="1">
      <c r="A73" s="37"/>
      <c r="B73" s="37"/>
      <c r="C73" s="860" t="s">
        <v>727</v>
      </c>
      <c r="D73" s="861"/>
      <c r="E73" s="596"/>
      <c r="F73" s="28"/>
      <c r="G73" s="28"/>
      <c r="H73" s="352"/>
      <c r="I73" s="352"/>
      <c r="J73" s="352"/>
      <c r="K73" s="28"/>
      <c r="L73" s="28"/>
      <c r="M73" s="28"/>
      <c r="N73" s="352"/>
      <c r="O73" s="28"/>
      <c r="P73" s="36"/>
      <c r="Q73" s="155"/>
    </row>
    <row r="74" spans="1:17" ht="13.5" customHeight="1">
      <c r="A74" s="37"/>
      <c r="B74" s="37"/>
      <c r="C74" s="880" t="s">
        <v>728</v>
      </c>
      <c r="D74" s="861"/>
      <c r="E74" s="593">
        <v>1</v>
      </c>
      <c r="F74" s="28"/>
      <c r="G74" s="28"/>
      <c r="H74" s="352">
        <v>-36</v>
      </c>
      <c r="I74" s="352"/>
      <c r="J74" s="352"/>
      <c r="K74" s="28"/>
      <c r="L74" s="28"/>
      <c r="M74" s="28"/>
      <c r="N74" s="28"/>
      <c r="O74" s="28"/>
      <c r="P74" s="36">
        <f t="shared" si="2"/>
        <v>-36</v>
      </c>
      <c r="Q74" s="155" t="s">
        <v>395</v>
      </c>
    </row>
    <row r="75" spans="1:17" ht="13.5" customHeight="1">
      <c r="A75" s="37"/>
      <c r="B75" s="37"/>
      <c r="C75" s="49" t="s">
        <v>471</v>
      </c>
      <c r="D75" s="236"/>
      <c r="E75" s="593">
        <v>1</v>
      </c>
      <c r="F75" s="28"/>
      <c r="G75" s="28"/>
      <c r="H75" s="352">
        <v>-260</v>
      </c>
      <c r="I75" s="352"/>
      <c r="J75" s="352"/>
      <c r="K75" s="28"/>
      <c r="L75" s="28"/>
      <c r="M75" s="28"/>
      <c r="N75" s="28"/>
      <c r="O75" s="28"/>
      <c r="P75" s="36">
        <f t="shared" si="2"/>
        <v>-260</v>
      </c>
      <c r="Q75" s="155" t="s">
        <v>395</v>
      </c>
    </row>
    <row r="76" spans="1:17" ht="15" customHeight="1">
      <c r="A76" s="37"/>
      <c r="B76" s="37"/>
      <c r="C76" s="889" t="s">
        <v>729</v>
      </c>
      <c r="D76" s="861"/>
      <c r="E76" s="610">
        <v>1</v>
      </c>
      <c r="F76" s="28"/>
      <c r="G76" s="28"/>
      <c r="H76" s="352">
        <v>180</v>
      </c>
      <c r="I76" s="352">
        <v>-1830</v>
      </c>
      <c r="J76" s="352"/>
      <c r="K76" s="28"/>
      <c r="L76" s="28"/>
      <c r="M76" s="28"/>
      <c r="N76" s="28"/>
      <c r="O76" s="28"/>
      <c r="P76" s="36">
        <f t="shared" si="2"/>
        <v>-1650</v>
      </c>
      <c r="Q76" s="155" t="s">
        <v>395</v>
      </c>
    </row>
    <row r="77" spans="1:17" ht="15" customHeight="1">
      <c r="A77" s="37"/>
      <c r="B77" s="37"/>
      <c r="C77" s="880" t="s">
        <v>445</v>
      </c>
      <c r="D77" s="861"/>
      <c r="E77" s="610"/>
      <c r="F77" s="28"/>
      <c r="G77" s="28"/>
      <c r="H77" s="352"/>
      <c r="I77" s="352"/>
      <c r="J77" s="352"/>
      <c r="K77" s="28"/>
      <c r="L77" s="28"/>
      <c r="M77" s="28"/>
      <c r="N77" s="28"/>
      <c r="O77" s="28"/>
      <c r="P77" s="36"/>
      <c r="Q77" s="155"/>
    </row>
    <row r="78" spans="1:17" ht="15" customHeight="1">
      <c r="A78" s="37"/>
      <c r="B78" s="37"/>
      <c r="C78" s="40" t="s">
        <v>446</v>
      </c>
      <c r="D78" s="733"/>
      <c r="E78" s="610">
        <v>2</v>
      </c>
      <c r="F78" s="28"/>
      <c r="G78" s="28"/>
      <c r="H78" s="352">
        <v>46</v>
      </c>
      <c r="I78" s="352">
        <v>-46</v>
      </c>
      <c r="J78" s="352"/>
      <c r="K78" s="28"/>
      <c r="L78" s="28"/>
      <c r="M78" s="28"/>
      <c r="N78" s="28"/>
      <c r="O78" s="28"/>
      <c r="P78" s="36">
        <f t="shared" si="2"/>
        <v>0</v>
      </c>
      <c r="Q78" s="155" t="s">
        <v>72</v>
      </c>
    </row>
    <row r="79" spans="1:17" ht="15" customHeight="1">
      <c r="A79" s="37"/>
      <c r="B79" s="37"/>
      <c r="C79" s="49" t="s">
        <v>734</v>
      </c>
      <c r="D79" s="236"/>
      <c r="E79" s="610">
        <v>1</v>
      </c>
      <c r="F79" s="28"/>
      <c r="G79" s="28"/>
      <c r="H79" s="352">
        <v>2000</v>
      </c>
      <c r="I79" s="352"/>
      <c r="J79" s="352"/>
      <c r="K79" s="28"/>
      <c r="L79" s="28"/>
      <c r="M79" s="28"/>
      <c r="N79" s="28"/>
      <c r="O79" s="28"/>
      <c r="P79" s="36">
        <v>2000</v>
      </c>
      <c r="Q79" s="155" t="s">
        <v>395</v>
      </c>
    </row>
    <row r="80" spans="1:17" ht="15" customHeight="1">
      <c r="A80" s="37"/>
      <c r="B80" s="37"/>
      <c r="C80" s="880" t="s">
        <v>732</v>
      </c>
      <c r="D80" s="861"/>
      <c r="E80" s="610"/>
      <c r="F80" s="28"/>
      <c r="G80" s="28"/>
      <c r="H80" s="352"/>
      <c r="I80" s="352"/>
      <c r="J80" s="352"/>
      <c r="K80" s="28"/>
      <c r="L80" s="28"/>
      <c r="M80" s="28"/>
      <c r="N80" s="28"/>
      <c r="O80" s="28"/>
      <c r="P80" s="36"/>
      <c r="Q80" s="155"/>
    </row>
    <row r="81" spans="1:17" ht="15" customHeight="1">
      <c r="A81" s="37"/>
      <c r="B81" s="37"/>
      <c r="C81" s="49" t="s">
        <v>733</v>
      </c>
      <c r="D81" s="236"/>
      <c r="E81" s="610">
        <v>1</v>
      </c>
      <c r="F81" s="28"/>
      <c r="G81" s="28"/>
      <c r="H81" s="352">
        <v>-844</v>
      </c>
      <c r="I81" s="352">
        <v>770</v>
      </c>
      <c r="J81" s="352"/>
      <c r="K81" s="28"/>
      <c r="L81" s="28"/>
      <c r="M81" s="28"/>
      <c r="N81" s="28"/>
      <c r="O81" s="28"/>
      <c r="P81" s="36">
        <f t="shared" si="2"/>
        <v>-74</v>
      </c>
      <c r="Q81" s="155" t="s">
        <v>450</v>
      </c>
    </row>
    <row r="82" spans="1:17" ht="15" customHeight="1">
      <c r="A82" s="37"/>
      <c r="B82" s="37"/>
      <c r="C82" s="49" t="s">
        <v>1167</v>
      </c>
      <c r="D82" s="236"/>
      <c r="E82" s="610">
        <v>2</v>
      </c>
      <c r="F82" s="352">
        <v>32</v>
      </c>
      <c r="G82" s="28"/>
      <c r="H82" s="352"/>
      <c r="I82" s="352">
        <v>-32</v>
      </c>
      <c r="J82" s="352"/>
      <c r="K82" s="28"/>
      <c r="L82" s="28"/>
      <c r="M82" s="28"/>
      <c r="N82" s="28"/>
      <c r="O82" s="28"/>
      <c r="P82" s="36">
        <f t="shared" si="2"/>
        <v>0</v>
      </c>
      <c r="Q82" s="155" t="s">
        <v>450</v>
      </c>
    </row>
    <row r="83" spans="1:17" ht="15" customHeight="1">
      <c r="A83" s="37"/>
      <c r="B83" s="37"/>
      <c r="C83" s="867" t="s">
        <v>730</v>
      </c>
      <c r="D83" s="861"/>
      <c r="E83" s="610"/>
      <c r="F83" s="28"/>
      <c r="G83" s="28"/>
      <c r="H83" s="352"/>
      <c r="I83" s="352"/>
      <c r="J83" s="352"/>
      <c r="K83" s="28"/>
      <c r="L83" s="28"/>
      <c r="M83" s="28"/>
      <c r="N83" s="28"/>
      <c r="O83" s="28"/>
      <c r="P83" s="36"/>
      <c r="Q83" s="155"/>
    </row>
    <row r="84" spans="1:17" ht="13.5" customHeight="1">
      <c r="A84" s="37"/>
      <c r="B84" s="37"/>
      <c r="C84" s="49" t="s">
        <v>731</v>
      </c>
      <c r="D84" s="50"/>
      <c r="E84" s="611">
        <v>1</v>
      </c>
      <c r="F84" s="28"/>
      <c r="G84" s="28"/>
      <c r="H84" s="352"/>
      <c r="I84" s="352">
        <v>-39</v>
      </c>
      <c r="J84" s="352"/>
      <c r="K84" s="28"/>
      <c r="L84" s="28"/>
      <c r="M84" s="28"/>
      <c r="N84" s="28"/>
      <c r="O84" s="28"/>
      <c r="P84" s="36">
        <f t="shared" si="2"/>
        <v>-39</v>
      </c>
      <c r="Q84" s="155" t="s">
        <v>395</v>
      </c>
    </row>
    <row r="85" spans="1:17" ht="13.5" customHeight="1">
      <c r="A85" s="41"/>
      <c r="B85" s="41"/>
      <c r="C85" s="366" t="s">
        <v>806</v>
      </c>
      <c r="D85" s="365"/>
      <c r="E85" s="612"/>
      <c r="F85" s="356">
        <f>SUM(F38:F84)</f>
        <v>557</v>
      </c>
      <c r="G85" s="356">
        <f aca="true" t="shared" si="4" ref="G85:P85">SUM(G38:G84)</f>
        <v>396</v>
      </c>
      <c r="H85" s="356">
        <f t="shared" si="4"/>
        <v>-1485</v>
      </c>
      <c r="I85" s="356">
        <f t="shared" si="4"/>
        <v>71157</v>
      </c>
      <c r="J85" s="356">
        <f t="shared" si="4"/>
        <v>250</v>
      </c>
      <c r="K85" s="356">
        <f t="shared" si="4"/>
        <v>0</v>
      </c>
      <c r="L85" s="356">
        <f t="shared" si="4"/>
        <v>0</v>
      </c>
      <c r="M85" s="356">
        <f t="shared" si="4"/>
        <v>0</v>
      </c>
      <c r="N85" s="356">
        <f t="shared" si="4"/>
        <v>-5880</v>
      </c>
      <c r="O85" s="356">
        <f t="shared" si="4"/>
        <v>0</v>
      </c>
      <c r="P85" s="356">
        <f t="shared" si="4"/>
        <v>64995</v>
      </c>
      <c r="Q85" s="356"/>
    </row>
    <row r="86" spans="1:17" ht="13.5" customHeight="1">
      <c r="A86" s="25"/>
      <c r="B86" s="25"/>
      <c r="C86" s="40" t="s">
        <v>376</v>
      </c>
      <c r="D86" s="27"/>
      <c r="E86" s="601"/>
      <c r="F86" s="28"/>
      <c r="G86" s="28"/>
      <c r="H86" s="28"/>
      <c r="I86" s="28"/>
      <c r="J86" s="28"/>
      <c r="K86" s="352">
        <f>7!J41</f>
        <v>14651</v>
      </c>
      <c r="L86" s="352"/>
      <c r="M86" s="352">
        <f>7!K41</f>
        <v>-11450</v>
      </c>
      <c r="N86" s="25"/>
      <c r="O86" s="25"/>
      <c r="P86" s="36">
        <f t="shared" si="2"/>
        <v>3201</v>
      </c>
      <c r="Q86" s="155"/>
    </row>
    <row r="87" spans="1:17" ht="13.5" customHeight="1">
      <c r="A87" s="25"/>
      <c r="B87" s="25"/>
      <c r="C87" s="40" t="s">
        <v>387</v>
      </c>
      <c r="D87" s="27"/>
      <c r="E87" s="601"/>
      <c r="F87" s="28"/>
      <c r="G87" s="28"/>
      <c r="H87" s="28"/>
      <c r="I87" s="28"/>
      <c r="J87" s="28"/>
      <c r="K87" s="352"/>
      <c r="L87" s="352">
        <f>8!J35</f>
        <v>7182</v>
      </c>
      <c r="M87" s="352">
        <f>8!K35</f>
        <v>1665</v>
      </c>
      <c r="N87" s="25"/>
      <c r="O87" s="25"/>
      <c r="P87" s="36">
        <f t="shared" si="2"/>
        <v>8847</v>
      </c>
      <c r="Q87" s="155"/>
    </row>
    <row r="88" spans="1:17" ht="13.5" customHeight="1">
      <c r="A88" s="353"/>
      <c r="B88" s="353"/>
      <c r="C88" s="42" t="s">
        <v>795</v>
      </c>
      <c r="D88" s="354"/>
      <c r="E88" s="600"/>
      <c r="F88" s="356">
        <f>SUM(F85:F87)</f>
        <v>557</v>
      </c>
      <c r="G88" s="356">
        <f aca="true" t="shared" si="5" ref="G88:P88">SUM(G85:G87)</f>
        <v>396</v>
      </c>
      <c r="H88" s="356">
        <f t="shared" si="5"/>
        <v>-1485</v>
      </c>
      <c r="I88" s="356">
        <f t="shared" si="5"/>
        <v>71157</v>
      </c>
      <c r="J88" s="356">
        <f t="shared" si="5"/>
        <v>250</v>
      </c>
      <c r="K88" s="356">
        <f t="shared" si="5"/>
        <v>14651</v>
      </c>
      <c r="L88" s="356">
        <f t="shared" si="5"/>
        <v>7182</v>
      </c>
      <c r="M88" s="356">
        <f t="shared" si="5"/>
        <v>-9785</v>
      </c>
      <c r="N88" s="356">
        <f t="shared" si="5"/>
        <v>-5880</v>
      </c>
      <c r="O88" s="356">
        <f t="shared" si="5"/>
        <v>0</v>
      </c>
      <c r="P88" s="356">
        <f t="shared" si="5"/>
        <v>77043</v>
      </c>
      <c r="Q88" s="357"/>
    </row>
    <row r="89" spans="1:17" ht="13.5" customHeight="1">
      <c r="A89" s="25">
        <v>1</v>
      </c>
      <c r="B89" s="25">
        <v>15</v>
      </c>
      <c r="C89" s="46" t="s">
        <v>807</v>
      </c>
      <c r="D89" s="368"/>
      <c r="E89" s="607"/>
      <c r="F89" s="28"/>
      <c r="G89" s="28"/>
      <c r="H89" s="28"/>
      <c r="I89" s="28"/>
      <c r="J89" s="28"/>
      <c r="K89" s="359"/>
      <c r="L89" s="359"/>
      <c r="M89" s="359"/>
      <c r="N89" s="28"/>
      <c r="O89" s="28"/>
      <c r="P89" s="36"/>
      <c r="Q89" s="369"/>
    </row>
    <row r="90" spans="1:17" ht="13.5" customHeight="1">
      <c r="A90" s="25"/>
      <c r="B90" s="25"/>
      <c r="C90" s="536">
        <v>813000</v>
      </c>
      <c r="D90" s="50" t="s">
        <v>447</v>
      </c>
      <c r="E90" s="608"/>
      <c r="F90" s="28"/>
      <c r="G90" s="28"/>
      <c r="H90" s="28"/>
      <c r="I90" s="28"/>
      <c r="J90" s="28"/>
      <c r="K90" s="359"/>
      <c r="L90" s="359"/>
      <c r="M90" s="359"/>
      <c r="N90" s="28"/>
      <c r="O90" s="28"/>
      <c r="P90" s="36"/>
      <c r="Q90" s="369"/>
    </row>
    <row r="91" spans="1:17" ht="13.5" customHeight="1">
      <c r="A91" s="25"/>
      <c r="B91" s="25"/>
      <c r="C91" s="49" t="s">
        <v>735</v>
      </c>
      <c r="D91" s="27"/>
      <c r="E91" s="601">
        <v>1</v>
      </c>
      <c r="F91" s="28"/>
      <c r="G91" s="28"/>
      <c r="H91" s="352">
        <v>3264</v>
      </c>
      <c r="I91" s="28"/>
      <c r="J91" s="28"/>
      <c r="K91" s="359"/>
      <c r="L91" s="359"/>
      <c r="M91" s="359"/>
      <c r="N91" s="28"/>
      <c r="O91" s="28"/>
      <c r="P91" s="36">
        <f t="shared" si="2"/>
        <v>3264</v>
      </c>
      <c r="Q91" s="369" t="s">
        <v>395</v>
      </c>
    </row>
    <row r="92" spans="1:17" ht="13.5" customHeight="1">
      <c r="A92" s="25"/>
      <c r="B92" s="25"/>
      <c r="C92" s="536" t="s">
        <v>736</v>
      </c>
      <c r="D92" s="368"/>
      <c r="E92" s="607">
        <v>1</v>
      </c>
      <c r="F92" s="352"/>
      <c r="G92" s="352"/>
      <c r="H92" s="352">
        <v>3061</v>
      </c>
      <c r="I92" s="352"/>
      <c r="J92" s="352"/>
      <c r="K92" s="352"/>
      <c r="L92" s="352"/>
      <c r="M92" s="352"/>
      <c r="N92" s="352"/>
      <c r="O92" s="352"/>
      <c r="P92" s="36">
        <f t="shared" si="2"/>
        <v>3061</v>
      </c>
      <c r="Q92" s="369" t="s">
        <v>72</v>
      </c>
    </row>
    <row r="93" spans="1:17" ht="13.5" customHeight="1">
      <c r="A93" s="25"/>
      <c r="B93" s="25"/>
      <c r="C93" s="536" t="s">
        <v>1173</v>
      </c>
      <c r="D93" s="368"/>
      <c r="E93" s="607">
        <v>1</v>
      </c>
      <c r="F93" s="352"/>
      <c r="G93" s="352"/>
      <c r="H93" s="352">
        <v>-250</v>
      </c>
      <c r="I93" s="352"/>
      <c r="J93" s="352"/>
      <c r="K93" s="352"/>
      <c r="L93" s="352"/>
      <c r="M93" s="352"/>
      <c r="N93" s="352"/>
      <c r="O93" s="352"/>
      <c r="P93" s="36">
        <f t="shared" si="2"/>
        <v>-250</v>
      </c>
      <c r="Q93" s="369" t="s">
        <v>72</v>
      </c>
    </row>
    <row r="94" spans="1:17" ht="13.5" customHeight="1">
      <c r="A94" s="25"/>
      <c r="B94" s="25"/>
      <c r="C94" s="867" t="s">
        <v>737</v>
      </c>
      <c r="D94" s="884"/>
      <c r="E94" s="607">
        <v>1</v>
      </c>
      <c r="F94" s="352"/>
      <c r="G94" s="352"/>
      <c r="H94" s="352">
        <v>-2064</v>
      </c>
      <c r="I94" s="352"/>
      <c r="J94" s="352"/>
      <c r="K94" s="352"/>
      <c r="L94" s="352"/>
      <c r="M94" s="352"/>
      <c r="N94" s="352"/>
      <c r="O94" s="352"/>
      <c r="P94" s="36">
        <f t="shared" si="2"/>
        <v>-2064</v>
      </c>
      <c r="Q94" s="369" t="s">
        <v>395</v>
      </c>
    </row>
    <row r="95" spans="1:17" ht="13.5" customHeight="1">
      <c r="A95" s="25"/>
      <c r="B95" s="25"/>
      <c r="C95" s="867" t="s">
        <v>738</v>
      </c>
      <c r="D95" s="802"/>
      <c r="E95" s="607">
        <v>2</v>
      </c>
      <c r="F95" s="352"/>
      <c r="G95" s="352"/>
      <c r="H95" s="352">
        <v>-946</v>
      </c>
      <c r="I95" s="352"/>
      <c r="J95" s="352"/>
      <c r="K95" s="352"/>
      <c r="L95" s="352"/>
      <c r="M95" s="352"/>
      <c r="N95" s="352"/>
      <c r="O95" s="352"/>
      <c r="P95" s="36">
        <f t="shared" si="2"/>
        <v>-946</v>
      </c>
      <c r="Q95" s="369" t="s">
        <v>395</v>
      </c>
    </row>
    <row r="96" spans="1:17" ht="13.5" customHeight="1">
      <c r="A96" s="25"/>
      <c r="B96" s="25"/>
      <c r="C96" s="867" t="s">
        <v>739</v>
      </c>
      <c r="D96" s="802"/>
      <c r="E96" s="607">
        <v>2</v>
      </c>
      <c r="F96" s="352"/>
      <c r="G96" s="352"/>
      <c r="H96" s="352">
        <v>-200</v>
      </c>
      <c r="I96" s="352"/>
      <c r="J96" s="352"/>
      <c r="K96" s="352"/>
      <c r="L96" s="352"/>
      <c r="M96" s="352"/>
      <c r="N96" s="352"/>
      <c r="O96" s="352"/>
      <c r="P96" s="36">
        <f t="shared" si="2"/>
        <v>-200</v>
      </c>
      <c r="Q96" s="369" t="s">
        <v>395</v>
      </c>
    </row>
    <row r="97" spans="1:17" ht="13.5" customHeight="1">
      <c r="A97" s="25"/>
      <c r="B97" s="25"/>
      <c r="C97" s="867" t="s">
        <v>740</v>
      </c>
      <c r="D97" s="884"/>
      <c r="E97" s="607">
        <v>1</v>
      </c>
      <c r="F97" s="352"/>
      <c r="G97" s="352"/>
      <c r="H97" s="352">
        <v>-2585</v>
      </c>
      <c r="I97" s="352"/>
      <c r="J97" s="352"/>
      <c r="K97" s="352"/>
      <c r="L97" s="352"/>
      <c r="M97" s="352"/>
      <c r="N97" s="352"/>
      <c r="O97" s="352"/>
      <c r="P97" s="36">
        <f t="shared" si="2"/>
        <v>-2585</v>
      </c>
      <c r="Q97" s="369" t="s">
        <v>395</v>
      </c>
    </row>
    <row r="98" spans="1:17" ht="24.75" customHeight="1">
      <c r="A98" s="25"/>
      <c r="B98" s="25"/>
      <c r="C98" s="885" t="s">
        <v>712</v>
      </c>
      <c r="D98" s="897"/>
      <c r="E98" s="607">
        <v>1</v>
      </c>
      <c r="F98" s="352"/>
      <c r="G98" s="352"/>
      <c r="H98" s="352">
        <v>-2298</v>
      </c>
      <c r="I98" s="352"/>
      <c r="J98" s="352"/>
      <c r="K98" s="352"/>
      <c r="L98" s="352"/>
      <c r="M98" s="352"/>
      <c r="N98" s="352"/>
      <c r="O98" s="352"/>
      <c r="P98" s="36">
        <f t="shared" si="2"/>
        <v>-2298</v>
      </c>
      <c r="Q98" s="369" t="s">
        <v>395</v>
      </c>
    </row>
    <row r="99" spans="1:17" ht="13.5" customHeight="1">
      <c r="A99" s="25"/>
      <c r="B99" s="25"/>
      <c r="C99" s="880" t="s">
        <v>448</v>
      </c>
      <c r="D99" s="861"/>
      <c r="E99" s="593"/>
      <c r="F99" s="352"/>
      <c r="G99" s="352"/>
      <c r="H99" s="352"/>
      <c r="I99" s="352"/>
      <c r="J99" s="352"/>
      <c r="K99" s="352"/>
      <c r="L99" s="352"/>
      <c r="M99" s="352"/>
      <c r="N99" s="352"/>
      <c r="O99" s="352"/>
      <c r="P99" s="36"/>
      <c r="Q99" s="369"/>
    </row>
    <row r="100" spans="1:17" ht="13.5" customHeight="1">
      <c r="A100" s="25"/>
      <c r="B100" s="25"/>
      <c r="C100" s="49" t="s">
        <v>449</v>
      </c>
      <c r="D100" s="50"/>
      <c r="E100" s="608">
        <v>1</v>
      </c>
      <c r="F100" s="352"/>
      <c r="G100" s="352"/>
      <c r="H100" s="352">
        <v>7154</v>
      </c>
      <c r="I100" s="352"/>
      <c r="J100" s="352"/>
      <c r="K100" s="352"/>
      <c r="L100" s="352"/>
      <c r="M100" s="352"/>
      <c r="N100" s="352"/>
      <c r="O100" s="352"/>
      <c r="P100" s="36">
        <f t="shared" si="2"/>
        <v>7154</v>
      </c>
      <c r="Q100" s="369" t="s">
        <v>450</v>
      </c>
    </row>
    <row r="101" spans="1:17" ht="13.5" customHeight="1">
      <c r="A101" s="25"/>
      <c r="B101" s="25"/>
      <c r="C101" s="880" t="s">
        <v>741</v>
      </c>
      <c r="D101" s="861"/>
      <c r="E101" s="608">
        <v>1</v>
      </c>
      <c r="F101" s="352"/>
      <c r="G101" s="352"/>
      <c r="H101" s="352">
        <v>-1249</v>
      </c>
      <c r="I101" s="352"/>
      <c r="J101" s="352"/>
      <c r="K101" s="352"/>
      <c r="L101" s="352"/>
      <c r="M101" s="352"/>
      <c r="N101" s="352"/>
      <c r="O101" s="352"/>
      <c r="P101" s="36">
        <f t="shared" si="2"/>
        <v>-1249</v>
      </c>
      <c r="Q101" s="369" t="s">
        <v>450</v>
      </c>
    </row>
    <row r="102" spans="1:17" ht="13.5" customHeight="1">
      <c r="A102" s="25"/>
      <c r="B102" s="25"/>
      <c r="C102" s="880" t="s">
        <v>960</v>
      </c>
      <c r="D102" s="861"/>
      <c r="E102" s="593">
        <v>1</v>
      </c>
      <c r="F102" s="352"/>
      <c r="G102" s="352"/>
      <c r="H102" s="352">
        <v>-1104</v>
      </c>
      <c r="I102" s="352"/>
      <c r="J102" s="352"/>
      <c r="K102" s="352"/>
      <c r="L102" s="352"/>
      <c r="M102" s="352"/>
      <c r="N102" s="352"/>
      <c r="O102" s="352"/>
      <c r="P102" s="36">
        <f t="shared" si="2"/>
        <v>-1104</v>
      </c>
      <c r="Q102" s="369" t="s">
        <v>395</v>
      </c>
    </row>
    <row r="103" spans="1:17" ht="13.5" customHeight="1">
      <c r="A103" s="25"/>
      <c r="B103" s="25"/>
      <c r="C103" s="49" t="s">
        <v>1168</v>
      </c>
      <c r="D103" s="236"/>
      <c r="E103" s="593">
        <v>2</v>
      </c>
      <c r="F103" s="352"/>
      <c r="G103" s="352"/>
      <c r="H103" s="352">
        <v>391</v>
      </c>
      <c r="I103" s="352"/>
      <c r="J103" s="352"/>
      <c r="K103" s="352"/>
      <c r="L103" s="352"/>
      <c r="M103" s="352"/>
      <c r="N103" s="352"/>
      <c r="O103" s="352"/>
      <c r="P103" s="36">
        <f t="shared" si="2"/>
        <v>391</v>
      </c>
      <c r="Q103" s="369" t="s">
        <v>450</v>
      </c>
    </row>
    <row r="104" spans="1:17" ht="24.75" customHeight="1">
      <c r="A104" s="25"/>
      <c r="B104" s="25"/>
      <c r="C104" s="876" t="s">
        <v>713</v>
      </c>
      <c r="D104" s="877"/>
      <c r="E104" s="593">
        <v>1</v>
      </c>
      <c r="F104" s="352"/>
      <c r="G104" s="352"/>
      <c r="H104" s="352">
        <v>3469</v>
      </c>
      <c r="I104" s="352"/>
      <c r="J104" s="352"/>
      <c r="K104" s="352"/>
      <c r="L104" s="352"/>
      <c r="M104" s="352"/>
      <c r="N104" s="352"/>
      <c r="O104" s="352"/>
      <c r="P104" s="36">
        <f t="shared" si="2"/>
        <v>3469</v>
      </c>
      <c r="Q104" s="369" t="s">
        <v>395</v>
      </c>
    </row>
    <row r="105" spans="1:17" ht="13.5" customHeight="1">
      <c r="A105" s="25"/>
      <c r="B105" s="25"/>
      <c r="C105" s="880" t="s">
        <v>742</v>
      </c>
      <c r="D105" s="861"/>
      <c r="E105" s="593"/>
      <c r="F105" s="352"/>
      <c r="G105" s="352"/>
      <c r="H105" s="352"/>
      <c r="I105" s="352"/>
      <c r="J105" s="352"/>
      <c r="K105" s="352"/>
      <c r="L105" s="352"/>
      <c r="M105" s="352"/>
      <c r="N105" s="352"/>
      <c r="O105" s="352"/>
      <c r="P105" s="36"/>
      <c r="Q105" s="369"/>
    </row>
    <row r="106" spans="1:17" ht="13.5" customHeight="1">
      <c r="A106" s="25"/>
      <c r="B106" s="25"/>
      <c r="C106" s="536" t="s">
        <v>743</v>
      </c>
      <c r="D106" s="236"/>
      <c r="E106" s="608">
        <v>1</v>
      </c>
      <c r="F106" s="352"/>
      <c r="G106" s="352"/>
      <c r="H106" s="352">
        <v>4400</v>
      </c>
      <c r="I106" s="352"/>
      <c r="J106" s="352"/>
      <c r="K106" s="352"/>
      <c r="L106" s="352"/>
      <c r="M106" s="352"/>
      <c r="N106" s="352"/>
      <c r="O106" s="352"/>
      <c r="P106" s="36">
        <f t="shared" si="2"/>
        <v>4400</v>
      </c>
      <c r="Q106" s="369" t="s">
        <v>395</v>
      </c>
    </row>
    <row r="107" spans="1:17" ht="24.75" customHeight="1">
      <c r="A107" s="25"/>
      <c r="B107" s="25"/>
      <c r="C107" s="881" t="s">
        <v>1178</v>
      </c>
      <c r="D107" s="802"/>
      <c r="E107" s="608">
        <v>1</v>
      </c>
      <c r="F107" s="352"/>
      <c r="G107" s="352"/>
      <c r="H107" s="352">
        <v>5720</v>
      </c>
      <c r="I107" s="352"/>
      <c r="J107" s="352"/>
      <c r="K107" s="352"/>
      <c r="L107" s="352"/>
      <c r="M107" s="352"/>
      <c r="N107" s="352"/>
      <c r="O107" s="352"/>
      <c r="P107" s="36">
        <f t="shared" si="2"/>
        <v>5720</v>
      </c>
      <c r="Q107" s="369" t="s">
        <v>72</v>
      </c>
    </row>
    <row r="108" spans="1:17" ht="24.75" customHeight="1">
      <c r="A108" s="25"/>
      <c r="B108" s="25"/>
      <c r="C108" s="881" t="s">
        <v>1179</v>
      </c>
      <c r="D108" s="802"/>
      <c r="E108" s="608">
        <v>1</v>
      </c>
      <c r="F108" s="352"/>
      <c r="G108" s="352"/>
      <c r="H108" s="352">
        <v>5420</v>
      </c>
      <c r="I108" s="352"/>
      <c r="J108" s="352"/>
      <c r="K108" s="352"/>
      <c r="L108" s="352"/>
      <c r="M108" s="352"/>
      <c r="N108" s="352"/>
      <c r="O108" s="352"/>
      <c r="P108" s="36">
        <f t="shared" si="2"/>
        <v>5420</v>
      </c>
      <c r="Q108" s="369" t="s">
        <v>72</v>
      </c>
    </row>
    <row r="109" spans="1:17" ht="24.75" customHeight="1">
      <c r="A109" s="25"/>
      <c r="B109" s="25"/>
      <c r="C109" s="881" t="s">
        <v>1180</v>
      </c>
      <c r="D109" s="861"/>
      <c r="E109" s="608">
        <v>1</v>
      </c>
      <c r="F109" s="352"/>
      <c r="G109" s="352"/>
      <c r="H109" s="352">
        <v>-1700</v>
      </c>
      <c r="I109" s="352"/>
      <c r="J109" s="352"/>
      <c r="K109" s="352"/>
      <c r="L109" s="352"/>
      <c r="M109" s="352"/>
      <c r="N109" s="352"/>
      <c r="O109" s="352"/>
      <c r="P109" s="36">
        <f t="shared" si="2"/>
        <v>-1700</v>
      </c>
      <c r="Q109" s="369" t="s">
        <v>72</v>
      </c>
    </row>
    <row r="110" spans="1:17" ht="24.75" customHeight="1">
      <c r="A110" s="25"/>
      <c r="B110" s="25"/>
      <c r="C110" s="881" t="s">
        <v>1181</v>
      </c>
      <c r="D110" s="883"/>
      <c r="E110" s="608">
        <v>1</v>
      </c>
      <c r="F110" s="352"/>
      <c r="G110" s="352"/>
      <c r="H110" s="352">
        <v>-160</v>
      </c>
      <c r="I110" s="352"/>
      <c r="J110" s="352"/>
      <c r="K110" s="352"/>
      <c r="L110" s="352"/>
      <c r="M110" s="352"/>
      <c r="N110" s="352"/>
      <c r="O110" s="352"/>
      <c r="P110" s="36">
        <f t="shared" si="2"/>
        <v>-160</v>
      </c>
      <c r="Q110" s="369" t="s">
        <v>72</v>
      </c>
    </row>
    <row r="111" spans="1:17" ht="13.5" customHeight="1">
      <c r="A111" s="25"/>
      <c r="B111" s="25"/>
      <c r="C111" s="880" t="s">
        <v>1182</v>
      </c>
      <c r="D111" s="861"/>
      <c r="E111" s="608">
        <v>1</v>
      </c>
      <c r="F111" s="352"/>
      <c r="G111" s="352"/>
      <c r="H111" s="352">
        <v>-1318</v>
      </c>
      <c r="I111" s="352"/>
      <c r="J111" s="352"/>
      <c r="K111" s="352"/>
      <c r="L111" s="352"/>
      <c r="M111" s="352"/>
      <c r="N111" s="352"/>
      <c r="O111" s="352"/>
      <c r="P111" s="36">
        <f t="shared" si="2"/>
        <v>-1318</v>
      </c>
      <c r="Q111" s="369" t="s">
        <v>72</v>
      </c>
    </row>
    <row r="112" spans="1:17" ht="24.75" customHeight="1">
      <c r="A112" s="25"/>
      <c r="B112" s="25"/>
      <c r="C112" s="881" t="s">
        <v>1184</v>
      </c>
      <c r="D112" s="883"/>
      <c r="E112" s="608">
        <v>2</v>
      </c>
      <c r="F112" s="352"/>
      <c r="G112" s="352"/>
      <c r="H112" s="352">
        <v>-1000</v>
      </c>
      <c r="I112" s="352"/>
      <c r="J112" s="352"/>
      <c r="K112" s="352"/>
      <c r="L112" s="352"/>
      <c r="M112" s="352"/>
      <c r="N112" s="352"/>
      <c r="O112" s="352"/>
      <c r="P112" s="36">
        <f t="shared" si="2"/>
        <v>-1000</v>
      </c>
      <c r="Q112" s="369"/>
    </row>
    <row r="113" spans="1:17" ht="24.75" customHeight="1">
      <c r="A113" s="25"/>
      <c r="B113" s="25"/>
      <c r="C113" s="885" t="s">
        <v>1174</v>
      </c>
      <c r="D113" s="896"/>
      <c r="E113" s="608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6">
        <f t="shared" si="2"/>
        <v>0</v>
      </c>
      <c r="Q113" s="369" t="s">
        <v>72</v>
      </c>
    </row>
    <row r="114" spans="1:17" ht="13.5" customHeight="1">
      <c r="A114" s="25"/>
      <c r="B114" s="25"/>
      <c r="C114" s="880" t="s">
        <v>1175</v>
      </c>
      <c r="D114" s="802"/>
      <c r="E114" s="608">
        <v>1</v>
      </c>
      <c r="F114" s="352"/>
      <c r="G114" s="352"/>
      <c r="H114" s="352">
        <v>-111</v>
      </c>
      <c r="I114" s="352"/>
      <c r="J114" s="352"/>
      <c r="K114" s="352"/>
      <c r="L114" s="352"/>
      <c r="M114" s="352"/>
      <c r="N114" s="352"/>
      <c r="O114" s="352"/>
      <c r="P114" s="36">
        <f t="shared" si="2"/>
        <v>-111</v>
      </c>
      <c r="Q114" s="369" t="s">
        <v>72</v>
      </c>
    </row>
    <row r="115" spans="1:17" ht="13.5" customHeight="1">
      <c r="A115" s="25"/>
      <c r="B115" s="25"/>
      <c r="C115" s="49" t="s">
        <v>1176</v>
      </c>
      <c r="D115" s="236"/>
      <c r="E115" s="608">
        <v>1</v>
      </c>
      <c r="F115" s="352"/>
      <c r="G115" s="352"/>
      <c r="H115" s="352">
        <v>-3694</v>
      </c>
      <c r="I115" s="352"/>
      <c r="J115" s="352"/>
      <c r="K115" s="352"/>
      <c r="L115" s="352"/>
      <c r="M115" s="352"/>
      <c r="N115" s="352"/>
      <c r="O115" s="352"/>
      <c r="P115" s="36">
        <f t="shared" si="2"/>
        <v>-3694</v>
      </c>
      <c r="Q115" s="369" t="s">
        <v>72</v>
      </c>
    </row>
    <row r="116" spans="1:17" ht="13.5" customHeight="1">
      <c r="A116" s="25"/>
      <c r="B116" s="25"/>
      <c r="C116" s="880" t="s">
        <v>1177</v>
      </c>
      <c r="D116" s="802"/>
      <c r="E116" s="608">
        <v>1</v>
      </c>
      <c r="F116" s="352"/>
      <c r="G116" s="352"/>
      <c r="H116" s="352">
        <v>-160</v>
      </c>
      <c r="I116" s="352"/>
      <c r="J116" s="352"/>
      <c r="K116" s="352"/>
      <c r="L116" s="352"/>
      <c r="M116" s="352"/>
      <c r="N116" s="352"/>
      <c r="O116" s="352"/>
      <c r="P116" s="36">
        <f t="shared" si="2"/>
        <v>-160</v>
      </c>
      <c r="Q116" s="369" t="s">
        <v>72</v>
      </c>
    </row>
    <row r="117" spans="1:17" ht="13.5" customHeight="1">
      <c r="A117" s="25"/>
      <c r="B117" s="25"/>
      <c r="C117" s="49" t="s">
        <v>1183</v>
      </c>
      <c r="D117" s="236"/>
      <c r="E117" s="608">
        <v>1</v>
      </c>
      <c r="F117" s="352"/>
      <c r="G117" s="352"/>
      <c r="H117" s="352">
        <v>-1000</v>
      </c>
      <c r="I117" s="352"/>
      <c r="J117" s="352"/>
      <c r="K117" s="352"/>
      <c r="L117" s="352"/>
      <c r="M117" s="352"/>
      <c r="N117" s="352"/>
      <c r="O117" s="352"/>
      <c r="P117" s="36">
        <f t="shared" si="2"/>
        <v>-1000</v>
      </c>
      <c r="Q117" s="369" t="s">
        <v>72</v>
      </c>
    </row>
    <row r="118" spans="1:17" ht="13.5" customHeight="1">
      <c r="A118" s="25"/>
      <c r="B118" s="25"/>
      <c r="C118" s="867" t="s">
        <v>451</v>
      </c>
      <c r="D118" s="861"/>
      <c r="E118" s="593"/>
      <c r="F118" s="352"/>
      <c r="G118" s="352"/>
      <c r="H118" s="352"/>
      <c r="I118" s="352"/>
      <c r="J118" s="352"/>
      <c r="K118" s="352"/>
      <c r="L118" s="352"/>
      <c r="M118" s="352"/>
      <c r="N118" s="352"/>
      <c r="O118" s="352"/>
      <c r="P118" s="36"/>
      <c r="Q118" s="369"/>
    </row>
    <row r="119" spans="1:17" ht="13.5" customHeight="1">
      <c r="A119" s="25"/>
      <c r="B119" s="25"/>
      <c r="C119" s="880" t="s">
        <v>744</v>
      </c>
      <c r="D119" s="801"/>
      <c r="E119" s="683">
        <v>1</v>
      </c>
      <c r="F119" s="352"/>
      <c r="G119" s="352"/>
      <c r="H119" s="352">
        <v>-1741</v>
      </c>
      <c r="I119" s="352">
        <v>100</v>
      </c>
      <c r="J119" s="352"/>
      <c r="K119" s="352"/>
      <c r="L119" s="352"/>
      <c r="M119" s="352"/>
      <c r="N119" s="352"/>
      <c r="O119" s="352"/>
      <c r="P119" s="36">
        <f t="shared" si="2"/>
        <v>-1641</v>
      </c>
      <c r="Q119" s="369" t="s">
        <v>72</v>
      </c>
    </row>
    <row r="120" spans="1:17" ht="13.5" customHeight="1">
      <c r="A120" s="25"/>
      <c r="B120" s="25"/>
      <c r="C120" s="49" t="s">
        <v>1185</v>
      </c>
      <c r="D120" s="706"/>
      <c r="E120" s="683">
        <v>1</v>
      </c>
      <c r="F120" s="352"/>
      <c r="G120" s="352"/>
      <c r="H120" s="352">
        <v>635</v>
      </c>
      <c r="I120" s="352"/>
      <c r="J120" s="352"/>
      <c r="K120" s="352"/>
      <c r="L120" s="352"/>
      <c r="M120" s="352"/>
      <c r="N120" s="352"/>
      <c r="O120" s="352"/>
      <c r="P120" s="36">
        <f t="shared" si="2"/>
        <v>635</v>
      </c>
      <c r="Q120" s="369" t="s">
        <v>72</v>
      </c>
    </row>
    <row r="121" spans="1:17" ht="24.75" customHeight="1">
      <c r="A121" s="25"/>
      <c r="B121" s="25"/>
      <c r="C121" s="885" t="s">
        <v>745</v>
      </c>
      <c r="D121" s="887"/>
      <c r="E121" s="607">
        <v>2</v>
      </c>
      <c r="F121" s="352"/>
      <c r="G121" s="352"/>
      <c r="H121" s="352">
        <v>946</v>
      </c>
      <c r="I121" s="352"/>
      <c r="J121" s="352"/>
      <c r="K121" s="352"/>
      <c r="L121" s="352"/>
      <c r="M121" s="352"/>
      <c r="N121" s="352"/>
      <c r="O121" s="352"/>
      <c r="P121" s="36">
        <f t="shared" si="2"/>
        <v>946</v>
      </c>
      <c r="Q121" s="369" t="s">
        <v>395</v>
      </c>
    </row>
    <row r="122" spans="1:17" ht="13.5" customHeight="1">
      <c r="A122" s="25"/>
      <c r="B122" s="25"/>
      <c r="C122" s="49" t="s">
        <v>746</v>
      </c>
      <c r="D122" s="368"/>
      <c r="E122" s="607">
        <v>1</v>
      </c>
      <c r="F122" s="352"/>
      <c r="G122" s="352"/>
      <c r="H122" s="352">
        <v>-3150</v>
      </c>
      <c r="I122" s="352"/>
      <c r="J122" s="352"/>
      <c r="K122" s="352"/>
      <c r="L122" s="352"/>
      <c r="M122" s="352"/>
      <c r="N122" s="352"/>
      <c r="O122" s="352"/>
      <c r="P122" s="36">
        <f t="shared" si="2"/>
        <v>-3150</v>
      </c>
      <c r="Q122" s="369" t="s">
        <v>395</v>
      </c>
    </row>
    <row r="123" spans="1:17" ht="13.5" customHeight="1">
      <c r="A123" s="25"/>
      <c r="B123" s="25"/>
      <c r="C123" s="49" t="s">
        <v>905</v>
      </c>
      <c r="D123" s="368"/>
      <c r="E123" s="607">
        <v>1</v>
      </c>
      <c r="F123" s="352"/>
      <c r="G123" s="352"/>
      <c r="H123" s="352">
        <v>-1077</v>
      </c>
      <c r="I123" s="352"/>
      <c r="J123" s="352"/>
      <c r="K123" s="352"/>
      <c r="L123" s="352"/>
      <c r="M123" s="352"/>
      <c r="N123" s="352"/>
      <c r="O123" s="352"/>
      <c r="P123" s="36">
        <f t="shared" si="2"/>
        <v>-1077</v>
      </c>
      <c r="Q123" s="369" t="s">
        <v>72</v>
      </c>
    </row>
    <row r="124" spans="1:17" ht="13.5" customHeight="1">
      <c r="A124" s="25"/>
      <c r="B124" s="25"/>
      <c r="C124" s="881" t="s">
        <v>643</v>
      </c>
      <c r="D124" s="882"/>
      <c r="E124" s="607">
        <v>2</v>
      </c>
      <c r="F124" s="352"/>
      <c r="G124" s="352"/>
      <c r="H124" s="352">
        <v>-429</v>
      </c>
      <c r="I124" s="352">
        <v>1415</v>
      </c>
      <c r="J124" s="352"/>
      <c r="K124" s="352"/>
      <c r="L124" s="352"/>
      <c r="M124" s="352"/>
      <c r="N124" s="352"/>
      <c r="O124" s="352"/>
      <c r="P124" s="36">
        <f>SUM(F124:O124)</f>
        <v>986</v>
      </c>
      <c r="Q124" s="369" t="s">
        <v>72</v>
      </c>
    </row>
    <row r="125" spans="1:17" ht="13.5" customHeight="1">
      <c r="A125" s="25"/>
      <c r="B125" s="25"/>
      <c r="C125" s="49" t="s">
        <v>1190</v>
      </c>
      <c r="D125" s="721"/>
      <c r="E125" s="607">
        <v>2</v>
      </c>
      <c r="F125" s="352"/>
      <c r="G125" s="352"/>
      <c r="H125" s="352">
        <v>-1232</v>
      </c>
      <c r="I125" s="352"/>
      <c r="J125" s="352"/>
      <c r="K125" s="352"/>
      <c r="L125" s="352"/>
      <c r="M125" s="352"/>
      <c r="N125" s="352"/>
      <c r="O125" s="352"/>
      <c r="P125" s="36">
        <f>SUM(F125:O125)</f>
        <v>-1232</v>
      </c>
      <c r="Q125" s="369" t="s">
        <v>72</v>
      </c>
    </row>
    <row r="126" spans="1:17" ht="13.5" customHeight="1">
      <c r="A126" s="25"/>
      <c r="B126" s="25"/>
      <c r="C126" s="40" t="s">
        <v>747</v>
      </c>
      <c r="D126" s="38"/>
      <c r="E126" s="607"/>
      <c r="F126" s="352"/>
      <c r="G126" s="352"/>
      <c r="H126" s="352"/>
      <c r="I126" s="352"/>
      <c r="J126" s="352"/>
      <c r="K126" s="352"/>
      <c r="L126" s="352"/>
      <c r="M126" s="352"/>
      <c r="N126" s="352"/>
      <c r="O126" s="352"/>
      <c r="P126" s="36"/>
      <c r="Q126" s="369"/>
    </row>
    <row r="127" spans="1:17" ht="13.5" customHeight="1">
      <c r="A127" s="25"/>
      <c r="B127" s="25"/>
      <c r="C127" s="869" t="s">
        <v>748</v>
      </c>
      <c r="D127" s="871"/>
      <c r="E127" s="607">
        <v>2</v>
      </c>
      <c r="F127" s="352"/>
      <c r="G127" s="352"/>
      <c r="H127" s="352"/>
      <c r="I127" s="352">
        <v>-125</v>
      </c>
      <c r="J127" s="352"/>
      <c r="K127" s="352"/>
      <c r="L127" s="352"/>
      <c r="M127" s="352"/>
      <c r="N127" s="352"/>
      <c r="O127" s="352"/>
      <c r="P127" s="36">
        <f t="shared" si="2"/>
        <v>-125</v>
      </c>
      <c r="Q127" s="369"/>
    </row>
    <row r="128" spans="1:17" ht="13.5" customHeight="1">
      <c r="A128" s="25"/>
      <c r="B128" s="25"/>
      <c r="C128" s="867" t="s">
        <v>1021</v>
      </c>
      <c r="D128" s="861"/>
      <c r="E128" s="607"/>
      <c r="F128" s="352"/>
      <c r="G128" s="352"/>
      <c r="H128" s="352"/>
      <c r="I128" s="352"/>
      <c r="J128" s="352"/>
      <c r="K128" s="352"/>
      <c r="L128" s="352"/>
      <c r="M128" s="352"/>
      <c r="N128" s="352"/>
      <c r="O128" s="352"/>
      <c r="P128" s="36">
        <f t="shared" si="2"/>
        <v>0</v>
      </c>
      <c r="Q128" s="369"/>
    </row>
    <row r="129" spans="1:17" ht="13.5" customHeight="1">
      <c r="A129" s="25"/>
      <c r="B129" s="25"/>
      <c r="C129" s="536" t="s">
        <v>751</v>
      </c>
      <c r="D129" s="707"/>
      <c r="E129" s="607">
        <v>1</v>
      </c>
      <c r="F129" s="352"/>
      <c r="G129" s="352"/>
      <c r="H129" s="352">
        <v>-2393</v>
      </c>
      <c r="I129" s="352"/>
      <c r="J129" s="352"/>
      <c r="K129" s="352"/>
      <c r="L129" s="352"/>
      <c r="M129" s="352"/>
      <c r="N129" s="352"/>
      <c r="O129" s="352"/>
      <c r="P129" s="36">
        <f t="shared" si="2"/>
        <v>-2393</v>
      </c>
      <c r="Q129" s="369" t="s">
        <v>395</v>
      </c>
    </row>
    <row r="130" spans="1:17" ht="13.5" customHeight="1">
      <c r="A130" s="25"/>
      <c r="B130" s="25"/>
      <c r="C130" s="536" t="s">
        <v>752</v>
      </c>
      <c r="D130" s="707"/>
      <c r="E130" s="607">
        <v>1</v>
      </c>
      <c r="F130" s="352"/>
      <c r="G130" s="352"/>
      <c r="H130" s="352">
        <v>-1000</v>
      </c>
      <c r="I130" s="352"/>
      <c r="J130" s="352"/>
      <c r="K130" s="352"/>
      <c r="L130" s="352"/>
      <c r="M130" s="352"/>
      <c r="N130" s="352"/>
      <c r="O130" s="352"/>
      <c r="P130" s="36">
        <f t="shared" si="2"/>
        <v>-1000</v>
      </c>
      <c r="Q130" s="369" t="s">
        <v>395</v>
      </c>
    </row>
    <row r="131" spans="1:17" ht="13.5" customHeight="1">
      <c r="A131" s="25"/>
      <c r="B131" s="25"/>
      <c r="C131" s="867" t="s">
        <v>906</v>
      </c>
      <c r="D131" s="884"/>
      <c r="E131" s="607">
        <v>1</v>
      </c>
      <c r="F131" s="352"/>
      <c r="G131" s="352"/>
      <c r="H131" s="352">
        <v>1077</v>
      </c>
      <c r="I131" s="352"/>
      <c r="J131" s="352"/>
      <c r="K131" s="352"/>
      <c r="L131" s="352"/>
      <c r="M131" s="352"/>
      <c r="N131" s="352"/>
      <c r="O131" s="352"/>
      <c r="P131" s="36">
        <f t="shared" si="2"/>
        <v>1077</v>
      </c>
      <c r="Q131" s="369" t="s">
        <v>72</v>
      </c>
    </row>
    <row r="132" spans="1:17" ht="13.5" customHeight="1">
      <c r="A132" s="25"/>
      <c r="B132" s="25"/>
      <c r="C132" s="867" t="s">
        <v>749</v>
      </c>
      <c r="D132" s="861"/>
      <c r="E132" s="593"/>
      <c r="F132" s="352"/>
      <c r="G132" s="352"/>
      <c r="H132" s="352"/>
      <c r="I132" s="352"/>
      <c r="J132" s="352"/>
      <c r="K132" s="352"/>
      <c r="L132" s="352"/>
      <c r="M132" s="352"/>
      <c r="N132" s="352"/>
      <c r="O132" s="352"/>
      <c r="P132" s="36">
        <f t="shared" si="2"/>
        <v>0</v>
      </c>
      <c r="Q132" s="369"/>
    </row>
    <row r="133" spans="1:17" ht="24.75" customHeight="1">
      <c r="A133" s="25"/>
      <c r="B133" s="25"/>
      <c r="C133" s="885" t="s">
        <v>750</v>
      </c>
      <c r="D133" s="883"/>
      <c r="E133" s="593">
        <v>1</v>
      </c>
      <c r="F133" s="352"/>
      <c r="G133" s="352"/>
      <c r="H133" s="352"/>
      <c r="I133" s="352">
        <v>-2122</v>
      </c>
      <c r="J133" s="352"/>
      <c r="K133" s="352"/>
      <c r="L133" s="352"/>
      <c r="M133" s="352"/>
      <c r="N133" s="352"/>
      <c r="O133" s="352"/>
      <c r="P133" s="36">
        <f t="shared" si="2"/>
        <v>-2122</v>
      </c>
      <c r="Q133" s="369" t="s">
        <v>395</v>
      </c>
    </row>
    <row r="134" spans="1:17" ht="15" customHeight="1">
      <c r="A134" s="25"/>
      <c r="B134" s="25"/>
      <c r="C134" s="867" t="s">
        <v>754</v>
      </c>
      <c r="D134" s="861"/>
      <c r="E134" s="593"/>
      <c r="F134" s="352"/>
      <c r="G134" s="352"/>
      <c r="H134" s="352"/>
      <c r="I134" s="352"/>
      <c r="J134" s="352"/>
      <c r="K134" s="352"/>
      <c r="L134" s="352"/>
      <c r="M134" s="352"/>
      <c r="N134" s="352"/>
      <c r="O134" s="352"/>
      <c r="P134" s="36">
        <f t="shared" si="2"/>
        <v>0</v>
      </c>
      <c r="Q134" s="369"/>
    </row>
    <row r="135" spans="1:17" ht="15" customHeight="1">
      <c r="A135" s="25"/>
      <c r="B135" s="25"/>
      <c r="C135" s="536" t="s">
        <v>755</v>
      </c>
      <c r="D135" s="690"/>
      <c r="E135" s="593">
        <v>1</v>
      </c>
      <c r="F135" s="352"/>
      <c r="G135" s="352"/>
      <c r="H135" s="352"/>
      <c r="I135" s="352">
        <v>-91</v>
      </c>
      <c r="J135" s="352"/>
      <c r="K135" s="352"/>
      <c r="L135" s="352"/>
      <c r="M135" s="352"/>
      <c r="N135" s="352"/>
      <c r="O135" s="352"/>
      <c r="P135" s="36">
        <f t="shared" si="2"/>
        <v>-91</v>
      </c>
      <c r="Q135" s="369" t="s">
        <v>72</v>
      </c>
    </row>
    <row r="136" spans="1:17" ht="15" customHeight="1">
      <c r="A136" s="25"/>
      <c r="B136" s="25"/>
      <c r="C136" s="867" t="s">
        <v>710</v>
      </c>
      <c r="D136" s="861"/>
      <c r="E136" s="593">
        <v>1</v>
      </c>
      <c r="F136" s="352">
        <v>36</v>
      </c>
      <c r="G136" s="352"/>
      <c r="H136" s="352"/>
      <c r="I136" s="352"/>
      <c r="J136" s="352"/>
      <c r="K136" s="352"/>
      <c r="L136" s="352"/>
      <c r="M136" s="352"/>
      <c r="N136" s="352"/>
      <c r="O136" s="352"/>
      <c r="P136" s="36">
        <f t="shared" si="2"/>
        <v>36</v>
      </c>
      <c r="Q136" s="369" t="s">
        <v>395</v>
      </c>
    </row>
    <row r="137" spans="1:17" ht="24.75" customHeight="1">
      <c r="A137" s="25"/>
      <c r="B137" s="25"/>
      <c r="C137" s="869" t="s">
        <v>448</v>
      </c>
      <c r="D137" s="871"/>
      <c r="E137" s="593"/>
      <c r="F137" s="352"/>
      <c r="G137" s="352"/>
      <c r="H137" s="352"/>
      <c r="I137" s="352"/>
      <c r="J137" s="352"/>
      <c r="K137" s="352"/>
      <c r="L137" s="352"/>
      <c r="M137" s="352"/>
      <c r="N137" s="352"/>
      <c r="O137" s="352"/>
      <c r="P137" s="36"/>
      <c r="Q137" s="369"/>
    </row>
    <row r="138" spans="1:17" ht="24.75" customHeight="1">
      <c r="A138" s="25"/>
      <c r="B138" s="25"/>
      <c r="C138" s="869" t="s">
        <v>753</v>
      </c>
      <c r="D138" s="878"/>
      <c r="E138" s="608">
        <v>2</v>
      </c>
      <c r="F138" s="352"/>
      <c r="G138" s="352"/>
      <c r="H138" s="352">
        <v>22845</v>
      </c>
      <c r="I138" s="352"/>
      <c r="J138" s="352"/>
      <c r="K138" s="352"/>
      <c r="L138" s="352"/>
      <c r="M138" s="352"/>
      <c r="N138" s="352"/>
      <c r="O138" s="352"/>
      <c r="P138" s="36">
        <f t="shared" si="2"/>
        <v>22845</v>
      </c>
      <c r="Q138" s="369" t="s">
        <v>72</v>
      </c>
    </row>
    <row r="139" spans="1:17" ht="13.5" customHeight="1">
      <c r="A139" s="353"/>
      <c r="B139" s="353"/>
      <c r="C139" s="42" t="s">
        <v>808</v>
      </c>
      <c r="D139" s="354"/>
      <c r="E139" s="600"/>
      <c r="F139" s="356">
        <f aca="true" t="shared" si="6" ref="F139:P139">SUM(F90:F138)</f>
        <v>36</v>
      </c>
      <c r="G139" s="356">
        <f t="shared" si="6"/>
        <v>0</v>
      </c>
      <c r="H139" s="356">
        <f t="shared" si="6"/>
        <v>27521</v>
      </c>
      <c r="I139" s="356">
        <f t="shared" si="6"/>
        <v>-823</v>
      </c>
      <c r="J139" s="356">
        <f t="shared" si="6"/>
        <v>0</v>
      </c>
      <c r="K139" s="356">
        <f t="shared" si="6"/>
        <v>0</v>
      </c>
      <c r="L139" s="356">
        <f t="shared" si="6"/>
        <v>0</v>
      </c>
      <c r="M139" s="356">
        <f t="shared" si="6"/>
        <v>0</v>
      </c>
      <c r="N139" s="356">
        <f t="shared" si="6"/>
        <v>0</v>
      </c>
      <c r="O139" s="356">
        <f t="shared" si="6"/>
        <v>0</v>
      </c>
      <c r="P139" s="356">
        <f t="shared" si="6"/>
        <v>26734</v>
      </c>
      <c r="Q139" s="357"/>
    </row>
    <row r="140" spans="1:17" ht="13.5" customHeight="1">
      <c r="A140" s="25"/>
      <c r="B140" s="25"/>
      <c r="C140" s="40" t="s">
        <v>387</v>
      </c>
      <c r="D140" s="368"/>
      <c r="E140" s="607"/>
      <c r="F140" s="28"/>
      <c r="G140" s="28"/>
      <c r="H140" s="28"/>
      <c r="I140" s="28"/>
      <c r="J140" s="28"/>
      <c r="K140" s="352"/>
      <c r="L140" s="352">
        <f>8!J121</f>
        <v>6240</v>
      </c>
      <c r="M140" s="352">
        <f>8!K121</f>
        <v>561</v>
      </c>
      <c r="N140" s="28"/>
      <c r="O140" s="28"/>
      <c r="P140" s="36">
        <f t="shared" si="2"/>
        <v>6801</v>
      </c>
      <c r="Q140" s="369"/>
    </row>
    <row r="141" spans="1:17" ht="13.5" customHeight="1">
      <c r="A141" s="25"/>
      <c r="B141" s="25"/>
      <c r="C141" s="40" t="s">
        <v>376</v>
      </c>
      <c r="D141" s="368"/>
      <c r="E141" s="607"/>
      <c r="F141" s="28"/>
      <c r="G141" s="28"/>
      <c r="H141" s="28"/>
      <c r="I141" s="28"/>
      <c r="J141" s="28"/>
      <c r="K141" s="352">
        <f>7!J116</f>
        <v>5671</v>
      </c>
      <c r="L141" s="352"/>
      <c r="M141" s="352">
        <f>7!K116</f>
        <v>8698</v>
      </c>
      <c r="N141" s="28"/>
      <c r="O141" s="28"/>
      <c r="P141" s="36">
        <f t="shared" si="2"/>
        <v>14369</v>
      </c>
      <c r="Q141" s="369"/>
    </row>
    <row r="142" spans="1:17" ht="13.5" customHeight="1">
      <c r="A142" s="355"/>
      <c r="B142" s="355"/>
      <c r="C142" s="42" t="s">
        <v>1150</v>
      </c>
      <c r="D142" s="365"/>
      <c r="E142" s="612"/>
      <c r="F142" s="356">
        <f>SUM(F139:F141)</f>
        <v>36</v>
      </c>
      <c r="G142" s="356">
        <f aca="true" t="shared" si="7" ref="G142:P142">SUM(G139:G141)</f>
        <v>0</v>
      </c>
      <c r="H142" s="356">
        <f t="shared" si="7"/>
        <v>27521</v>
      </c>
      <c r="I142" s="356">
        <f t="shared" si="7"/>
        <v>-823</v>
      </c>
      <c r="J142" s="356">
        <f t="shared" si="7"/>
        <v>0</v>
      </c>
      <c r="K142" s="356">
        <f t="shared" si="7"/>
        <v>5671</v>
      </c>
      <c r="L142" s="356">
        <f t="shared" si="7"/>
        <v>6240</v>
      </c>
      <c r="M142" s="356">
        <f t="shared" si="7"/>
        <v>9259</v>
      </c>
      <c r="N142" s="356">
        <f t="shared" si="7"/>
        <v>0</v>
      </c>
      <c r="O142" s="356">
        <f t="shared" si="7"/>
        <v>0</v>
      </c>
      <c r="P142" s="356">
        <f t="shared" si="7"/>
        <v>47904</v>
      </c>
      <c r="Q142" s="367"/>
    </row>
    <row r="143" spans="1:17" ht="13.5" customHeight="1">
      <c r="A143" s="25">
        <v>1</v>
      </c>
      <c r="B143" s="25">
        <v>16</v>
      </c>
      <c r="C143" s="46" t="s">
        <v>1201</v>
      </c>
      <c r="D143" s="364"/>
      <c r="E143" s="603"/>
      <c r="F143" s="28"/>
      <c r="G143" s="28"/>
      <c r="H143" s="28"/>
      <c r="I143" s="28"/>
      <c r="J143" s="28"/>
      <c r="K143" s="359"/>
      <c r="L143" s="359"/>
      <c r="M143" s="359"/>
      <c r="N143" s="28"/>
      <c r="O143" s="28"/>
      <c r="P143" s="36"/>
      <c r="Q143" s="370"/>
    </row>
    <row r="144" spans="1:17" ht="13.5" customHeight="1">
      <c r="A144" s="25"/>
      <c r="B144" s="25"/>
      <c r="C144" s="864" t="s">
        <v>636</v>
      </c>
      <c r="D144" s="865"/>
      <c r="E144" s="603"/>
      <c r="F144" s="28"/>
      <c r="G144" s="28"/>
      <c r="H144" s="28"/>
      <c r="I144" s="28"/>
      <c r="J144" s="28"/>
      <c r="K144" s="359"/>
      <c r="L144" s="359"/>
      <c r="M144" s="359"/>
      <c r="N144" s="28"/>
      <c r="O144" s="28"/>
      <c r="P144" s="36"/>
      <c r="Q144" s="370"/>
    </row>
    <row r="145" spans="1:17" ht="13.5" customHeight="1">
      <c r="A145" s="25"/>
      <c r="B145" s="25"/>
      <c r="C145" s="866" t="s">
        <v>1187</v>
      </c>
      <c r="D145" s="802"/>
      <c r="E145" s="597">
        <v>1</v>
      </c>
      <c r="F145" s="28"/>
      <c r="G145" s="28"/>
      <c r="H145" s="352">
        <v>-28</v>
      </c>
      <c r="I145" s="28"/>
      <c r="J145" s="28"/>
      <c r="K145" s="359"/>
      <c r="L145" s="359"/>
      <c r="M145" s="359"/>
      <c r="N145" s="28"/>
      <c r="O145" s="28"/>
      <c r="P145" s="36">
        <v>-28</v>
      </c>
      <c r="Q145" s="539" t="s">
        <v>72</v>
      </c>
    </row>
    <row r="146" spans="1:17" ht="13.5" customHeight="1">
      <c r="A146" s="25"/>
      <c r="B146" s="353"/>
      <c r="C146" s="42" t="s">
        <v>452</v>
      </c>
      <c r="D146" s="365"/>
      <c r="E146" s="612"/>
      <c r="F146" s="355"/>
      <c r="G146" s="355"/>
      <c r="H146" s="356">
        <f aca="true" t="shared" si="8" ref="H146:P146">SUM(H145:H145)</f>
        <v>-28</v>
      </c>
      <c r="I146" s="356">
        <f t="shared" si="8"/>
        <v>0</v>
      </c>
      <c r="J146" s="356">
        <f t="shared" si="8"/>
        <v>0</v>
      </c>
      <c r="K146" s="356">
        <f t="shared" si="8"/>
        <v>0</v>
      </c>
      <c r="L146" s="356">
        <f t="shared" si="8"/>
        <v>0</v>
      </c>
      <c r="M146" s="356">
        <f t="shared" si="8"/>
        <v>0</v>
      </c>
      <c r="N146" s="356">
        <f t="shared" si="8"/>
        <v>0</v>
      </c>
      <c r="O146" s="356">
        <f t="shared" si="8"/>
        <v>0</v>
      </c>
      <c r="P146" s="356">
        <f t="shared" si="8"/>
        <v>-28</v>
      </c>
      <c r="Q146" s="367"/>
    </row>
    <row r="147" spans="1:17" ht="13.5" customHeight="1">
      <c r="A147" s="28"/>
      <c r="B147" s="28"/>
      <c r="C147" s="40" t="s">
        <v>376</v>
      </c>
      <c r="D147" s="364"/>
      <c r="E147" s="603"/>
      <c r="F147" s="28"/>
      <c r="G147" s="28"/>
      <c r="H147" s="28"/>
      <c r="I147" s="28"/>
      <c r="J147" s="28"/>
      <c r="K147" s="352">
        <f>7!J229</f>
        <v>1417148</v>
      </c>
      <c r="L147" s="352"/>
      <c r="M147" s="352">
        <f>7!K229</f>
        <v>0</v>
      </c>
      <c r="N147" s="28"/>
      <c r="O147" s="28"/>
      <c r="P147" s="36">
        <f t="shared" si="2"/>
        <v>1417148</v>
      </c>
      <c r="Q147" s="370"/>
    </row>
    <row r="148" spans="1:17" ht="13.5" customHeight="1">
      <c r="A148" s="28"/>
      <c r="B148" s="28"/>
      <c r="C148" s="40" t="s">
        <v>387</v>
      </c>
      <c r="D148" s="364"/>
      <c r="E148" s="603"/>
      <c r="F148" s="28"/>
      <c r="G148" s="28"/>
      <c r="H148" s="28"/>
      <c r="I148" s="28"/>
      <c r="J148" s="28"/>
      <c r="K148" s="352"/>
      <c r="L148" s="352">
        <f>8!J136</f>
        <v>-1309</v>
      </c>
      <c r="M148" s="352">
        <f>8!K136</f>
        <v>0</v>
      </c>
      <c r="N148" s="28"/>
      <c r="O148" s="28"/>
      <c r="P148" s="36">
        <f t="shared" si="2"/>
        <v>-1309</v>
      </c>
      <c r="Q148" s="370"/>
    </row>
    <row r="149" spans="1:17" ht="13.5" customHeight="1">
      <c r="A149" s="355"/>
      <c r="B149" s="355"/>
      <c r="C149" s="42" t="s">
        <v>1151</v>
      </c>
      <c r="D149" s="365"/>
      <c r="E149" s="612"/>
      <c r="F149" s="356">
        <f>SUM(F146:F148)</f>
        <v>0</v>
      </c>
      <c r="G149" s="356">
        <f aca="true" t="shared" si="9" ref="G149:P149">SUM(G146:G148)</f>
        <v>0</v>
      </c>
      <c r="H149" s="356">
        <f t="shared" si="9"/>
        <v>-28</v>
      </c>
      <c r="I149" s="356">
        <f t="shared" si="9"/>
        <v>0</v>
      </c>
      <c r="J149" s="356">
        <f t="shared" si="9"/>
        <v>0</v>
      </c>
      <c r="K149" s="356">
        <f t="shared" si="9"/>
        <v>1417148</v>
      </c>
      <c r="L149" s="356">
        <f t="shared" si="9"/>
        <v>-1309</v>
      </c>
      <c r="M149" s="356">
        <f t="shared" si="9"/>
        <v>0</v>
      </c>
      <c r="N149" s="356">
        <f t="shared" si="9"/>
        <v>0</v>
      </c>
      <c r="O149" s="356">
        <f t="shared" si="9"/>
        <v>0</v>
      </c>
      <c r="P149" s="356">
        <f t="shared" si="9"/>
        <v>1415811</v>
      </c>
      <c r="Q149" s="367"/>
    </row>
    <row r="150" spans="1:17" ht="13.5" customHeight="1">
      <c r="A150" s="25">
        <v>1</v>
      </c>
      <c r="B150" s="25">
        <v>17</v>
      </c>
      <c r="C150" s="46" t="s">
        <v>367</v>
      </c>
      <c r="D150" s="364"/>
      <c r="E150" s="603"/>
      <c r="F150" s="28"/>
      <c r="G150" s="28"/>
      <c r="H150" s="28"/>
      <c r="I150" s="28"/>
      <c r="J150" s="28"/>
      <c r="K150" s="359"/>
      <c r="L150" s="359"/>
      <c r="M150" s="359"/>
      <c r="N150" s="28"/>
      <c r="O150" s="28"/>
      <c r="P150" s="36"/>
      <c r="Q150" s="370"/>
    </row>
    <row r="151" spans="1:17" ht="24.75" customHeight="1">
      <c r="A151" s="25"/>
      <c r="B151" s="25"/>
      <c r="C151" s="874" t="s">
        <v>428</v>
      </c>
      <c r="D151" s="875"/>
      <c r="E151" s="609"/>
      <c r="F151" s="28"/>
      <c r="G151" s="28"/>
      <c r="H151" s="28"/>
      <c r="I151" s="28"/>
      <c r="J151" s="28"/>
      <c r="K151" s="359"/>
      <c r="L151" s="359"/>
      <c r="M151" s="359"/>
      <c r="N151" s="28"/>
      <c r="O151" s="28"/>
      <c r="P151" s="36"/>
      <c r="Q151" s="370"/>
    </row>
    <row r="152" spans="1:17" ht="13.5" customHeight="1">
      <c r="A152" s="25"/>
      <c r="B152" s="25"/>
      <c r="C152" s="40" t="s">
        <v>761</v>
      </c>
      <c r="D152" s="38"/>
      <c r="E152" s="611">
        <v>1</v>
      </c>
      <c r="F152" s="28"/>
      <c r="G152" s="28"/>
      <c r="H152" s="352">
        <v>4800</v>
      </c>
      <c r="I152" s="352"/>
      <c r="J152" s="28"/>
      <c r="K152" s="359"/>
      <c r="L152" s="359"/>
      <c r="M152" s="359"/>
      <c r="N152" s="28"/>
      <c r="O152" s="28"/>
      <c r="P152" s="36">
        <f t="shared" si="2"/>
        <v>4800</v>
      </c>
      <c r="Q152" s="539" t="s">
        <v>395</v>
      </c>
    </row>
    <row r="153" spans="1:17" ht="13.5" customHeight="1">
      <c r="A153" s="25"/>
      <c r="B153" s="25"/>
      <c r="C153" s="745" t="s">
        <v>113</v>
      </c>
      <c r="D153" s="38"/>
      <c r="E153" s="611">
        <v>1</v>
      </c>
      <c r="F153" s="28"/>
      <c r="G153" s="352">
        <v>16</v>
      </c>
      <c r="H153" s="352">
        <v>-16</v>
      </c>
      <c r="I153" s="352"/>
      <c r="J153" s="28"/>
      <c r="K153" s="359"/>
      <c r="L153" s="359"/>
      <c r="M153" s="359"/>
      <c r="N153" s="28"/>
      <c r="O153" s="28"/>
      <c r="P153" s="36">
        <f t="shared" si="2"/>
        <v>0</v>
      </c>
      <c r="Q153" s="539" t="s">
        <v>72</v>
      </c>
    </row>
    <row r="154" spans="1:17" ht="13.5" customHeight="1">
      <c r="A154" s="25"/>
      <c r="B154" s="25"/>
      <c r="C154" s="40" t="s">
        <v>816</v>
      </c>
      <c r="D154" s="38"/>
      <c r="E154" s="611">
        <v>1</v>
      </c>
      <c r="F154" s="28"/>
      <c r="G154" s="352"/>
      <c r="H154" s="352">
        <v>16000</v>
      </c>
      <c r="I154" s="352"/>
      <c r="J154" s="28"/>
      <c r="K154" s="359"/>
      <c r="L154" s="359"/>
      <c r="M154" s="359"/>
      <c r="N154" s="28"/>
      <c r="O154" s="28"/>
      <c r="P154" s="36">
        <f t="shared" si="2"/>
        <v>16000</v>
      </c>
      <c r="Q154" s="539" t="s">
        <v>72</v>
      </c>
    </row>
    <row r="155" spans="1:17" ht="13.5" customHeight="1">
      <c r="A155" s="25"/>
      <c r="B155" s="25"/>
      <c r="C155" s="880" t="s">
        <v>756</v>
      </c>
      <c r="D155" s="861"/>
      <c r="E155" s="611"/>
      <c r="F155" s="28"/>
      <c r="G155" s="28"/>
      <c r="H155" s="352"/>
      <c r="I155" s="352"/>
      <c r="J155" s="28"/>
      <c r="K155" s="359"/>
      <c r="L155" s="359"/>
      <c r="M155" s="359"/>
      <c r="N155" s="28"/>
      <c r="O155" s="28"/>
      <c r="P155" s="36">
        <f t="shared" si="2"/>
        <v>0</v>
      </c>
      <c r="Q155" s="539"/>
    </row>
    <row r="156" spans="1:17" ht="13.5" customHeight="1">
      <c r="A156" s="25"/>
      <c r="B156" s="25"/>
      <c r="C156" s="49" t="s">
        <v>757</v>
      </c>
      <c r="D156" s="50"/>
      <c r="E156" s="611">
        <v>1</v>
      </c>
      <c r="F156" s="28"/>
      <c r="G156" s="28"/>
      <c r="H156" s="352"/>
      <c r="I156" s="352">
        <v>10000</v>
      </c>
      <c r="J156" s="28"/>
      <c r="K156" s="359"/>
      <c r="L156" s="359"/>
      <c r="M156" s="359"/>
      <c r="N156" s="28"/>
      <c r="O156" s="28"/>
      <c r="P156" s="36">
        <f t="shared" si="2"/>
        <v>10000</v>
      </c>
      <c r="Q156" s="539" t="s">
        <v>72</v>
      </c>
    </row>
    <row r="157" spans="1:17" ht="13.5" customHeight="1">
      <c r="A157" s="25"/>
      <c r="B157" s="25"/>
      <c r="C157" s="864" t="s">
        <v>636</v>
      </c>
      <c r="D157" s="865"/>
      <c r="E157" s="611"/>
      <c r="F157" s="28"/>
      <c r="G157" s="28"/>
      <c r="H157" s="352"/>
      <c r="I157" s="352"/>
      <c r="J157" s="28"/>
      <c r="K157" s="359"/>
      <c r="L157" s="359"/>
      <c r="M157" s="359"/>
      <c r="N157" s="28"/>
      <c r="O157" s="28"/>
      <c r="P157" s="36">
        <f t="shared" si="2"/>
        <v>0</v>
      </c>
      <c r="Q157" s="539"/>
    </row>
    <row r="158" spans="1:17" ht="13.5" customHeight="1">
      <c r="A158" s="25"/>
      <c r="B158" s="25"/>
      <c r="C158" s="40" t="s">
        <v>758</v>
      </c>
      <c r="D158" s="38"/>
      <c r="E158" s="611">
        <v>1</v>
      </c>
      <c r="F158" s="28"/>
      <c r="G158" s="28"/>
      <c r="H158" s="352">
        <v>1500</v>
      </c>
      <c r="I158" s="352"/>
      <c r="J158" s="28"/>
      <c r="K158" s="359"/>
      <c r="L158" s="359"/>
      <c r="M158" s="359"/>
      <c r="N158" s="28"/>
      <c r="O158" s="28"/>
      <c r="P158" s="36">
        <f t="shared" si="2"/>
        <v>1500</v>
      </c>
      <c r="Q158" s="539" t="s">
        <v>395</v>
      </c>
    </row>
    <row r="159" spans="1:17" ht="13.5" customHeight="1">
      <c r="A159" s="25"/>
      <c r="B159" s="25"/>
      <c r="C159" s="869" t="s">
        <v>759</v>
      </c>
      <c r="D159" s="870"/>
      <c r="E159" s="611">
        <v>1</v>
      </c>
      <c r="F159" s="28"/>
      <c r="G159" s="28"/>
      <c r="H159" s="352">
        <v>-1500</v>
      </c>
      <c r="I159" s="352"/>
      <c r="J159" s="28"/>
      <c r="K159" s="359"/>
      <c r="L159" s="359"/>
      <c r="M159" s="359"/>
      <c r="N159" s="28"/>
      <c r="O159" s="28"/>
      <c r="P159" s="36">
        <f t="shared" si="2"/>
        <v>-1500</v>
      </c>
      <c r="Q159" s="539" t="s">
        <v>395</v>
      </c>
    </row>
    <row r="160" spans="1:17" ht="24.75" customHeight="1">
      <c r="A160" s="25"/>
      <c r="B160" s="25"/>
      <c r="C160" s="869" t="s">
        <v>760</v>
      </c>
      <c r="D160" s="870"/>
      <c r="E160" s="611">
        <v>1</v>
      </c>
      <c r="F160" s="28"/>
      <c r="G160" s="28"/>
      <c r="H160" s="352">
        <v>-737</v>
      </c>
      <c r="I160" s="352"/>
      <c r="J160" s="28"/>
      <c r="K160" s="359"/>
      <c r="L160" s="359"/>
      <c r="M160" s="359"/>
      <c r="N160" s="28"/>
      <c r="O160" s="28"/>
      <c r="P160" s="36">
        <f t="shared" si="2"/>
        <v>-737</v>
      </c>
      <c r="Q160" s="539" t="s">
        <v>395</v>
      </c>
    </row>
    <row r="161" spans="1:17" ht="15" customHeight="1">
      <c r="A161" s="25"/>
      <c r="B161" s="25"/>
      <c r="C161" s="40" t="s">
        <v>762</v>
      </c>
      <c r="D161" s="38"/>
      <c r="E161" s="611"/>
      <c r="F161" s="28"/>
      <c r="G161" s="28"/>
      <c r="H161" s="352"/>
      <c r="I161" s="352"/>
      <c r="J161" s="28"/>
      <c r="K161" s="359"/>
      <c r="L161" s="359"/>
      <c r="M161" s="359"/>
      <c r="N161" s="28"/>
      <c r="O161" s="28"/>
      <c r="P161" s="36"/>
      <c r="Q161" s="539"/>
    </row>
    <row r="162" spans="1:17" ht="13.5" customHeight="1">
      <c r="A162" s="25"/>
      <c r="B162" s="25"/>
      <c r="C162" s="40" t="s">
        <v>763</v>
      </c>
      <c r="D162" s="38"/>
      <c r="E162" s="593">
        <v>1</v>
      </c>
      <c r="F162" s="28"/>
      <c r="G162" s="28"/>
      <c r="H162" s="352">
        <v>8751</v>
      </c>
      <c r="I162" s="352"/>
      <c r="J162" s="28"/>
      <c r="K162" s="359"/>
      <c r="L162" s="359"/>
      <c r="M162" s="359"/>
      <c r="N162" s="28"/>
      <c r="O162" s="28"/>
      <c r="P162" s="36">
        <f t="shared" si="2"/>
        <v>8751</v>
      </c>
      <c r="Q162" s="539" t="s">
        <v>72</v>
      </c>
    </row>
    <row r="163" spans="1:17" ht="13.5" customHeight="1">
      <c r="A163" s="25"/>
      <c r="B163" s="25"/>
      <c r="C163" s="40" t="s">
        <v>764</v>
      </c>
      <c r="D163" s="364"/>
      <c r="E163" s="607">
        <v>1</v>
      </c>
      <c r="F163" s="28"/>
      <c r="G163" s="28"/>
      <c r="H163" s="352">
        <v>1000</v>
      </c>
      <c r="I163" s="352"/>
      <c r="J163" s="28"/>
      <c r="K163" s="359"/>
      <c r="L163" s="359"/>
      <c r="M163" s="359"/>
      <c r="N163" s="28"/>
      <c r="O163" s="28"/>
      <c r="P163" s="36">
        <f t="shared" si="2"/>
        <v>1000</v>
      </c>
      <c r="Q163" s="539" t="s">
        <v>72</v>
      </c>
    </row>
    <row r="164" spans="1:17" ht="13.5" customHeight="1">
      <c r="A164" s="353"/>
      <c r="B164" s="353"/>
      <c r="C164" s="42" t="s">
        <v>809</v>
      </c>
      <c r="D164" s="365"/>
      <c r="E164" s="612"/>
      <c r="F164" s="356">
        <f>SUM(F152:F163)</f>
        <v>0</v>
      </c>
      <c r="G164" s="356">
        <f aca="true" t="shared" si="10" ref="G164:P164">SUM(G152:G163)</f>
        <v>16</v>
      </c>
      <c r="H164" s="356">
        <f t="shared" si="10"/>
        <v>29798</v>
      </c>
      <c r="I164" s="356">
        <f t="shared" si="10"/>
        <v>10000</v>
      </c>
      <c r="J164" s="356">
        <f t="shared" si="10"/>
        <v>0</v>
      </c>
      <c r="K164" s="356">
        <f t="shared" si="10"/>
        <v>0</v>
      </c>
      <c r="L164" s="356">
        <f t="shared" si="10"/>
        <v>0</v>
      </c>
      <c r="M164" s="356">
        <f t="shared" si="10"/>
        <v>0</v>
      </c>
      <c r="N164" s="356">
        <f t="shared" si="10"/>
        <v>0</v>
      </c>
      <c r="O164" s="356">
        <f t="shared" si="10"/>
        <v>0</v>
      </c>
      <c r="P164" s="356">
        <f t="shared" si="10"/>
        <v>39814</v>
      </c>
      <c r="Q164" s="367"/>
    </row>
    <row r="165" spans="1:17" ht="13.5" customHeight="1">
      <c r="A165" s="25"/>
      <c r="B165" s="25"/>
      <c r="C165" s="40" t="s">
        <v>374</v>
      </c>
      <c r="D165" s="364"/>
      <c r="E165" s="603"/>
      <c r="F165" s="28"/>
      <c r="G165" s="28"/>
      <c r="H165" s="28"/>
      <c r="I165" s="28"/>
      <c r="J165" s="28"/>
      <c r="K165" s="359"/>
      <c r="L165" s="352">
        <f>8!J144</f>
        <v>5292</v>
      </c>
      <c r="M165" s="352">
        <f>8!K144</f>
        <v>12413</v>
      </c>
      <c r="N165" s="28"/>
      <c r="O165" s="28"/>
      <c r="P165" s="36">
        <f t="shared" si="2"/>
        <v>17705</v>
      </c>
      <c r="Q165" s="370"/>
    </row>
    <row r="166" spans="1:17" ht="13.5" customHeight="1">
      <c r="A166" s="25"/>
      <c r="B166" s="25"/>
      <c r="C166" s="40" t="s">
        <v>376</v>
      </c>
      <c r="D166" s="364"/>
      <c r="E166" s="603"/>
      <c r="F166" s="28"/>
      <c r="G166" s="28"/>
      <c r="H166" s="28"/>
      <c r="I166" s="28"/>
      <c r="J166" s="28"/>
      <c r="K166" s="359">
        <f>7!J240</f>
        <v>4397</v>
      </c>
      <c r="L166" s="352"/>
      <c r="M166" s="352">
        <f>7!K240</f>
        <v>100</v>
      </c>
      <c r="N166" s="28"/>
      <c r="O166" s="28"/>
      <c r="P166" s="36">
        <f t="shared" si="2"/>
        <v>4497</v>
      </c>
      <c r="Q166" s="370"/>
    </row>
    <row r="167" spans="1:17" ht="13.5" customHeight="1">
      <c r="A167" s="353"/>
      <c r="B167" s="353"/>
      <c r="C167" s="42" t="s">
        <v>1152</v>
      </c>
      <c r="D167" s="365"/>
      <c r="E167" s="612"/>
      <c r="F167" s="356">
        <f>SUM(F164:F166)</f>
        <v>0</v>
      </c>
      <c r="G167" s="356">
        <f aca="true" t="shared" si="11" ref="G167:P167">SUM(G164:G166)</f>
        <v>16</v>
      </c>
      <c r="H167" s="356">
        <f t="shared" si="11"/>
        <v>29798</v>
      </c>
      <c r="I167" s="356">
        <f t="shared" si="11"/>
        <v>10000</v>
      </c>
      <c r="J167" s="356">
        <f t="shared" si="11"/>
        <v>0</v>
      </c>
      <c r="K167" s="356">
        <f t="shared" si="11"/>
        <v>4397</v>
      </c>
      <c r="L167" s="356">
        <f t="shared" si="11"/>
        <v>5292</v>
      </c>
      <c r="M167" s="356">
        <f t="shared" si="11"/>
        <v>12513</v>
      </c>
      <c r="N167" s="356">
        <f t="shared" si="11"/>
        <v>0</v>
      </c>
      <c r="O167" s="356">
        <f t="shared" si="11"/>
        <v>0</v>
      </c>
      <c r="P167" s="356">
        <f t="shared" si="11"/>
        <v>62016</v>
      </c>
      <c r="Q167" s="367"/>
    </row>
    <row r="168" spans="1:17" ht="13.5" customHeight="1">
      <c r="A168" s="25">
        <v>1</v>
      </c>
      <c r="B168" s="25">
        <v>18</v>
      </c>
      <c r="C168" s="46" t="s">
        <v>810</v>
      </c>
      <c r="D168" s="364"/>
      <c r="E168" s="603"/>
      <c r="F168" s="28"/>
      <c r="G168" s="28"/>
      <c r="H168" s="28"/>
      <c r="I168" s="28"/>
      <c r="J168" s="28"/>
      <c r="K168" s="359"/>
      <c r="L168" s="359"/>
      <c r="M168" s="359"/>
      <c r="N168" s="28"/>
      <c r="O168" s="28"/>
      <c r="P168" s="36"/>
      <c r="Q168" s="370"/>
    </row>
    <row r="169" spans="1:17" ht="24.75" customHeight="1">
      <c r="A169" s="25"/>
      <c r="B169" s="25"/>
      <c r="C169" s="869" t="s">
        <v>429</v>
      </c>
      <c r="D169" s="871"/>
      <c r="E169" s="605"/>
      <c r="F169" s="28"/>
      <c r="G169" s="28"/>
      <c r="H169" s="28"/>
      <c r="I169" s="28"/>
      <c r="J169" s="28"/>
      <c r="K169" s="359"/>
      <c r="L169" s="359"/>
      <c r="M169" s="359"/>
      <c r="N169" s="28"/>
      <c r="O169" s="28"/>
      <c r="P169" s="36"/>
      <c r="Q169" s="370"/>
    </row>
    <row r="170" spans="1:17" ht="24.75" customHeight="1">
      <c r="A170" s="25"/>
      <c r="B170" s="25"/>
      <c r="C170" s="869" t="s">
        <v>940</v>
      </c>
      <c r="D170" s="865"/>
      <c r="E170" s="679">
        <v>1</v>
      </c>
      <c r="F170" s="28"/>
      <c r="G170" s="28"/>
      <c r="H170" s="352">
        <v>1000</v>
      </c>
      <c r="I170" s="352"/>
      <c r="J170" s="28"/>
      <c r="K170" s="359"/>
      <c r="L170" s="359"/>
      <c r="M170" s="359"/>
      <c r="N170" s="28"/>
      <c r="O170" s="28"/>
      <c r="P170" s="36">
        <f t="shared" si="2"/>
        <v>1000</v>
      </c>
      <c r="Q170" s="540" t="s">
        <v>72</v>
      </c>
    </row>
    <row r="171" spans="1:17" ht="13.5" customHeight="1">
      <c r="A171" s="353"/>
      <c r="B171" s="353"/>
      <c r="C171" s="42" t="s">
        <v>811</v>
      </c>
      <c r="D171" s="365"/>
      <c r="E171" s="612"/>
      <c r="F171" s="356">
        <f aca="true" t="shared" si="12" ref="F171:P171">SUM(F169:F170)</f>
        <v>0</v>
      </c>
      <c r="G171" s="356">
        <f t="shared" si="12"/>
        <v>0</v>
      </c>
      <c r="H171" s="356">
        <f t="shared" si="12"/>
        <v>1000</v>
      </c>
      <c r="I171" s="356">
        <f t="shared" si="12"/>
        <v>0</v>
      </c>
      <c r="J171" s="356">
        <f t="shared" si="12"/>
        <v>0</v>
      </c>
      <c r="K171" s="356">
        <f t="shared" si="12"/>
        <v>0</v>
      </c>
      <c r="L171" s="356">
        <f t="shared" si="12"/>
        <v>0</v>
      </c>
      <c r="M171" s="356">
        <f t="shared" si="12"/>
        <v>0</v>
      </c>
      <c r="N171" s="356">
        <f t="shared" si="12"/>
        <v>0</v>
      </c>
      <c r="O171" s="356">
        <f t="shared" si="12"/>
        <v>0</v>
      </c>
      <c r="P171" s="356">
        <f t="shared" si="12"/>
        <v>1000</v>
      </c>
      <c r="Q171" s="367"/>
    </row>
    <row r="172" spans="1:17" ht="13.5" customHeight="1">
      <c r="A172" s="25"/>
      <c r="B172" s="25"/>
      <c r="C172" s="40" t="s">
        <v>376</v>
      </c>
      <c r="D172" s="364"/>
      <c r="E172" s="603"/>
      <c r="F172" s="28"/>
      <c r="G172" s="28"/>
      <c r="H172" s="28"/>
      <c r="I172" s="28"/>
      <c r="J172" s="28"/>
      <c r="K172" s="359">
        <f>7!J243</f>
        <v>0</v>
      </c>
      <c r="L172" s="359"/>
      <c r="M172" s="359">
        <f>7!K243</f>
        <v>0</v>
      </c>
      <c r="N172" s="28"/>
      <c r="O172" s="28"/>
      <c r="P172" s="36">
        <f t="shared" si="2"/>
        <v>0</v>
      </c>
      <c r="Q172" s="370"/>
    </row>
    <row r="173" spans="1:17" ht="13.5" customHeight="1">
      <c r="A173" s="353"/>
      <c r="B173" s="353"/>
      <c r="C173" s="42" t="s">
        <v>1153</v>
      </c>
      <c r="D173" s="365"/>
      <c r="E173" s="612"/>
      <c r="F173" s="356">
        <f>SUM(F171:F172)</f>
        <v>0</v>
      </c>
      <c r="G173" s="356">
        <f aca="true" t="shared" si="13" ref="G173:P173">SUM(G171:G172)</f>
        <v>0</v>
      </c>
      <c r="H173" s="356">
        <f t="shared" si="13"/>
        <v>1000</v>
      </c>
      <c r="I173" s="356">
        <f t="shared" si="13"/>
        <v>0</v>
      </c>
      <c r="J173" s="356">
        <f t="shared" si="13"/>
        <v>0</v>
      </c>
      <c r="K173" s="356">
        <f t="shared" si="13"/>
        <v>0</v>
      </c>
      <c r="L173" s="356">
        <f t="shared" si="13"/>
        <v>0</v>
      </c>
      <c r="M173" s="356">
        <f t="shared" si="13"/>
        <v>0</v>
      </c>
      <c r="N173" s="356">
        <f t="shared" si="13"/>
        <v>0</v>
      </c>
      <c r="O173" s="356">
        <f t="shared" si="13"/>
        <v>0</v>
      </c>
      <c r="P173" s="356">
        <f t="shared" si="13"/>
        <v>1000</v>
      </c>
      <c r="Q173" s="367"/>
    </row>
    <row r="174" spans="1:17" ht="13.5" customHeight="1">
      <c r="A174" s="48">
        <v>1</v>
      </c>
      <c r="B174" s="48">
        <v>19</v>
      </c>
      <c r="C174" s="54" t="s">
        <v>368</v>
      </c>
      <c r="D174" s="50"/>
      <c r="E174" s="60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36"/>
      <c r="Q174" s="155"/>
    </row>
    <row r="175" spans="1:17" ht="24.75" customHeight="1">
      <c r="A175" s="48"/>
      <c r="B175" s="48"/>
      <c r="C175" s="886" t="s">
        <v>429</v>
      </c>
      <c r="D175" s="883"/>
      <c r="E175" s="605"/>
      <c r="F175" s="352"/>
      <c r="G175" s="352"/>
      <c r="H175" s="352"/>
      <c r="I175" s="352"/>
      <c r="J175" s="352"/>
      <c r="K175" s="352"/>
      <c r="L175" s="352"/>
      <c r="M175" s="352"/>
      <c r="N175" s="352"/>
      <c r="O175" s="352"/>
      <c r="P175" s="36"/>
      <c r="Q175" s="155"/>
    </row>
    <row r="176" spans="1:17" ht="24.75" customHeight="1">
      <c r="A176" s="48"/>
      <c r="B176" s="48"/>
      <c r="C176" s="869" t="s">
        <v>968</v>
      </c>
      <c r="D176" s="887"/>
      <c r="E176" s="605">
        <v>1</v>
      </c>
      <c r="F176" s="352"/>
      <c r="G176" s="352"/>
      <c r="H176" s="352"/>
      <c r="I176" s="352">
        <v>9734</v>
      </c>
      <c r="J176" s="352"/>
      <c r="K176" s="352"/>
      <c r="L176" s="352"/>
      <c r="M176" s="352"/>
      <c r="N176" s="352"/>
      <c r="O176" s="352"/>
      <c r="P176" s="36">
        <f t="shared" si="2"/>
        <v>9734</v>
      </c>
      <c r="Q176" s="155" t="s">
        <v>72</v>
      </c>
    </row>
    <row r="177" spans="1:17" ht="24.75" customHeight="1">
      <c r="A177" s="48"/>
      <c r="B177" s="48"/>
      <c r="C177" s="818" t="s">
        <v>969</v>
      </c>
      <c r="D177" s="868"/>
      <c r="E177" s="605">
        <v>1</v>
      </c>
      <c r="F177" s="352"/>
      <c r="G177" s="352"/>
      <c r="H177" s="352"/>
      <c r="I177" s="352">
        <v>2856</v>
      </c>
      <c r="J177" s="352"/>
      <c r="K177" s="352"/>
      <c r="L177" s="352"/>
      <c r="M177" s="352"/>
      <c r="N177" s="352"/>
      <c r="O177" s="352"/>
      <c r="P177" s="36">
        <f t="shared" si="2"/>
        <v>2856</v>
      </c>
      <c r="Q177" s="155" t="s">
        <v>72</v>
      </c>
    </row>
    <row r="178" spans="1:17" ht="13.5" customHeight="1">
      <c r="A178" s="48"/>
      <c r="B178" s="48"/>
      <c r="C178" s="49" t="s">
        <v>453</v>
      </c>
      <c r="D178" s="236"/>
      <c r="E178" s="593">
        <v>1</v>
      </c>
      <c r="F178" s="352"/>
      <c r="G178" s="352"/>
      <c r="H178" s="352">
        <v>123930</v>
      </c>
      <c r="I178" s="352"/>
      <c r="J178" s="352"/>
      <c r="K178" s="352"/>
      <c r="L178" s="352"/>
      <c r="M178" s="352"/>
      <c r="N178" s="352"/>
      <c r="O178" s="352"/>
      <c r="P178" s="36">
        <f t="shared" si="2"/>
        <v>123930</v>
      </c>
      <c r="Q178" s="155" t="s">
        <v>72</v>
      </c>
    </row>
    <row r="179" spans="1:17" ht="15" customHeight="1">
      <c r="A179" s="48"/>
      <c r="B179" s="48"/>
      <c r="C179" s="880" t="s">
        <v>765</v>
      </c>
      <c r="D179" s="861"/>
      <c r="E179" s="593">
        <v>1</v>
      </c>
      <c r="F179" s="352"/>
      <c r="G179" s="352"/>
      <c r="H179" s="352">
        <v>9000</v>
      </c>
      <c r="I179" s="352"/>
      <c r="J179" s="352"/>
      <c r="K179" s="352"/>
      <c r="L179" s="352"/>
      <c r="M179" s="352"/>
      <c r="N179" s="352"/>
      <c r="O179" s="352"/>
      <c r="P179" s="36">
        <f t="shared" si="2"/>
        <v>9000</v>
      </c>
      <c r="Q179" s="155" t="s">
        <v>72</v>
      </c>
    </row>
    <row r="180" spans="1:17" ht="24.75" customHeight="1">
      <c r="A180" s="48"/>
      <c r="B180" s="48"/>
      <c r="C180" s="888" t="s">
        <v>861</v>
      </c>
      <c r="D180" s="882"/>
      <c r="E180" s="593">
        <v>1</v>
      </c>
      <c r="F180" s="352"/>
      <c r="G180" s="352"/>
      <c r="H180" s="352">
        <v>16287</v>
      </c>
      <c r="I180" s="352"/>
      <c r="J180" s="352"/>
      <c r="K180" s="352"/>
      <c r="L180" s="352"/>
      <c r="M180" s="352"/>
      <c r="N180" s="352"/>
      <c r="O180" s="352"/>
      <c r="P180" s="36">
        <f t="shared" si="2"/>
        <v>16287</v>
      </c>
      <c r="Q180" s="155" t="s">
        <v>72</v>
      </c>
    </row>
    <row r="181" spans="1:17" ht="24.75" customHeight="1">
      <c r="A181" s="48"/>
      <c r="B181" s="48"/>
      <c r="C181" s="872" t="s">
        <v>766</v>
      </c>
      <c r="D181" s="873"/>
      <c r="E181" s="593">
        <v>1</v>
      </c>
      <c r="F181" s="352"/>
      <c r="G181" s="352"/>
      <c r="H181" s="352">
        <v>-9000</v>
      </c>
      <c r="I181" s="352"/>
      <c r="J181" s="352"/>
      <c r="K181" s="352"/>
      <c r="L181" s="352"/>
      <c r="M181" s="352"/>
      <c r="N181" s="352"/>
      <c r="O181" s="352"/>
      <c r="P181" s="36">
        <f t="shared" si="2"/>
        <v>-9000</v>
      </c>
      <c r="Q181" s="155" t="s">
        <v>72</v>
      </c>
    </row>
    <row r="182" spans="1:17" ht="24.75" customHeight="1">
      <c r="A182" s="48"/>
      <c r="B182" s="48"/>
      <c r="C182" s="818" t="s">
        <v>427</v>
      </c>
      <c r="D182" s="868"/>
      <c r="E182" s="593">
        <v>2</v>
      </c>
      <c r="F182" s="352"/>
      <c r="G182" s="352"/>
      <c r="H182" s="352"/>
      <c r="I182" s="352">
        <v>16000</v>
      </c>
      <c r="J182" s="352"/>
      <c r="K182" s="352"/>
      <c r="L182" s="352"/>
      <c r="M182" s="352"/>
      <c r="N182" s="352"/>
      <c r="O182" s="352"/>
      <c r="P182" s="36">
        <f t="shared" si="2"/>
        <v>16000</v>
      </c>
      <c r="Q182" s="155" t="s">
        <v>72</v>
      </c>
    </row>
    <row r="183" spans="1:17" ht="24.75" customHeight="1">
      <c r="A183" s="48"/>
      <c r="B183" s="48"/>
      <c r="C183" s="818" t="s">
        <v>768</v>
      </c>
      <c r="D183" s="868"/>
      <c r="E183" s="593">
        <v>1</v>
      </c>
      <c r="F183" s="352">
        <v>17626</v>
      </c>
      <c r="G183" s="352">
        <v>2884</v>
      </c>
      <c r="H183" s="352"/>
      <c r="I183" s="352"/>
      <c r="J183" s="352"/>
      <c r="K183" s="352"/>
      <c r="L183" s="352"/>
      <c r="M183" s="352"/>
      <c r="N183" s="352"/>
      <c r="O183" s="352"/>
      <c r="P183" s="36">
        <f t="shared" si="2"/>
        <v>20510</v>
      </c>
      <c r="Q183" s="155" t="s">
        <v>72</v>
      </c>
    </row>
    <row r="184" spans="1:17" ht="24.75" customHeight="1">
      <c r="A184" s="48"/>
      <c r="B184" s="48"/>
      <c r="C184" s="928" t="s">
        <v>814</v>
      </c>
      <c r="D184" s="929"/>
      <c r="E184" s="593">
        <v>1</v>
      </c>
      <c r="F184" s="352"/>
      <c r="G184" s="352"/>
      <c r="H184" s="352">
        <v>2134</v>
      </c>
      <c r="I184" s="352"/>
      <c r="J184" s="352"/>
      <c r="K184" s="352"/>
      <c r="L184" s="352"/>
      <c r="M184" s="352"/>
      <c r="N184" s="352"/>
      <c r="O184" s="352"/>
      <c r="P184" s="36">
        <f t="shared" si="2"/>
        <v>2134</v>
      </c>
      <c r="Q184" s="155" t="s">
        <v>72</v>
      </c>
    </row>
    <row r="185" spans="1:17" ht="15" customHeight="1">
      <c r="A185" s="48"/>
      <c r="B185" s="48"/>
      <c r="C185" s="40" t="s">
        <v>747</v>
      </c>
      <c r="D185" s="38"/>
      <c r="E185" s="593"/>
      <c r="F185" s="352"/>
      <c r="G185" s="352"/>
      <c r="H185" s="352"/>
      <c r="I185" s="352"/>
      <c r="J185" s="352"/>
      <c r="K185" s="352"/>
      <c r="L185" s="352"/>
      <c r="M185" s="352"/>
      <c r="N185" s="352"/>
      <c r="O185" s="352"/>
      <c r="P185" s="36"/>
      <c r="Q185" s="155"/>
    </row>
    <row r="186" spans="1:17" ht="15" customHeight="1">
      <c r="A186" s="48"/>
      <c r="B186" s="48"/>
      <c r="C186" s="40" t="s">
        <v>767</v>
      </c>
      <c r="D186" s="38"/>
      <c r="E186" s="593">
        <v>2</v>
      </c>
      <c r="F186" s="352"/>
      <c r="G186" s="352"/>
      <c r="H186" s="352"/>
      <c r="I186" s="352">
        <v>-525</v>
      </c>
      <c r="J186" s="352"/>
      <c r="K186" s="352"/>
      <c r="L186" s="352"/>
      <c r="M186" s="352"/>
      <c r="N186" s="352"/>
      <c r="O186" s="352"/>
      <c r="P186" s="36">
        <f t="shared" si="2"/>
        <v>-525</v>
      </c>
      <c r="Q186" s="155" t="s">
        <v>707</v>
      </c>
    </row>
    <row r="187" spans="1:17" ht="15" customHeight="1">
      <c r="A187" s="48"/>
      <c r="B187" s="48"/>
      <c r="C187" s="860" t="s">
        <v>938</v>
      </c>
      <c r="D187" s="879"/>
      <c r="E187" s="593"/>
      <c r="F187" s="352"/>
      <c r="G187" s="352"/>
      <c r="H187" s="352"/>
      <c r="I187" s="352"/>
      <c r="J187" s="352"/>
      <c r="K187" s="352"/>
      <c r="L187" s="352"/>
      <c r="M187" s="352"/>
      <c r="N187" s="352"/>
      <c r="O187" s="352"/>
      <c r="P187" s="36"/>
      <c r="Q187" s="155"/>
    </row>
    <row r="188" spans="1:17" ht="24.75" customHeight="1">
      <c r="A188" s="48"/>
      <c r="B188" s="48"/>
      <c r="C188" s="818" t="s">
        <v>821</v>
      </c>
      <c r="D188" s="868"/>
      <c r="E188" s="593">
        <v>1</v>
      </c>
      <c r="F188" s="352"/>
      <c r="G188" s="352"/>
      <c r="H188" s="352"/>
      <c r="I188" s="352">
        <v>4642</v>
      </c>
      <c r="J188" s="352"/>
      <c r="K188" s="352"/>
      <c r="L188" s="352"/>
      <c r="M188" s="352"/>
      <c r="N188" s="352"/>
      <c r="O188" s="352"/>
      <c r="P188" s="36">
        <f t="shared" si="2"/>
        <v>4642</v>
      </c>
      <c r="Q188" s="155" t="s">
        <v>72</v>
      </c>
    </row>
    <row r="189" spans="1:17" ht="13.5" customHeight="1">
      <c r="A189" s="48"/>
      <c r="B189" s="48"/>
      <c r="C189" s="880" t="s">
        <v>992</v>
      </c>
      <c r="D189" s="861"/>
      <c r="E189" s="593"/>
      <c r="F189" s="352"/>
      <c r="G189" s="352"/>
      <c r="H189" s="352"/>
      <c r="I189" s="352"/>
      <c r="J189" s="352"/>
      <c r="K189" s="352"/>
      <c r="L189" s="352"/>
      <c r="M189" s="352"/>
      <c r="N189" s="352"/>
      <c r="O189" s="352"/>
      <c r="P189" s="36"/>
      <c r="Q189" s="155"/>
    </row>
    <row r="190" spans="1:17" ht="15" customHeight="1">
      <c r="A190" s="48"/>
      <c r="B190" s="48"/>
      <c r="C190" s="49" t="s">
        <v>993</v>
      </c>
      <c r="D190" s="50"/>
      <c r="E190" s="604">
        <v>2</v>
      </c>
      <c r="F190" s="352">
        <v>300</v>
      </c>
      <c r="G190" s="352">
        <v>650</v>
      </c>
      <c r="H190" s="352">
        <v>-1030</v>
      </c>
      <c r="I190" s="352">
        <v>80</v>
      </c>
      <c r="J190" s="352"/>
      <c r="K190" s="352"/>
      <c r="L190" s="352"/>
      <c r="M190" s="352"/>
      <c r="N190" s="352"/>
      <c r="O190" s="352"/>
      <c r="P190" s="36">
        <f t="shared" si="2"/>
        <v>0</v>
      </c>
      <c r="Q190" s="155" t="s">
        <v>72</v>
      </c>
    </row>
    <row r="191" spans="1:17" ht="13.5" customHeight="1">
      <c r="A191" s="358"/>
      <c r="B191" s="358"/>
      <c r="C191" s="42" t="s">
        <v>830</v>
      </c>
      <c r="D191" s="354"/>
      <c r="E191" s="600"/>
      <c r="F191" s="356">
        <f aca="true" t="shared" si="14" ref="F191:P191">SUM(F175:F190)</f>
        <v>17926</v>
      </c>
      <c r="G191" s="356">
        <f t="shared" si="14"/>
        <v>3534</v>
      </c>
      <c r="H191" s="356">
        <f t="shared" si="14"/>
        <v>141321</v>
      </c>
      <c r="I191" s="356">
        <f t="shared" si="14"/>
        <v>32787</v>
      </c>
      <c r="J191" s="356">
        <f t="shared" si="14"/>
        <v>0</v>
      </c>
      <c r="K191" s="356">
        <f t="shared" si="14"/>
        <v>0</v>
      </c>
      <c r="L191" s="356">
        <f t="shared" si="14"/>
        <v>0</v>
      </c>
      <c r="M191" s="356">
        <f t="shared" si="14"/>
        <v>0</v>
      </c>
      <c r="N191" s="356">
        <f t="shared" si="14"/>
        <v>0</v>
      </c>
      <c r="O191" s="356">
        <f t="shared" si="14"/>
        <v>0</v>
      </c>
      <c r="P191" s="356">
        <f t="shared" si="14"/>
        <v>195568</v>
      </c>
      <c r="Q191" s="357"/>
    </row>
    <row r="192" spans="1:17" ht="13.5" customHeight="1">
      <c r="A192" s="25"/>
      <c r="B192" s="25"/>
      <c r="C192" s="49" t="s">
        <v>376</v>
      </c>
      <c r="D192" s="27"/>
      <c r="E192" s="601"/>
      <c r="F192" s="28"/>
      <c r="G192" s="28"/>
      <c r="H192" s="28"/>
      <c r="I192" s="28"/>
      <c r="J192" s="28"/>
      <c r="K192" s="359">
        <f>7!J251</f>
        <v>0</v>
      </c>
      <c r="L192" s="359"/>
      <c r="M192" s="352">
        <f>7!K251</f>
        <v>525</v>
      </c>
      <c r="N192" s="28"/>
      <c r="O192" s="28"/>
      <c r="P192" s="36">
        <f t="shared" si="2"/>
        <v>525</v>
      </c>
      <c r="Q192" s="155" t="s">
        <v>72</v>
      </c>
    </row>
    <row r="193" spans="1:17" ht="13.5" customHeight="1">
      <c r="A193" s="25"/>
      <c r="B193" s="25"/>
      <c r="C193" s="49" t="s">
        <v>374</v>
      </c>
      <c r="D193" s="27"/>
      <c r="E193" s="601"/>
      <c r="F193" s="28"/>
      <c r="G193" s="28"/>
      <c r="H193" s="28"/>
      <c r="I193" s="28"/>
      <c r="J193" s="28"/>
      <c r="K193" s="359"/>
      <c r="L193" s="359">
        <f>8!J149</f>
        <v>0</v>
      </c>
      <c r="M193" s="352">
        <f>8!K149</f>
        <v>1000</v>
      </c>
      <c r="N193" s="28"/>
      <c r="O193" s="28"/>
      <c r="P193" s="36">
        <f t="shared" si="2"/>
        <v>1000</v>
      </c>
      <c r="Q193" s="155"/>
    </row>
    <row r="194" spans="1:17" ht="13.5" customHeight="1">
      <c r="A194" s="353"/>
      <c r="B194" s="353"/>
      <c r="C194" s="42" t="s">
        <v>369</v>
      </c>
      <c r="D194" s="354"/>
      <c r="E194" s="600"/>
      <c r="F194" s="356">
        <f>SUM(F191:F193)</f>
        <v>17926</v>
      </c>
      <c r="G194" s="356">
        <f aca="true" t="shared" si="15" ref="G194:P194">SUM(G191:G193)</f>
        <v>3534</v>
      </c>
      <c r="H194" s="356">
        <f t="shared" si="15"/>
        <v>141321</v>
      </c>
      <c r="I194" s="356">
        <f t="shared" si="15"/>
        <v>32787</v>
      </c>
      <c r="J194" s="356">
        <f t="shared" si="15"/>
        <v>0</v>
      </c>
      <c r="K194" s="356">
        <f t="shared" si="15"/>
        <v>0</v>
      </c>
      <c r="L194" s="356">
        <f t="shared" si="15"/>
        <v>0</v>
      </c>
      <c r="M194" s="356">
        <f t="shared" si="15"/>
        <v>1525</v>
      </c>
      <c r="N194" s="356">
        <f t="shared" si="15"/>
        <v>0</v>
      </c>
      <c r="O194" s="356">
        <f t="shared" si="15"/>
        <v>0</v>
      </c>
      <c r="P194" s="356">
        <f t="shared" si="15"/>
        <v>197093</v>
      </c>
      <c r="Q194" s="357"/>
    </row>
    <row r="195" spans="1:17" ht="13.5" customHeight="1">
      <c r="A195" s="25">
        <v>1</v>
      </c>
      <c r="B195" s="25">
        <v>20</v>
      </c>
      <c r="C195" s="372" t="s">
        <v>831</v>
      </c>
      <c r="D195" s="368"/>
      <c r="E195" s="607"/>
      <c r="F195" s="28"/>
      <c r="G195" s="28"/>
      <c r="H195" s="371"/>
      <c r="I195" s="371"/>
      <c r="J195" s="371"/>
      <c r="K195" s="371"/>
      <c r="L195" s="371"/>
      <c r="M195" s="371"/>
      <c r="N195" s="371"/>
      <c r="O195" s="371"/>
      <c r="P195" s="36">
        <f t="shared" si="2"/>
        <v>0</v>
      </c>
      <c r="Q195" s="369"/>
    </row>
    <row r="196" spans="1:17" ht="13.5" customHeight="1">
      <c r="A196" s="353"/>
      <c r="B196" s="353"/>
      <c r="C196" s="42" t="s">
        <v>292</v>
      </c>
      <c r="D196" s="354"/>
      <c r="E196" s="600">
        <v>1</v>
      </c>
      <c r="F196" s="356">
        <f>SUM(F195:F195)</f>
        <v>0</v>
      </c>
      <c r="G196" s="356">
        <f>SUM(G195:G195)</f>
        <v>0</v>
      </c>
      <c r="H196" s="356">
        <v>0</v>
      </c>
      <c r="I196" s="356">
        <f aca="true" t="shared" si="16" ref="I196:O196">SUM(I195:I195)</f>
        <v>0</v>
      </c>
      <c r="J196" s="356">
        <f t="shared" si="16"/>
        <v>0</v>
      </c>
      <c r="K196" s="356">
        <f t="shared" si="16"/>
        <v>0</v>
      </c>
      <c r="L196" s="356">
        <f t="shared" si="16"/>
        <v>0</v>
      </c>
      <c r="M196" s="356">
        <f t="shared" si="16"/>
        <v>0</v>
      </c>
      <c r="N196" s="356">
        <f t="shared" si="16"/>
        <v>0</v>
      </c>
      <c r="O196" s="356">
        <f t="shared" si="16"/>
        <v>0</v>
      </c>
      <c r="P196" s="356">
        <f>SUM(F196:O196)</f>
        <v>0</v>
      </c>
      <c r="Q196" s="357" t="s">
        <v>72</v>
      </c>
    </row>
    <row r="197" spans="1:17" ht="13.5" customHeight="1">
      <c r="A197" s="360">
        <v>1</v>
      </c>
      <c r="B197" s="360">
        <v>22</v>
      </c>
      <c r="C197" s="925" t="s">
        <v>799</v>
      </c>
      <c r="D197" s="926"/>
      <c r="E197" s="613"/>
      <c r="F197" s="28"/>
      <c r="G197" s="28"/>
      <c r="H197" s="28"/>
      <c r="I197" s="28"/>
      <c r="J197" s="28"/>
      <c r="K197" s="359"/>
      <c r="L197" s="359"/>
      <c r="M197" s="359"/>
      <c r="N197" s="28"/>
      <c r="O197" s="28"/>
      <c r="P197" s="36">
        <f t="shared" si="2"/>
        <v>0</v>
      </c>
      <c r="Q197" s="155"/>
    </row>
    <row r="198" spans="1:17" ht="13.5" customHeight="1">
      <c r="A198" s="360"/>
      <c r="B198" s="360"/>
      <c r="C198" s="932" t="s">
        <v>438</v>
      </c>
      <c r="D198" s="861"/>
      <c r="E198" s="593"/>
      <c r="F198" s="352"/>
      <c r="G198" s="352"/>
      <c r="H198" s="352"/>
      <c r="I198" s="352"/>
      <c r="J198" s="352"/>
      <c r="K198" s="352"/>
      <c r="L198" s="352"/>
      <c r="M198" s="352"/>
      <c r="N198" s="352"/>
      <c r="O198" s="352"/>
      <c r="P198" s="36">
        <f t="shared" si="2"/>
        <v>0</v>
      </c>
      <c r="Q198" s="155"/>
    </row>
    <row r="199" spans="1:17" ht="13.5" customHeight="1">
      <c r="A199" s="360"/>
      <c r="B199" s="360"/>
      <c r="C199" s="537" t="s">
        <v>769</v>
      </c>
      <c r="D199" s="541"/>
      <c r="E199" s="599">
        <v>2</v>
      </c>
      <c r="F199" s="352">
        <v>70</v>
      </c>
      <c r="G199" s="352"/>
      <c r="H199" s="352">
        <v>-70</v>
      </c>
      <c r="I199" s="352">
        <v>400</v>
      </c>
      <c r="J199" s="352"/>
      <c r="K199" s="352"/>
      <c r="L199" s="352"/>
      <c r="M199" s="352"/>
      <c r="N199" s="352"/>
      <c r="O199" s="352"/>
      <c r="P199" s="36">
        <f t="shared" si="2"/>
        <v>400</v>
      </c>
      <c r="Q199" s="369" t="s">
        <v>72</v>
      </c>
    </row>
    <row r="200" spans="1:17" ht="13.5" customHeight="1">
      <c r="A200" s="360"/>
      <c r="B200" s="360"/>
      <c r="C200" s="530" t="s">
        <v>770</v>
      </c>
      <c r="D200" s="541"/>
      <c r="E200" s="599">
        <v>1</v>
      </c>
      <c r="F200" s="352"/>
      <c r="G200" s="352"/>
      <c r="H200" s="352">
        <v>-200</v>
      </c>
      <c r="I200" s="352">
        <v>200</v>
      </c>
      <c r="J200" s="352"/>
      <c r="K200" s="352"/>
      <c r="L200" s="352"/>
      <c r="M200" s="352"/>
      <c r="N200" s="352"/>
      <c r="O200" s="352"/>
      <c r="P200" s="36">
        <f t="shared" si="2"/>
        <v>0</v>
      </c>
      <c r="Q200" s="369" t="s">
        <v>72</v>
      </c>
    </row>
    <row r="201" spans="1:17" ht="13.5" customHeight="1">
      <c r="A201" s="360"/>
      <c r="B201" s="360"/>
      <c r="C201" s="40" t="s">
        <v>1191</v>
      </c>
      <c r="D201" s="541"/>
      <c r="E201" s="599">
        <v>11</v>
      </c>
      <c r="F201" s="352"/>
      <c r="G201" s="352"/>
      <c r="H201" s="352">
        <v>200</v>
      </c>
      <c r="I201" s="352"/>
      <c r="J201" s="352"/>
      <c r="K201" s="352"/>
      <c r="L201" s="352"/>
      <c r="M201" s="352"/>
      <c r="N201" s="352"/>
      <c r="O201" s="352"/>
      <c r="P201" s="36">
        <f t="shared" si="2"/>
        <v>200</v>
      </c>
      <c r="Q201" s="369" t="s">
        <v>72</v>
      </c>
    </row>
    <row r="202" spans="1:17" ht="13.5" customHeight="1">
      <c r="A202" s="360"/>
      <c r="B202" s="360"/>
      <c r="C202" s="530" t="s">
        <v>454</v>
      </c>
      <c r="D202" s="541"/>
      <c r="E202" s="596"/>
      <c r="F202" s="352"/>
      <c r="G202" s="352"/>
      <c r="H202" s="352"/>
      <c r="I202" s="352"/>
      <c r="J202" s="352"/>
      <c r="K202" s="352"/>
      <c r="L202" s="352"/>
      <c r="M202" s="352"/>
      <c r="N202" s="352"/>
      <c r="O202" s="352"/>
      <c r="P202" s="36"/>
      <c r="Q202" s="369"/>
    </row>
    <row r="203" spans="1:17" ht="13.5" customHeight="1">
      <c r="A203" s="360"/>
      <c r="B203" s="360"/>
      <c r="C203" s="881" t="s">
        <v>455</v>
      </c>
      <c r="D203" s="883"/>
      <c r="E203" s="605">
        <v>2</v>
      </c>
      <c r="F203" s="352"/>
      <c r="G203" s="352"/>
      <c r="H203" s="352">
        <v>-400</v>
      </c>
      <c r="I203" s="352">
        <v>400</v>
      </c>
      <c r="J203" s="352"/>
      <c r="K203" s="352"/>
      <c r="L203" s="352"/>
      <c r="M203" s="352"/>
      <c r="N203" s="352"/>
      <c r="O203" s="352"/>
      <c r="P203" s="36">
        <f t="shared" si="2"/>
        <v>0</v>
      </c>
      <c r="Q203" s="369" t="s">
        <v>72</v>
      </c>
    </row>
    <row r="204" spans="1:17" ht="13.5" customHeight="1">
      <c r="A204" s="360"/>
      <c r="B204" s="360"/>
      <c r="C204" s="885" t="s">
        <v>771</v>
      </c>
      <c r="D204" s="897"/>
      <c r="E204" s="614">
        <v>2</v>
      </c>
      <c r="F204" s="352"/>
      <c r="G204" s="352"/>
      <c r="H204" s="352">
        <v>-100</v>
      </c>
      <c r="I204" s="352">
        <v>100</v>
      </c>
      <c r="J204" s="352"/>
      <c r="K204" s="352"/>
      <c r="L204" s="352"/>
      <c r="M204" s="352"/>
      <c r="N204" s="352"/>
      <c r="O204" s="352"/>
      <c r="P204" s="36">
        <f t="shared" si="2"/>
        <v>0</v>
      </c>
      <c r="Q204" s="369" t="s">
        <v>72</v>
      </c>
    </row>
    <row r="205" spans="1:17" ht="13.5" customHeight="1">
      <c r="A205" s="360"/>
      <c r="B205" s="360"/>
      <c r="C205" s="543" t="s">
        <v>456</v>
      </c>
      <c r="D205" s="542"/>
      <c r="E205" s="614">
        <v>2</v>
      </c>
      <c r="F205" s="352"/>
      <c r="G205" s="352">
        <v>63</v>
      </c>
      <c r="H205" s="352">
        <v>-3144</v>
      </c>
      <c r="I205" s="352">
        <v>2851</v>
      </c>
      <c r="J205" s="352"/>
      <c r="K205" s="352"/>
      <c r="L205" s="352"/>
      <c r="M205" s="352"/>
      <c r="N205" s="352"/>
      <c r="O205" s="352"/>
      <c r="P205" s="36">
        <f t="shared" si="2"/>
        <v>-230</v>
      </c>
      <c r="Q205" s="369" t="s">
        <v>72</v>
      </c>
    </row>
    <row r="206" spans="1:17" ht="13.5" customHeight="1">
      <c r="A206" s="360"/>
      <c r="B206" s="360"/>
      <c r="C206" s="544" t="s">
        <v>457</v>
      </c>
      <c r="D206" s="542"/>
      <c r="E206" s="614"/>
      <c r="F206" s="352"/>
      <c r="G206" s="352"/>
      <c r="H206" s="352"/>
      <c r="I206" s="352"/>
      <c r="J206" s="352"/>
      <c r="K206" s="352"/>
      <c r="L206" s="352"/>
      <c r="M206" s="352"/>
      <c r="N206" s="352"/>
      <c r="O206" s="352"/>
      <c r="P206" s="36"/>
      <c r="Q206" s="369"/>
    </row>
    <row r="207" spans="1:17" ht="24.75" customHeight="1">
      <c r="A207" s="360"/>
      <c r="B207" s="360"/>
      <c r="C207" s="818" t="s">
        <v>772</v>
      </c>
      <c r="D207" s="930"/>
      <c r="E207" s="604">
        <v>2</v>
      </c>
      <c r="F207" s="352"/>
      <c r="G207" s="352">
        <v>36</v>
      </c>
      <c r="H207" s="352">
        <v>-4836</v>
      </c>
      <c r="I207" s="352"/>
      <c r="J207" s="352"/>
      <c r="K207" s="352"/>
      <c r="L207" s="352"/>
      <c r="M207" s="352"/>
      <c r="N207" s="352"/>
      <c r="O207" s="352"/>
      <c r="P207" s="36">
        <f>SUM(F207:O207)</f>
        <v>-4800</v>
      </c>
      <c r="Q207" s="369" t="s">
        <v>72</v>
      </c>
    </row>
    <row r="208" spans="1:17" ht="13.5" customHeight="1">
      <c r="A208" s="374"/>
      <c r="B208" s="374"/>
      <c r="C208" s="171" t="s">
        <v>312</v>
      </c>
      <c r="D208" s="375"/>
      <c r="E208" s="615"/>
      <c r="F208" s="356">
        <f aca="true" t="shared" si="17" ref="F208:P208">SUM(F197:F207)</f>
        <v>70</v>
      </c>
      <c r="G208" s="356">
        <f t="shared" si="17"/>
        <v>99</v>
      </c>
      <c r="H208" s="356">
        <f t="shared" si="17"/>
        <v>-8550</v>
      </c>
      <c r="I208" s="356">
        <f t="shared" si="17"/>
        <v>3951</v>
      </c>
      <c r="J208" s="356">
        <f t="shared" si="17"/>
        <v>0</v>
      </c>
      <c r="K208" s="356">
        <f t="shared" si="17"/>
        <v>0</v>
      </c>
      <c r="L208" s="356">
        <f t="shared" si="17"/>
        <v>0</v>
      </c>
      <c r="M208" s="356">
        <f t="shared" si="17"/>
        <v>0</v>
      </c>
      <c r="N208" s="356">
        <f t="shared" si="17"/>
        <v>0</v>
      </c>
      <c r="O208" s="356">
        <f t="shared" si="17"/>
        <v>0</v>
      </c>
      <c r="P208" s="356">
        <f t="shared" si="17"/>
        <v>-4430</v>
      </c>
      <c r="Q208" s="367"/>
    </row>
    <row r="209" spans="1:17" ht="13.5" customHeight="1">
      <c r="A209" s="25"/>
      <c r="B209" s="25"/>
      <c r="C209" s="49" t="s">
        <v>376</v>
      </c>
      <c r="D209" s="27"/>
      <c r="E209" s="601"/>
      <c r="F209" s="28"/>
      <c r="G209" s="28"/>
      <c r="H209" s="28"/>
      <c r="I209" s="28"/>
      <c r="J209" s="28"/>
      <c r="K209" s="352">
        <f>7!J255</f>
        <v>0</v>
      </c>
      <c r="L209" s="352"/>
      <c r="M209" s="352">
        <f>7!K255</f>
        <v>250</v>
      </c>
      <c r="N209" s="28"/>
      <c r="O209" s="28"/>
      <c r="P209" s="36">
        <f>SUM(F209:O209)</f>
        <v>250</v>
      </c>
      <c r="Q209" s="155" t="s">
        <v>72</v>
      </c>
    </row>
    <row r="210" spans="1:17" ht="13.5" customHeight="1">
      <c r="A210" s="353"/>
      <c r="B210" s="353"/>
      <c r="C210" s="42" t="s">
        <v>800</v>
      </c>
      <c r="D210" s="354"/>
      <c r="E210" s="600"/>
      <c r="F210" s="356">
        <f>SUM(F208:F209)</f>
        <v>70</v>
      </c>
      <c r="G210" s="356">
        <f aca="true" t="shared" si="18" ref="G210:P210">SUM(G208:G209)</f>
        <v>99</v>
      </c>
      <c r="H210" s="356">
        <f t="shared" si="18"/>
        <v>-8550</v>
      </c>
      <c r="I210" s="356">
        <f t="shared" si="18"/>
        <v>3951</v>
      </c>
      <c r="J210" s="356">
        <f t="shared" si="18"/>
        <v>0</v>
      </c>
      <c r="K210" s="356">
        <f t="shared" si="18"/>
        <v>0</v>
      </c>
      <c r="L210" s="356">
        <f t="shared" si="18"/>
        <v>0</v>
      </c>
      <c r="M210" s="356">
        <f t="shared" si="18"/>
        <v>250</v>
      </c>
      <c r="N210" s="356">
        <f t="shared" si="18"/>
        <v>0</v>
      </c>
      <c r="O210" s="356">
        <f t="shared" si="18"/>
        <v>0</v>
      </c>
      <c r="P210" s="356">
        <f t="shared" si="18"/>
        <v>-4180</v>
      </c>
      <c r="Q210" s="357"/>
    </row>
    <row r="211" spans="1:17" ht="13.5" customHeight="1">
      <c r="A211" s="48">
        <v>1</v>
      </c>
      <c r="B211" s="48">
        <v>30</v>
      </c>
      <c r="C211" s="54" t="s">
        <v>77</v>
      </c>
      <c r="D211" s="50"/>
      <c r="E211" s="608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36"/>
      <c r="Q211" s="155"/>
    </row>
    <row r="212" spans="1:17" ht="13.5" customHeight="1">
      <c r="A212" s="48">
        <v>1</v>
      </c>
      <c r="B212" s="48">
        <v>31</v>
      </c>
      <c r="C212" s="54" t="s">
        <v>1142</v>
      </c>
      <c r="D212" s="50"/>
      <c r="E212" s="608">
        <v>1</v>
      </c>
      <c r="F212" s="51"/>
      <c r="G212" s="51"/>
      <c r="H212" s="51"/>
      <c r="I212" s="51"/>
      <c r="J212" s="51"/>
      <c r="K212" s="51"/>
      <c r="L212" s="51"/>
      <c r="M212" s="51"/>
      <c r="N212" s="51"/>
      <c r="O212" s="51">
        <v>-1825</v>
      </c>
      <c r="P212" s="36">
        <f>SUM(O212)</f>
        <v>-1825</v>
      </c>
      <c r="Q212" s="155" t="s">
        <v>72</v>
      </c>
    </row>
    <row r="213" spans="1:17" ht="13.5" customHeight="1">
      <c r="A213" s="48"/>
      <c r="B213" s="48">
        <v>32</v>
      </c>
      <c r="C213" s="54" t="s">
        <v>340</v>
      </c>
      <c r="D213" s="50"/>
      <c r="E213" s="608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36"/>
      <c r="Q213" s="155"/>
    </row>
    <row r="214" spans="1:17" ht="24.75" customHeight="1">
      <c r="A214" s="48"/>
      <c r="B214" s="48"/>
      <c r="C214" s="881" t="s">
        <v>458</v>
      </c>
      <c r="D214" s="883"/>
      <c r="E214" s="605">
        <v>1</v>
      </c>
      <c r="F214" s="51"/>
      <c r="G214" s="51"/>
      <c r="H214" s="51"/>
      <c r="I214" s="51"/>
      <c r="J214" s="51"/>
      <c r="K214" s="51"/>
      <c r="L214" s="51"/>
      <c r="M214" s="51"/>
      <c r="N214" s="51"/>
      <c r="O214" s="51">
        <v>-47842</v>
      </c>
      <c r="P214" s="36">
        <f aca="true" t="shared" si="19" ref="P214:P221">SUM(F214:O214)</f>
        <v>-47842</v>
      </c>
      <c r="Q214" s="155" t="s">
        <v>72</v>
      </c>
    </row>
    <row r="215" spans="1:17" ht="15" customHeight="1">
      <c r="A215" s="48"/>
      <c r="B215" s="48"/>
      <c r="C215" s="49" t="s">
        <v>860</v>
      </c>
      <c r="D215" s="690"/>
      <c r="E215" s="605">
        <v>1</v>
      </c>
      <c r="F215" s="51"/>
      <c r="G215" s="51"/>
      <c r="H215" s="51"/>
      <c r="I215" s="51"/>
      <c r="J215" s="51"/>
      <c r="K215" s="51"/>
      <c r="L215" s="51"/>
      <c r="M215" s="51"/>
      <c r="N215" s="51"/>
      <c r="O215" s="51">
        <v>-1017</v>
      </c>
      <c r="P215" s="36">
        <f t="shared" si="19"/>
        <v>-1017</v>
      </c>
      <c r="Q215" s="155" t="s">
        <v>72</v>
      </c>
    </row>
    <row r="216" spans="1:17" ht="13.5" customHeight="1">
      <c r="A216" s="48"/>
      <c r="B216" s="48"/>
      <c r="C216" s="673" t="s">
        <v>989</v>
      </c>
      <c r="D216" s="674"/>
      <c r="E216" s="605">
        <v>2</v>
      </c>
      <c r="F216" s="51"/>
      <c r="G216" s="51"/>
      <c r="H216" s="51"/>
      <c r="I216" s="51"/>
      <c r="J216" s="51"/>
      <c r="K216" s="51"/>
      <c r="L216" s="51"/>
      <c r="M216" s="51"/>
      <c r="N216" s="51"/>
      <c r="O216" s="51">
        <v>-15590</v>
      </c>
      <c r="P216" s="36">
        <f t="shared" si="19"/>
        <v>-15590</v>
      </c>
      <c r="Q216" s="155" t="s">
        <v>72</v>
      </c>
    </row>
    <row r="217" spans="1:17" ht="24.75" customHeight="1">
      <c r="A217" s="48"/>
      <c r="B217" s="48"/>
      <c r="C217" s="881" t="s">
        <v>773</v>
      </c>
      <c r="D217" s="861"/>
      <c r="E217" s="605">
        <v>2</v>
      </c>
      <c r="F217" s="51"/>
      <c r="G217" s="51"/>
      <c r="H217" s="51"/>
      <c r="I217" s="51"/>
      <c r="J217" s="51"/>
      <c r="K217" s="51"/>
      <c r="L217" s="51"/>
      <c r="M217" s="51"/>
      <c r="N217" s="51"/>
      <c r="O217" s="51">
        <v>-4450</v>
      </c>
      <c r="P217" s="36">
        <f>SUM(O217)</f>
        <v>-4450</v>
      </c>
      <c r="Q217" s="155" t="s">
        <v>72</v>
      </c>
    </row>
    <row r="218" spans="1:17" ht="15" customHeight="1">
      <c r="A218" s="48"/>
      <c r="B218" s="48"/>
      <c r="C218" s="49" t="s">
        <v>990</v>
      </c>
      <c r="D218" s="236"/>
      <c r="E218" s="616">
        <v>1</v>
      </c>
      <c r="F218" s="51"/>
      <c r="G218" s="51"/>
      <c r="H218" s="51"/>
      <c r="I218" s="51"/>
      <c r="J218" s="51"/>
      <c r="K218" s="51"/>
      <c r="L218" s="51"/>
      <c r="M218" s="51"/>
      <c r="N218" s="51"/>
      <c r="O218" s="51">
        <v>-20000</v>
      </c>
      <c r="P218" s="36">
        <f t="shared" si="19"/>
        <v>-20000</v>
      </c>
      <c r="Q218" s="155" t="s">
        <v>72</v>
      </c>
    </row>
    <row r="219" spans="1:17" ht="12.75" customHeight="1">
      <c r="A219" s="48"/>
      <c r="B219" s="48"/>
      <c r="C219" s="49" t="s">
        <v>65</v>
      </c>
      <c r="D219" s="50"/>
      <c r="E219" s="608">
        <v>1</v>
      </c>
      <c r="F219" s="51"/>
      <c r="G219" s="51"/>
      <c r="H219" s="51"/>
      <c r="I219" s="51"/>
      <c r="J219" s="51"/>
      <c r="K219" s="51"/>
      <c r="L219" s="51"/>
      <c r="M219" s="51"/>
      <c r="N219" s="51"/>
      <c r="O219" s="39">
        <v>-18176</v>
      </c>
      <c r="P219" s="36">
        <f t="shared" si="19"/>
        <v>-18176</v>
      </c>
      <c r="Q219" s="155" t="s">
        <v>72</v>
      </c>
    </row>
    <row r="220" spans="1:17" ht="12.75" customHeight="1">
      <c r="A220" s="48"/>
      <c r="B220" s="48"/>
      <c r="C220" s="866" t="s">
        <v>937</v>
      </c>
      <c r="D220" s="931"/>
      <c r="E220" s="608">
        <v>1</v>
      </c>
      <c r="F220" s="51"/>
      <c r="G220" s="51"/>
      <c r="H220" s="51"/>
      <c r="I220" s="51"/>
      <c r="J220" s="51"/>
      <c r="K220" s="51"/>
      <c r="L220" s="51"/>
      <c r="M220" s="51"/>
      <c r="N220" s="51"/>
      <c r="O220" s="51">
        <v>-29897</v>
      </c>
      <c r="P220" s="36">
        <f t="shared" si="19"/>
        <v>-29897</v>
      </c>
      <c r="Q220" s="155" t="s">
        <v>72</v>
      </c>
    </row>
    <row r="221" spans="1:17" ht="12.75" customHeight="1">
      <c r="A221" s="48"/>
      <c r="B221" s="48"/>
      <c r="C221" s="862" t="s">
        <v>718</v>
      </c>
      <c r="D221" s="863"/>
      <c r="E221" s="608">
        <v>1</v>
      </c>
      <c r="F221" s="51"/>
      <c r="G221" s="51"/>
      <c r="H221" s="51"/>
      <c r="I221" s="51"/>
      <c r="J221" s="51"/>
      <c r="K221" s="51"/>
      <c r="L221" s="51"/>
      <c r="M221" s="51"/>
      <c r="N221" s="51"/>
      <c r="O221" s="51">
        <v>17000</v>
      </c>
      <c r="P221" s="36">
        <f t="shared" si="19"/>
        <v>17000</v>
      </c>
      <c r="Q221" s="155" t="s">
        <v>72</v>
      </c>
    </row>
    <row r="222" spans="1:17" ht="12.75" customHeight="1">
      <c r="A222" s="48"/>
      <c r="B222" s="48"/>
      <c r="C222" s="533" t="s">
        <v>407</v>
      </c>
      <c r="D222" s="50"/>
      <c r="E222" s="608"/>
      <c r="F222" s="51"/>
      <c r="G222" s="51"/>
      <c r="H222" s="51"/>
      <c r="I222" s="51"/>
      <c r="J222" s="51"/>
      <c r="K222" s="51">
        <f>SUM(7!J258)</f>
        <v>0</v>
      </c>
      <c r="L222" s="51">
        <f>SUM(8!J154)</f>
        <v>-8272</v>
      </c>
      <c r="M222" s="51"/>
      <c r="N222" s="51"/>
      <c r="O222" s="51"/>
      <c r="P222" s="36">
        <f>SUM(K222:O222)</f>
        <v>-8272</v>
      </c>
      <c r="Q222" s="155" t="s">
        <v>72</v>
      </c>
    </row>
    <row r="223" spans="1:17" ht="13.5" customHeight="1">
      <c r="A223" s="41"/>
      <c r="B223" s="41"/>
      <c r="C223" s="42" t="s">
        <v>1159</v>
      </c>
      <c r="D223" s="43"/>
      <c r="E223" s="617"/>
      <c r="F223" s="44">
        <f aca="true" t="shared" si="20" ref="F223:P223">SUM(F211:F222)</f>
        <v>0</v>
      </c>
      <c r="G223" s="44">
        <f t="shared" si="20"/>
        <v>0</v>
      </c>
      <c r="H223" s="44">
        <f t="shared" si="20"/>
        <v>0</v>
      </c>
      <c r="I223" s="44">
        <f t="shared" si="20"/>
        <v>0</v>
      </c>
      <c r="J223" s="44">
        <f t="shared" si="20"/>
        <v>0</v>
      </c>
      <c r="K223" s="44">
        <f t="shared" si="20"/>
        <v>0</v>
      </c>
      <c r="L223" s="44">
        <f t="shared" si="20"/>
        <v>-8272</v>
      </c>
      <c r="M223" s="44">
        <f t="shared" si="20"/>
        <v>0</v>
      </c>
      <c r="N223" s="44">
        <f t="shared" si="20"/>
        <v>0</v>
      </c>
      <c r="O223" s="44">
        <f t="shared" si="20"/>
        <v>-121797</v>
      </c>
      <c r="P223" s="44">
        <f t="shared" si="20"/>
        <v>-130069</v>
      </c>
      <c r="Q223" s="357"/>
    </row>
    <row r="224" spans="1:17" ht="25.5" customHeight="1">
      <c r="A224" s="41"/>
      <c r="B224" s="41"/>
      <c r="C224" s="927" t="s">
        <v>57</v>
      </c>
      <c r="D224" s="802"/>
      <c r="E224" s="618"/>
      <c r="F224" s="44">
        <f aca="true" t="shared" si="21" ref="F224:P224">SUM(F34+F88+F142+F149+F167+F173+F194+F196+F210+F223)</f>
        <v>19149</v>
      </c>
      <c r="G224" s="44">
        <f t="shared" si="21"/>
        <v>5681</v>
      </c>
      <c r="H224" s="44">
        <f t="shared" si="21"/>
        <v>184850</v>
      </c>
      <c r="I224" s="44">
        <f t="shared" si="21"/>
        <v>116472</v>
      </c>
      <c r="J224" s="44">
        <f t="shared" si="21"/>
        <v>103356</v>
      </c>
      <c r="K224" s="44">
        <f t="shared" si="21"/>
        <v>1441867</v>
      </c>
      <c r="L224" s="44">
        <f t="shared" si="21"/>
        <v>9133</v>
      </c>
      <c r="M224" s="44">
        <f t="shared" si="21"/>
        <v>15162</v>
      </c>
      <c r="N224" s="44">
        <f t="shared" si="21"/>
        <v>-7280</v>
      </c>
      <c r="O224" s="44">
        <f t="shared" si="21"/>
        <v>-121797</v>
      </c>
      <c r="P224" s="44">
        <f t="shared" si="21"/>
        <v>1766593</v>
      </c>
      <c r="Q224" s="44"/>
    </row>
    <row r="225" spans="1:17" ht="12.75" customHeight="1">
      <c r="A225" s="37">
        <v>2</v>
      </c>
      <c r="B225" s="37"/>
      <c r="C225" s="132" t="s">
        <v>53</v>
      </c>
      <c r="D225" s="38"/>
      <c r="E225" s="596"/>
      <c r="F225" s="39">
        <f>'táj.2.'!D32</f>
        <v>58654</v>
      </c>
      <c r="G225" s="39">
        <f>'táj.2.'!E32</f>
        <v>31038</v>
      </c>
      <c r="H225" s="39">
        <f>'táj.2.'!F32</f>
        <v>86462</v>
      </c>
      <c r="I225" s="39">
        <f>'táj.2.'!G32</f>
        <v>5783</v>
      </c>
      <c r="J225" s="39">
        <f>'táj.2.'!H32</f>
        <v>0</v>
      </c>
      <c r="K225" s="39">
        <f>'táj.2.'!I32</f>
        <v>30891</v>
      </c>
      <c r="L225" s="39">
        <f>'táj.2.'!J32</f>
        <v>7633</v>
      </c>
      <c r="M225" s="39">
        <f>'táj.2.'!K32</f>
        <v>0</v>
      </c>
      <c r="N225" s="39"/>
      <c r="O225" s="39"/>
      <c r="P225" s="36">
        <f>SUM(F225:O225)</f>
        <v>220461</v>
      </c>
      <c r="Q225" s="45"/>
    </row>
    <row r="226" spans="1:17" ht="12.75" customHeight="1">
      <c r="A226" s="41"/>
      <c r="B226" s="41"/>
      <c r="C226" s="84" t="s">
        <v>1160</v>
      </c>
      <c r="D226" s="43"/>
      <c r="E226" s="617"/>
      <c r="F226" s="44">
        <f>SUM(F224:F225)</f>
        <v>77803</v>
      </c>
      <c r="G226" s="44">
        <f aca="true" t="shared" si="22" ref="G226:P226">SUM(G224:G225)</f>
        <v>36719</v>
      </c>
      <c r="H226" s="44">
        <f t="shared" si="22"/>
        <v>271312</v>
      </c>
      <c r="I226" s="44">
        <f t="shared" si="22"/>
        <v>122255</v>
      </c>
      <c r="J226" s="44">
        <f t="shared" si="22"/>
        <v>103356</v>
      </c>
      <c r="K226" s="44">
        <f t="shared" si="22"/>
        <v>1472758</v>
      </c>
      <c r="L226" s="44">
        <f t="shared" si="22"/>
        <v>16766</v>
      </c>
      <c r="M226" s="44">
        <f t="shared" si="22"/>
        <v>15162</v>
      </c>
      <c r="N226" s="44">
        <f t="shared" si="22"/>
        <v>-7280</v>
      </c>
      <c r="O226" s="44">
        <f t="shared" si="22"/>
        <v>-121797</v>
      </c>
      <c r="P226" s="44">
        <f t="shared" si="22"/>
        <v>1987054</v>
      </c>
      <c r="Q226" s="44"/>
    </row>
    <row r="227" spans="3:5" ht="12.75">
      <c r="C227" s="922"/>
      <c r="D227" s="923"/>
      <c r="E227" s="592"/>
    </row>
    <row r="228" ht="12">
      <c r="P228" s="684"/>
    </row>
  </sheetData>
  <sheetProtection/>
  <mergeCells count="113">
    <mergeCell ref="C189:D189"/>
    <mergeCell ref="C207:D207"/>
    <mergeCell ref="C220:D220"/>
    <mergeCell ref="C198:D198"/>
    <mergeCell ref="C203:D203"/>
    <mergeCell ref="C217:D217"/>
    <mergeCell ref="C214:D214"/>
    <mergeCell ref="C204:D204"/>
    <mergeCell ref="C227:D227"/>
    <mergeCell ref="C45:D45"/>
    <mergeCell ref="C47:D47"/>
    <mergeCell ref="C49:D49"/>
    <mergeCell ref="C74:D74"/>
    <mergeCell ref="C51:D51"/>
    <mergeCell ref="C55:D55"/>
    <mergeCell ref="C197:D197"/>
    <mergeCell ref="C224:D224"/>
    <mergeCell ref="C184:D184"/>
    <mergeCell ref="C52:D52"/>
    <mergeCell ref="C177:D177"/>
    <mergeCell ref="C10:D10"/>
    <mergeCell ref="C39:D39"/>
    <mergeCell ref="C38:D38"/>
    <mergeCell ref="C21:D21"/>
    <mergeCell ref="C14:D14"/>
    <mergeCell ref="C13:D13"/>
    <mergeCell ref="C15:D15"/>
    <mergeCell ref="C96:D96"/>
    <mergeCell ref="C6:D6"/>
    <mergeCell ref="C8:D8"/>
    <mergeCell ref="C9:D9"/>
    <mergeCell ref="C44:D44"/>
    <mergeCell ref="C22:D22"/>
    <mergeCell ref="C41:D41"/>
    <mergeCell ref="C25:D25"/>
    <mergeCell ref="C26:D26"/>
    <mergeCell ref="C29:D29"/>
    <mergeCell ref="C43:D43"/>
    <mergeCell ref="Q1:Q2"/>
    <mergeCell ref="E1:E2"/>
    <mergeCell ref="K1:M1"/>
    <mergeCell ref="C37:D37"/>
    <mergeCell ref="C30:D30"/>
    <mergeCell ref="C19:D19"/>
    <mergeCell ref="C23:D23"/>
    <mergeCell ref="C16:D16"/>
    <mergeCell ref="F1:J1"/>
    <mergeCell ref="C12:D12"/>
    <mergeCell ref="C118:D118"/>
    <mergeCell ref="C94:D94"/>
    <mergeCell ref="C97:D97"/>
    <mergeCell ref="C101:D101"/>
    <mergeCell ref="C121:D121"/>
    <mergeCell ref="C99:D99"/>
    <mergeCell ref="C95:D95"/>
    <mergeCell ref="C102:D102"/>
    <mergeCell ref="C105:D105"/>
    <mergeCell ref="C107:D107"/>
    <mergeCell ref="C71:D71"/>
    <mergeCell ref="C73:D73"/>
    <mergeCell ref="C83:D83"/>
    <mergeCell ref="C80:D80"/>
    <mergeCell ref="C72:D72"/>
    <mergeCell ref="C108:D108"/>
    <mergeCell ref="C98:D98"/>
    <mergeCell ref="C42:D42"/>
    <mergeCell ref="C77:D77"/>
    <mergeCell ref="C76:D76"/>
    <mergeCell ref="C56:D56"/>
    <mergeCell ref="C54:D54"/>
    <mergeCell ref="C57:D57"/>
    <mergeCell ref="C61:D61"/>
    <mergeCell ref="C62:D62"/>
    <mergeCell ref="C66:D66"/>
    <mergeCell ref="C53:D53"/>
    <mergeCell ref="C133:D133"/>
    <mergeCell ref="C170:D170"/>
    <mergeCell ref="C183:D183"/>
    <mergeCell ref="C175:D175"/>
    <mergeCell ref="C176:D176"/>
    <mergeCell ref="C179:D179"/>
    <mergeCell ref="C182:D182"/>
    <mergeCell ref="C180:D180"/>
    <mergeCell ref="C132:D132"/>
    <mergeCell ref="C109:D109"/>
    <mergeCell ref="C110:D110"/>
    <mergeCell ref="C111:D111"/>
    <mergeCell ref="C112:D112"/>
    <mergeCell ref="C131:D131"/>
    <mergeCell ref="C113:D113"/>
    <mergeCell ref="C114:D114"/>
    <mergeCell ref="C128:D128"/>
    <mergeCell ref="C127:D127"/>
    <mergeCell ref="C104:D104"/>
    <mergeCell ref="C138:D138"/>
    <mergeCell ref="C187:D187"/>
    <mergeCell ref="C116:D116"/>
    <mergeCell ref="C137:D137"/>
    <mergeCell ref="C119:D119"/>
    <mergeCell ref="C124:D124"/>
    <mergeCell ref="C157:D157"/>
    <mergeCell ref="C155:D155"/>
    <mergeCell ref="C134:D134"/>
    <mergeCell ref="C221:D221"/>
    <mergeCell ref="C144:D144"/>
    <mergeCell ref="C145:D145"/>
    <mergeCell ref="C136:D136"/>
    <mergeCell ref="C188:D188"/>
    <mergeCell ref="C159:D159"/>
    <mergeCell ref="C169:D169"/>
    <mergeCell ref="C160:D160"/>
    <mergeCell ref="C181:D181"/>
    <mergeCell ref="C151:D151"/>
  </mergeCells>
  <printOptions horizontalCentered="1" verticalCentered="1"/>
  <pageMargins left="0" right="0.2362204724409449" top="0.6692913385826772" bottom="1.1811023622047245" header="0.11811023622047245" footer="0.7086614173228347"/>
  <pageSetup horizontalDpi="300" verticalDpi="300" orientation="landscape" paperSize="9" scale="90" r:id="rId1"/>
  <headerFooter alignWithMargins="0">
    <oddHeader>&amp;CZALAEGERSZEG MEGYEI JOGÚ VÁROS ÖNKORMÁNYZATA
2013. ÉVI KIADÁSI ELŐIRÁNYZATAINAK MÓDOSÍTÁSA A IV. NEGYEDÉVBEN
&amp;R&amp;"Times New Roman CE,Félkövér dőlt"12. sz. melléklet
Adatok: ezer Ft-ban</oddHeader>
    <oddFooter>&amp;L* kgy= közgyűlési hatáskörben           
   pm= polgármesteri hatáskörben
   biz = bizottsági hatáskörben&amp;C&amp;P. oldal&amp;RFeladat jellege:
1 =    kötelező
2=önként vállalt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79"/>
  <sheetViews>
    <sheetView zoomScalePageLayoutView="0" workbookViewId="0" topLeftCell="A59">
      <selection activeCell="B71" sqref="B71"/>
    </sheetView>
  </sheetViews>
  <sheetFormatPr defaultColWidth="10.625" defaultRowHeight="12.75"/>
  <cols>
    <col min="1" max="1" width="4.50390625" style="761" customWidth="1"/>
    <col min="2" max="2" width="88.125" style="754" customWidth="1"/>
    <col min="3" max="16384" width="10.625" style="754" customWidth="1"/>
  </cols>
  <sheetData>
    <row r="1" spans="1:2" ht="15">
      <c r="A1" s="753"/>
      <c r="B1" s="747"/>
    </row>
    <row r="2" spans="1:2" ht="15">
      <c r="A2" s="755"/>
      <c r="B2" s="756"/>
    </row>
    <row r="3" spans="1:2" ht="15">
      <c r="A3" s="757" t="s">
        <v>473</v>
      </c>
      <c r="B3" s="746" t="s">
        <v>474</v>
      </c>
    </row>
    <row r="4" spans="1:2" ht="15">
      <c r="A4" s="757" t="s">
        <v>475</v>
      </c>
      <c r="B4" s="746" t="s">
        <v>476</v>
      </c>
    </row>
    <row r="5" spans="1:2" ht="15">
      <c r="A5" s="757"/>
      <c r="B5" s="747" t="s">
        <v>477</v>
      </c>
    </row>
    <row r="6" spans="1:2" ht="30">
      <c r="A6" s="757"/>
      <c r="B6" s="748" t="s">
        <v>478</v>
      </c>
    </row>
    <row r="7" spans="1:2" ht="30">
      <c r="A7" s="757"/>
      <c r="B7" s="748" t="s">
        <v>496</v>
      </c>
    </row>
    <row r="8" spans="1:2" ht="30">
      <c r="A8" s="757"/>
      <c r="B8" s="748" t="s">
        <v>479</v>
      </c>
    </row>
    <row r="9" spans="1:2" ht="15">
      <c r="A9" s="757"/>
      <c r="B9" s="749" t="s">
        <v>480</v>
      </c>
    </row>
    <row r="10" spans="1:2" ht="15">
      <c r="A10" s="757"/>
      <c r="B10" s="749" t="s">
        <v>481</v>
      </c>
    </row>
    <row r="11" spans="1:2" ht="15">
      <c r="A11" s="757"/>
      <c r="B11" s="749" t="s">
        <v>482</v>
      </c>
    </row>
    <row r="12" spans="1:2" ht="15" hidden="1">
      <c r="A12" s="757"/>
      <c r="B12" s="749"/>
    </row>
    <row r="13" spans="1:2" ht="15" hidden="1">
      <c r="A13" s="757"/>
      <c r="B13" s="749"/>
    </row>
    <row r="14" spans="1:2" ht="30">
      <c r="A14" s="757"/>
      <c r="B14" s="749" t="s">
        <v>483</v>
      </c>
    </row>
    <row r="15" spans="1:2" ht="27" customHeight="1">
      <c r="A15" s="757"/>
      <c r="B15" s="749" t="s">
        <v>495</v>
      </c>
    </row>
    <row r="16" spans="1:2" ht="15">
      <c r="A16" s="757"/>
      <c r="B16" s="749" t="s">
        <v>484</v>
      </c>
    </row>
    <row r="17" spans="1:2" ht="15">
      <c r="A17" s="757"/>
      <c r="B17" s="749" t="s">
        <v>485</v>
      </c>
    </row>
    <row r="18" spans="1:2" ht="15">
      <c r="A18" s="757"/>
      <c r="B18" s="747" t="s">
        <v>486</v>
      </c>
    </row>
    <row r="19" spans="1:2" ht="24.75" customHeight="1">
      <c r="A19" s="757"/>
      <c r="B19" s="748" t="s">
        <v>487</v>
      </c>
    </row>
    <row r="20" spans="1:2" ht="24.75" customHeight="1">
      <c r="A20" s="757"/>
      <c r="B20" s="748" t="s">
        <v>488</v>
      </c>
    </row>
    <row r="21" spans="1:2" ht="15" hidden="1">
      <c r="A21" s="757"/>
      <c r="B21" s="747"/>
    </row>
    <row r="22" spans="1:2" ht="15">
      <c r="A22" s="757" t="s">
        <v>311</v>
      </c>
      <c r="B22" s="750" t="s">
        <v>489</v>
      </c>
    </row>
    <row r="23" spans="1:2" ht="15">
      <c r="A23" s="757"/>
      <c r="B23" s="749" t="s">
        <v>477</v>
      </c>
    </row>
    <row r="24" spans="1:2" ht="15">
      <c r="A24" s="757"/>
      <c r="B24" s="749" t="s">
        <v>490</v>
      </c>
    </row>
    <row r="25" spans="1:2" ht="15">
      <c r="A25" s="757"/>
      <c r="B25" s="749" t="s">
        <v>499</v>
      </c>
    </row>
    <row r="26" spans="1:2" ht="15">
      <c r="A26" s="757"/>
      <c r="B26" s="749" t="s">
        <v>500</v>
      </c>
    </row>
    <row r="27" spans="1:2" ht="15">
      <c r="A27" s="757" t="s">
        <v>313</v>
      </c>
      <c r="B27" s="746" t="s">
        <v>788</v>
      </c>
    </row>
    <row r="28" spans="1:2" ht="15">
      <c r="A28" s="757"/>
      <c r="B28" s="747" t="s">
        <v>501</v>
      </c>
    </row>
    <row r="29" spans="1:2" ht="15">
      <c r="A29" s="757"/>
      <c r="B29" s="747" t="s">
        <v>502</v>
      </c>
    </row>
    <row r="30" spans="1:2" ht="15">
      <c r="A30" s="757"/>
      <c r="B30" s="747" t="s">
        <v>503</v>
      </c>
    </row>
    <row r="31" spans="1:2" ht="15">
      <c r="A31" s="757"/>
      <c r="B31" s="747" t="s">
        <v>504</v>
      </c>
    </row>
    <row r="32" spans="1:2" ht="26.25" customHeight="1">
      <c r="A32" s="751" t="s">
        <v>314</v>
      </c>
      <c r="B32" s="752" t="s">
        <v>491</v>
      </c>
    </row>
    <row r="33" spans="1:2" ht="15">
      <c r="A33" s="757" t="s">
        <v>315</v>
      </c>
      <c r="B33" s="746" t="s">
        <v>789</v>
      </c>
    </row>
    <row r="34" spans="1:2" ht="27" customHeight="1">
      <c r="A34" s="762" t="s">
        <v>344</v>
      </c>
      <c r="B34" s="752" t="s">
        <v>492</v>
      </c>
    </row>
    <row r="35" spans="1:2" ht="15">
      <c r="A35" s="757"/>
      <c r="B35" s="747" t="s">
        <v>505</v>
      </c>
    </row>
    <row r="36" spans="1:2" ht="15">
      <c r="A36" s="757"/>
      <c r="B36" s="747" t="s">
        <v>506</v>
      </c>
    </row>
    <row r="37" spans="1:2" ht="15">
      <c r="A37" s="757"/>
      <c r="B37" s="747" t="s">
        <v>507</v>
      </c>
    </row>
    <row r="38" spans="1:2" ht="15">
      <c r="A38" s="757"/>
      <c r="B38" s="747" t="s">
        <v>508</v>
      </c>
    </row>
    <row r="39" spans="1:2" ht="15">
      <c r="A39" s="757"/>
      <c r="B39" s="747" t="s">
        <v>509</v>
      </c>
    </row>
    <row r="40" spans="1:2" ht="15">
      <c r="A40" s="757"/>
      <c r="B40" s="747" t="s">
        <v>510</v>
      </c>
    </row>
    <row r="41" spans="1:2" ht="15">
      <c r="A41" s="757" t="s">
        <v>345</v>
      </c>
      <c r="B41" s="746" t="s">
        <v>511</v>
      </c>
    </row>
    <row r="42" spans="1:2" ht="15">
      <c r="A42" s="757"/>
      <c r="B42" s="747" t="s">
        <v>512</v>
      </c>
    </row>
    <row r="43" spans="1:2" ht="15">
      <c r="A43" s="757"/>
      <c r="B43" s="747" t="s">
        <v>513</v>
      </c>
    </row>
    <row r="44" spans="1:2" ht="15">
      <c r="A44" s="757"/>
      <c r="B44" s="747" t="s">
        <v>514</v>
      </c>
    </row>
    <row r="45" spans="1:2" ht="15">
      <c r="A45" s="757"/>
      <c r="B45" s="747" t="s">
        <v>515</v>
      </c>
    </row>
    <row r="46" spans="1:2" ht="15">
      <c r="A46" s="757" t="s">
        <v>347</v>
      </c>
      <c r="B46" s="746" t="s">
        <v>516</v>
      </c>
    </row>
    <row r="47" spans="1:2" ht="30">
      <c r="A47" s="757"/>
      <c r="B47" s="748" t="s">
        <v>497</v>
      </c>
    </row>
    <row r="48" spans="1:2" ht="15">
      <c r="A48" s="757"/>
      <c r="B48" s="747" t="s">
        <v>517</v>
      </c>
    </row>
    <row r="49" spans="1:2" ht="30">
      <c r="A49" s="757"/>
      <c r="B49" s="748" t="s">
        <v>518</v>
      </c>
    </row>
    <row r="50" spans="1:2" ht="30">
      <c r="A50" s="757"/>
      <c r="B50" s="748" t="s">
        <v>519</v>
      </c>
    </row>
    <row r="51" spans="1:2" ht="15">
      <c r="A51" s="757" t="s">
        <v>74</v>
      </c>
      <c r="B51" s="746" t="s">
        <v>520</v>
      </c>
    </row>
    <row r="52" spans="1:2" ht="15">
      <c r="A52" s="757"/>
      <c r="B52" s="747" t="s">
        <v>521</v>
      </c>
    </row>
    <row r="53" spans="1:2" ht="15">
      <c r="A53" s="757"/>
      <c r="B53" s="747" t="s">
        <v>522</v>
      </c>
    </row>
    <row r="54" spans="1:2" ht="15">
      <c r="A54" s="757"/>
      <c r="B54" s="747" t="s">
        <v>523</v>
      </c>
    </row>
    <row r="55" spans="1:2" ht="15">
      <c r="A55" s="757" t="s">
        <v>75</v>
      </c>
      <c r="B55" s="746" t="s">
        <v>524</v>
      </c>
    </row>
    <row r="56" spans="1:2" ht="15">
      <c r="A56" s="757"/>
      <c r="B56" s="747" t="s">
        <v>525</v>
      </c>
    </row>
    <row r="57" spans="1:2" ht="30">
      <c r="A57" s="757"/>
      <c r="B57" s="748" t="s">
        <v>526</v>
      </c>
    </row>
    <row r="58" spans="1:2" ht="15">
      <c r="A58" s="757"/>
      <c r="B58" s="747" t="s">
        <v>527</v>
      </c>
    </row>
    <row r="59" spans="1:2" ht="15">
      <c r="A59" s="757"/>
      <c r="B59" s="747" t="s">
        <v>528</v>
      </c>
    </row>
    <row r="60" spans="1:2" ht="15">
      <c r="A60" s="757" t="s">
        <v>218</v>
      </c>
      <c r="B60" s="746" t="s">
        <v>493</v>
      </c>
    </row>
    <row r="61" spans="1:2" ht="15">
      <c r="A61" s="757"/>
      <c r="B61" s="747" t="s">
        <v>529</v>
      </c>
    </row>
    <row r="62" spans="1:2" ht="15">
      <c r="A62" s="757"/>
      <c r="B62" s="747" t="s">
        <v>530</v>
      </c>
    </row>
    <row r="63" spans="1:2" ht="15">
      <c r="A63" s="757"/>
      <c r="B63" s="747" t="s">
        <v>531</v>
      </c>
    </row>
    <row r="64" spans="1:2" ht="15">
      <c r="A64" s="757"/>
      <c r="B64" s="747" t="s">
        <v>790</v>
      </c>
    </row>
    <row r="65" spans="1:2" ht="15">
      <c r="A65" s="757" t="s">
        <v>460</v>
      </c>
      <c r="B65" s="746" t="s">
        <v>494</v>
      </c>
    </row>
    <row r="66" spans="1:2" ht="15">
      <c r="A66" s="757" t="s">
        <v>288</v>
      </c>
      <c r="B66" s="746" t="s">
        <v>791</v>
      </c>
    </row>
    <row r="67" spans="1:2" ht="15">
      <c r="A67" s="757" t="s">
        <v>1</v>
      </c>
      <c r="B67" s="746" t="s">
        <v>532</v>
      </c>
    </row>
    <row r="68" spans="1:2" ht="15">
      <c r="A68" s="751" t="s">
        <v>848</v>
      </c>
      <c r="B68" s="746" t="s">
        <v>99</v>
      </c>
    </row>
    <row r="69" spans="1:2" ht="15">
      <c r="A69" s="751" t="s">
        <v>850</v>
      </c>
      <c r="B69" s="746" t="s">
        <v>94</v>
      </c>
    </row>
    <row r="70" spans="1:2" ht="15">
      <c r="A70" s="753"/>
      <c r="B70" s="747" t="s">
        <v>477</v>
      </c>
    </row>
    <row r="71" spans="1:2" ht="15">
      <c r="A71" s="753"/>
      <c r="B71" s="758" t="s">
        <v>533</v>
      </c>
    </row>
    <row r="72" spans="1:2" ht="15">
      <c r="A72" s="753"/>
      <c r="B72" s="758" t="s">
        <v>534</v>
      </c>
    </row>
    <row r="73" spans="1:2" ht="15">
      <c r="A73" s="751" t="s">
        <v>852</v>
      </c>
      <c r="B73" s="759" t="s">
        <v>95</v>
      </c>
    </row>
    <row r="74" spans="1:2" ht="15">
      <c r="A74" s="753"/>
      <c r="B74" s="758" t="s">
        <v>477</v>
      </c>
    </row>
    <row r="75" spans="1:2" ht="15">
      <c r="A75" s="753"/>
      <c r="B75" s="758" t="s">
        <v>535</v>
      </c>
    </row>
    <row r="76" spans="1:2" ht="15">
      <c r="A76" s="753"/>
      <c r="B76" s="758" t="s">
        <v>536</v>
      </c>
    </row>
    <row r="77" spans="1:2" ht="25.5" customHeight="1">
      <c r="A77" s="753"/>
      <c r="B77" s="760" t="s">
        <v>498</v>
      </c>
    </row>
    <row r="78" spans="1:2" ht="15">
      <c r="A78" s="753"/>
      <c r="B78" s="758"/>
    </row>
    <row r="79" spans="1:2" ht="15">
      <c r="A79" s="755"/>
      <c r="B79" s="758"/>
    </row>
  </sheetData>
  <sheetProtection/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r:id="rId1"/>
  <headerFooter alignWithMargins="0">
    <oddHeader>&amp;CA közbeszerzés hatálya alá tartozó költségvetési szervek köre
(villamosenergia és gáz beszerzés)&amp;R13.sz. melléklet</oddHead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6.50390625" style="77" customWidth="1"/>
    <col min="2" max="2" width="7.875" style="77" customWidth="1"/>
    <col min="3" max="3" width="40.625" style="74" customWidth="1"/>
    <col min="4" max="4" width="11.125" style="74" customWidth="1"/>
    <col min="5" max="5" width="10.625" style="74" customWidth="1"/>
    <col min="6" max="6" width="11.375" style="74" customWidth="1"/>
    <col min="7" max="7" width="10.00390625" style="74" customWidth="1"/>
    <col min="8" max="8" width="12.50390625" style="74" customWidth="1"/>
    <col min="9" max="9" width="11.375" style="74" customWidth="1"/>
    <col min="10" max="10" width="10.625" style="74" customWidth="1"/>
    <col min="11" max="11" width="9.50390625" style="74" customWidth="1"/>
    <col min="12" max="12" width="10.00390625" style="74" customWidth="1"/>
    <col min="13" max="13" width="11.875" style="74" customWidth="1"/>
    <col min="14" max="14" width="10.00390625" style="74" bestFit="1" customWidth="1"/>
    <col min="15" max="16384" width="9.375" style="74" customWidth="1"/>
  </cols>
  <sheetData>
    <row r="1" spans="1:13" ht="12.75" customHeight="1" thickBot="1">
      <c r="A1" s="324"/>
      <c r="B1" s="324"/>
      <c r="C1" s="325"/>
      <c r="D1" s="832" t="s">
        <v>81</v>
      </c>
      <c r="E1" s="833"/>
      <c r="F1" s="325"/>
      <c r="G1" s="845" t="s">
        <v>82</v>
      </c>
      <c r="H1" s="846"/>
      <c r="I1" s="847"/>
      <c r="J1" s="832" t="s">
        <v>83</v>
      </c>
      <c r="K1" s="833"/>
      <c r="L1" s="827" t="s">
        <v>84</v>
      </c>
      <c r="M1" s="827" t="s">
        <v>85</v>
      </c>
    </row>
    <row r="2" spans="1:16" ht="26.25" customHeight="1" thickBot="1">
      <c r="A2" s="841" t="s">
        <v>11</v>
      </c>
      <c r="B2" s="841" t="s">
        <v>12</v>
      </c>
      <c r="C2" s="848" t="s">
        <v>58</v>
      </c>
      <c r="D2" s="834"/>
      <c r="E2" s="835"/>
      <c r="F2" s="836" t="s">
        <v>86</v>
      </c>
      <c r="G2" s="841" t="s">
        <v>87</v>
      </c>
      <c r="H2" s="843" t="s">
        <v>372</v>
      </c>
      <c r="I2" s="824" t="s">
        <v>88</v>
      </c>
      <c r="J2" s="834"/>
      <c r="K2" s="835"/>
      <c r="L2" s="828"/>
      <c r="M2" s="828"/>
      <c r="N2" s="73"/>
      <c r="O2" s="73"/>
      <c r="P2" s="73"/>
    </row>
    <row r="3" spans="1:16" ht="11.25" customHeight="1">
      <c r="A3" s="842"/>
      <c r="B3" s="842"/>
      <c r="C3" s="933"/>
      <c r="D3" s="251" t="s">
        <v>389</v>
      </c>
      <c r="E3" s="251" t="s">
        <v>390</v>
      </c>
      <c r="F3" s="837"/>
      <c r="G3" s="842"/>
      <c r="H3" s="844"/>
      <c r="I3" s="840"/>
      <c r="J3" s="251" t="s">
        <v>389</v>
      </c>
      <c r="K3" s="251" t="s">
        <v>390</v>
      </c>
      <c r="L3" s="828"/>
      <c r="M3" s="828"/>
      <c r="N3" s="73"/>
      <c r="O3" s="73"/>
      <c r="P3" s="73"/>
    </row>
    <row r="4" spans="1:16" ht="15" customHeight="1">
      <c r="A4" s="277">
        <v>2</v>
      </c>
      <c r="B4" s="277">
        <v>1</v>
      </c>
      <c r="C4" s="738" t="s">
        <v>365</v>
      </c>
      <c r="D4" s="276">
        <v>4334</v>
      </c>
      <c r="E4" s="276"/>
      <c r="F4" s="326">
        <v>2105</v>
      </c>
      <c r="G4" s="326"/>
      <c r="H4" s="327">
        <v>951</v>
      </c>
      <c r="I4" s="326"/>
      <c r="J4" s="276"/>
      <c r="K4" s="276"/>
      <c r="L4" s="328"/>
      <c r="M4" s="328">
        <f aca="true" t="shared" si="0" ref="M4:M32">SUM(D4:L4)</f>
        <v>7390</v>
      </c>
      <c r="N4" s="73"/>
      <c r="O4" s="73"/>
      <c r="P4" s="73"/>
    </row>
    <row r="5" spans="1:13" s="75" customFormat="1" ht="15" customHeight="1">
      <c r="A5" s="329">
        <v>2</v>
      </c>
      <c r="B5" s="329">
        <v>2</v>
      </c>
      <c r="C5" s="738" t="s">
        <v>873</v>
      </c>
      <c r="D5" s="102"/>
      <c r="E5" s="102"/>
      <c r="F5" s="102"/>
      <c r="G5" s="102"/>
      <c r="H5" s="102"/>
      <c r="I5" s="102"/>
      <c r="J5" s="102"/>
      <c r="K5" s="102"/>
      <c r="L5" s="102"/>
      <c r="M5" s="330">
        <f t="shared" si="0"/>
        <v>0</v>
      </c>
    </row>
    <row r="6" spans="1:13" s="75" customFormat="1" ht="15" customHeight="1">
      <c r="A6" s="329">
        <v>2</v>
      </c>
      <c r="B6" s="329">
        <v>3</v>
      </c>
      <c r="C6" s="738" t="s">
        <v>674</v>
      </c>
      <c r="D6" s="102">
        <f aca="true" t="shared" si="1" ref="D6:L6">SUM(D7:D14)</f>
        <v>2500</v>
      </c>
      <c r="E6" s="102">
        <f t="shared" si="1"/>
        <v>0</v>
      </c>
      <c r="F6" s="102">
        <f t="shared" si="1"/>
        <v>78807</v>
      </c>
      <c r="G6" s="102">
        <f t="shared" si="1"/>
        <v>19000</v>
      </c>
      <c r="H6" s="102">
        <f t="shared" si="1"/>
        <v>-42402</v>
      </c>
      <c r="I6" s="102">
        <f t="shared" si="1"/>
        <v>0</v>
      </c>
      <c r="J6" s="102">
        <f t="shared" si="1"/>
        <v>0</v>
      </c>
      <c r="K6" s="102">
        <f t="shared" si="1"/>
        <v>0</v>
      </c>
      <c r="L6" s="102">
        <f t="shared" si="1"/>
        <v>0</v>
      </c>
      <c r="M6" s="330">
        <f t="shared" si="0"/>
        <v>57905</v>
      </c>
    </row>
    <row r="7" spans="1:13" s="75" customFormat="1" ht="15" customHeight="1">
      <c r="A7" s="329"/>
      <c r="B7" s="331" t="s">
        <v>316</v>
      </c>
      <c r="C7" s="739" t="s">
        <v>874</v>
      </c>
      <c r="D7" s="279">
        <v>-5000</v>
      </c>
      <c r="E7" s="279"/>
      <c r="F7" s="279">
        <v>7560</v>
      </c>
      <c r="G7" s="279"/>
      <c r="H7" s="279">
        <v>-1800</v>
      </c>
      <c r="I7" s="279"/>
      <c r="J7" s="279"/>
      <c r="K7" s="279"/>
      <c r="L7" s="279"/>
      <c r="M7" s="332">
        <f t="shared" si="0"/>
        <v>760</v>
      </c>
    </row>
    <row r="8" spans="1:13" s="75" customFormat="1" ht="22.5" customHeight="1">
      <c r="A8" s="329"/>
      <c r="B8" s="331" t="s">
        <v>317</v>
      </c>
      <c r="C8" s="740" t="s">
        <v>875</v>
      </c>
      <c r="D8" s="279"/>
      <c r="E8" s="279"/>
      <c r="F8" s="279"/>
      <c r="G8" s="279"/>
      <c r="H8" s="279"/>
      <c r="I8" s="279"/>
      <c r="J8" s="279"/>
      <c r="K8" s="279"/>
      <c r="L8" s="279"/>
      <c r="M8" s="332">
        <f t="shared" si="0"/>
        <v>0</v>
      </c>
    </row>
    <row r="9" spans="1:13" s="75" customFormat="1" ht="15" customHeight="1">
      <c r="A9" s="329"/>
      <c r="B9" s="331" t="s">
        <v>339</v>
      </c>
      <c r="C9" s="739" t="s">
        <v>876</v>
      </c>
      <c r="D9" s="279"/>
      <c r="E9" s="279"/>
      <c r="F9" s="279">
        <v>1763</v>
      </c>
      <c r="G9" s="279">
        <v>19000</v>
      </c>
      <c r="H9" s="279">
        <v>53</v>
      </c>
      <c r="I9" s="279"/>
      <c r="J9" s="279"/>
      <c r="K9" s="279"/>
      <c r="L9" s="279"/>
      <c r="M9" s="332">
        <f t="shared" si="0"/>
        <v>20816</v>
      </c>
    </row>
    <row r="10" spans="1:13" s="75" customFormat="1" ht="15" customHeight="1">
      <c r="A10" s="329"/>
      <c r="B10" s="331" t="s">
        <v>48</v>
      </c>
      <c r="C10" s="739" t="s">
        <v>877</v>
      </c>
      <c r="D10" s="279"/>
      <c r="E10" s="279"/>
      <c r="F10" s="279">
        <v>24254</v>
      </c>
      <c r="G10" s="279"/>
      <c r="H10" s="279"/>
      <c r="I10" s="279"/>
      <c r="J10" s="279"/>
      <c r="K10" s="279"/>
      <c r="L10" s="279"/>
      <c r="M10" s="332">
        <f t="shared" si="0"/>
        <v>24254</v>
      </c>
    </row>
    <row r="11" spans="1:13" s="75" customFormat="1" ht="15" customHeight="1">
      <c r="A11" s="329"/>
      <c r="B11" s="331" t="s">
        <v>622</v>
      </c>
      <c r="C11" s="739" t="s">
        <v>878</v>
      </c>
      <c r="D11" s="279">
        <v>5000</v>
      </c>
      <c r="E11" s="279"/>
      <c r="F11" s="279">
        <v>16695</v>
      </c>
      <c r="G11" s="279"/>
      <c r="H11" s="279">
        <v>1800</v>
      </c>
      <c r="I11" s="279"/>
      <c r="J11" s="279"/>
      <c r="K11" s="279"/>
      <c r="L11" s="279"/>
      <c r="M11" s="332">
        <f t="shared" si="0"/>
        <v>23495</v>
      </c>
    </row>
    <row r="12" spans="1:13" s="75" customFormat="1" ht="15" customHeight="1">
      <c r="A12" s="329"/>
      <c r="B12" s="331" t="s">
        <v>623</v>
      </c>
      <c r="C12" s="739" t="s">
        <v>879</v>
      </c>
      <c r="D12" s="279"/>
      <c r="E12" s="279"/>
      <c r="F12" s="279">
        <v>5129</v>
      </c>
      <c r="G12" s="279"/>
      <c r="H12" s="279">
        <v>400</v>
      </c>
      <c r="I12" s="279"/>
      <c r="J12" s="279"/>
      <c r="K12" s="279"/>
      <c r="L12" s="279"/>
      <c r="M12" s="332">
        <f t="shared" si="0"/>
        <v>5529</v>
      </c>
    </row>
    <row r="13" spans="1:13" s="75" customFormat="1" ht="15" customHeight="1">
      <c r="A13" s="329"/>
      <c r="B13" s="331" t="s">
        <v>624</v>
      </c>
      <c r="C13" s="739" t="s">
        <v>880</v>
      </c>
      <c r="D13" s="279">
        <v>2500</v>
      </c>
      <c r="E13" s="279"/>
      <c r="F13" s="279">
        <v>12397</v>
      </c>
      <c r="G13" s="279"/>
      <c r="H13" s="279">
        <v>300</v>
      </c>
      <c r="I13" s="279"/>
      <c r="J13" s="279"/>
      <c r="K13" s="279"/>
      <c r="L13" s="279"/>
      <c r="M13" s="332">
        <f t="shared" si="0"/>
        <v>15197</v>
      </c>
    </row>
    <row r="14" spans="1:13" s="75" customFormat="1" ht="15" customHeight="1">
      <c r="A14" s="329"/>
      <c r="B14" s="331" t="s">
        <v>625</v>
      </c>
      <c r="C14" s="739" t="s">
        <v>881</v>
      </c>
      <c r="D14" s="279"/>
      <c r="E14" s="279"/>
      <c r="F14" s="279">
        <v>11009</v>
      </c>
      <c r="G14" s="279"/>
      <c r="H14" s="279">
        <v>-43155</v>
      </c>
      <c r="I14" s="279"/>
      <c r="J14" s="279"/>
      <c r="K14" s="279"/>
      <c r="L14" s="279"/>
      <c r="M14" s="332">
        <f t="shared" si="0"/>
        <v>-32146</v>
      </c>
    </row>
    <row r="15" spans="1:13" s="75" customFormat="1" ht="10.5" customHeight="1">
      <c r="A15" s="329">
        <v>2</v>
      </c>
      <c r="B15" s="329">
        <v>4</v>
      </c>
      <c r="C15" s="741" t="s">
        <v>16</v>
      </c>
      <c r="D15" s="102">
        <f aca="true" t="shared" si="2" ref="D15:L15">SUM(D16:D20)</f>
        <v>0</v>
      </c>
      <c r="E15" s="102">
        <f t="shared" si="2"/>
        <v>0</v>
      </c>
      <c r="F15" s="102">
        <f t="shared" si="2"/>
        <v>0</v>
      </c>
      <c r="G15" s="102">
        <f t="shared" si="2"/>
        <v>0</v>
      </c>
      <c r="H15" s="102">
        <f t="shared" si="2"/>
        <v>0</v>
      </c>
      <c r="I15" s="102">
        <f t="shared" si="2"/>
        <v>0</v>
      </c>
      <c r="J15" s="102">
        <f t="shared" si="2"/>
        <v>0</v>
      </c>
      <c r="K15" s="102">
        <f t="shared" si="2"/>
        <v>0</v>
      </c>
      <c r="L15" s="102">
        <f t="shared" si="2"/>
        <v>0</v>
      </c>
      <c r="M15" s="330">
        <f t="shared" si="0"/>
        <v>0</v>
      </c>
    </row>
    <row r="16" spans="1:13" s="75" customFormat="1" ht="11.25" customHeight="1">
      <c r="A16" s="329"/>
      <c r="B16" s="331" t="s">
        <v>319</v>
      </c>
      <c r="C16" s="739" t="s">
        <v>882</v>
      </c>
      <c r="D16" s="279"/>
      <c r="E16" s="279"/>
      <c r="F16" s="279"/>
      <c r="G16" s="279"/>
      <c r="H16" s="279"/>
      <c r="I16" s="279"/>
      <c r="J16" s="279"/>
      <c r="K16" s="279"/>
      <c r="L16" s="279"/>
      <c r="M16" s="332">
        <f t="shared" si="0"/>
        <v>0</v>
      </c>
    </row>
    <row r="17" spans="1:13" s="75" customFormat="1" ht="10.5" customHeight="1">
      <c r="A17" s="329"/>
      <c r="B17" s="331" t="s">
        <v>320</v>
      </c>
      <c r="C17" s="739" t="s">
        <v>883</v>
      </c>
      <c r="D17" s="279"/>
      <c r="E17" s="279"/>
      <c r="F17" s="279"/>
      <c r="G17" s="279"/>
      <c r="H17" s="279"/>
      <c r="I17" s="279"/>
      <c r="J17" s="279"/>
      <c r="K17" s="279"/>
      <c r="L17" s="279"/>
      <c r="M17" s="332">
        <f t="shared" si="0"/>
        <v>0</v>
      </c>
    </row>
    <row r="18" spans="1:13" s="75" customFormat="1" ht="11.25" customHeight="1">
      <c r="A18" s="329"/>
      <c r="B18" s="331" t="s">
        <v>321</v>
      </c>
      <c r="C18" s="739" t="s">
        <v>884</v>
      </c>
      <c r="D18" s="279"/>
      <c r="E18" s="279"/>
      <c r="F18" s="279"/>
      <c r="G18" s="279"/>
      <c r="H18" s="279"/>
      <c r="I18" s="279"/>
      <c r="J18" s="279"/>
      <c r="K18" s="279"/>
      <c r="L18" s="279"/>
      <c r="M18" s="332">
        <f t="shared" si="0"/>
        <v>0</v>
      </c>
    </row>
    <row r="19" spans="1:13" s="75" customFormat="1" ht="10.5" customHeight="1">
      <c r="A19" s="329"/>
      <c r="B19" s="331" t="s">
        <v>322</v>
      </c>
      <c r="C19" s="739" t="s">
        <v>880</v>
      </c>
      <c r="D19" s="279"/>
      <c r="E19" s="279"/>
      <c r="F19" s="279"/>
      <c r="G19" s="279"/>
      <c r="H19" s="279"/>
      <c r="I19" s="279"/>
      <c r="J19" s="279"/>
      <c r="K19" s="279"/>
      <c r="L19" s="279"/>
      <c r="M19" s="332">
        <f t="shared" si="0"/>
        <v>0</v>
      </c>
    </row>
    <row r="20" spans="1:13" s="75" customFormat="1" ht="13.5" customHeight="1">
      <c r="A20" s="329"/>
      <c r="B20" s="331" t="s">
        <v>323</v>
      </c>
      <c r="C20" s="739" t="s">
        <v>865</v>
      </c>
      <c r="D20" s="279"/>
      <c r="E20" s="279"/>
      <c r="F20" s="279"/>
      <c r="G20" s="279"/>
      <c r="H20" s="279"/>
      <c r="I20" s="279"/>
      <c r="J20" s="279"/>
      <c r="K20" s="279"/>
      <c r="L20" s="279"/>
      <c r="M20" s="332">
        <f t="shared" si="0"/>
        <v>0</v>
      </c>
    </row>
    <row r="21" spans="1:13" s="75" customFormat="1" ht="15" customHeight="1">
      <c r="A21" s="333">
        <v>2</v>
      </c>
      <c r="B21" s="333">
        <v>5</v>
      </c>
      <c r="C21" s="741" t="s">
        <v>89</v>
      </c>
      <c r="D21" s="102"/>
      <c r="E21" s="102"/>
      <c r="F21" s="102"/>
      <c r="G21" s="102"/>
      <c r="H21" s="102"/>
      <c r="I21" s="102"/>
      <c r="J21" s="102"/>
      <c r="K21" s="102"/>
      <c r="L21" s="102"/>
      <c r="M21" s="330">
        <f t="shared" si="0"/>
        <v>0</v>
      </c>
    </row>
    <row r="22" spans="1:13" s="75" customFormat="1" ht="15" customHeight="1">
      <c r="A22" s="333">
        <v>2</v>
      </c>
      <c r="B22" s="333">
        <v>6</v>
      </c>
      <c r="C22" s="741" t="s">
        <v>90</v>
      </c>
      <c r="D22" s="102"/>
      <c r="E22" s="102"/>
      <c r="F22" s="102"/>
      <c r="G22" s="102"/>
      <c r="H22" s="102"/>
      <c r="I22" s="102"/>
      <c r="J22" s="102"/>
      <c r="K22" s="102"/>
      <c r="L22" s="102"/>
      <c r="M22" s="330">
        <f t="shared" si="0"/>
        <v>0</v>
      </c>
    </row>
    <row r="23" spans="1:13" s="75" customFormat="1" ht="36.75" customHeight="1">
      <c r="A23" s="333">
        <v>2</v>
      </c>
      <c r="B23" s="333">
        <v>7</v>
      </c>
      <c r="C23" s="742" t="s">
        <v>828</v>
      </c>
      <c r="D23" s="102"/>
      <c r="E23" s="102"/>
      <c r="F23" s="102">
        <v>901</v>
      </c>
      <c r="G23" s="102"/>
      <c r="H23" s="102">
        <v>2900</v>
      </c>
      <c r="I23" s="102"/>
      <c r="J23" s="102"/>
      <c r="K23" s="102"/>
      <c r="L23" s="102"/>
      <c r="M23" s="330">
        <f t="shared" si="0"/>
        <v>3801</v>
      </c>
    </row>
    <row r="24" spans="1:13" s="75" customFormat="1" ht="15" customHeight="1">
      <c r="A24" s="265">
        <v>2</v>
      </c>
      <c r="B24" s="265">
        <v>8</v>
      </c>
      <c r="C24" s="743" t="s">
        <v>91</v>
      </c>
      <c r="D24" s="102">
        <f aca="true" t="shared" si="3" ref="D24:L24">SUM(D25:D26)</f>
        <v>50</v>
      </c>
      <c r="E24" s="102">
        <f t="shared" si="3"/>
        <v>5588</v>
      </c>
      <c r="F24" s="102">
        <f t="shared" si="3"/>
        <v>1004</v>
      </c>
      <c r="G24" s="102">
        <f t="shared" si="3"/>
        <v>0</v>
      </c>
      <c r="H24" s="102">
        <f t="shared" si="3"/>
        <v>13538</v>
      </c>
      <c r="I24" s="102">
        <f t="shared" si="3"/>
        <v>0</v>
      </c>
      <c r="J24" s="102">
        <f t="shared" si="3"/>
        <v>0</v>
      </c>
      <c r="K24" s="102">
        <f t="shared" si="3"/>
        <v>0</v>
      </c>
      <c r="L24" s="102">
        <f t="shared" si="3"/>
        <v>0</v>
      </c>
      <c r="M24" s="334">
        <f t="shared" si="0"/>
        <v>20180</v>
      </c>
    </row>
    <row r="25" spans="1:13" s="75" customFormat="1" ht="15" customHeight="1">
      <c r="A25" s="265"/>
      <c r="B25" s="264" t="s">
        <v>92</v>
      </c>
      <c r="C25" s="739" t="s">
        <v>885</v>
      </c>
      <c r="D25" s="279"/>
      <c r="E25" s="279">
        <v>5588</v>
      </c>
      <c r="F25" s="279">
        <v>984</v>
      </c>
      <c r="G25" s="279"/>
      <c r="H25" s="279">
        <v>13538</v>
      </c>
      <c r="I25" s="279"/>
      <c r="J25" s="279"/>
      <c r="K25" s="279"/>
      <c r="L25" s="279"/>
      <c r="M25" s="332">
        <f t="shared" si="0"/>
        <v>20110</v>
      </c>
    </row>
    <row r="26" spans="1:13" s="75" customFormat="1" ht="15" customHeight="1">
      <c r="A26" s="265"/>
      <c r="B26" s="264" t="s">
        <v>93</v>
      </c>
      <c r="C26" s="739" t="s">
        <v>886</v>
      </c>
      <c r="D26" s="279">
        <v>50</v>
      </c>
      <c r="E26" s="279"/>
      <c r="F26" s="279">
        <v>20</v>
      </c>
      <c r="G26" s="279"/>
      <c r="H26" s="279"/>
      <c r="I26" s="279"/>
      <c r="J26" s="279"/>
      <c r="K26" s="279"/>
      <c r="L26" s="279"/>
      <c r="M26" s="332">
        <f t="shared" si="0"/>
        <v>70</v>
      </c>
    </row>
    <row r="27" spans="1:13" s="75" customFormat="1" ht="15" customHeight="1">
      <c r="A27" s="265">
        <v>2</v>
      </c>
      <c r="B27" s="265">
        <v>9</v>
      </c>
      <c r="C27" s="744" t="s">
        <v>94</v>
      </c>
      <c r="D27" s="102">
        <v>3000</v>
      </c>
      <c r="E27" s="102">
        <v>465</v>
      </c>
      <c r="F27" s="102">
        <v>1731</v>
      </c>
      <c r="G27" s="102"/>
      <c r="H27" s="102">
        <v>20232</v>
      </c>
      <c r="I27" s="102"/>
      <c r="J27" s="102"/>
      <c r="K27" s="102"/>
      <c r="L27" s="102"/>
      <c r="M27" s="330">
        <f t="shared" si="0"/>
        <v>25428</v>
      </c>
    </row>
    <row r="28" spans="1:13" s="75" customFormat="1" ht="15" customHeight="1">
      <c r="A28" s="265">
        <v>2</v>
      </c>
      <c r="B28" s="265">
        <v>10</v>
      </c>
      <c r="C28" s="744" t="s">
        <v>95</v>
      </c>
      <c r="D28" s="102">
        <v>46510</v>
      </c>
      <c r="E28" s="102"/>
      <c r="F28" s="102">
        <v>324</v>
      </c>
      <c r="G28" s="102"/>
      <c r="H28" s="102">
        <v>20657</v>
      </c>
      <c r="I28" s="102">
        <v>12156</v>
      </c>
      <c r="J28" s="102"/>
      <c r="K28" s="102"/>
      <c r="L28" s="102"/>
      <c r="M28" s="330">
        <f t="shared" si="0"/>
        <v>79647</v>
      </c>
    </row>
    <row r="29" spans="1:13" s="75" customFormat="1" ht="15" customHeight="1">
      <c r="A29" s="265">
        <v>2</v>
      </c>
      <c r="B29" s="265">
        <v>11</v>
      </c>
      <c r="C29" s="744" t="s">
        <v>100</v>
      </c>
      <c r="D29" s="102"/>
      <c r="E29" s="102"/>
      <c r="F29" s="102">
        <v>11024</v>
      </c>
      <c r="G29" s="102"/>
      <c r="H29" s="102">
        <v>1600</v>
      </c>
      <c r="I29" s="102"/>
      <c r="J29" s="102"/>
      <c r="K29" s="102"/>
      <c r="L29" s="102"/>
      <c r="M29" s="341">
        <f t="shared" si="0"/>
        <v>12624</v>
      </c>
    </row>
    <row r="30" spans="1:13" s="75" customFormat="1" ht="15" customHeight="1">
      <c r="A30" s="265">
        <v>2</v>
      </c>
      <c r="B30" s="265">
        <v>12</v>
      </c>
      <c r="C30" s="744" t="s">
        <v>99</v>
      </c>
      <c r="D30" s="102"/>
      <c r="E30" s="102"/>
      <c r="F30" s="102">
        <v>939</v>
      </c>
      <c r="G30" s="102"/>
      <c r="H30" s="102">
        <v>1450</v>
      </c>
      <c r="I30" s="102"/>
      <c r="J30" s="102"/>
      <c r="K30" s="102"/>
      <c r="L30" s="102"/>
      <c r="M30" s="341">
        <f t="shared" si="0"/>
        <v>2389</v>
      </c>
    </row>
    <row r="31" spans="1:13" s="75" customFormat="1" ht="15" customHeight="1">
      <c r="A31" s="265">
        <v>2</v>
      </c>
      <c r="B31" s="265">
        <v>13</v>
      </c>
      <c r="C31" s="744" t="s">
        <v>96</v>
      </c>
      <c r="D31" s="102">
        <v>2400</v>
      </c>
      <c r="E31" s="102"/>
      <c r="F31" s="102">
        <v>143</v>
      </c>
      <c r="G31" s="102"/>
      <c r="H31" s="102"/>
      <c r="I31" s="102">
        <v>462</v>
      </c>
      <c r="J31" s="102"/>
      <c r="K31" s="102"/>
      <c r="L31" s="102"/>
      <c r="M31" s="330">
        <f t="shared" si="0"/>
        <v>3005</v>
      </c>
    </row>
    <row r="32" spans="1:13" s="75" customFormat="1" ht="15" customHeight="1">
      <c r="A32" s="265">
        <v>2</v>
      </c>
      <c r="B32" s="265">
        <v>14</v>
      </c>
      <c r="C32" s="744" t="s">
        <v>17</v>
      </c>
      <c r="D32" s="102">
        <v>7800</v>
      </c>
      <c r="E32" s="102"/>
      <c r="F32" s="102">
        <v>220</v>
      </c>
      <c r="G32" s="102"/>
      <c r="H32" s="102"/>
      <c r="I32" s="102">
        <v>116</v>
      </c>
      <c r="J32" s="102"/>
      <c r="K32" s="102">
        <v>-44</v>
      </c>
      <c r="L32" s="102"/>
      <c r="M32" s="330">
        <f t="shared" si="0"/>
        <v>8092</v>
      </c>
    </row>
    <row r="33" spans="1:13" s="75" customFormat="1" ht="15" customHeight="1">
      <c r="A33" s="103"/>
      <c r="B33" s="103"/>
      <c r="C33" s="104" t="s">
        <v>59</v>
      </c>
      <c r="D33" s="156">
        <f>SUM(D4+D5+D6+D15+D21+D22+D23+D24+D27+D28+D29+D30+D31+D32)</f>
        <v>66594</v>
      </c>
      <c r="E33" s="156">
        <f aca="true" t="shared" si="4" ref="E33:M33">SUM(E4+E5+E6+E15+E21+E22+E23+E24+E27+E28+E29+E30+E31+E32)</f>
        <v>6053</v>
      </c>
      <c r="F33" s="156">
        <f t="shared" si="4"/>
        <v>97198</v>
      </c>
      <c r="G33" s="156">
        <f t="shared" si="4"/>
        <v>19000</v>
      </c>
      <c r="H33" s="156">
        <f t="shared" si="4"/>
        <v>18926</v>
      </c>
      <c r="I33" s="156">
        <f t="shared" si="4"/>
        <v>12734</v>
      </c>
      <c r="J33" s="156">
        <f t="shared" si="4"/>
        <v>0</v>
      </c>
      <c r="K33" s="156">
        <f t="shared" si="4"/>
        <v>-44</v>
      </c>
      <c r="L33" s="156">
        <f t="shared" si="4"/>
        <v>0</v>
      </c>
      <c r="M33" s="156">
        <f t="shared" si="4"/>
        <v>220461</v>
      </c>
    </row>
    <row r="34" spans="1:2" s="75" customFormat="1" ht="12.75">
      <c r="A34" s="76"/>
      <c r="B34" s="76"/>
    </row>
    <row r="35" spans="1:2" s="75" customFormat="1" ht="12.75">
      <c r="A35" s="76"/>
      <c r="B35" s="76"/>
    </row>
    <row r="36" spans="1:2" s="75" customFormat="1" ht="12.75">
      <c r="A36" s="76"/>
      <c r="B36" s="76"/>
    </row>
    <row r="37" spans="1:2" s="75" customFormat="1" ht="12.75">
      <c r="A37" s="76"/>
      <c r="B37" s="76"/>
    </row>
    <row r="38" spans="1:2" s="75" customFormat="1" ht="12.75">
      <c r="A38" s="76"/>
      <c r="B38" s="76"/>
    </row>
    <row r="39" spans="1:2" s="75" customFormat="1" ht="12.75">
      <c r="A39" s="76"/>
      <c r="B39" s="76"/>
    </row>
    <row r="40" spans="1:2" s="75" customFormat="1" ht="12.75">
      <c r="A40" s="76"/>
      <c r="B40" s="76"/>
    </row>
    <row r="41" spans="1:2" s="75" customFormat="1" ht="12.75">
      <c r="A41" s="76"/>
      <c r="B41" s="76"/>
    </row>
    <row r="42" spans="1:2" s="75" customFormat="1" ht="12.75">
      <c r="A42" s="76"/>
      <c r="B42" s="76"/>
    </row>
    <row r="43" spans="1:2" s="75" customFormat="1" ht="12.75">
      <c r="A43" s="76"/>
      <c r="B43" s="76"/>
    </row>
    <row r="44" spans="1:2" s="75" customFormat="1" ht="12.75">
      <c r="A44" s="76"/>
      <c r="B44" s="76"/>
    </row>
    <row r="45" spans="1:2" s="75" customFormat="1" ht="12.75">
      <c r="A45" s="76"/>
      <c r="B45" s="76"/>
    </row>
    <row r="46" spans="1:2" s="75" customFormat="1" ht="12.75">
      <c r="A46" s="76"/>
      <c r="B46" s="76"/>
    </row>
    <row r="47" spans="1:2" s="75" customFormat="1" ht="12.75">
      <c r="A47" s="76"/>
      <c r="B47" s="76"/>
    </row>
    <row r="48" spans="1:2" s="75" customFormat="1" ht="12.75">
      <c r="A48" s="76"/>
      <c r="B48" s="76"/>
    </row>
    <row r="49" spans="1:2" s="75" customFormat="1" ht="12.75">
      <c r="A49" s="76"/>
      <c r="B49" s="76"/>
    </row>
    <row r="50" spans="1:2" s="75" customFormat="1" ht="12.75">
      <c r="A50" s="76"/>
      <c r="B50" s="76"/>
    </row>
    <row r="51" spans="1:2" s="75" customFormat="1" ht="12.75">
      <c r="A51" s="76"/>
      <c r="B51" s="76"/>
    </row>
    <row r="52" spans="1:2" s="75" customFormat="1" ht="12.75">
      <c r="A52" s="76"/>
      <c r="B52" s="76"/>
    </row>
    <row r="53" spans="1:2" s="75" customFormat="1" ht="12.75">
      <c r="A53" s="76"/>
      <c r="B53" s="76"/>
    </row>
    <row r="54" spans="1:2" s="75" customFormat="1" ht="12.75">
      <c r="A54" s="76"/>
      <c r="B54" s="76"/>
    </row>
    <row r="55" spans="1:2" s="75" customFormat="1" ht="12.75">
      <c r="A55" s="76"/>
      <c r="B55" s="76"/>
    </row>
    <row r="56" spans="1:2" s="75" customFormat="1" ht="12.75">
      <c r="A56" s="76"/>
      <c r="B56" s="76"/>
    </row>
    <row r="57" spans="1:2" s="75" customFormat="1" ht="12.75">
      <c r="A57" s="76"/>
      <c r="B57" s="76"/>
    </row>
    <row r="58" spans="1:2" s="75" customFormat="1" ht="12.75">
      <c r="A58" s="76"/>
      <c r="B58" s="76"/>
    </row>
    <row r="59" spans="1:2" s="75" customFormat="1" ht="12.75">
      <c r="A59" s="76"/>
      <c r="B59" s="76"/>
    </row>
    <row r="60" spans="1:2" s="75" customFormat="1" ht="12.75">
      <c r="A60" s="76"/>
      <c r="B60" s="76"/>
    </row>
    <row r="61" spans="1:2" s="75" customFormat="1" ht="12.75">
      <c r="A61" s="76"/>
      <c r="B61" s="76"/>
    </row>
    <row r="62" spans="1:2" s="75" customFormat="1" ht="12.75">
      <c r="A62" s="76"/>
      <c r="B62" s="76"/>
    </row>
    <row r="63" spans="1:2" s="75" customFormat="1" ht="12.75">
      <c r="A63" s="76"/>
      <c r="B63" s="76"/>
    </row>
    <row r="64" spans="1:2" s="75" customFormat="1" ht="12.75">
      <c r="A64" s="76"/>
      <c r="B64" s="76"/>
    </row>
    <row r="65" spans="1:2" s="75" customFormat="1" ht="12.75">
      <c r="A65" s="76"/>
      <c r="B65" s="76"/>
    </row>
    <row r="66" spans="1:2" s="75" customFormat="1" ht="12.75">
      <c r="A66" s="76"/>
      <c r="B66" s="76"/>
    </row>
    <row r="67" spans="1:2" s="75" customFormat="1" ht="12.75">
      <c r="A67" s="76"/>
      <c r="B67" s="76"/>
    </row>
    <row r="68" spans="1:2" s="75" customFormat="1" ht="12.75">
      <c r="A68" s="76"/>
      <c r="B68" s="76"/>
    </row>
    <row r="69" spans="1:2" s="75" customFormat="1" ht="12.75">
      <c r="A69" s="76"/>
      <c r="B69" s="76"/>
    </row>
    <row r="70" spans="1:2" s="75" customFormat="1" ht="12.75">
      <c r="A70" s="76"/>
      <c r="B70" s="76"/>
    </row>
    <row r="71" spans="1:2" s="75" customFormat="1" ht="12.75">
      <c r="A71" s="76"/>
      <c r="B71" s="76"/>
    </row>
    <row r="72" spans="1:2" s="75" customFormat="1" ht="12.75">
      <c r="A72" s="76"/>
      <c r="B72" s="76"/>
    </row>
    <row r="73" spans="1:2" s="75" customFormat="1" ht="12.75">
      <c r="A73" s="76"/>
      <c r="B73" s="76"/>
    </row>
    <row r="74" spans="1:2" s="75" customFormat="1" ht="12.75">
      <c r="A74" s="76"/>
      <c r="B74" s="76"/>
    </row>
    <row r="75" spans="1:2" s="75" customFormat="1" ht="12.75">
      <c r="A75" s="76"/>
      <c r="B75" s="76"/>
    </row>
    <row r="76" spans="1:2" s="75" customFormat="1" ht="12.75">
      <c r="A76" s="76"/>
      <c r="B76" s="76"/>
    </row>
  </sheetData>
  <sheetProtection/>
  <mergeCells count="12">
    <mergeCell ref="L1:L3"/>
    <mergeCell ref="I2:I3"/>
    <mergeCell ref="M1:M3"/>
    <mergeCell ref="A2:A3"/>
    <mergeCell ref="B2:B3"/>
    <mergeCell ref="J1:K2"/>
    <mergeCell ref="C2:C3"/>
    <mergeCell ref="D1:E2"/>
    <mergeCell ref="F2:F3"/>
    <mergeCell ref="G1:I1"/>
    <mergeCell ref="G2:G3"/>
    <mergeCell ref="H2:H3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2013. ÉVI  BEVÉTELI ELŐIRÁNYZATAINAK MÓDOSÍTÁSA A IV. NEGYEDÉVBEN&amp;R&amp;"Times New Roman,Dőlt"&amp;9
 1. számú tájékoztató tábla
Adatok eFt-ban
</oddHeader>
    <oddFooter>&amp;C 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2" sqref="C12"/>
    </sheetView>
  </sheetViews>
  <sheetFormatPr defaultColWidth="9.00390625" defaultRowHeight="12.75"/>
  <cols>
    <col min="1" max="1" width="4.875" style="77" customWidth="1"/>
    <col min="2" max="2" width="6.375" style="77" customWidth="1"/>
    <col min="3" max="3" width="44.50390625" style="74" customWidth="1"/>
    <col min="4" max="4" width="11.125" style="74" customWidth="1"/>
    <col min="5" max="5" width="12.125" style="74" customWidth="1"/>
    <col min="6" max="6" width="11.125" style="74" customWidth="1"/>
    <col min="7" max="8" width="12.875" style="74" customWidth="1"/>
    <col min="9" max="9" width="10.625" style="74" customWidth="1"/>
    <col min="10" max="11" width="11.375" style="74" customWidth="1"/>
    <col min="12" max="12" width="12.625" style="74" customWidth="1"/>
    <col min="13" max="16384" width="9.375" style="74" customWidth="1"/>
  </cols>
  <sheetData>
    <row r="1" spans="1:12" ht="11.25" customHeight="1" thickBot="1">
      <c r="A1" s="848" t="s">
        <v>11</v>
      </c>
      <c r="B1" s="848" t="s">
        <v>12</v>
      </c>
      <c r="C1" s="848" t="s">
        <v>58</v>
      </c>
      <c r="D1" s="938" t="s">
        <v>656</v>
      </c>
      <c r="E1" s="938"/>
      <c r="F1" s="938"/>
      <c r="G1" s="938"/>
      <c r="H1" s="938"/>
      <c r="I1" s="934" t="s">
        <v>662</v>
      </c>
      <c r="J1" s="934"/>
      <c r="K1" s="934"/>
      <c r="L1" s="935" t="s">
        <v>15</v>
      </c>
    </row>
    <row r="2" spans="1:15" ht="35.25" customHeight="1" thickBot="1">
      <c r="A2" s="849"/>
      <c r="B2" s="937"/>
      <c r="C2" s="936"/>
      <c r="D2" s="526" t="s">
        <v>97</v>
      </c>
      <c r="E2" s="526" t="s">
        <v>13</v>
      </c>
      <c r="F2" s="526" t="s">
        <v>14</v>
      </c>
      <c r="G2" s="525" t="s">
        <v>660</v>
      </c>
      <c r="H2" s="527" t="s">
        <v>394</v>
      </c>
      <c r="I2" s="526" t="s">
        <v>663</v>
      </c>
      <c r="J2" s="526" t="s">
        <v>664</v>
      </c>
      <c r="K2" s="526" t="s">
        <v>665</v>
      </c>
      <c r="L2" s="936"/>
      <c r="M2" s="73"/>
      <c r="N2" s="73"/>
      <c r="O2" s="73"/>
    </row>
    <row r="3" spans="1:15" ht="13.5" customHeight="1">
      <c r="A3" s="336">
        <v>2</v>
      </c>
      <c r="B3" s="336">
        <v>1</v>
      </c>
      <c r="C3" s="737" t="s">
        <v>365</v>
      </c>
      <c r="D3" s="528">
        <v>-682</v>
      </c>
      <c r="E3" s="528">
        <v>11683</v>
      </c>
      <c r="F3" s="528">
        <v>-3640</v>
      </c>
      <c r="G3" s="528">
        <v>24</v>
      </c>
      <c r="H3" s="528"/>
      <c r="I3" s="528">
        <v>-630</v>
      </c>
      <c r="J3" s="528">
        <v>635</v>
      </c>
      <c r="K3" s="528"/>
      <c r="L3" s="528">
        <f>SUM(D3:K3)</f>
        <v>7390</v>
      </c>
      <c r="M3" s="73"/>
      <c r="N3" s="73"/>
      <c r="O3" s="73"/>
    </row>
    <row r="4" spans="1:15" ht="12.75" customHeight="1">
      <c r="A4" s="336">
        <v>2</v>
      </c>
      <c r="B4" s="336">
        <v>2</v>
      </c>
      <c r="C4" s="738" t="s">
        <v>873</v>
      </c>
      <c r="D4" s="335"/>
      <c r="E4" s="335"/>
      <c r="F4" s="335"/>
      <c r="G4" s="335"/>
      <c r="H4" s="335"/>
      <c r="I4" s="335"/>
      <c r="J4" s="335"/>
      <c r="K4" s="335"/>
      <c r="L4" s="335">
        <f aca="true" t="shared" si="0" ref="L4:L31">SUM(D4:K4)</f>
        <v>0</v>
      </c>
      <c r="M4" s="73"/>
      <c r="N4" s="73"/>
      <c r="O4" s="73"/>
    </row>
    <row r="5" spans="1:15" ht="14.25" customHeight="1">
      <c r="A5" s="336">
        <v>2</v>
      </c>
      <c r="B5" s="336">
        <v>3</v>
      </c>
      <c r="C5" s="479" t="s">
        <v>674</v>
      </c>
      <c r="D5" s="335">
        <f>SUM(D6:D13)</f>
        <v>53856</v>
      </c>
      <c r="E5" s="335">
        <f aca="true" t="shared" si="1" ref="E5:K5">SUM(E6:E13)</f>
        <v>15206</v>
      </c>
      <c r="F5" s="335">
        <f t="shared" si="1"/>
        <v>-24339</v>
      </c>
      <c r="G5" s="335">
        <f t="shared" si="1"/>
        <v>500</v>
      </c>
      <c r="H5" s="335">
        <f t="shared" si="1"/>
        <v>0</v>
      </c>
      <c r="I5" s="335">
        <f t="shared" si="1"/>
        <v>7270</v>
      </c>
      <c r="J5" s="335">
        <f t="shared" si="1"/>
        <v>5412</v>
      </c>
      <c r="K5" s="335">
        <f t="shared" si="1"/>
        <v>0</v>
      </c>
      <c r="L5" s="335">
        <f t="shared" si="0"/>
        <v>57905</v>
      </c>
      <c r="M5" s="73"/>
      <c r="N5" s="73"/>
      <c r="O5" s="73"/>
    </row>
    <row r="6" spans="1:15" ht="10.5" customHeight="1">
      <c r="A6" s="336"/>
      <c r="B6" s="331" t="s">
        <v>316</v>
      </c>
      <c r="C6" s="739" t="s">
        <v>552</v>
      </c>
      <c r="D6" s="338">
        <v>4350</v>
      </c>
      <c r="E6" s="338">
        <v>6263</v>
      </c>
      <c r="F6" s="338">
        <v>-9853</v>
      </c>
      <c r="G6" s="338"/>
      <c r="H6" s="338"/>
      <c r="I6" s="338">
        <v>488</v>
      </c>
      <c r="J6" s="338">
        <v>-488</v>
      </c>
      <c r="K6" s="338"/>
      <c r="L6" s="338">
        <f t="shared" si="0"/>
        <v>760</v>
      </c>
      <c r="M6" s="73"/>
      <c r="N6" s="73"/>
      <c r="O6" s="73"/>
    </row>
    <row r="7" spans="1:15" ht="22.5" customHeight="1">
      <c r="A7" s="336"/>
      <c r="B7" s="331" t="s">
        <v>317</v>
      </c>
      <c r="C7" s="740" t="s">
        <v>875</v>
      </c>
      <c r="D7" s="338"/>
      <c r="E7" s="338"/>
      <c r="F7" s="338"/>
      <c r="G7" s="338"/>
      <c r="H7" s="338"/>
      <c r="I7" s="338"/>
      <c r="J7" s="338"/>
      <c r="K7" s="338"/>
      <c r="L7" s="338">
        <f t="shared" si="0"/>
        <v>0</v>
      </c>
      <c r="M7" s="73"/>
      <c r="N7" s="73"/>
      <c r="O7" s="73"/>
    </row>
    <row r="8" spans="1:15" ht="14.25" customHeight="1">
      <c r="A8" s="336"/>
      <c r="B8" s="331" t="s">
        <v>339</v>
      </c>
      <c r="C8" s="739" t="s">
        <v>876</v>
      </c>
      <c r="D8" s="338">
        <v>11752</v>
      </c>
      <c r="E8" s="338">
        <v>2757</v>
      </c>
      <c r="F8" s="338">
        <v>1807</v>
      </c>
      <c r="G8" s="338"/>
      <c r="H8" s="338"/>
      <c r="I8" s="338">
        <v>4500</v>
      </c>
      <c r="J8" s="338"/>
      <c r="K8" s="338"/>
      <c r="L8" s="338">
        <f t="shared" si="0"/>
        <v>20816</v>
      </c>
      <c r="M8" s="73"/>
      <c r="N8" s="73"/>
      <c r="O8" s="73"/>
    </row>
    <row r="9" spans="1:15" ht="12.75" customHeight="1">
      <c r="A9" s="336"/>
      <c r="B9" s="331" t="s">
        <v>48</v>
      </c>
      <c r="C9" s="739" t="s">
        <v>877</v>
      </c>
      <c r="D9" s="338">
        <v>7255</v>
      </c>
      <c r="E9" s="338">
        <v>2464</v>
      </c>
      <c r="F9" s="338">
        <v>14235</v>
      </c>
      <c r="G9" s="338">
        <v>170</v>
      </c>
      <c r="H9" s="338"/>
      <c r="I9" s="338">
        <v>130</v>
      </c>
      <c r="J9" s="338"/>
      <c r="K9" s="338"/>
      <c r="L9" s="338">
        <f t="shared" si="0"/>
        <v>24254</v>
      </c>
      <c r="M9" s="73"/>
      <c r="N9" s="73"/>
      <c r="O9" s="73"/>
    </row>
    <row r="10" spans="1:15" ht="12" customHeight="1">
      <c r="A10" s="336"/>
      <c r="B10" s="331" t="s">
        <v>622</v>
      </c>
      <c r="C10" s="739" t="s">
        <v>878</v>
      </c>
      <c r="D10" s="338">
        <v>6013</v>
      </c>
      <c r="E10" s="338">
        <v>2315</v>
      </c>
      <c r="F10" s="338">
        <v>13767</v>
      </c>
      <c r="G10" s="338"/>
      <c r="H10" s="338"/>
      <c r="I10" s="338"/>
      <c r="J10" s="338">
        <v>1400</v>
      </c>
      <c r="K10" s="338"/>
      <c r="L10" s="338">
        <f t="shared" si="0"/>
        <v>23495</v>
      </c>
      <c r="M10" s="73"/>
      <c r="N10" s="73"/>
      <c r="O10" s="73"/>
    </row>
    <row r="11" spans="1:15" ht="12" customHeight="1">
      <c r="A11" s="336"/>
      <c r="B11" s="331" t="s">
        <v>623</v>
      </c>
      <c r="C11" s="739" t="s">
        <v>879</v>
      </c>
      <c r="D11" s="338">
        <v>3831</v>
      </c>
      <c r="E11" s="338">
        <v>1591</v>
      </c>
      <c r="F11" s="338">
        <v>-193</v>
      </c>
      <c r="G11" s="338">
        <v>300</v>
      </c>
      <c r="H11" s="338"/>
      <c r="I11" s="338"/>
      <c r="J11" s="338"/>
      <c r="K11" s="338"/>
      <c r="L11" s="338">
        <f t="shared" si="0"/>
        <v>5529</v>
      </c>
      <c r="M11" s="73"/>
      <c r="N11" s="73"/>
      <c r="O11" s="73"/>
    </row>
    <row r="12" spans="1:15" ht="12.75" customHeight="1">
      <c r="A12" s="336"/>
      <c r="B12" s="331" t="s">
        <v>624</v>
      </c>
      <c r="C12" s="739" t="s">
        <v>880</v>
      </c>
      <c r="D12" s="338">
        <v>3384</v>
      </c>
      <c r="E12" s="338">
        <v>1003</v>
      </c>
      <c r="F12" s="338">
        <v>10780</v>
      </c>
      <c r="G12" s="338">
        <v>30</v>
      </c>
      <c r="H12" s="338"/>
      <c r="I12" s="338"/>
      <c r="J12" s="338"/>
      <c r="K12" s="338"/>
      <c r="L12" s="338">
        <f t="shared" si="0"/>
        <v>15197</v>
      </c>
      <c r="M12" s="73"/>
      <c r="N12" s="73"/>
      <c r="O12" s="73"/>
    </row>
    <row r="13" spans="1:15" ht="12.75" customHeight="1">
      <c r="A13" s="336"/>
      <c r="B13" s="331" t="s">
        <v>625</v>
      </c>
      <c r="C13" s="739" t="s">
        <v>881</v>
      </c>
      <c r="D13" s="338">
        <v>17271</v>
      </c>
      <c r="E13" s="338">
        <v>-1187</v>
      </c>
      <c r="F13" s="338">
        <v>-54882</v>
      </c>
      <c r="G13" s="338"/>
      <c r="H13" s="338"/>
      <c r="I13" s="338">
        <v>2152</v>
      </c>
      <c r="J13" s="338">
        <v>4500</v>
      </c>
      <c r="K13" s="338"/>
      <c r="L13" s="338">
        <f t="shared" si="0"/>
        <v>-32146</v>
      </c>
      <c r="M13" s="73"/>
      <c r="N13" s="73"/>
      <c r="O13" s="73"/>
    </row>
    <row r="14" spans="1:15" ht="14.25" customHeight="1">
      <c r="A14" s="336">
        <v>2</v>
      </c>
      <c r="B14" s="336">
        <v>4</v>
      </c>
      <c r="C14" s="741" t="s">
        <v>16</v>
      </c>
      <c r="D14" s="335">
        <f aca="true" t="shared" si="2" ref="D14:K14">SUM(D15:D19)</f>
        <v>0</v>
      </c>
      <c r="E14" s="335">
        <f t="shared" si="2"/>
        <v>0</v>
      </c>
      <c r="F14" s="335">
        <f t="shared" si="2"/>
        <v>0</v>
      </c>
      <c r="G14" s="335">
        <f t="shared" si="2"/>
        <v>0</v>
      </c>
      <c r="H14" s="335">
        <f t="shared" si="2"/>
        <v>0</v>
      </c>
      <c r="I14" s="335">
        <f t="shared" si="2"/>
        <v>0</v>
      </c>
      <c r="J14" s="335">
        <f t="shared" si="2"/>
        <v>0</v>
      </c>
      <c r="K14" s="335">
        <f t="shared" si="2"/>
        <v>0</v>
      </c>
      <c r="L14" s="335">
        <f t="shared" si="0"/>
        <v>0</v>
      </c>
      <c r="M14" s="73"/>
      <c r="N14" s="73"/>
      <c r="O14" s="73"/>
    </row>
    <row r="15" spans="1:15" ht="11.25" customHeight="1">
      <c r="A15" s="336"/>
      <c r="B15" s="337" t="s">
        <v>319</v>
      </c>
      <c r="C15" s="739" t="s">
        <v>882</v>
      </c>
      <c r="D15" s="338"/>
      <c r="E15" s="338"/>
      <c r="F15" s="338"/>
      <c r="G15" s="338"/>
      <c r="H15" s="338"/>
      <c r="I15" s="338"/>
      <c r="J15" s="338"/>
      <c r="K15" s="338"/>
      <c r="L15" s="338">
        <f t="shared" si="0"/>
        <v>0</v>
      </c>
      <c r="M15" s="73"/>
      <c r="N15" s="73"/>
      <c r="O15" s="73"/>
    </row>
    <row r="16" spans="1:15" ht="13.5" customHeight="1">
      <c r="A16" s="336"/>
      <c r="B16" s="337" t="s">
        <v>320</v>
      </c>
      <c r="C16" s="739" t="s">
        <v>883</v>
      </c>
      <c r="D16" s="338"/>
      <c r="E16" s="338"/>
      <c r="F16" s="338"/>
      <c r="G16" s="338"/>
      <c r="H16" s="338"/>
      <c r="I16" s="338"/>
      <c r="J16" s="338"/>
      <c r="K16" s="338"/>
      <c r="L16" s="338">
        <f t="shared" si="0"/>
        <v>0</v>
      </c>
      <c r="M16" s="73"/>
      <c r="N16" s="73"/>
      <c r="O16" s="73"/>
    </row>
    <row r="17" spans="1:15" ht="13.5" customHeight="1">
      <c r="A17" s="336"/>
      <c r="B17" s="337" t="s">
        <v>321</v>
      </c>
      <c r="C17" s="739" t="s">
        <v>884</v>
      </c>
      <c r="D17" s="338"/>
      <c r="E17" s="338"/>
      <c r="F17" s="338"/>
      <c r="G17" s="338"/>
      <c r="H17" s="338"/>
      <c r="I17" s="338"/>
      <c r="J17" s="338"/>
      <c r="K17" s="338"/>
      <c r="L17" s="338">
        <f t="shared" si="0"/>
        <v>0</v>
      </c>
      <c r="M17" s="73"/>
      <c r="N17" s="73"/>
      <c r="O17" s="73"/>
    </row>
    <row r="18" spans="1:15" ht="13.5" customHeight="1">
      <c r="A18" s="336"/>
      <c r="B18" s="337" t="s">
        <v>322</v>
      </c>
      <c r="C18" s="739" t="s">
        <v>880</v>
      </c>
      <c r="D18" s="338"/>
      <c r="E18" s="338"/>
      <c r="F18" s="338"/>
      <c r="G18" s="338"/>
      <c r="H18" s="338"/>
      <c r="I18" s="338"/>
      <c r="J18" s="338"/>
      <c r="K18" s="338"/>
      <c r="L18" s="338">
        <f t="shared" si="0"/>
        <v>0</v>
      </c>
      <c r="M18" s="73"/>
      <c r="N18" s="73"/>
      <c r="O18" s="73"/>
    </row>
    <row r="19" spans="1:15" ht="13.5" customHeight="1">
      <c r="A19" s="336"/>
      <c r="B19" s="337" t="s">
        <v>323</v>
      </c>
      <c r="C19" s="739" t="s">
        <v>865</v>
      </c>
      <c r="D19" s="338"/>
      <c r="E19" s="338"/>
      <c r="F19" s="338"/>
      <c r="G19" s="338"/>
      <c r="H19" s="338"/>
      <c r="I19" s="338"/>
      <c r="J19" s="338"/>
      <c r="K19" s="338"/>
      <c r="L19" s="338">
        <f t="shared" si="0"/>
        <v>0</v>
      </c>
      <c r="M19" s="73"/>
      <c r="N19" s="73"/>
      <c r="O19" s="73"/>
    </row>
    <row r="20" spans="1:15" ht="14.25" customHeight="1">
      <c r="A20" s="336">
        <v>2</v>
      </c>
      <c r="B20" s="336">
        <v>5</v>
      </c>
      <c r="C20" s="741" t="s">
        <v>89</v>
      </c>
      <c r="D20" s="335"/>
      <c r="E20" s="335"/>
      <c r="F20" s="335"/>
      <c r="G20" s="335"/>
      <c r="H20" s="335"/>
      <c r="I20" s="335"/>
      <c r="J20" s="335"/>
      <c r="K20" s="335"/>
      <c r="L20" s="335">
        <f t="shared" si="0"/>
        <v>0</v>
      </c>
      <c r="M20" s="73"/>
      <c r="N20" s="73"/>
      <c r="O20" s="73"/>
    </row>
    <row r="21" spans="1:15" ht="12.75" customHeight="1">
      <c r="A21" s="336">
        <v>2</v>
      </c>
      <c r="B21" s="336">
        <v>6</v>
      </c>
      <c r="C21" s="741" t="s">
        <v>90</v>
      </c>
      <c r="D21" s="335"/>
      <c r="E21" s="335"/>
      <c r="F21" s="335"/>
      <c r="G21" s="335"/>
      <c r="H21" s="335"/>
      <c r="I21" s="335"/>
      <c r="J21" s="335"/>
      <c r="K21" s="335"/>
      <c r="L21" s="335">
        <f t="shared" si="0"/>
        <v>0</v>
      </c>
      <c r="M21" s="73"/>
      <c r="N21" s="73"/>
      <c r="O21" s="73"/>
    </row>
    <row r="22" spans="1:15" ht="29.25" customHeight="1">
      <c r="A22" s="336">
        <v>2</v>
      </c>
      <c r="B22" s="336">
        <v>7</v>
      </c>
      <c r="C22" s="742" t="s">
        <v>828</v>
      </c>
      <c r="D22" s="335">
        <v>2844</v>
      </c>
      <c r="E22" s="335">
        <v>321</v>
      </c>
      <c r="F22" s="335">
        <v>106</v>
      </c>
      <c r="G22" s="335">
        <v>130</v>
      </c>
      <c r="H22" s="335"/>
      <c r="I22" s="335">
        <v>400</v>
      </c>
      <c r="J22" s="335"/>
      <c r="K22" s="335"/>
      <c r="L22" s="335">
        <f t="shared" si="0"/>
        <v>3801</v>
      </c>
      <c r="M22" s="73"/>
      <c r="N22" s="73"/>
      <c r="O22" s="73"/>
    </row>
    <row r="23" spans="1:12" s="75" customFormat="1" ht="14.25" customHeight="1">
      <c r="A23" s="265">
        <v>2</v>
      </c>
      <c r="B23" s="265">
        <v>8</v>
      </c>
      <c r="C23" s="743" t="s">
        <v>91</v>
      </c>
      <c r="D23" s="281">
        <f aca="true" t="shared" si="3" ref="D23:K23">SUM(D24:D25)</f>
        <v>4984</v>
      </c>
      <c r="E23" s="281">
        <f t="shared" si="3"/>
        <v>89</v>
      </c>
      <c r="F23" s="281">
        <f t="shared" si="3"/>
        <v>9297</v>
      </c>
      <c r="G23" s="281">
        <f t="shared" si="3"/>
        <v>4900</v>
      </c>
      <c r="H23" s="281">
        <f t="shared" si="3"/>
        <v>0</v>
      </c>
      <c r="I23" s="281">
        <f t="shared" si="3"/>
        <v>910</v>
      </c>
      <c r="J23" s="281">
        <f t="shared" si="3"/>
        <v>0</v>
      </c>
      <c r="K23" s="281">
        <f t="shared" si="3"/>
        <v>0</v>
      </c>
      <c r="L23" s="335">
        <f t="shared" si="0"/>
        <v>20180</v>
      </c>
    </row>
    <row r="24" spans="1:12" s="75" customFormat="1" ht="12.75">
      <c r="A24" s="265"/>
      <c r="B24" s="264" t="s">
        <v>92</v>
      </c>
      <c r="C24" s="739" t="s">
        <v>885</v>
      </c>
      <c r="D24" s="282">
        <v>4933</v>
      </c>
      <c r="E24" s="282">
        <v>320</v>
      </c>
      <c r="F24" s="282">
        <v>9210</v>
      </c>
      <c r="G24" s="282">
        <v>4900</v>
      </c>
      <c r="H24" s="282"/>
      <c r="I24" s="282">
        <v>747</v>
      </c>
      <c r="J24" s="282"/>
      <c r="K24" s="282"/>
      <c r="L24" s="338">
        <f t="shared" si="0"/>
        <v>20110</v>
      </c>
    </row>
    <row r="25" spans="1:12" s="75" customFormat="1" ht="12.75">
      <c r="A25" s="265"/>
      <c r="B25" s="264" t="s">
        <v>93</v>
      </c>
      <c r="C25" s="739" t="s">
        <v>886</v>
      </c>
      <c r="D25" s="282">
        <v>51</v>
      </c>
      <c r="E25" s="282">
        <v>-231</v>
      </c>
      <c r="F25" s="282">
        <v>87</v>
      </c>
      <c r="G25" s="282"/>
      <c r="H25" s="282"/>
      <c r="I25" s="282">
        <v>163</v>
      </c>
      <c r="J25" s="282"/>
      <c r="K25" s="282"/>
      <c r="L25" s="338">
        <f t="shared" si="0"/>
        <v>70</v>
      </c>
    </row>
    <row r="26" spans="1:12" s="75" customFormat="1" ht="13.5" customHeight="1">
      <c r="A26" s="265">
        <v>2</v>
      </c>
      <c r="B26" s="265">
        <v>9</v>
      </c>
      <c r="C26" s="744" t="s">
        <v>94</v>
      </c>
      <c r="D26" s="102">
        <v>4053</v>
      </c>
      <c r="E26" s="102">
        <v>701</v>
      </c>
      <c r="F26" s="102">
        <v>18891</v>
      </c>
      <c r="G26" s="102"/>
      <c r="H26" s="102"/>
      <c r="I26" s="102">
        <v>1783</v>
      </c>
      <c r="J26" s="102"/>
      <c r="K26" s="102"/>
      <c r="L26" s="335">
        <f t="shared" si="0"/>
        <v>25428</v>
      </c>
    </row>
    <row r="27" spans="1:12" s="75" customFormat="1" ht="13.5" customHeight="1">
      <c r="A27" s="265">
        <v>2</v>
      </c>
      <c r="B27" s="265">
        <v>10</v>
      </c>
      <c r="C27" s="744" t="s">
        <v>95</v>
      </c>
      <c r="D27" s="102">
        <v>9609</v>
      </c>
      <c r="E27" s="102">
        <v>3461</v>
      </c>
      <c r="F27" s="102">
        <v>54221</v>
      </c>
      <c r="G27" s="102">
        <v>200</v>
      </c>
      <c r="H27" s="102"/>
      <c r="I27" s="102">
        <v>10570</v>
      </c>
      <c r="J27" s="102">
        <v>1586</v>
      </c>
      <c r="K27" s="102"/>
      <c r="L27" s="335">
        <f t="shared" si="0"/>
        <v>79647</v>
      </c>
    </row>
    <row r="28" spans="1:12" s="75" customFormat="1" ht="14.25" customHeight="1">
      <c r="A28" s="265">
        <v>2</v>
      </c>
      <c r="B28" s="265">
        <v>11</v>
      </c>
      <c r="C28" s="744" t="s">
        <v>100</v>
      </c>
      <c r="D28" s="102">
        <v>-11230</v>
      </c>
      <c r="E28" s="102">
        <v>-881</v>
      </c>
      <c r="F28" s="102">
        <v>24735</v>
      </c>
      <c r="G28" s="102"/>
      <c r="H28" s="102"/>
      <c r="I28" s="102"/>
      <c r="J28" s="102"/>
      <c r="K28" s="102"/>
      <c r="L28" s="335">
        <f t="shared" si="0"/>
        <v>12624</v>
      </c>
    </row>
    <row r="29" spans="1:12" s="75" customFormat="1" ht="12.75" customHeight="1">
      <c r="A29" s="265">
        <v>2</v>
      </c>
      <c r="B29" s="265">
        <v>12</v>
      </c>
      <c r="C29" s="744" t="s">
        <v>99</v>
      </c>
      <c r="D29" s="102">
        <v>-6896</v>
      </c>
      <c r="E29" s="102">
        <v>-1665</v>
      </c>
      <c r="F29" s="102">
        <v>10941</v>
      </c>
      <c r="G29" s="102">
        <v>9</v>
      </c>
      <c r="H29" s="102"/>
      <c r="I29" s="102"/>
      <c r="J29" s="102"/>
      <c r="K29" s="102"/>
      <c r="L29" s="335">
        <f t="shared" si="0"/>
        <v>2389</v>
      </c>
    </row>
    <row r="30" spans="1:12" s="75" customFormat="1" ht="13.5" customHeight="1">
      <c r="A30" s="265">
        <v>2</v>
      </c>
      <c r="B30" s="265">
        <v>13</v>
      </c>
      <c r="C30" s="744" t="s">
        <v>96</v>
      </c>
      <c r="D30" s="102">
        <v>1944</v>
      </c>
      <c r="E30" s="102">
        <v>2075</v>
      </c>
      <c r="F30" s="102">
        <v>-10430</v>
      </c>
      <c r="G30" s="102"/>
      <c r="H30" s="102"/>
      <c r="I30" s="102">
        <v>9416</v>
      </c>
      <c r="J30" s="102"/>
      <c r="K30" s="102"/>
      <c r="L30" s="335">
        <f t="shared" si="0"/>
        <v>3005</v>
      </c>
    </row>
    <row r="31" spans="1:12" s="75" customFormat="1" ht="13.5" thickBot="1">
      <c r="A31" s="265">
        <v>2</v>
      </c>
      <c r="B31" s="265">
        <v>14</v>
      </c>
      <c r="C31" s="744" t="s">
        <v>17</v>
      </c>
      <c r="D31" s="102">
        <v>172</v>
      </c>
      <c r="E31" s="102">
        <v>48</v>
      </c>
      <c r="F31" s="102">
        <v>6680</v>
      </c>
      <c r="G31" s="102">
        <v>20</v>
      </c>
      <c r="H31" s="102"/>
      <c r="I31" s="102">
        <v>1172</v>
      </c>
      <c r="J31" s="102"/>
      <c r="K31" s="102"/>
      <c r="L31" s="335">
        <f t="shared" si="0"/>
        <v>8092</v>
      </c>
    </row>
    <row r="32" spans="1:12" s="75" customFormat="1" ht="13.5" customHeight="1" thickBot="1">
      <c r="A32" s="112"/>
      <c r="B32" s="113"/>
      <c r="C32" s="106" t="s">
        <v>59</v>
      </c>
      <c r="D32" s="107">
        <f>SUM(D3+D4+D5+D14+D20+D21+D22+D23+D26+D27+D28+D29+D30+D31)</f>
        <v>58654</v>
      </c>
      <c r="E32" s="107">
        <f aca="true" t="shared" si="4" ref="E32:L32">SUM(E3+E4+E5+E14+E20+E21+E22+E23+E26+E27+E28+E29+E30+E31)</f>
        <v>31038</v>
      </c>
      <c r="F32" s="107">
        <f t="shared" si="4"/>
        <v>86462</v>
      </c>
      <c r="G32" s="107">
        <f t="shared" si="4"/>
        <v>5783</v>
      </c>
      <c r="H32" s="107">
        <f t="shared" si="4"/>
        <v>0</v>
      </c>
      <c r="I32" s="107">
        <f t="shared" si="4"/>
        <v>30891</v>
      </c>
      <c r="J32" s="107">
        <f t="shared" si="4"/>
        <v>7633</v>
      </c>
      <c r="K32" s="107">
        <f t="shared" si="4"/>
        <v>0</v>
      </c>
      <c r="L32" s="107">
        <f t="shared" si="4"/>
        <v>220461</v>
      </c>
    </row>
    <row r="33" spans="1:12" s="75" customFormat="1" ht="12.75">
      <c r="A33" s="114"/>
      <c r="B33" s="114"/>
      <c r="C33" s="109"/>
      <c r="D33" s="110"/>
      <c r="E33" s="110"/>
      <c r="F33" s="110"/>
      <c r="G33" s="110"/>
      <c r="H33" s="110"/>
      <c r="I33" s="110"/>
      <c r="J33" s="110"/>
      <c r="K33" s="110"/>
      <c r="L33" s="110"/>
    </row>
    <row r="34" spans="1:12" s="75" customFormat="1" ht="12.75">
      <c r="A34" s="114"/>
      <c r="B34" s="114"/>
      <c r="C34" s="109"/>
      <c r="D34" s="111"/>
      <c r="E34" s="111"/>
      <c r="F34" s="111"/>
      <c r="G34" s="111"/>
      <c r="H34" s="111"/>
      <c r="I34" s="111"/>
      <c r="J34" s="111"/>
      <c r="K34" s="111"/>
      <c r="L34" s="111"/>
    </row>
    <row r="35" spans="1:12" s="75" customFormat="1" ht="12.75">
      <c r="A35" s="114"/>
      <c r="B35" s="114"/>
      <c r="C35" s="109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2" s="75" customFormat="1" ht="12.75">
      <c r="A36" s="114"/>
      <c r="B36" s="114"/>
      <c r="C36" s="109"/>
      <c r="D36" s="111"/>
      <c r="E36" s="111"/>
      <c r="F36" s="111"/>
      <c r="G36" s="111"/>
      <c r="H36" s="111"/>
      <c r="I36" s="111"/>
      <c r="J36" s="111"/>
      <c r="K36" s="111"/>
      <c r="L36" s="111"/>
    </row>
    <row r="37" spans="1:12" s="75" customFormat="1" ht="12.75">
      <c r="A37" s="114"/>
      <c r="B37" s="114"/>
      <c r="C37" s="109"/>
      <c r="D37" s="108"/>
      <c r="E37" s="108"/>
      <c r="F37" s="108"/>
      <c r="G37" s="108"/>
      <c r="H37" s="108"/>
      <c r="I37" s="108"/>
      <c r="J37" s="108"/>
      <c r="K37" s="108"/>
      <c r="L37" s="108"/>
    </row>
    <row r="38" spans="1:12" s="75" customFormat="1" ht="12.75">
      <c r="A38" s="114"/>
      <c r="B38" s="114"/>
      <c r="C38" s="109"/>
      <c r="D38" s="108"/>
      <c r="E38" s="108"/>
      <c r="F38" s="108"/>
      <c r="G38" s="108"/>
      <c r="H38" s="108"/>
      <c r="I38" s="108"/>
      <c r="J38" s="108"/>
      <c r="K38" s="108"/>
      <c r="L38" s="108"/>
    </row>
    <row r="39" spans="1:12" s="75" customFormat="1" ht="12.75">
      <c r="A39" s="114"/>
      <c r="B39" s="114"/>
      <c r="C39" s="109"/>
      <c r="D39" s="108"/>
      <c r="E39" s="108"/>
      <c r="F39" s="108"/>
      <c r="G39" s="108"/>
      <c r="H39" s="108"/>
      <c r="I39" s="108"/>
      <c r="J39" s="108"/>
      <c r="K39" s="108"/>
      <c r="L39" s="108"/>
    </row>
    <row r="40" spans="1:12" s="75" customFormat="1" ht="12.75">
      <c r="A40" s="114"/>
      <c r="B40" s="114"/>
      <c r="C40" s="109"/>
      <c r="D40" s="108"/>
      <c r="E40" s="108"/>
      <c r="F40" s="108"/>
      <c r="G40" s="108"/>
      <c r="H40" s="108"/>
      <c r="I40" s="108"/>
      <c r="J40" s="108"/>
      <c r="K40" s="108"/>
      <c r="L40" s="108"/>
    </row>
    <row r="41" spans="1:12" s="75" customFormat="1" ht="12.75">
      <c r="A41" s="114"/>
      <c r="B41" s="114"/>
      <c r="C41" s="109"/>
      <c r="D41" s="108"/>
      <c r="E41" s="108"/>
      <c r="F41" s="108"/>
      <c r="G41" s="108"/>
      <c r="H41" s="108"/>
      <c r="I41" s="108"/>
      <c r="J41" s="108"/>
      <c r="K41" s="108"/>
      <c r="L41" s="108"/>
    </row>
    <row r="42" spans="1:12" s="75" customFormat="1" ht="12.75">
      <c r="A42" s="114"/>
      <c r="B42" s="114"/>
      <c r="C42" s="108"/>
      <c r="D42" s="108"/>
      <c r="E42" s="108"/>
      <c r="F42" s="108"/>
      <c r="G42" s="108"/>
      <c r="H42" s="108"/>
      <c r="I42" s="108"/>
      <c r="J42" s="108"/>
      <c r="K42" s="108"/>
      <c r="L42" s="108"/>
    </row>
    <row r="43" spans="1:12" s="75" customFormat="1" ht="12.75">
      <c r="A43" s="114"/>
      <c r="B43" s="114"/>
      <c r="C43" s="108"/>
      <c r="D43" s="108"/>
      <c r="E43" s="108"/>
      <c r="F43" s="108"/>
      <c r="G43" s="108"/>
      <c r="H43" s="108"/>
      <c r="I43" s="108"/>
      <c r="J43" s="108"/>
      <c r="K43" s="108"/>
      <c r="L43" s="108"/>
    </row>
    <row r="44" spans="1:12" s="75" customFormat="1" ht="12.75">
      <c r="A44" s="114"/>
      <c r="B44" s="114"/>
      <c r="C44" s="108"/>
      <c r="D44" s="108"/>
      <c r="E44" s="108"/>
      <c r="F44" s="108"/>
      <c r="G44" s="108"/>
      <c r="H44" s="108"/>
      <c r="I44" s="108"/>
      <c r="J44" s="108"/>
      <c r="K44" s="108"/>
      <c r="L44" s="108"/>
    </row>
    <row r="45" spans="1:12" s="75" customFormat="1" ht="12.75">
      <c r="A45" s="114"/>
      <c r="B45" s="114"/>
      <c r="C45" s="108"/>
      <c r="D45" s="108"/>
      <c r="E45" s="108"/>
      <c r="F45" s="108"/>
      <c r="G45" s="108"/>
      <c r="H45" s="108"/>
      <c r="I45" s="108"/>
      <c r="J45" s="108"/>
      <c r="K45" s="108"/>
      <c r="L45" s="108"/>
    </row>
    <row r="46" spans="1:12" s="75" customFormat="1" ht="12.75">
      <c r="A46" s="114"/>
      <c r="B46" s="114"/>
      <c r="C46" s="108"/>
      <c r="D46" s="108"/>
      <c r="E46" s="108"/>
      <c r="F46" s="108"/>
      <c r="G46" s="108"/>
      <c r="H46" s="108"/>
      <c r="I46" s="108"/>
      <c r="J46" s="108"/>
      <c r="K46" s="108"/>
      <c r="L46" s="108"/>
    </row>
    <row r="47" spans="1:12" s="75" customFormat="1" ht="12.75">
      <c r="A47" s="114"/>
      <c r="B47" s="114"/>
      <c r="C47" s="108"/>
      <c r="D47" s="108"/>
      <c r="E47" s="108"/>
      <c r="F47" s="108"/>
      <c r="G47" s="108"/>
      <c r="H47" s="108"/>
      <c r="I47" s="108"/>
      <c r="J47" s="108"/>
      <c r="K47" s="108"/>
      <c r="L47" s="108"/>
    </row>
    <row r="48" spans="1:12" s="75" customFormat="1" ht="12.75">
      <c r="A48" s="114"/>
      <c r="B48" s="114"/>
      <c r="C48" s="108"/>
      <c r="D48" s="108"/>
      <c r="E48" s="108"/>
      <c r="F48" s="108"/>
      <c r="G48" s="108"/>
      <c r="H48" s="108"/>
      <c r="I48" s="108"/>
      <c r="J48" s="108"/>
      <c r="K48" s="108"/>
      <c r="L48" s="108"/>
    </row>
    <row r="49" spans="1:12" s="75" customFormat="1" ht="12.75">
      <c r="A49" s="114"/>
      <c r="B49" s="114"/>
      <c r="C49" s="108"/>
      <c r="D49" s="108"/>
      <c r="E49" s="108"/>
      <c r="F49" s="108"/>
      <c r="G49" s="108"/>
      <c r="H49" s="108"/>
      <c r="I49" s="108"/>
      <c r="J49" s="108"/>
      <c r="K49" s="108"/>
      <c r="L49" s="108"/>
    </row>
    <row r="50" spans="1:2" s="75" customFormat="1" ht="12.75">
      <c r="A50" s="76"/>
      <c r="B50" s="76"/>
    </row>
    <row r="51" spans="1:2" s="75" customFormat="1" ht="12.75">
      <c r="A51" s="76"/>
      <c r="B51" s="76"/>
    </row>
    <row r="52" spans="1:2" s="75" customFormat="1" ht="12.75">
      <c r="A52" s="76"/>
      <c r="B52" s="76"/>
    </row>
    <row r="53" spans="1:2" s="75" customFormat="1" ht="12.75">
      <c r="A53" s="76"/>
      <c r="B53" s="76"/>
    </row>
    <row r="54" spans="1:2" s="75" customFormat="1" ht="12.75">
      <c r="A54" s="76"/>
      <c r="B54" s="76"/>
    </row>
    <row r="55" spans="1:2" s="75" customFormat="1" ht="12.75">
      <c r="A55" s="76"/>
      <c r="B55" s="76"/>
    </row>
    <row r="56" spans="1:2" s="75" customFormat="1" ht="12.75">
      <c r="A56" s="76"/>
      <c r="B56" s="76"/>
    </row>
    <row r="57" spans="1:2" s="75" customFormat="1" ht="12.75">
      <c r="A57" s="76"/>
      <c r="B57" s="76"/>
    </row>
    <row r="58" spans="1:2" s="75" customFormat="1" ht="12.75">
      <c r="A58" s="76"/>
      <c r="B58" s="76"/>
    </row>
    <row r="59" spans="1:2" s="75" customFormat="1" ht="12.75">
      <c r="A59" s="76"/>
      <c r="B59" s="76"/>
    </row>
    <row r="60" spans="1:2" s="75" customFormat="1" ht="12.75">
      <c r="A60" s="76"/>
      <c r="B60" s="76"/>
    </row>
    <row r="61" spans="1:2" s="75" customFormat="1" ht="12.75">
      <c r="A61" s="76"/>
      <c r="B61" s="76"/>
    </row>
    <row r="62" spans="1:2" s="75" customFormat="1" ht="12.75">
      <c r="A62" s="76"/>
      <c r="B62" s="76"/>
    </row>
    <row r="63" spans="1:2" s="75" customFormat="1" ht="12.75">
      <c r="A63" s="76"/>
      <c r="B63" s="76"/>
    </row>
    <row r="64" spans="1:2" s="75" customFormat="1" ht="12.75">
      <c r="A64" s="76"/>
      <c r="B64" s="76"/>
    </row>
    <row r="65" spans="1:2" s="75" customFormat="1" ht="12.75">
      <c r="A65" s="76"/>
      <c r="B65" s="76"/>
    </row>
    <row r="66" spans="1:2" s="75" customFormat="1" ht="12.75">
      <c r="A66" s="76"/>
      <c r="B66" s="76"/>
    </row>
    <row r="67" spans="1:2" s="75" customFormat="1" ht="12.75">
      <c r="A67" s="76"/>
      <c r="B67" s="76"/>
    </row>
    <row r="68" spans="1:2" s="75" customFormat="1" ht="12.75">
      <c r="A68" s="76"/>
      <c r="B68" s="76"/>
    </row>
    <row r="69" spans="1:2" s="75" customFormat="1" ht="12.75">
      <c r="A69" s="76"/>
      <c r="B69" s="76"/>
    </row>
    <row r="70" spans="1:2" s="75" customFormat="1" ht="12.75">
      <c r="A70" s="76"/>
      <c r="B70" s="76"/>
    </row>
    <row r="71" spans="1:2" s="75" customFormat="1" ht="12.75">
      <c r="A71" s="76"/>
      <c r="B71" s="76"/>
    </row>
    <row r="72" spans="1:2" s="75" customFormat="1" ht="12.75">
      <c r="A72" s="76"/>
      <c r="B72" s="76"/>
    </row>
    <row r="73" spans="1:2" s="75" customFormat="1" ht="12.75">
      <c r="A73" s="76"/>
      <c r="B73" s="76"/>
    </row>
    <row r="74" spans="1:2" s="75" customFormat="1" ht="12.75">
      <c r="A74" s="76"/>
      <c r="B74" s="76"/>
    </row>
    <row r="75" spans="1:2" s="75" customFormat="1" ht="12.75">
      <c r="A75" s="76"/>
      <c r="B75" s="76"/>
    </row>
    <row r="76" spans="1:2" s="75" customFormat="1" ht="12.75">
      <c r="A76" s="76"/>
      <c r="B76" s="76"/>
    </row>
    <row r="77" spans="1:2" s="75" customFormat="1" ht="12.75">
      <c r="A77" s="76"/>
      <c r="B77" s="76"/>
    </row>
    <row r="78" spans="1:2" s="75" customFormat="1" ht="12.75">
      <c r="A78" s="76"/>
      <c r="B78" s="76"/>
    </row>
    <row r="79" spans="1:2" s="75" customFormat="1" ht="12.75">
      <c r="A79" s="76"/>
      <c r="B79" s="76"/>
    </row>
    <row r="80" spans="1:2" s="75" customFormat="1" ht="12.75">
      <c r="A80" s="76"/>
      <c r="B80" s="76"/>
    </row>
    <row r="81" spans="1:2" s="75" customFormat="1" ht="12.75">
      <c r="A81" s="76"/>
      <c r="B81" s="76"/>
    </row>
    <row r="82" spans="1:2" s="75" customFormat="1" ht="12.75">
      <c r="A82" s="76"/>
      <c r="B82" s="76"/>
    </row>
    <row r="83" spans="1:2" s="75" customFormat="1" ht="12.75">
      <c r="A83" s="76"/>
      <c r="B83" s="76"/>
    </row>
    <row r="84" spans="1:2" s="75" customFormat="1" ht="12.75">
      <c r="A84" s="76"/>
      <c r="B84" s="76"/>
    </row>
    <row r="85" spans="1:2" s="75" customFormat="1" ht="12.75">
      <c r="A85" s="76"/>
      <c r="B85" s="76"/>
    </row>
    <row r="86" spans="1:2" s="75" customFormat="1" ht="12.75">
      <c r="A86" s="76"/>
      <c r="B86" s="76"/>
    </row>
    <row r="87" spans="1:2" s="75" customFormat="1" ht="12.75">
      <c r="A87" s="76"/>
      <c r="B87" s="76"/>
    </row>
    <row r="88" spans="1:2" s="75" customFormat="1" ht="12.75">
      <c r="A88" s="76"/>
      <c r="B88" s="76"/>
    </row>
    <row r="89" spans="1:2" s="75" customFormat="1" ht="12.75">
      <c r="A89" s="76"/>
      <c r="B89" s="76"/>
    </row>
    <row r="90" spans="1:2" s="75" customFormat="1" ht="12.75">
      <c r="A90" s="76"/>
      <c r="B90" s="76"/>
    </row>
    <row r="91" spans="1:2" s="75" customFormat="1" ht="12.75">
      <c r="A91" s="76"/>
      <c r="B91" s="76"/>
    </row>
    <row r="92" spans="1:2" s="75" customFormat="1" ht="12.75">
      <c r="A92" s="76"/>
      <c r="B92" s="76"/>
    </row>
    <row r="93" spans="1:2" s="75" customFormat="1" ht="12.75">
      <c r="A93" s="76"/>
      <c r="B93" s="76"/>
    </row>
    <row r="94" spans="1:2" s="75" customFormat="1" ht="12.75">
      <c r="A94" s="76"/>
      <c r="B94" s="76"/>
    </row>
    <row r="95" spans="1:2" s="75" customFormat="1" ht="12.75">
      <c r="A95" s="76"/>
      <c r="B95" s="76"/>
    </row>
    <row r="96" spans="1:2" s="75" customFormat="1" ht="12.75">
      <c r="A96" s="76"/>
      <c r="B96" s="76"/>
    </row>
    <row r="97" spans="1:2" s="75" customFormat="1" ht="12.75">
      <c r="A97" s="76"/>
      <c r="B97" s="76"/>
    </row>
    <row r="98" spans="1:2" s="75" customFormat="1" ht="12.75">
      <c r="A98" s="76"/>
      <c r="B98" s="76"/>
    </row>
    <row r="99" spans="1:2" s="75" customFormat="1" ht="12.75">
      <c r="A99" s="76"/>
      <c r="B99" s="76"/>
    </row>
    <row r="100" spans="1:2" s="75" customFormat="1" ht="12.75">
      <c r="A100" s="76"/>
      <c r="B100" s="76"/>
    </row>
    <row r="101" spans="1:2" s="75" customFormat="1" ht="12.75">
      <c r="A101" s="76"/>
      <c r="B101" s="76"/>
    </row>
    <row r="102" spans="1:2" s="75" customFormat="1" ht="12.75">
      <c r="A102" s="76"/>
      <c r="B102" s="76"/>
    </row>
    <row r="103" spans="1:2" s="75" customFormat="1" ht="12.75">
      <c r="A103" s="76"/>
      <c r="B103" s="76"/>
    </row>
    <row r="104" spans="1:2" s="75" customFormat="1" ht="12.75">
      <c r="A104" s="76"/>
      <c r="B104" s="76"/>
    </row>
    <row r="105" spans="1:2" s="75" customFormat="1" ht="12.75">
      <c r="A105" s="76"/>
      <c r="B105" s="76"/>
    </row>
    <row r="106" spans="1:2" s="75" customFormat="1" ht="12.75">
      <c r="A106" s="76"/>
      <c r="B106" s="76"/>
    </row>
    <row r="107" spans="1:2" s="75" customFormat="1" ht="12.75">
      <c r="A107" s="76"/>
      <c r="B107" s="76"/>
    </row>
    <row r="108" spans="1:2" s="75" customFormat="1" ht="12.75">
      <c r="A108" s="76"/>
      <c r="B108" s="76"/>
    </row>
    <row r="109" spans="1:2" s="75" customFormat="1" ht="12.75">
      <c r="A109" s="76"/>
      <c r="B109" s="76"/>
    </row>
    <row r="110" spans="1:2" s="75" customFormat="1" ht="12.75">
      <c r="A110" s="76"/>
      <c r="B110" s="76"/>
    </row>
    <row r="111" spans="1:2" s="75" customFormat="1" ht="12.75">
      <c r="A111" s="76"/>
      <c r="B111" s="76"/>
    </row>
    <row r="112" spans="1:2" s="75" customFormat="1" ht="12.75">
      <c r="A112" s="76"/>
      <c r="B112" s="76"/>
    </row>
    <row r="113" spans="1:2" s="75" customFormat="1" ht="12.75">
      <c r="A113" s="76"/>
      <c r="B113" s="76"/>
    </row>
    <row r="114" spans="1:2" s="75" customFormat="1" ht="12.75">
      <c r="A114" s="76"/>
      <c r="B114" s="76"/>
    </row>
    <row r="115" spans="1:2" s="75" customFormat="1" ht="12.75">
      <c r="A115" s="76"/>
      <c r="B115" s="76"/>
    </row>
    <row r="116" spans="1:2" s="75" customFormat="1" ht="12.75">
      <c r="A116" s="76"/>
      <c r="B116" s="76"/>
    </row>
    <row r="117" spans="1:2" s="75" customFormat="1" ht="12.75">
      <c r="A117" s="76"/>
      <c r="B117" s="76"/>
    </row>
    <row r="118" spans="1:2" s="75" customFormat="1" ht="12.75">
      <c r="A118" s="76"/>
      <c r="B118" s="76"/>
    </row>
    <row r="119" spans="1:2" s="75" customFormat="1" ht="12.75">
      <c r="A119" s="76"/>
      <c r="B119" s="76"/>
    </row>
    <row r="120" spans="1:2" s="75" customFormat="1" ht="12.75">
      <c r="A120" s="76"/>
      <c r="B120" s="76"/>
    </row>
  </sheetData>
  <sheetProtection/>
  <mergeCells count="6">
    <mergeCell ref="I1:K1"/>
    <mergeCell ref="L1:L2"/>
    <mergeCell ref="A1:A2"/>
    <mergeCell ref="B1:B2"/>
    <mergeCell ref="C1:C2"/>
    <mergeCell ref="D1:H1"/>
  </mergeCells>
  <printOptions horizontalCentered="1" verticalCentered="1"/>
  <pageMargins left="0.07874015748031496" right="0.07874015748031496" top="1.4173228346456694" bottom="0.7480314960629921" header="0.4330708661417323" footer="0.31496062992125984"/>
  <pageSetup fitToHeight="0" fitToWidth="0" horizontalDpi="300" verticalDpi="300" orientation="landscape" paperSize="9" scale="90" r:id="rId1"/>
  <headerFooter alignWithMargins="0">
    <oddHeader>&amp;C&amp;"Times New Roman,Dőlt"ZALAEGERSZEG MJV ÖNKORMÁNYZATA ÁLTAL IRÁNYÍTOTT KÖLTSÉGVETÉSI SZERVEK
2013. ÉVI  KIADÁSI ELŐIRÁNYZATAINAK MÓDOSÍTÁSA A IV. NEGYEDÉVBEN&amp;R&amp;"Times New Roman,Dőlt"&amp;9 2. számú tájékoztató tábla 
Adatok eFt-ban</oddHeader>
    <oddFooter>&amp;C 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6">
      <selection activeCell="D5" sqref="D5"/>
    </sheetView>
  </sheetViews>
  <sheetFormatPr defaultColWidth="9.00390625" defaultRowHeight="12.75"/>
  <cols>
    <col min="1" max="1" width="6.875" style="219" customWidth="1"/>
    <col min="2" max="2" width="51.00390625" style="205" customWidth="1"/>
    <col min="3" max="3" width="14.625" style="205" customWidth="1"/>
    <col min="4" max="4" width="15.625" style="205" customWidth="1"/>
    <col min="5" max="5" width="14.875" style="205" customWidth="1"/>
    <col min="6" max="16384" width="9.375" style="58" customWidth="1"/>
  </cols>
  <sheetData>
    <row r="1" spans="1:5" s="191" customFormat="1" ht="43.5" customHeight="1" thickBot="1">
      <c r="A1" s="206" t="s">
        <v>140</v>
      </c>
      <c r="B1" s="207" t="s">
        <v>353</v>
      </c>
      <c r="C1" s="207" t="s">
        <v>573</v>
      </c>
      <c r="D1" s="207" t="s">
        <v>574</v>
      </c>
      <c r="E1" s="208" t="s">
        <v>575</v>
      </c>
    </row>
    <row r="2" spans="1:5" s="211" customFormat="1" ht="14.25" customHeight="1">
      <c r="A2" s="209"/>
      <c r="B2" s="210" t="s">
        <v>141</v>
      </c>
      <c r="C2" s="210"/>
      <c r="D2" s="210"/>
      <c r="E2" s="210"/>
    </row>
    <row r="3" spans="1:5" s="191" customFormat="1" ht="14.25" customHeight="1">
      <c r="A3" s="209" t="s">
        <v>142</v>
      </c>
      <c r="B3" s="210" t="s">
        <v>143</v>
      </c>
      <c r="C3" s="212"/>
      <c r="D3" s="212"/>
      <c r="E3" s="212"/>
    </row>
    <row r="4" spans="1:5" s="191" customFormat="1" ht="14.25" customHeight="1">
      <c r="A4" s="213"/>
      <c r="B4" s="212" t="s">
        <v>144</v>
      </c>
      <c r="C4" s="212">
        <v>2154538</v>
      </c>
      <c r="D4" s="212">
        <v>367232</v>
      </c>
      <c r="E4" s="212">
        <f>SUM(C4+D4)</f>
        <v>2521770</v>
      </c>
    </row>
    <row r="5" spans="1:5" s="191" customFormat="1" ht="14.25" customHeight="1">
      <c r="A5" s="213"/>
      <c r="B5" s="212" t="s">
        <v>576</v>
      </c>
      <c r="C5" s="212"/>
      <c r="D5" s="212"/>
      <c r="E5" s="212">
        <f>SUM(C5+D5)</f>
        <v>0</v>
      </c>
    </row>
    <row r="6" spans="1:5" s="191" customFormat="1" ht="14.25" customHeight="1">
      <c r="A6" s="213"/>
      <c r="B6" s="212" t="s">
        <v>145</v>
      </c>
      <c r="C6" s="212">
        <v>3706000</v>
      </c>
      <c r="D6" s="212"/>
      <c r="E6" s="212">
        <f>SUM(C6+D6)</f>
        <v>3706000</v>
      </c>
    </row>
    <row r="7" spans="1:5" s="191" customFormat="1" ht="14.25" customHeight="1">
      <c r="A7" s="213"/>
      <c r="B7" s="212" t="s">
        <v>146</v>
      </c>
      <c r="C7" s="212">
        <v>248000</v>
      </c>
      <c r="D7" s="212"/>
      <c r="E7" s="212">
        <f>SUM(C7+D7)</f>
        <v>248000</v>
      </c>
    </row>
    <row r="8" spans="1:5" s="191" customFormat="1" ht="14.25" customHeight="1">
      <c r="A8" s="213"/>
      <c r="B8" s="212" t="s">
        <v>128</v>
      </c>
      <c r="C8" s="212">
        <v>111000</v>
      </c>
      <c r="D8" s="212">
        <v>-98985</v>
      </c>
      <c r="E8" s="212">
        <f>SUM(C8+D8)</f>
        <v>12015</v>
      </c>
    </row>
    <row r="9" spans="1:5" s="194" customFormat="1" ht="14.25" customHeight="1">
      <c r="A9" s="214"/>
      <c r="B9" s="215" t="s">
        <v>147</v>
      </c>
      <c r="C9" s="215">
        <f>SUM(C4:C8)</f>
        <v>6219538</v>
      </c>
      <c r="D9" s="215">
        <f>SUM(D4:D8)</f>
        <v>268247</v>
      </c>
      <c r="E9" s="215">
        <f>SUM(E4:E8)</f>
        <v>6487785</v>
      </c>
    </row>
    <row r="10" spans="1:5" s="191" customFormat="1" ht="14.25" customHeight="1">
      <c r="A10" s="209" t="s">
        <v>148</v>
      </c>
      <c r="B10" s="210" t="s">
        <v>577</v>
      </c>
      <c r="C10" s="212"/>
      <c r="D10" s="212"/>
      <c r="E10" s="212"/>
    </row>
    <row r="11" spans="1:5" s="191" customFormat="1" ht="14.25" customHeight="1">
      <c r="A11" s="213"/>
      <c r="B11" s="212" t="s">
        <v>149</v>
      </c>
      <c r="C11" s="212"/>
      <c r="D11" s="212"/>
      <c r="E11" s="212"/>
    </row>
    <row r="12" spans="1:5" s="191" customFormat="1" ht="24.75" customHeight="1">
      <c r="A12" s="213"/>
      <c r="B12" s="22" t="s">
        <v>578</v>
      </c>
      <c r="C12" s="212">
        <v>1817536</v>
      </c>
      <c r="D12" s="212">
        <v>582114</v>
      </c>
      <c r="E12" s="212">
        <f aca="true" t="shared" si="0" ref="E12:E17">SUM(C12+D12)</f>
        <v>2399650</v>
      </c>
    </row>
    <row r="13" spans="1:5" s="191" customFormat="1" ht="14.25" customHeight="1">
      <c r="A13" s="213"/>
      <c r="B13" s="212" t="s">
        <v>150</v>
      </c>
      <c r="C13" s="212">
        <v>13613</v>
      </c>
      <c r="D13" s="212">
        <v>47687</v>
      </c>
      <c r="E13" s="212">
        <f t="shared" si="0"/>
        <v>61300</v>
      </c>
    </row>
    <row r="14" spans="1:5" s="191" customFormat="1" ht="14.25" customHeight="1">
      <c r="A14" s="213"/>
      <c r="B14" s="212" t="s">
        <v>151</v>
      </c>
      <c r="C14" s="212">
        <v>245100</v>
      </c>
      <c r="D14" s="212"/>
      <c r="E14" s="212">
        <f t="shared" si="0"/>
        <v>245100</v>
      </c>
    </row>
    <row r="15" spans="1:5" s="191" customFormat="1" ht="14.25" customHeight="1">
      <c r="A15" s="213"/>
      <c r="B15" s="212" t="s">
        <v>195</v>
      </c>
      <c r="C15" s="212"/>
      <c r="D15" s="212">
        <v>343610</v>
      </c>
      <c r="E15" s="212">
        <f t="shared" si="0"/>
        <v>343610</v>
      </c>
    </row>
    <row r="16" spans="1:5" s="191" customFormat="1" ht="14.25" customHeight="1">
      <c r="A16" s="213"/>
      <c r="B16" s="212" t="s">
        <v>1154</v>
      </c>
      <c r="C16" s="212"/>
      <c r="D16" s="212">
        <v>34262</v>
      </c>
      <c r="E16" s="212">
        <f t="shared" si="0"/>
        <v>34262</v>
      </c>
    </row>
    <row r="17" spans="1:5" s="191" customFormat="1" ht="14.25" customHeight="1">
      <c r="A17" s="213"/>
      <c r="B17" s="212" t="s">
        <v>1155</v>
      </c>
      <c r="C17" s="212"/>
      <c r="D17" s="212">
        <v>34020</v>
      </c>
      <c r="E17" s="212">
        <f t="shared" si="0"/>
        <v>34020</v>
      </c>
    </row>
    <row r="18" spans="1:5" s="194" customFormat="1" ht="14.25" customHeight="1">
      <c r="A18" s="214"/>
      <c r="B18" s="215" t="s">
        <v>152</v>
      </c>
      <c r="C18" s="215">
        <f>SUM(C11:C15)</f>
        <v>2076249</v>
      </c>
      <c r="D18" s="215">
        <f>SUM(D11:D17)</f>
        <v>1041693</v>
      </c>
      <c r="E18" s="215">
        <f>SUM(E11:E17)</f>
        <v>3117942</v>
      </c>
    </row>
    <row r="19" spans="1:5" s="191" customFormat="1" ht="14.25" customHeight="1">
      <c r="A19" s="209" t="s">
        <v>153</v>
      </c>
      <c r="B19" s="210" t="s">
        <v>579</v>
      </c>
      <c r="C19" s="212"/>
      <c r="D19" s="212"/>
      <c r="E19" s="212"/>
    </row>
    <row r="20" spans="1:5" s="191" customFormat="1" ht="14.25" customHeight="1">
      <c r="A20" s="213"/>
      <c r="B20" s="212" t="s">
        <v>154</v>
      </c>
      <c r="C20" s="212">
        <v>104000</v>
      </c>
      <c r="D20" s="212">
        <v>27888</v>
      </c>
      <c r="E20" s="212">
        <f>SUM(C20+D20)</f>
        <v>131888</v>
      </c>
    </row>
    <row r="21" spans="1:5" s="191" customFormat="1" ht="14.25" customHeight="1">
      <c r="A21" s="213"/>
      <c r="B21" s="212" t="s">
        <v>156</v>
      </c>
      <c r="C21" s="212">
        <v>5000</v>
      </c>
      <c r="D21" s="212">
        <v>8751</v>
      </c>
      <c r="E21" s="212">
        <f>SUM(C21+D21)</f>
        <v>13751</v>
      </c>
    </row>
    <row r="22" spans="1:5" s="191" customFormat="1" ht="14.25" customHeight="1">
      <c r="A22" s="213"/>
      <c r="B22" s="212" t="s">
        <v>157</v>
      </c>
      <c r="C22" s="212">
        <v>20000</v>
      </c>
      <c r="D22" s="212">
        <v>101277</v>
      </c>
      <c r="E22" s="212">
        <f>SUM(C22+D22)</f>
        <v>121277</v>
      </c>
    </row>
    <row r="23" spans="1:5" ht="24.75" customHeight="1">
      <c r="A23" s="214"/>
      <c r="B23" s="215" t="s">
        <v>580</v>
      </c>
      <c r="C23" s="215">
        <f>SUM(C19:C22)</f>
        <v>129000</v>
      </c>
      <c r="D23" s="215">
        <f>SUM(D19:D22)</f>
        <v>137916</v>
      </c>
      <c r="E23" s="215">
        <f>SUM(E19:E22)</f>
        <v>266916</v>
      </c>
    </row>
    <row r="24" spans="1:5" s="191" customFormat="1" ht="13.5" customHeight="1">
      <c r="A24" s="209" t="s">
        <v>158</v>
      </c>
      <c r="B24" s="210" t="s">
        <v>159</v>
      </c>
      <c r="C24" s="212"/>
      <c r="D24" s="212"/>
      <c r="E24" s="212"/>
    </row>
    <row r="25" spans="1:5" s="191" customFormat="1" ht="13.5" customHeight="1">
      <c r="A25" s="213"/>
      <c r="B25" s="212" t="s">
        <v>160</v>
      </c>
      <c r="C25" s="212">
        <v>417808</v>
      </c>
      <c r="D25" s="212">
        <v>255528</v>
      </c>
      <c r="E25" s="212">
        <f>SUM(C25+D25)</f>
        <v>673336</v>
      </c>
    </row>
    <row r="26" spans="1:5" s="191" customFormat="1" ht="13.5" customHeight="1">
      <c r="A26" s="213"/>
      <c r="B26" s="212" t="s">
        <v>161</v>
      </c>
      <c r="C26" s="212">
        <v>626407</v>
      </c>
      <c r="D26" s="212">
        <v>3938784</v>
      </c>
      <c r="E26" s="212">
        <f>SUM(C26+D26)</f>
        <v>4565191</v>
      </c>
    </row>
    <row r="27" spans="1:5" s="194" customFormat="1" ht="13.5" customHeight="1">
      <c r="A27" s="214"/>
      <c r="B27" s="215" t="s">
        <v>162</v>
      </c>
      <c r="C27" s="215">
        <f>SUM(C25:C26)</f>
        <v>1044215</v>
      </c>
      <c r="D27" s="215">
        <f>SUM(D25:D26)</f>
        <v>4194312</v>
      </c>
      <c r="E27" s="215">
        <f>SUM(E25:E26)</f>
        <v>5238527</v>
      </c>
    </row>
    <row r="28" spans="1:5" s="191" customFormat="1" ht="13.5" customHeight="1">
      <c r="A28" s="209" t="s">
        <v>163</v>
      </c>
      <c r="B28" s="210" t="s">
        <v>164</v>
      </c>
      <c r="C28" s="212"/>
      <c r="D28" s="212"/>
      <c r="E28" s="212"/>
    </row>
    <row r="29" spans="1:5" s="191" customFormat="1" ht="22.5" customHeight="1">
      <c r="A29" s="213"/>
      <c r="B29" s="212" t="s">
        <v>165</v>
      </c>
      <c r="C29" s="212">
        <v>59600</v>
      </c>
      <c r="D29" s="212">
        <v>15574</v>
      </c>
      <c r="E29" s="212">
        <f>SUM(C29+D29)</f>
        <v>75174</v>
      </c>
    </row>
    <row r="30" spans="1:5" s="191" customFormat="1" ht="22.5" customHeight="1">
      <c r="A30" s="213"/>
      <c r="B30" s="212" t="s">
        <v>166</v>
      </c>
      <c r="C30" s="212">
        <v>200800</v>
      </c>
      <c r="D30" s="212">
        <v>78469</v>
      </c>
      <c r="E30" s="212">
        <f>SUM(C30+D30)</f>
        <v>279269</v>
      </c>
    </row>
    <row r="31" spans="1:5" s="191" customFormat="1" ht="22.5" customHeight="1">
      <c r="A31" s="216"/>
      <c r="B31" s="215" t="s">
        <v>167</v>
      </c>
      <c r="C31" s="215">
        <f>SUM(C29:C30)</f>
        <v>260400</v>
      </c>
      <c r="D31" s="215">
        <f>SUM(D29:D30)</f>
        <v>94043</v>
      </c>
      <c r="E31" s="215">
        <f>SUM(E29:E30)</f>
        <v>354443</v>
      </c>
    </row>
    <row r="32" spans="1:5" s="191" customFormat="1" ht="22.5" customHeight="1">
      <c r="A32" s="214" t="s">
        <v>168</v>
      </c>
      <c r="B32" s="215" t="s">
        <v>169</v>
      </c>
      <c r="C32" s="215">
        <v>25600</v>
      </c>
      <c r="D32" s="215"/>
      <c r="E32" s="215">
        <f>SUM(C32:D32)</f>
        <v>25600</v>
      </c>
    </row>
    <row r="33" spans="1:5" s="191" customFormat="1" ht="15.75" customHeight="1">
      <c r="A33" s="214"/>
      <c r="B33" s="215" t="s">
        <v>170</v>
      </c>
      <c r="C33" s="215">
        <f>SUM(C9+C18+C23+C27+C31+C32)</f>
        <v>9755002</v>
      </c>
      <c r="D33" s="215">
        <f>SUM(D9+D18+D23+D27+D31+D32)</f>
        <v>5736211</v>
      </c>
      <c r="E33" s="215">
        <f>SUM(E9+E18+E23+E27+E31+E32)</f>
        <v>15491213</v>
      </c>
    </row>
    <row r="34" spans="1:5" s="191" customFormat="1" ht="14.25" customHeight="1">
      <c r="A34" s="209" t="s">
        <v>171</v>
      </c>
      <c r="B34" s="210" t="s">
        <v>172</v>
      </c>
      <c r="C34" s="212"/>
      <c r="D34" s="212"/>
      <c r="E34" s="212"/>
    </row>
    <row r="35" spans="1:5" s="191" customFormat="1" ht="14.25" customHeight="1">
      <c r="A35" s="217"/>
      <c r="B35" s="218" t="s">
        <v>51</v>
      </c>
      <c r="C35" s="218">
        <v>862489</v>
      </c>
      <c r="D35" s="218"/>
      <c r="E35" s="212">
        <f>SUM(C35:D35)</f>
        <v>862489</v>
      </c>
    </row>
    <row r="36" spans="1:5" s="191" customFormat="1" ht="14.25" customHeight="1">
      <c r="A36" s="216"/>
      <c r="B36" s="215" t="s">
        <v>173</v>
      </c>
      <c r="C36" s="215">
        <f>SUM(C35:C35)</f>
        <v>862489</v>
      </c>
      <c r="D36" s="215">
        <f>SUM(D35:D35)</f>
        <v>0</v>
      </c>
      <c r="E36" s="215">
        <f>SUM(E35:E35)</f>
        <v>862489</v>
      </c>
    </row>
    <row r="37" spans="1:5" s="191" customFormat="1" ht="14.25" customHeight="1">
      <c r="A37" s="209" t="s">
        <v>174</v>
      </c>
      <c r="B37" s="210" t="s">
        <v>179</v>
      </c>
      <c r="C37" s="210"/>
      <c r="D37" s="210"/>
      <c r="E37" s="210"/>
    </row>
    <row r="38" spans="1:5" s="191" customFormat="1" ht="22.5" customHeight="1">
      <c r="A38" s="213"/>
      <c r="B38" s="212" t="s">
        <v>180</v>
      </c>
      <c r="C38" s="212">
        <v>2287454</v>
      </c>
      <c r="D38" s="212">
        <v>328329</v>
      </c>
      <c r="E38" s="212">
        <f>SUM(C38:D38)</f>
        <v>2615783</v>
      </c>
    </row>
    <row r="39" spans="1:5" s="191" customFormat="1" ht="13.5" customHeight="1">
      <c r="A39" s="213"/>
      <c r="B39" s="212" t="s">
        <v>181</v>
      </c>
      <c r="C39" s="210"/>
      <c r="D39" s="212">
        <v>26</v>
      </c>
      <c r="E39" s="212">
        <f>SUM(C39:D39)</f>
        <v>26</v>
      </c>
    </row>
    <row r="40" spans="1:5" s="191" customFormat="1" ht="26.25" customHeight="1">
      <c r="A40" s="216"/>
      <c r="B40" s="215" t="s">
        <v>182</v>
      </c>
      <c r="C40" s="215">
        <f>SUM(C38:C39)</f>
        <v>2287454</v>
      </c>
      <c r="D40" s="215">
        <f>SUM(D38:D39)</f>
        <v>328355</v>
      </c>
      <c r="E40" s="215">
        <f>SUM(E38:E39)</f>
        <v>2615809</v>
      </c>
    </row>
    <row r="41" spans="1:5" ht="15.75" customHeight="1">
      <c r="A41" s="214"/>
      <c r="B41" s="215" t="s">
        <v>183</v>
      </c>
      <c r="C41" s="215">
        <f>SUM(C33+C36+C40)</f>
        <v>12904945</v>
      </c>
      <c r="D41" s="215">
        <f>SUM(D33+D36+D40)</f>
        <v>6064566</v>
      </c>
      <c r="E41" s="215">
        <f>SUM(E33+E36+E40)</f>
        <v>18969511</v>
      </c>
    </row>
  </sheetData>
  <sheetProtection/>
  <printOptions horizontalCentered="1"/>
  <pageMargins left="0.35433070866141736" right="0.35433070866141736" top="1.1023622047244095" bottom="0.2362204724409449" header="0.5118110236220472" footer="0.35433070866141736"/>
  <pageSetup horizontalDpi="300" verticalDpi="300" orientation="portrait" paperSize="9" r:id="rId1"/>
  <headerFooter alignWithMargins="0">
    <oddHeader>&amp;C&amp;"Times New Roman CE,Félkövér dőlt"ZALAEGERSZEG MEGYEI  JOGÚ  VÁROS  ÖNKORMÁNYZATA
ÖSSZESÍTŐ A BEVÉTELEKRŐL FORRÁSONKÉNT
2013. ÉVBEN  &amp;R&amp;"Times New Roman CE,Félkövér dőlt"2.sz.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76"/>
  <sheetViews>
    <sheetView zoomScale="90" zoomScaleNormal="90" zoomScalePageLayoutView="0" workbookViewId="0" topLeftCell="A1">
      <pane xSplit="1" ySplit="2" topLeftCell="C45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N2" sqref="N2:P2"/>
    </sheetView>
  </sheetViews>
  <sheetFormatPr defaultColWidth="9.00390625" defaultRowHeight="12.75"/>
  <cols>
    <col min="1" max="1" width="77.625" style="268" customWidth="1"/>
    <col min="2" max="3" width="11.50390625" style="268" customWidth="1"/>
    <col min="4" max="4" width="12.375" style="268" customWidth="1"/>
    <col min="5" max="5" width="12.00390625" style="268" customWidth="1"/>
    <col min="6" max="6" width="11.50390625" style="268" customWidth="1"/>
    <col min="7" max="7" width="13.375" style="268" customWidth="1"/>
    <col min="8" max="8" width="13.125" style="268" customWidth="1"/>
    <col min="9" max="9" width="12.625" style="268" customWidth="1"/>
    <col min="10" max="10" width="10.50390625" style="268" customWidth="1"/>
    <col min="11" max="11" width="9.50390625" style="268" customWidth="1"/>
    <col min="12" max="12" width="10.50390625" style="268" customWidth="1"/>
    <col min="13" max="13" width="10.625" style="268" customWidth="1"/>
    <col min="14" max="18" width="9.375" style="267" customWidth="1"/>
    <col min="19" max="16384" width="9.375" style="268" customWidth="1"/>
  </cols>
  <sheetData>
    <row r="1" spans="1:18" ht="24.75" customHeight="1">
      <c r="A1" s="567"/>
      <c r="B1" s="777" t="s">
        <v>581</v>
      </c>
      <c r="C1" s="778"/>
      <c r="D1" s="778"/>
      <c r="E1" s="779"/>
      <c r="F1" s="777" t="s">
        <v>947</v>
      </c>
      <c r="G1" s="777"/>
      <c r="H1" s="777"/>
      <c r="I1" s="777"/>
      <c r="J1" s="775" t="s">
        <v>957</v>
      </c>
      <c r="K1" s="776"/>
      <c r="L1" s="776"/>
      <c r="M1" s="776"/>
      <c r="R1" s="268"/>
    </row>
    <row r="2" spans="1:17" s="270" customFormat="1" ht="24.75" customHeight="1" thickBot="1">
      <c r="A2" s="568" t="s">
        <v>282</v>
      </c>
      <c r="B2" s="569" t="s">
        <v>283</v>
      </c>
      <c r="C2" s="570" t="s">
        <v>284</v>
      </c>
      <c r="D2" s="570" t="s">
        <v>285</v>
      </c>
      <c r="E2" s="571" t="s">
        <v>286</v>
      </c>
      <c r="F2" s="569" t="s">
        <v>283</v>
      </c>
      <c r="G2" s="570" t="s">
        <v>284</v>
      </c>
      <c r="H2" s="570" t="s">
        <v>285</v>
      </c>
      <c r="I2" s="571" t="s">
        <v>286</v>
      </c>
      <c r="J2" s="687" t="s">
        <v>283</v>
      </c>
      <c r="K2" s="688" t="s">
        <v>284</v>
      </c>
      <c r="L2" s="688" t="s">
        <v>285</v>
      </c>
      <c r="M2" s="770" t="s">
        <v>286</v>
      </c>
      <c r="N2" s="269"/>
      <c r="O2" s="269"/>
      <c r="P2" s="269"/>
      <c r="Q2" s="269"/>
    </row>
    <row r="3" spans="1:18" ht="24.75" customHeight="1">
      <c r="A3" s="572" t="s">
        <v>582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771"/>
      <c r="Q3" s="268"/>
      <c r="R3" s="268"/>
    </row>
    <row r="4" spans="1:18" ht="24.75" customHeight="1">
      <c r="A4" s="574" t="s">
        <v>583</v>
      </c>
      <c r="B4" s="575"/>
      <c r="C4" s="575">
        <v>135.32</v>
      </c>
      <c r="D4" s="573">
        <v>4580000</v>
      </c>
      <c r="E4" s="573">
        <v>619765</v>
      </c>
      <c r="F4" s="575"/>
      <c r="G4" s="575">
        <v>135.32</v>
      </c>
      <c r="H4" s="573">
        <v>4580000</v>
      </c>
      <c r="I4" s="573">
        <v>619765</v>
      </c>
      <c r="J4" s="575"/>
      <c r="K4" s="575"/>
      <c r="L4" s="573"/>
      <c r="M4" s="771"/>
      <c r="Q4" s="268"/>
      <c r="R4" s="268"/>
    </row>
    <row r="5" spans="1:18" ht="24.75" customHeight="1">
      <c r="A5" s="574" t="s">
        <v>584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771"/>
      <c r="Q5" s="268"/>
      <c r="R5" s="268"/>
    </row>
    <row r="6" spans="1:18" ht="24.75" customHeight="1">
      <c r="A6" s="574" t="s">
        <v>585</v>
      </c>
      <c r="B6" s="573"/>
      <c r="C6" s="575"/>
      <c r="D6" s="573"/>
      <c r="E6" s="573">
        <v>50134</v>
      </c>
      <c r="F6" s="573"/>
      <c r="G6" s="575"/>
      <c r="H6" s="573"/>
      <c r="I6" s="573">
        <v>50134</v>
      </c>
      <c r="J6" s="573"/>
      <c r="K6" s="575"/>
      <c r="L6" s="573"/>
      <c r="M6" s="771"/>
      <c r="Q6" s="268"/>
      <c r="R6" s="268"/>
    </row>
    <row r="7" spans="1:18" ht="24.75" customHeight="1">
      <c r="A7" s="574" t="s">
        <v>586</v>
      </c>
      <c r="B7" s="573"/>
      <c r="C7" s="573"/>
      <c r="D7" s="573"/>
      <c r="E7" s="573">
        <v>116849</v>
      </c>
      <c r="F7" s="573"/>
      <c r="G7" s="573"/>
      <c r="H7" s="573"/>
      <c r="I7" s="573">
        <v>116849</v>
      </c>
      <c r="J7" s="573"/>
      <c r="K7" s="573"/>
      <c r="L7" s="573"/>
      <c r="M7" s="771"/>
      <c r="Q7" s="268"/>
      <c r="R7" s="268"/>
    </row>
    <row r="8" spans="1:18" ht="24.75" customHeight="1">
      <c r="A8" s="574" t="s">
        <v>587</v>
      </c>
      <c r="B8" s="573"/>
      <c r="C8" s="573"/>
      <c r="D8" s="573"/>
      <c r="E8" s="573">
        <v>24071</v>
      </c>
      <c r="F8" s="573"/>
      <c r="G8" s="573"/>
      <c r="H8" s="573"/>
      <c r="I8" s="573">
        <v>24071</v>
      </c>
      <c r="J8" s="573"/>
      <c r="K8" s="573"/>
      <c r="L8" s="573"/>
      <c r="M8" s="771"/>
      <c r="Q8" s="268"/>
      <c r="R8" s="268"/>
    </row>
    <row r="9" spans="1:18" ht="24.75" customHeight="1">
      <c r="A9" s="574" t="s">
        <v>588</v>
      </c>
      <c r="B9" s="573"/>
      <c r="C9" s="573"/>
      <c r="D9" s="573"/>
      <c r="E9" s="573">
        <v>110211</v>
      </c>
      <c r="F9" s="573"/>
      <c r="G9" s="573"/>
      <c r="H9" s="573"/>
      <c r="I9" s="573">
        <v>110211</v>
      </c>
      <c r="J9" s="573"/>
      <c r="K9" s="573"/>
      <c r="L9" s="573"/>
      <c r="M9" s="771"/>
      <c r="Q9" s="268"/>
      <c r="R9" s="268"/>
    </row>
    <row r="10" spans="1:18" ht="24.75" customHeight="1">
      <c r="A10" s="574" t="s">
        <v>589</v>
      </c>
      <c r="B10" s="573"/>
      <c r="C10" s="573"/>
      <c r="D10" s="573"/>
      <c r="E10" s="573">
        <v>-921030</v>
      </c>
      <c r="F10" s="573"/>
      <c r="G10" s="573"/>
      <c r="H10" s="573"/>
      <c r="I10" s="573">
        <v>-921030</v>
      </c>
      <c r="J10" s="573"/>
      <c r="K10" s="573"/>
      <c r="L10" s="573"/>
      <c r="M10" s="771"/>
      <c r="Q10" s="268"/>
      <c r="R10" s="268"/>
    </row>
    <row r="11" spans="1:18" ht="24.75" customHeight="1">
      <c r="A11" s="574" t="s">
        <v>590</v>
      </c>
      <c r="B11" s="573">
        <v>59272</v>
      </c>
      <c r="C11" s="573"/>
      <c r="D11" s="573">
        <v>2700</v>
      </c>
      <c r="E11" s="573">
        <f>SUM(D11*B11)/1000</f>
        <v>160034.4</v>
      </c>
      <c r="F11" s="573">
        <v>59272</v>
      </c>
      <c r="G11" s="573"/>
      <c r="H11" s="573">
        <v>2700</v>
      </c>
      <c r="I11" s="573">
        <f>SUM(H11*F11)/1000</f>
        <v>160034.4</v>
      </c>
      <c r="J11" s="573"/>
      <c r="K11" s="573"/>
      <c r="L11" s="573"/>
      <c r="M11" s="771"/>
      <c r="Q11" s="268"/>
      <c r="R11" s="268"/>
    </row>
    <row r="12" spans="1:18" ht="24.75" customHeight="1">
      <c r="A12" s="572" t="s">
        <v>591</v>
      </c>
      <c r="B12" s="573"/>
      <c r="C12" s="573"/>
      <c r="D12" s="573"/>
      <c r="E12" s="573"/>
      <c r="F12" s="573"/>
      <c r="G12" s="573"/>
      <c r="H12" s="573"/>
      <c r="I12" s="573"/>
      <c r="J12" s="573"/>
      <c r="K12" s="573"/>
      <c r="L12" s="573"/>
      <c r="M12" s="771"/>
      <c r="Q12" s="268"/>
      <c r="R12" s="268"/>
    </row>
    <row r="13" spans="1:18" ht="24.75" customHeight="1">
      <c r="A13" s="576" t="s">
        <v>592</v>
      </c>
      <c r="B13" s="573"/>
      <c r="C13" s="573"/>
      <c r="D13" s="573"/>
      <c r="E13" s="573"/>
      <c r="F13" s="573"/>
      <c r="G13" s="573"/>
      <c r="H13" s="573"/>
      <c r="I13" s="573"/>
      <c r="J13" s="573"/>
      <c r="K13" s="573"/>
      <c r="L13" s="573"/>
      <c r="M13" s="771"/>
      <c r="Q13" s="268"/>
      <c r="R13" s="268"/>
    </row>
    <row r="14" spans="1:18" ht="24.75" customHeight="1">
      <c r="A14" s="576" t="s">
        <v>593</v>
      </c>
      <c r="B14" s="573"/>
      <c r="C14" s="573">
        <v>151</v>
      </c>
      <c r="D14" s="573">
        <v>2832000</v>
      </c>
      <c r="E14" s="573">
        <f>SUM(C14*D14)/1000</f>
        <v>427632</v>
      </c>
      <c r="F14" s="573"/>
      <c r="G14" s="573">
        <v>149</v>
      </c>
      <c r="H14" s="573">
        <v>2832000</v>
      </c>
      <c r="I14" s="573">
        <f>SUM(G14*H14)/1000</f>
        <v>421968</v>
      </c>
      <c r="J14" s="573"/>
      <c r="K14" s="573"/>
      <c r="L14" s="573"/>
      <c r="M14" s="771"/>
      <c r="Q14" s="268"/>
      <c r="R14" s="268"/>
    </row>
    <row r="15" spans="1:18" ht="24.75" customHeight="1">
      <c r="A15" s="576" t="s">
        <v>594</v>
      </c>
      <c r="B15" s="573"/>
      <c r="C15" s="573">
        <v>72</v>
      </c>
      <c r="D15" s="573">
        <v>1632000</v>
      </c>
      <c r="E15" s="573">
        <f>SUM(C15*D15)/1000</f>
        <v>117504</v>
      </c>
      <c r="F15" s="573"/>
      <c r="G15" s="575">
        <v>78</v>
      </c>
      <c r="H15" s="573">
        <v>1632000</v>
      </c>
      <c r="I15" s="573">
        <v>127291</v>
      </c>
      <c r="J15" s="573"/>
      <c r="K15" s="573"/>
      <c r="L15" s="573"/>
      <c r="M15" s="771"/>
      <c r="Q15" s="268"/>
      <c r="R15" s="268"/>
    </row>
    <row r="16" spans="1:18" ht="24.75" customHeight="1">
      <c r="A16" s="576" t="s">
        <v>822</v>
      </c>
      <c r="B16" s="573"/>
      <c r="C16" s="573"/>
      <c r="D16" s="573"/>
      <c r="E16" s="573"/>
      <c r="F16" s="573">
        <v>145</v>
      </c>
      <c r="G16" s="575"/>
      <c r="H16" s="573">
        <v>263100</v>
      </c>
      <c r="I16" s="573">
        <v>38150</v>
      </c>
      <c r="J16" s="573"/>
      <c r="K16" s="573"/>
      <c r="L16" s="573"/>
      <c r="M16" s="771"/>
      <c r="Q16" s="268"/>
      <c r="R16" s="268"/>
    </row>
    <row r="17" spans="1:18" ht="24.75" customHeight="1">
      <c r="A17" s="574" t="s">
        <v>595</v>
      </c>
      <c r="B17" s="573">
        <v>1757</v>
      </c>
      <c r="C17" s="573"/>
      <c r="D17" s="573">
        <v>54000</v>
      </c>
      <c r="E17" s="573">
        <f aca="true" t="shared" si="0" ref="E17:E23">SUM(D17*B17)/1000</f>
        <v>94878</v>
      </c>
      <c r="F17" s="575">
        <v>1730.67</v>
      </c>
      <c r="G17" s="573"/>
      <c r="H17" s="573">
        <v>54000</v>
      </c>
      <c r="I17" s="573">
        <v>93456</v>
      </c>
      <c r="J17" s="573"/>
      <c r="K17" s="573"/>
      <c r="L17" s="573"/>
      <c r="M17" s="771"/>
      <c r="Q17" s="268"/>
      <c r="R17" s="268"/>
    </row>
    <row r="18" spans="1:18" ht="24.75" customHeight="1">
      <c r="A18" s="574" t="s">
        <v>596</v>
      </c>
      <c r="B18" s="573"/>
      <c r="C18" s="573"/>
      <c r="D18" s="573"/>
      <c r="E18" s="573"/>
      <c r="F18" s="573"/>
      <c r="G18" s="573"/>
      <c r="H18" s="573"/>
      <c r="I18" s="573"/>
      <c r="J18" s="573"/>
      <c r="K18" s="573"/>
      <c r="L18" s="573"/>
      <c r="M18" s="771"/>
      <c r="Q18" s="268"/>
      <c r="R18" s="268"/>
    </row>
    <row r="19" spans="1:18" ht="24.75" customHeight="1">
      <c r="A19" s="577" t="s">
        <v>597</v>
      </c>
      <c r="B19" s="573">
        <v>20</v>
      </c>
      <c r="C19" s="573"/>
      <c r="D19" s="573">
        <v>102000</v>
      </c>
      <c r="E19" s="573">
        <f t="shared" si="0"/>
        <v>2040</v>
      </c>
      <c r="F19" s="573">
        <v>20</v>
      </c>
      <c r="G19" s="573"/>
      <c r="H19" s="573">
        <v>102000</v>
      </c>
      <c r="I19" s="573">
        <f>SUM(H19*F19)/1000</f>
        <v>2040</v>
      </c>
      <c r="J19" s="573"/>
      <c r="K19" s="573"/>
      <c r="L19" s="573"/>
      <c r="M19" s="771"/>
      <c r="Q19" s="268"/>
      <c r="R19" s="268"/>
    </row>
    <row r="20" spans="1:18" ht="24.75" customHeight="1">
      <c r="A20" s="577" t="s">
        <v>598</v>
      </c>
      <c r="B20" s="573">
        <v>186</v>
      </c>
      <c r="C20" s="573"/>
      <c r="D20" s="573">
        <v>102000</v>
      </c>
      <c r="E20" s="573">
        <f t="shared" si="0"/>
        <v>18972</v>
      </c>
      <c r="F20" s="573">
        <v>186</v>
      </c>
      <c r="G20" s="573"/>
      <c r="H20" s="573">
        <v>102000</v>
      </c>
      <c r="I20" s="573">
        <f>SUM(H20*F20)/1000</f>
        <v>18972</v>
      </c>
      <c r="J20" s="573"/>
      <c r="K20" s="573"/>
      <c r="L20" s="573"/>
      <c r="M20" s="771"/>
      <c r="Q20" s="268"/>
      <c r="R20" s="268"/>
    </row>
    <row r="21" spans="1:18" ht="24.75" customHeight="1">
      <c r="A21" s="577" t="s">
        <v>606</v>
      </c>
      <c r="B21" s="573">
        <v>200</v>
      </c>
      <c r="C21" s="573"/>
      <c r="D21" s="573">
        <v>102000</v>
      </c>
      <c r="E21" s="573">
        <f t="shared" si="0"/>
        <v>20400</v>
      </c>
      <c r="F21" s="573">
        <v>200</v>
      </c>
      <c r="G21" s="573"/>
      <c r="H21" s="573">
        <v>102000</v>
      </c>
      <c r="I21" s="573">
        <f>SUM(H21*F21)/1000</f>
        <v>20400</v>
      </c>
      <c r="J21" s="573"/>
      <c r="K21" s="573"/>
      <c r="L21" s="573"/>
      <c r="M21" s="771"/>
      <c r="Q21" s="268"/>
      <c r="R21" s="268"/>
    </row>
    <row r="22" spans="1:18" ht="24.75" customHeight="1">
      <c r="A22" s="577" t="s">
        <v>607</v>
      </c>
      <c r="B22" s="573">
        <v>694</v>
      </c>
      <c r="C22" s="573"/>
      <c r="D22" s="573">
        <v>102000</v>
      </c>
      <c r="E22" s="573">
        <f t="shared" si="0"/>
        <v>70788</v>
      </c>
      <c r="F22" s="573">
        <v>634</v>
      </c>
      <c r="G22" s="573"/>
      <c r="H22" s="573">
        <v>102000</v>
      </c>
      <c r="I22" s="573">
        <f>SUM(H22*F22)/1000</f>
        <v>64668</v>
      </c>
      <c r="J22" s="573"/>
      <c r="K22" s="573"/>
      <c r="L22" s="573"/>
      <c r="M22" s="771"/>
      <c r="Q22" s="268"/>
      <c r="R22" s="268"/>
    </row>
    <row r="23" spans="1:18" ht="24.75" customHeight="1">
      <c r="A23" s="577" t="s">
        <v>608</v>
      </c>
      <c r="B23" s="573">
        <v>1249</v>
      </c>
      <c r="C23" s="573"/>
      <c r="D23" s="573">
        <v>102000</v>
      </c>
      <c r="E23" s="573">
        <f t="shared" si="0"/>
        <v>127398</v>
      </c>
      <c r="F23" s="573">
        <v>1049</v>
      </c>
      <c r="G23" s="573"/>
      <c r="H23" s="573">
        <v>102000</v>
      </c>
      <c r="I23" s="573">
        <f>SUM(H23*F23)/1000</f>
        <v>106998</v>
      </c>
      <c r="J23" s="573"/>
      <c r="K23" s="573"/>
      <c r="L23" s="573"/>
      <c r="M23" s="771"/>
      <c r="Q23" s="268"/>
      <c r="R23" s="268"/>
    </row>
    <row r="24" spans="1:18" ht="24.75" customHeight="1">
      <c r="A24" s="572" t="s">
        <v>609</v>
      </c>
      <c r="B24" s="573"/>
      <c r="C24" s="573"/>
      <c r="D24" s="573"/>
      <c r="E24" s="573"/>
      <c r="F24" s="573"/>
      <c r="G24" s="573"/>
      <c r="H24" s="573"/>
      <c r="I24" s="573"/>
      <c r="J24" s="573"/>
      <c r="K24" s="573"/>
      <c r="L24" s="573"/>
      <c r="M24" s="771"/>
      <c r="Q24" s="268"/>
      <c r="R24" s="268"/>
    </row>
    <row r="25" spans="1:18" ht="24.75" customHeight="1">
      <c r="A25" s="574" t="s">
        <v>610</v>
      </c>
      <c r="B25" s="573"/>
      <c r="C25" s="573"/>
      <c r="D25" s="573"/>
      <c r="E25" s="573"/>
      <c r="F25" s="573"/>
      <c r="G25" s="573"/>
      <c r="H25" s="573"/>
      <c r="I25" s="573">
        <v>304782</v>
      </c>
      <c r="J25" s="573"/>
      <c r="K25" s="573"/>
      <c r="L25" s="573"/>
      <c r="M25" s="771"/>
      <c r="Q25" s="268"/>
      <c r="R25" s="268"/>
    </row>
    <row r="26" spans="1:18" ht="24.75" customHeight="1">
      <c r="A26" s="574" t="s">
        <v>948</v>
      </c>
      <c r="B26" s="573"/>
      <c r="C26" s="573"/>
      <c r="D26" s="573"/>
      <c r="E26" s="573"/>
      <c r="F26" s="573"/>
      <c r="G26" s="573"/>
      <c r="H26" s="573"/>
      <c r="I26" s="573">
        <v>15660</v>
      </c>
      <c r="J26" s="573"/>
      <c r="K26" s="573"/>
      <c r="L26" s="573"/>
      <c r="M26" s="771"/>
      <c r="Q26" s="268"/>
      <c r="R26" s="268"/>
    </row>
    <row r="27" spans="1:18" ht="24.75" customHeight="1">
      <c r="A27" s="574" t="s">
        <v>611</v>
      </c>
      <c r="B27" s="573">
        <v>59272</v>
      </c>
      <c r="C27" s="573"/>
      <c r="D27" s="573" t="s">
        <v>612</v>
      </c>
      <c r="E27" s="573">
        <v>134510</v>
      </c>
      <c r="F27" s="573">
        <v>59272</v>
      </c>
      <c r="G27" s="573"/>
      <c r="H27" s="573" t="s">
        <v>612</v>
      </c>
      <c r="I27" s="573">
        <v>134510</v>
      </c>
      <c r="J27" s="573"/>
      <c r="K27" s="573"/>
      <c r="L27" s="573"/>
      <c r="M27" s="771"/>
      <c r="Q27" s="268"/>
      <c r="R27" s="268"/>
    </row>
    <row r="28" spans="1:18" ht="24.75" customHeight="1">
      <c r="A28" s="574" t="s">
        <v>613</v>
      </c>
      <c r="B28" s="573">
        <v>60037</v>
      </c>
      <c r="C28" s="573"/>
      <c r="D28" s="573"/>
      <c r="E28" s="573">
        <v>47429</v>
      </c>
      <c r="F28" s="573">
        <v>71824</v>
      </c>
      <c r="G28" s="573"/>
      <c r="H28" s="573"/>
      <c r="I28" s="573">
        <v>47302</v>
      </c>
      <c r="J28" s="573">
        <v>11787</v>
      </c>
      <c r="K28" s="675">
        <v>1.68375</v>
      </c>
      <c r="L28" s="573"/>
      <c r="M28" s="771">
        <v>6651</v>
      </c>
      <c r="Q28" s="268"/>
      <c r="R28" s="268"/>
    </row>
    <row r="29" spans="1:18" ht="24.75" customHeight="1">
      <c r="A29" s="574" t="s">
        <v>614</v>
      </c>
      <c r="B29" s="573">
        <v>60037</v>
      </c>
      <c r="C29" s="573"/>
      <c r="D29" s="573">
        <v>300</v>
      </c>
      <c r="E29" s="573">
        <f>SUM(B29*D29)/1000</f>
        <v>18011.1</v>
      </c>
      <c r="F29" s="573">
        <v>71824</v>
      </c>
      <c r="G29" s="573"/>
      <c r="H29" s="573">
        <v>300</v>
      </c>
      <c r="I29" s="573">
        <f>SUM(F29*H29)/1000</f>
        <v>21547.2</v>
      </c>
      <c r="J29" s="573">
        <v>11787</v>
      </c>
      <c r="K29" s="573"/>
      <c r="L29" s="573">
        <v>300</v>
      </c>
      <c r="M29" s="771">
        <f>SUM(J29*L29)/1000</f>
        <v>3536.1</v>
      </c>
      <c r="Q29" s="268"/>
      <c r="R29" s="268"/>
    </row>
    <row r="30" spans="1:18" ht="24.75" customHeight="1">
      <c r="A30" s="576" t="s">
        <v>615</v>
      </c>
      <c r="B30" s="573">
        <v>60037</v>
      </c>
      <c r="C30" s="573"/>
      <c r="D30" s="573">
        <v>300</v>
      </c>
      <c r="E30" s="573">
        <f>SUM(B30*D30)/1000</f>
        <v>18011.1</v>
      </c>
      <c r="F30" s="573">
        <v>71824</v>
      </c>
      <c r="G30" s="573"/>
      <c r="H30" s="573">
        <v>300</v>
      </c>
      <c r="I30" s="573">
        <f>SUM(F30*H30)/1000</f>
        <v>21547.2</v>
      </c>
      <c r="J30" s="573">
        <v>11787</v>
      </c>
      <c r="K30" s="573"/>
      <c r="L30" s="573">
        <v>300</v>
      </c>
      <c r="M30" s="771">
        <f>SUM(J30*L30)/1000</f>
        <v>3536.1</v>
      </c>
      <c r="Q30" s="268"/>
      <c r="R30" s="268"/>
    </row>
    <row r="31" spans="1:18" ht="24.75" customHeight="1">
      <c r="A31" s="574" t="s">
        <v>616</v>
      </c>
      <c r="B31" s="573"/>
      <c r="C31" s="573"/>
      <c r="D31" s="573"/>
      <c r="E31" s="573"/>
      <c r="F31" s="573"/>
      <c r="G31" s="573"/>
      <c r="H31" s="573"/>
      <c r="I31" s="573"/>
      <c r="J31" s="573"/>
      <c r="K31" s="573"/>
      <c r="L31" s="573"/>
      <c r="M31" s="771"/>
      <c r="Q31" s="268"/>
      <c r="R31" s="268"/>
    </row>
    <row r="32" spans="1:18" ht="24.75" customHeight="1">
      <c r="A32" s="574" t="s">
        <v>617</v>
      </c>
      <c r="B32" s="573"/>
      <c r="C32" s="573">
        <v>1</v>
      </c>
      <c r="D32" s="573">
        <v>2099400</v>
      </c>
      <c r="E32" s="573">
        <f aca="true" t="shared" si="1" ref="E32:E37">SUM(C32*D32)/1000</f>
        <v>2099.4</v>
      </c>
      <c r="F32" s="573"/>
      <c r="G32" s="573">
        <v>1</v>
      </c>
      <c r="H32" s="573">
        <v>2099400</v>
      </c>
      <c r="I32" s="573">
        <f aca="true" t="shared" si="2" ref="I32:I37">SUM(G32*H32)/1000</f>
        <v>2099.4</v>
      </c>
      <c r="J32" s="573"/>
      <c r="K32" s="573"/>
      <c r="L32" s="573"/>
      <c r="M32" s="771"/>
      <c r="Q32" s="268"/>
      <c r="R32" s="268"/>
    </row>
    <row r="33" spans="1:18" ht="24.75" customHeight="1">
      <c r="A33" s="574" t="s">
        <v>618</v>
      </c>
      <c r="B33" s="578"/>
      <c r="C33" s="573">
        <v>470</v>
      </c>
      <c r="D33" s="573">
        <v>60896</v>
      </c>
      <c r="E33" s="573">
        <f t="shared" si="1"/>
        <v>28621.12</v>
      </c>
      <c r="F33" s="578"/>
      <c r="G33" s="573">
        <v>585</v>
      </c>
      <c r="H33" s="573">
        <v>60896</v>
      </c>
      <c r="I33" s="573">
        <v>35624</v>
      </c>
      <c r="J33" s="578"/>
      <c r="K33" s="573">
        <v>165</v>
      </c>
      <c r="L33" s="573">
        <v>60896</v>
      </c>
      <c r="M33" s="771">
        <f>SUM(K33*L33)/1000</f>
        <v>10047.84</v>
      </c>
      <c r="Q33" s="268"/>
      <c r="R33" s="268"/>
    </row>
    <row r="34" spans="1:18" ht="24.75" customHeight="1">
      <c r="A34" s="574" t="s">
        <v>619</v>
      </c>
      <c r="B34" s="578"/>
      <c r="C34" s="573">
        <v>65</v>
      </c>
      <c r="D34" s="573">
        <v>188500</v>
      </c>
      <c r="E34" s="573">
        <f t="shared" si="1"/>
        <v>12252.5</v>
      </c>
      <c r="F34" s="578"/>
      <c r="G34" s="573">
        <v>305</v>
      </c>
      <c r="H34" s="573">
        <v>188500</v>
      </c>
      <c r="I34" s="573">
        <v>57494</v>
      </c>
      <c r="J34" s="578"/>
      <c r="K34" s="573">
        <v>240</v>
      </c>
      <c r="L34" s="573">
        <v>188500</v>
      </c>
      <c r="M34" s="771">
        <f>SUM(K34*L34)/1000</f>
        <v>45240</v>
      </c>
      <c r="Q34" s="268"/>
      <c r="R34" s="268"/>
    </row>
    <row r="35" spans="1:18" ht="24.75" customHeight="1">
      <c r="A35" s="576" t="s">
        <v>620</v>
      </c>
      <c r="B35" s="579"/>
      <c r="C35" s="573">
        <v>85</v>
      </c>
      <c r="D35" s="573">
        <v>163500</v>
      </c>
      <c r="E35" s="573">
        <f t="shared" si="1"/>
        <v>13897.5</v>
      </c>
      <c r="F35" s="579"/>
      <c r="G35" s="573">
        <v>191</v>
      </c>
      <c r="H35" s="573">
        <v>163500</v>
      </c>
      <c r="I35" s="573">
        <f t="shared" si="2"/>
        <v>31228.5</v>
      </c>
      <c r="J35" s="579"/>
      <c r="K35" s="573">
        <v>106</v>
      </c>
      <c r="L35" s="573">
        <v>163500</v>
      </c>
      <c r="M35" s="771">
        <f>SUM(K35*L35)/1000</f>
        <v>17331</v>
      </c>
      <c r="Q35" s="268"/>
      <c r="R35" s="268"/>
    </row>
    <row r="36" spans="1:18" ht="24.75" customHeight="1">
      <c r="A36" s="576" t="s">
        <v>621</v>
      </c>
      <c r="B36" s="579"/>
      <c r="C36" s="573">
        <v>6</v>
      </c>
      <c r="D36" s="573">
        <v>550000</v>
      </c>
      <c r="E36" s="573">
        <f t="shared" si="1"/>
        <v>3300</v>
      </c>
      <c r="F36" s="579"/>
      <c r="G36" s="573">
        <v>5</v>
      </c>
      <c r="H36" s="573">
        <v>550000</v>
      </c>
      <c r="I36" s="573">
        <f t="shared" si="2"/>
        <v>2750</v>
      </c>
      <c r="J36" s="579"/>
      <c r="K36" s="573"/>
      <c r="L36" s="573"/>
      <c r="M36" s="771"/>
      <c r="Q36" s="268"/>
      <c r="R36" s="268"/>
    </row>
    <row r="37" spans="1:18" ht="24.75" customHeight="1">
      <c r="A37" s="576" t="s">
        <v>626</v>
      </c>
      <c r="B37" s="579"/>
      <c r="C37" s="573">
        <v>21</v>
      </c>
      <c r="D37" s="573">
        <v>372000</v>
      </c>
      <c r="E37" s="573">
        <f t="shared" si="1"/>
        <v>7812</v>
      </c>
      <c r="F37" s="579"/>
      <c r="G37" s="573">
        <v>21</v>
      </c>
      <c r="H37" s="573">
        <v>372000</v>
      </c>
      <c r="I37" s="573">
        <f t="shared" si="2"/>
        <v>7812</v>
      </c>
      <c r="J37" s="579"/>
      <c r="K37" s="573"/>
      <c r="L37" s="573"/>
      <c r="M37" s="771"/>
      <c r="Q37" s="268"/>
      <c r="R37" s="268"/>
    </row>
    <row r="38" spans="1:18" ht="24.75" customHeight="1">
      <c r="A38" s="576" t="s">
        <v>627</v>
      </c>
      <c r="B38" s="579"/>
      <c r="C38" s="573"/>
      <c r="D38" s="573"/>
      <c r="E38" s="573"/>
      <c r="F38" s="579"/>
      <c r="G38" s="573"/>
      <c r="H38" s="573"/>
      <c r="I38" s="573"/>
      <c r="J38" s="579"/>
      <c r="K38" s="573"/>
      <c r="L38" s="573"/>
      <c r="M38" s="771"/>
      <c r="Q38" s="268"/>
      <c r="R38" s="268"/>
    </row>
    <row r="39" spans="1:18" ht="24.75" customHeight="1">
      <c r="A39" s="574" t="s">
        <v>628</v>
      </c>
      <c r="B39" s="580"/>
      <c r="C39" s="580">
        <v>260</v>
      </c>
      <c r="D39" s="578">
        <v>494100</v>
      </c>
      <c r="E39" s="573">
        <f>SUM(C39*D39)/1000</f>
        <v>128466</v>
      </c>
      <c r="F39" s="580"/>
      <c r="G39" s="580">
        <v>260</v>
      </c>
      <c r="H39" s="578">
        <v>494100</v>
      </c>
      <c r="I39" s="573">
        <f>SUM(G39*H39)/1000</f>
        <v>128466</v>
      </c>
      <c r="J39" s="580"/>
      <c r="K39" s="580"/>
      <c r="L39" s="578"/>
      <c r="M39" s="771"/>
      <c r="Q39" s="268"/>
      <c r="R39" s="268"/>
    </row>
    <row r="40" spans="1:18" ht="24.75" customHeight="1">
      <c r="A40" s="574" t="s">
        <v>629</v>
      </c>
      <c r="B40" s="580"/>
      <c r="C40" s="581">
        <v>5</v>
      </c>
      <c r="D40" s="573">
        <v>988200</v>
      </c>
      <c r="E40" s="573">
        <f>SUM(C40*D40)/1000</f>
        <v>4941</v>
      </c>
      <c r="F40" s="580"/>
      <c r="G40" s="581">
        <v>5</v>
      </c>
      <c r="H40" s="573">
        <v>988200</v>
      </c>
      <c r="I40" s="573">
        <f>SUM(G40*H40)/1000</f>
        <v>4941</v>
      </c>
      <c r="J40" s="580"/>
      <c r="K40" s="581"/>
      <c r="L40" s="573"/>
      <c r="M40" s="771"/>
      <c r="Q40" s="268"/>
      <c r="R40" s="268"/>
    </row>
    <row r="41" spans="1:13" ht="24.75" customHeight="1">
      <c r="A41" s="574" t="s">
        <v>630</v>
      </c>
      <c r="B41" s="582"/>
      <c r="C41" s="573">
        <v>3</v>
      </c>
      <c r="D41" s="573">
        <v>762780</v>
      </c>
      <c r="E41" s="573">
        <f>SUM(C41*D41)/1000</f>
        <v>2288.34</v>
      </c>
      <c r="F41" s="582"/>
      <c r="G41" s="573">
        <v>3</v>
      </c>
      <c r="H41" s="573">
        <v>635650</v>
      </c>
      <c r="I41" s="573">
        <f>SUM(G41*H41)/1000</f>
        <v>1906.95</v>
      </c>
      <c r="J41" s="582"/>
      <c r="K41" s="573"/>
      <c r="L41" s="573"/>
      <c r="M41" s="771"/>
    </row>
    <row r="42" spans="1:13" ht="24.75" customHeight="1">
      <c r="A42" s="576" t="s">
        <v>631</v>
      </c>
      <c r="B42" s="578"/>
      <c r="C42" s="573"/>
      <c r="D42" s="573"/>
      <c r="E42" s="573">
        <f>SUM(C42*D42)/1000</f>
        <v>0</v>
      </c>
      <c r="F42" s="578"/>
      <c r="G42" s="573"/>
      <c r="H42" s="573"/>
      <c r="I42" s="573">
        <f>SUM(G42*H42)/1000</f>
        <v>0</v>
      </c>
      <c r="J42" s="578"/>
      <c r="K42" s="573"/>
      <c r="L42" s="573"/>
      <c r="M42" s="771">
        <f>SUM(K42*L42)/1000</f>
        <v>0</v>
      </c>
    </row>
    <row r="43" spans="1:14" ht="24.75" customHeight="1">
      <c r="A43" s="576" t="s">
        <v>632</v>
      </c>
      <c r="B43" s="578"/>
      <c r="C43" s="573">
        <v>38</v>
      </c>
      <c r="D43" s="573">
        <v>2606040</v>
      </c>
      <c r="E43" s="573">
        <f>SUM(C43*D43)/1000</f>
        <v>99029.52</v>
      </c>
      <c r="F43" s="578"/>
      <c r="G43" s="573">
        <v>38</v>
      </c>
      <c r="H43" s="573">
        <v>2606040</v>
      </c>
      <c r="I43" s="573">
        <f>SUM(G43*H43)/1000</f>
        <v>99029.52</v>
      </c>
      <c r="J43" s="578"/>
      <c r="K43" s="573"/>
      <c r="L43" s="573"/>
      <c r="M43" s="771"/>
      <c r="N43" s="288"/>
    </row>
    <row r="44" spans="1:13" ht="24.75" customHeight="1">
      <c r="A44" s="574" t="s">
        <v>633</v>
      </c>
      <c r="B44" s="578"/>
      <c r="C44" s="573"/>
      <c r="D44" s="573"/>
      <c r="E44" s="573">
        <v>19812</v>
      </c>
      <c r="F44" s="578"/>
      <c r="G44" s="573"/>
      <c r="H44" s="573"/>
      <c r="I44" s="573">
        <v>19431</v>
      </c>
      <c r="J44" s="578"/>
      <c r="K44" s="573"/>
      <c r="L44" s="573"/>
      <c r="M44" s="771"/>
    </row>
    <row r="45" spans="1:13" ht="24.75" customHeight="1">
      <c r="A45" s="583" t="s">
        <v>634</v>
      </c>
      <c r="B45" s="578"/>
      <c r="C45" s="573"/>
      <c r="D45" s="584"/>
      <c r="E45" s="573"/>
      <c r="F45" s="578"/>
      <c r="G45" s="573"/>
      <c r="H45" s="584"/>
      <c r="I45" s="573"/>
      <c r="J45" s="578"/>
      <c r="K45" s="573"/>
      <c r="L45" s="584"/>
      <c r="M45" s="771"/>
    </row>
    <row r="46" spans="1:13" ht="24.75" customHeight="1">
      <c r="A46" s="576" t="s">
        <v>635</v>
      </c>
      <c r="B46" s="578"/>
      <c r="C46" s="573"/>
      <c r="D46" s="584"/>
      <c r="E46" s="573">
        <v>101100</v>
      </c>
      <c r="F46" s="578"/>
      <c r="G46" s="573"/>
      <c r="H46" s="584"/>
      <c r="I46" s="573">
        <v>101100</v>
      </c>
      <c r="J46" s="578"/>
      <c r="K46" s="573"/>
      <c r="L46" s="584"/>
      <c r="M46" s="771"/>
    </row>
    <row r="47" spans="1:13" ht="24.75" customHeight="1">
      <c r="A47" s="576" t="s">
        <v>645</v>
      </c>
      <c r="B47" s="578"/>
      <c r="C47" s="573"/>
      <c r="D47" s="584"/>
      <c r="E47" s="573">
        <v>112600</v>
      </c>
      <c r="F47" s="578"/>
      <c r="G47" s="573"/>
      <c r="H47" s="584"/>
      <c r="I47" s="573">
        <v>112600</v>
      </c>
      <c r="J47" s="578"/>
      <c r="K47" s="573"/>
      <c r="L47" s="584"/>
      <c r="M47" s="771"/>
    </row>
    <row r="48" spans="1:13" ht="24.75" customHeight="1">
      <c r="A48" s="576" t="s">
        <v>646</v>
      </c>
      <c r="B48" s="578">
        <v>59272</v>
      </c>
      <c r="C48" s="573"/>
      <c r="D48" s="584">
        <v>400</v>
      </c>
      <c r="E48" s="573">
        <f>SUM(B48*D48)/1000</f>
        <v>23708.8</v>
      </c>
      <c r="F48" s="578">
        <v>59272</v>
      </c>
      <c r="G48" s="573"/>
      <c r="H48" s="584">
        <v>400</v>
      </c>
      <c r="I48" s="573">
        <f>SUM(F48*H48)/1000</f>
        <v>23708.8</v>
      </c>
      <c r="J48" s="578"/>
      <c r="K48" s="573"/>
      <c r="L48" s="584"/>
      <c r="M48" s="771"/>
    </row>
    <row r="49" spans="1:13" ht="24.75" customHeight="1">
      <c r="A49" s="576" t="s">
        <v>647</v>
      </c>
      <c r="B49" s="578"/>
      <c r="C49" s="573"/>
      <c r="D49" s="573"/>
      <c r="E49" s="573"/>
      <c r="F49" s="578"/>
      <c r="G49" s="573"/>
      <c r="H49" s="573"/>
      <c r="I49" s="573">
        <v>163566</v>
      </c>
      <c r="J49" s="578"/>
      <c r="K49" s="573"/>
      <c r="L49" s="573"/>
      <c r="M49" s="771"/>
    </row>
    <row r="50" spans="1:13" ht="24.75" customHeight="1">
      <c r="A50" s="576" t="s">
        <v>648</v>
      </c>
      <c r="B50" s="578"/>
      <c r="C50" s="573"/>
      <c r="D50" s="573"/>
      <c r="E50" s="573"/>
      <c r="F50" s="578"/>
      <c r="G50" s="573"/>
      <c r="H50" s="573"/>
      <c r="I50" s="573"/>
      <c r="J50" s="578"/>
      <c r="K50" s="573"/>
      <c r="L50" s="573"/>
      <c r="M50" s="771"/>
    </row>
    <row r="51" spans="1:13" ht="15.75" customHeight="1">
      <c r="A51" s="576" t="s">
        <v>649</v>
      </c>
      <c r="B51" s="578"/>
      <c r="C51" s="573"/>
      <c r="D51" s="573"/>
      <c r="E51" s="573"/>
      <c r="F51" s="578"/>
      <c r="G51" s="573"/>
      <c r="H51" s="573"/>
      <c r="I51" s="573"/>
      <c r="J51" s="578"/>
      <c r="K51" s="573"/>
      <c r="L51" s="573"/>
      <c r="M51" s="771"/>
    </row>
    <row r="52" spans="1:13" ht="15.75" customHeight="1">
      <c r="A52" s="585" t="s">
        <v>650</v>
      </c>
      <c r="B52" s="578"/>
      <c r="C52" s="573"/>
      <c r="D52" s="573"/>
      <c r="E52" s="573">
        <v>245100</v>
      </c>
      <c r="F52" s="578"/>
      <c r="G52" s="573"/>
      <c r="H52" s="573"/>
      <c r="I52" s="573">
        <v>245100</v>
      </c>
      <c r="J52" s="578"/>
      <c r="K52" s="573"/>
      <c r="L52" s="573"/>
      <c r="M52" s="771"/>
    </row>
    <row r="53" spans="1:13" ht="15.75" customHeight="1">
      <c r="A53" s="583" t="s">
        <v>951</v>
      </c>
      <c r="B53" s="578"/>
      <c r="C53" s="573"/>
      <c r="D53" s="573"/>
      <c r="E53" s="573"/>
      <c r="F53" s="578"/>
      <c r="G53" s="573"/>
      <c r="H53" s="573"/>
      <c r="I53" s="573">
        <v>43</v>
      </c>
      <c r="J53" s="578"/>
      <c r="K53" s="573"/>
      <c r="L53" s="573"/>
      <c r="M53" s="771"/>
    </row>
    <row r="54" spans="1:18" s="272" customFormat="1" ht="15.75" customHeight="1">
      <c r="A54" s="586" t="s">
        <v>651</v>
      </c>
      <c r="B54" s="587"/>
      <c r="C54" s="588"/>
      <c r="D54" s="588"/>
      <c r="E54" s="588"/>
      <c r="F54" s="587"/>
      <c r="G54" s="588"/>
      <c r="H54" s="588"/>
      <c r="I54" s="588"/>
      <c r="J54" s="587"/>
      <c r="K54" s="588"/>
      <c r="L54" s="588"/>
      <c r="M54" s="772"/>
      <c r="N54" s="271"/>
      <c r="O54" s="271"/>
      <c r="P54" s="271"/>
      <c r="Q54" s="271"/>
      <c r="R54" s="271"/>
    </row>
    <row r="55" spans="1:13" ht="15.75" customHeight="1">
      <c r="A55" s="576" t="s">
        <v>652</v>
      </c>
      <c r="B55" s="578">
        <v>9075485</v>
      </c>
      <c r="C55" s="573"/>
      <c r="D55" s="589">
        <v>1.5</v>
      </c>
      <c r="E55" s="573">
        <f>SUM(B55*D55)/1000</f>
        <v>13613.2275</v>
      </c>
      <c r="F55" s="578">
        <v>9075485</v>
      </c>
      <c r="G55" s="573"/>
      <c r="H55" s="589">
        <v>1.5</v>
      </c>
      <c r="I55" s="573">
        <f>SUM(F55*H55)/1000</f>
        <v>13613.2275</v>
      </c>
      <c r="J55" s="578"/>
      <c r="K55" s="573"/>
      <c r="L55" s="589"/>
      <c r="M55" s="771"/>
    </row>
    <row r="56" spans="1:13" ht="15.75" customHeight="1">
      <c r="A56" s="576" t="s">
        <v>653</v>
      </c>
      <c r="B56" s="578"/>
      <c r="C56" s="573"/>
      <c r="D56" s="589"/>
      <c r="E56" s="573"/>
      <c r="F56" s="578"/>
      <c r="G56" s="573"/>
      <c r="H56" s="589"/>
      <c r="I56" s="573">
        <v>8524</v>
      </c>
      <c r="J56" s="578"/>
      <c r="K56" s="573"/>
      <c r="L56" s="589"/>
      <c r="M56" s="771"/>
    </row>
    <row r="57" spans="1:13" ht="24.75" customHeight="1">
      <c r="A57" s="576" t="s">
        <v>193</v>
      </c>
      <c r="B57" s="578"/>
      <c r="C57" s="573"/>
      <c r="D57" s="589"/>
      <c r="E57" s="573"/>
      <c r="F57" s="578"/>
      <c r="G57" s="573"/>
      <c r="H57" s="589"/>
      <c r="I57" s="573"/>
      <c r="J57" s="578"/>
      <c r="K57" s="573"/>
      <c r="L57" s="589"/>
      <c r="M57" s="771"/>
    </row>
    <row r="58" spans="1:13" ht="15.75" customHeight="1">
      <c r="A58" s="576" t="s">
        <v>568</v>
      </c>
      <c r="B58" s="578"/>
      <c r="C58" s="573"/>
      <c r="D58" s="589"/>
      <c r="E58" s="573"/>
      <c r="F58" s="578"/>
      <c r="G58" s="573"/>
      <c r="H58" s="589"/>
      <c r="I58" s="573">
        <v>3414</v>
      </c>
      <c r="J58" s="578"/>
      <c r="K58" s="573"/>
      <c r="L58" s="589"/>
      <c r="M58" s="771"/>
    </row>
    <row r="59" spans="1:13" ht="15.75" customHeight="1">
      <c r="A59" s="576" t="s">
        <v>569</v>
      </c>
      <c r="B59" s="578"/>
      <c r="C59" s="573"/>
      <c r="D59" s="589"/>
      <c r="E59" s="573"/>
      <c r="F59" s="578"/>
      <c r="G59" s="573"/>
      <c r="H59" s="589"/>
      <c r="I59" s="573">
        <v>7517</v>
      </c>
      <c r="J59" s="578"/>
      <c r="K59" s="573"/>
      <c r="L59" s="589"/>
      <c r="M59" s="771">
        <v>7106</v>
      </c>
    </row>
    <row r="60" spans="1:13" ht="15.75" customHeight="1">
      <c r="A60" s="677" t="s">
        <v>954</v>
      </c>
      <c r="B60" s="578"/>
      <c r="C60" s="573"/>
      <c r="D60" s="589"/>
      <c r="E60" s="573"/>
      <c r="F60" s="578"/>
      <c r="G60" s="573"/>
      <c r="H60" s="589"/>
      <c r="I60" s="573">
        <v>23</v>
      </c>
      <c r="J60" s="578"/>
      <c r="K60" s="573"/>
      <c r="L60" s="589"/>
      <c r="M60" s="771"/>
    </row>
    <row r="61" spans="1:13" ht="15.75" customHeight="1">
      <c r="A61" s="576" t="s">
        <v>43</v>
      </c>
      <c r="B61" s="578"/>
      <c r="C61" s="573"/>
      <c r="D61" s="589"/>
      <c r="E61" s="573"/>
      <c r="F61" s="578"/>
      <c r="G61" s="573"/>
      <c r="H61" s="589"/>
      <c r="I61" s="573">
        <v>1708</v>
      </c>
      <c r="J61" s="578"/>
      <c r="K61" s="573"/>
      <c r="L61" s="589"/>
      <c r="M61" s="771"/>
    </row>
    <row r="62" spans="1:13" ht="24.75" customHeight="1">
      <c r="A62" s="576" t="s">
        <v>953</v>
      </c>
      <c r="B62" s="578"/>
      <c r="C62" s="573"/>
      <c r="D62" s="589"/>
      <c r="E62" s="573"/>
      <c r="F62" s="578"/>
      <c r="G62" s="573"/>
      <c r="H62" s="589"/>
      <c r="I62" s="573">
        <v>19516</v>
      </c>
      <c r="J62" s="578"/>
      <c r="K62" s="573"/>
      <c r="L62" s="589"/>
      <c r="M62" s="771"/>
    </row>
    <row r="63" spans="1:13" ht="15.75" customHeight="1">
      <c r="A63" s="576" t="s">
        <v>955</v>
      </c>
      <c r="B63" s="578"/>
      <c r="C63" s="573"/>
      <c r="D63" s="589"/>
      <c r="E63" s="573"/>
      <c r="F63" s="578"/>
      <c r="G63" s="573"/>
      <c r="H63" s="589"/>
      <c r="I63" s="573">
        <v>3598</v>
      </c>
      <c r="J63" s="578"/>
      <c r="K63" s="573"/>
      <c r="L63" s="589"/>
      <c r="M63" s="771"/>
    </row>
    <row r="64" spans="1:13" ht="15.75" customHeight="1">
      <c r="A64" s="576" t="s">
        <v>956</v>
      </c>
      <c r="B64" s="578"/>
      <c r="C64" s="573"/>
      <c r="D64" s="589"/>
      <c r="E64" s="573"/>
      <c r="F64" s="578"/>
      <c r="G64" s="573"/>
      <c r="H64" s="589"/>
      <c r="I64" s="573">
        <v>48</v>
      </c>
      <c r="J64" s="578"/>
      <c r="K64" s="573"/>
      <c r="L64" s="589"/>
      <c r="M64" s="771"/>
    </row>
    <row r="65" spans="1:13" ht="15.75" customHeight="1">
      <c r="A65" s="576" t="s">
        <v>823</v>
      </c>
      <c r="B65" s="578"/>
      <c r="C65" s="573"/>
      <c r="D65" s="589"/>
      <c r="E65" s="573"/>
      <c r="F65" s="578"/>
      <c r="G65" s="573"/>
      <c r="H65" s="589"/>
      <c r="I65" s="573">
        <v>159</v>
      </c>
      <c r="J65" s="578"/>
      <c r="K65" s="573"/>
      <c r="L65" s="589"/>
      <c r="M65" s="771"/>
    </row>
    <row r="66" spans="1:13" ht="15.75" customHeight="1">
      <c r="A66" s="576" t="s">
        <v>824</v>
      </c>
      <c r="B66" s="578"/>
      <c r="C66" s="573"/>
      <c r="D66" s="589"/>
      <c r="E66" s="573"/>
      <c r="F66" s="578"/>
      <c r="G66" s="573"/>
      <c r="H66" s="589"/>
      <c r="I66" s="573">
        <v>11704</v>
      </c>
      <c r="J66" s="578"/>
      <c r="K66" s="573"/>
      <c r="L66" s="589"/>
      <c r="M66" s="771">
        <v>769</v>
      </c>
    </row>
    <row r="67" spans="1:13" ht="15.75" customHeight="1">
      <c r="A67" s="583" t="s">
        <v>194</v>
      </c>
      <c r="B67" s="578"/>
      <c r="C67" s="573"/>
      <c r="D67" s="589"/>
      <c r="E67" s="573"/>
      <c r="F67" s="578"/>
      <c r="G67" s="573"/>
      <c r="H67" s="589"/>
      <c r="I67" s="573"/>
      <c r="J67" s="578"/>
      <c r="K67" s="573"/>
      <c r="L67" s="589"/>
      <c r="M67" s="771"/>
    </row>
    <row r="68" spans="1:13" ht="15.75" customHeight="1">
      <c r="A68" s="576" t="s">
        <v>949</v>
      </c>
      <c r="B68" s="578"/>
      <c r="C68" s="573"/>
      <c r="D68" s="589"/>
      <c r="E68" s="573"/>
      <c r="F68" s="578"/>
      <c r="G68" s="573"/>
      <c r="H68" s="589"/>
      <c r="I68" s="573">
        <v>99171</v>
      </c>
      <c r="J68" s="578"/>
      <c r="K68" s="573"/>
      <c r="L68" s="589"/>
      <c r="M68" s="771">
        <v>1984</v>
      </c>
    </row>
    <row r="69" spans="1:13" ht="15.75" customHeight="1">
      <c r="A69" s="576" t="s">
        <v>950</v>
      </c>
      <c r="B69" s="578"/>
      <c r="C69" s="573"/>
      <c r="D69" s="589"/>
      <c r="E69" s="573"/>
      <c r="F69" s="578"/>
      <c r="G69" s="573"/>
      <c r="H69" s="589"/>
      <c r="I69" s="573">
        <v>244439</v>
      </c>
      <c r="J69" s="578"/>
      <c r="K69" s="573"/>
      <c r="L69" s="589"/>
      <c r="M69" s="771"/>
    </row>
    <row r="70" spans="1:13" ht="15.75" customHeight="1">
      <c r="A70" s="676" t="s">
        <v>952</v>
      </c>
      <c r="B70" s="578"/>
      <c r="C70" s="573"/>
      <c r="D70" s="589"/>
      <c r="E70" s="573"/>
      <c r="F70" s="578"/>
      <c r="G70" s="573"/>
      <c r="H70" s="589"/>
      <c r="I70" s="573">
        <v>34262</v>
      </c>
      <c r="J70" s="578"/>
      <c r="K70" s="573"/>
      <c r="L70" s="589"/>
      <c r="M70" s="771"/>
    </row>
    <row r="71" spans="1:13" ht="15" customHeight="1">
      <c r="A71" s="676" t="s">
        <v>827</v>
      </c>
      <c r="B71" s="578"/>
      <c r="C71" s="573"/>
      <c r="D71" s="589"/>
      <c r="E71" s="573"/>
      <c r="F71" s="578"/>
      <c r="G71" s="573"/>
      <c r="H71" s="589"/>
      <c r="I71" s="573">
        <v>32553</v>
      </c>
      <c r="J71" s="578"/>
      <c r="K71" s="573"/>
      <c r="L71" s="589"/>
      <c r="M71" s="771"/>
    </row>
    <row r="72" spans="1:13" ht="15" customHeight="1">
      <c r="A72" s="736" t="s">
        <v>826</v>
      </c>
      <c r="B72" s="578"/>
      <c r="C72" s="573"/>
      <c r="D72" s="589"/>
      <c r="E72" s="573"/>
      <c r="F72" s="578"/>
      <c r="G72" s="573"/>
      <c r="H72" s="589"/>
      <c r="I72" s="573"/>
      <c r="J72" s="578"/>
      <c r="K72" s="573"/>
      <c r="L72" s="589"/>
      <c r="M72" s="771"/>
    </row>
    <row r="73" spans="1:13" ht="15" customHeight="1">
      <c r="A73" s="736" t="s">
        <v>825</v>
      </c>
      <c r="B73" s="578"/>
      <c r="C73" s="573"/>
      <c r="D73" s="589"/>
      <c r="E73" s="573"/>
      <c r="F73" s="578"/>
      <c r="G73" s="573"/>
      <c r="H73" s="589"/>
      <c r="I73" s="573">
        <v>1467</v>
      </c>
      <c r="J73" s="578"/>
      <c r="K73" s="573"/>
      <c r="L73" s="589"/>
      <c r="M73" s="771"/>
    </row>
    <row r="74" spans="1:18" s="270" customFormat="1" ht="24.75" customHeight="1">
      <c r="A74" s="590" t="s">
        <v>654</v>
      </c>
      <c r="B74" s="591"/>
      <c r="C74" s="591"/>
      <c r="D74" s="591"/>
      <c r="E74" s="591">
        <f>SUM(E4:E67)</f>
        <v>2076249.0075000003</v>
      </c>
      <c r="F74" s="591"/>
      <c r="G74" s="591"/>
      <c r="H74" s="591"/>
      <c r="I74" s="591">
        <f>SUM(I4:I73)</f>
        <v>3117942.1975</v>
      </c>
      <c r="J74" s="591"/>
      <c r="K74" s="591"/>
      <c r="L74" s="591"/>
      <c r="M74" s="773">
        <f>SUM(M4:M71)</f>
        <v>96201.04000000001</v>
      </c>
      <c r="N74" s="269"/>
      <c r="O74" s="269"/>
      <c r="P74" s="269"/>
      <c r="Q74" s="269"/>
      <c r="R74" s="269"/>
    </row>
    <row r="75" spans="1:13" ht="12.75" customHeight="1">
      <c r="A75" s="273"/>
      <c r="B75" s="273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89"/>
    </row>
    <row r="76" spans="1:13" ht="18" customHeight="1">
      <c r="A76" s="274"/>
      <c r="B76" s="274"/>
      <c r="C76" s="274"/>
      <c r="D76" s="274"/>
      <c r="E76" s="274"/>
      <c r="F76" s="274"/>
      <c r="G76" s="274"/>
      <c r="H76" s="274"/>
      <c r="I76" s="274"/>
      <c r="J76" s="275"/>
      <c r="K76" s="275"/>
      <c r="L76" s="275"/>
      <c r="M76" s="290"/>
    </row>
    <row r="77" ht="12" hidden="1"/>
    <row r="78" ht="12" hidden="1"/>
  </sheetData>
  <sheetProtection selectLockedCells="1" selectUnlockedCells="1"/>
  <mergeCells count="3">
    <mergeCell ref="J1:M1"/>
    <mergeCell ref="B1:E1"/>
    <mergeCell ref="F1:I1"/>
  </mergeCells>
  <printOptions horizontalCentered="1" verticalCentered="1"/>
  <pageMargins left="0.07874015748031496" right="0.07874015748031496" top="0.5118110236220472" bottom="0.4330708661417323" header="0.3937007874015748" footer="0.3937007874015748"/>
  <pageSetup horizontalDpi="300" verticalDpi="300" orientation="landscape" paperSize="9" scale="60" r:id="rId1"/>
  <headerFooter alignWithMargins="0">
    <oddHeader>&amp;C&amp;"Times New Roman,Félkövér dőlt"ÁLLAMI HOZZÁJÁRULÁSOK 2013. ÉVBEN&amp;R&amp;"Times New Roman,Normál"3. sz. melléklet
Adatok: eFt-ban</oddHeader>
    <oddFooter>&amp;C&amp;P</oddFooter>
  </headerFooter>
  <rowBreaks count="2" manualBreakCount="2">
    <brk id="74" max="8" man="1"/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B1">
      <selection activeCell="F15" sqref="F15:F16"/>
    </sheetView>
  </sheetViews>
  <sheetFormatPr defaultColWidth="9.00390625" defaultRowHeight="12.75"/>
  <cols>
    <col min="1" max="1" width="8.875" style="58" customWidth="1"/>
    <col min="2" max="2" width="9.375" style="58" customWidth="1"/>
    <col min="3" max="3" width="50.50390625" style="58" customWidth="1"/>
    <col min="4" max="5" width="18.00390625" style="58" customWidth="1"/>
    <col min="6" max="6" width="20.625" style="58" customWidth="1"/>
    <col min="7" max="16384" width="9.375" style="58" customWidth="1"/>
  </cols>
  <sheetData>
    <row r="1" spans="1:6" s="293" customFormat="1" ht="49.5" customHeight="1" thickBot="1">
      <c r="A1" s="291"/>
      <c r="B1" s="292"/>
      <c r="C1" s="292" t="s">
        <v>353</v>
      </c>
      <c r="D1" s="292" t="s">
        <v>573</v>
      </c>
      <c r="E1" s="292" t="s">
        <v>655</v>
      </c>
      <c r="F1" s="292" t="s">
        <v>575</v>
      </c>
    </row>
    <row r="2" spans="1:6" s="122" customFormat="1" ht="16.5" customHeight="1">
      <c r="A2" s="294"/>
      <c r="B2" s="295" t="s">
        <v>142</v>
      </c>
      <c r="C2" s="296" t="s">
        <v>656</v>
      </c>
      <c r="D2" s="296"/>
      <c r="E2" s="296"/>
      <c r="F2" s="297"/>
    </row>
    <row r="3" spans="1:6" s="302" customFormat="1" ht="12.75">
      <c r="A3" s="298"/>
      <c r="B3" s="299" t="s">
        <v>224</v>
      </c>
      <c r="C3" s="300" t="s">
        <v>657</v>
      </c>
      <c r="D3" s="301">
        <v>2995023</v>
      </c>
      <c r="E3" s="565">
        <v>-93263</v>
      </c>
      <c r="F3" s="301">
        <f aca="true" t="shared" si="0" ref="F3:F18">SUM(D3:E3)</f>
        <v>2901760</v>
      </c>
    </row>
    <row r="4" spans="1:6" s="123" customFormat="1" ht="12.75">
      <c r="A4" s="303"/>
      <c r="B4" s="299" t="s">
        <v>309</v>
      </c>
      <c r="C4" s="304" t="s">
        <v>658</v>
      </c>
      <c r="D4" s="305">
        <v>787423</v>
      </c>
      <c r="E4" s="566">
        <v>-45211</v>
      </c>
      <c r="F4" s="301">
        <f t="shared" si="0"/>
        <v>742212</v>
      </c>
    </row>
    <row r="5" spans="1:6" s="123" customFormat="1" ht="12.75">
      <c r="A5" s="303"/>
      <c r="B5" s="299" t="s">
        <v>311</v>
      </c>
      <c r="C5" s="306" t="s">
        <v>659</v>
      </c>
      <c r="D5" s="305">
        <v>4382082</v>
      </c>
      <c r="E5" s="307">
        <v>837045</v>
      </c>
      <c r="F5" s="301">
        <f t="shared" si="0"/>
        <v>5219127</v>
      </c>
    </row>
    <row r="6" spans="1:6" s="123" customFormat="1" ht="12.75">
      <c r="A6" s="303"/>
      <c r="B6" s="299" t="s">
        <v>313</v>
      </c>
      <c r="C6" s="306" t="s">
        <v>660</v>
      </c>
      <c r="D6" s="308">
        <v>967192</v>
      </c>
      <c r="E6" s="307">
        <v>551365</v>
      </c>
      <c r="F6" s="301">
        <f t="shared" si="0"/>
        <v>1518557</v>
      </c>
    </row>
    <row r="7" spans="1:6" s="123" customFormat="1" ht="12.75">
      <c r="A7" s="303"/>
      <c r="B7" s="299" t="s">
        <v>314</v>
      </c>
      <c r="C7" s="306" t="s">
        <v>197</v>
      </c>
      <c r="D7" s="305"/>
      <c r="E7" s="307">
        <v>462604</v>
      </c>
      <c r="F7" s="301">
        <f t="shared" si="0"/>
        <v>462604</v>
      </c>
    </row>
    <row r="8" spans="1:6" s="123" customFormat="1" ht="13.5">
      <c r="A8" s="303"/>
      <c r="B8" s="299"/>
      <c r="C8" s="296" t="s">
        <v>661</v>
      </c>
      <c r="D8" s="309">
        <f>SUM(D3:D7)</f>
        <v>9131720</v>
      </c>
      <c r="E8" s="310">
        <f>SUM(E3:E7)</f>
        <v>1712540</v>
      </c>
      <c r="F8" s="297">
        <f t="shared" si="0"/>
        <v>10844260</v>
      </c>
    </row>
    <row r="9" spans="1:6" s="123" customFormat="1" ht="13.5">
      <c r="A9" s="303"/>
      <c r="B9" s="311" t="s">
        <v>148</v>
      </c>
      <c r="C9" s="312" t="s">
        <v>662</v>
      </c>
      <c r="D9" s="309"/>
      <c r="E9" s="312"/>
      <c r="F9" s="301">
        <f t="shared" si="0"/>
        <v>0</v>
      </c>
    </row>
    <row r="10" spans="1:6" s="123" customFormat="1" ht="12.75">
      <c r="A10" s="303"/>
      <c r="B10" s="313" t="s">
        <v>224</v>
      </c>
      <c r="C10" s="305" t="s">
        <v>663</v>
      </c>
      <c r="D10" s="305">
        <v>2516292</v>
      </c>
      <c r="E10" s="305">
        <v>4003441</v>
      </c>
      <c r="F10" s="301">
        <f t="shared" si="0"/>
        <v>6519733</v>
      </c>
    </row>
    <row r="11" spans="1:6" s="123" customFormat="1" ht="12.75">
      <c r="A11" s="303"/>
      <c r="B11" s="313" t="s">
        <v>309</v>
      </c>
      <c r="C11" s="305" t="s">
        <v>664</v>
      </c>
      <c r="D11" s="305">
        <v>492993</v>
      </c>
      <c r="E11" s="305">
        <v>154296</v>
      </c>
      <c r="F11" s="301">
        <f t="shared" si="0"/>
        <v>647289</v>
      </c>
    </row>
    <row r="12" spans="1:6" s="123" customFormat="1" ht="12.75">
      <c r="A12" s="303"/>
      <c r="B12" s="313" t="s">
        <v>311</v>
      </c>
      <c r="C12" s="305" t="s">
        <v>665</v>
      </c>
      <c r="D12" s="308">
        <v>241925</v>
      </c>
      <c r="E12" s="305">
        <v>90749</v>
      </c>
      <c r="F12" s="301">
        <f t="shared" si="0"/>
        <v>332674</v>
      </c>
    </row>
    <row r="13" spans="1:6" s="123" customFormat="1" ht="13.5">
      <c r="A13" s="303"/>
      <c r="B13" s="313"/>
      <c r="C13" s="312" t="s">
        <v>666</v>
      </c>
      <c r="D13" s="314">
        <f>SUM(D10:D12)</f>
        <v>3251210</v>
      </c>
      <c r="E13" s="314">
        <f>SUM(E10:E12)</f>
        <v>4248486</v>
      </c>
      <c r="F13" s="297">
        <f t="shared" si="0"/>
        <v>7499696</v>
      </c>
    </row>
    <row r="14" spans="1:6" s="123" customFormat="1" ht="13.5">
      <c r="A14" s="303"/>
      <c r="B14" s="311" t="s">
        <v>153</v>
      </c>
      <c r="C14" s="309" t="s">
        <v>667</v>
      </c>
      <c r="D14" s="309"/>
      <c r="E14" s="309"/>
      <c r="F14" s="301">
        <f t="shared" si="0"/>
        <v>0</v>
      </c>
    </row>
    <row r="15" spans="1:6" s="123" customFormat="1" ht="12.75">
      <c r="A15" s="303"/>
      <c r="B15" s="313" t="s">
        <v>224</v>
      </c>
      <c r="C15" s="305" t="s">
        <v>668</v>
      </c>
      <c r="D15" s="305">
        <v>262288</v>
      </c>
      <c r="E15" s="305">
        <v>162541</v>
      </c>
      <c r="F15" s="301">
        <f t="shared" si="0"/>
        <v>424829</v>
      </c>
    </row>
    <row r="16" spans="1:6" s="123" customFormat="1" ht="12.75">
      <c r="A16" s="303"/>
      <c r="B16" s="313" t="s">
        <v>309</v>
      </c>
      <c r="C16" s="305" t="s">
        <v>669</v>
      </c>
      <c r="D16" s="305">
        <v>20000</v>
      </c>
      <c r="E16" s="305">
        <v>31085</v>
      </c>
      <c r="F16" s="301">
        <f t="shared" si="0"/>
        <v>51085</v>
      </c>
    </row>
    <row r="17" spans="1:6" s="123" customFormat="1" ht="13.5">
      <c r="A17" s="303"/>
      <c r="B17" s="313"/>
      <c r="C17" s="309" t="s">
        <v>670</v>
      </c>
      <c r="D17" s="309">
        <f>SUM(D15:D16)</f>
        <v>282288</v>
      </c>
      <c r="E17" s="309">
        <f>SUM(E15:E16)</f>
        <v>193626</v>
      </c>
      <c r="F17" s="297">
        <f t="shared" si="0"/>
        <v>475914</v>
      </c>
    </row>
    <row r="18" spans="1:6" s="123" customFormat="1" ht="13.5">
      <c r="A18" s="303"/>
      <c r="B18" s="311" t="s">
        <v>671</v>
      </c>
      <c r="C18" s="309" t="s">
        <v>672</v>
      </c>
      <c r="D18" s="309">
        <v>239727</v>
      </c>
      <c r="E18" s="309">
        <v>-90086</v>
      </c>
      <c r="F18" s="297">
        <f t="shared" si="0"/>
        <v>149641</v>
      </c>
    </row>
    <row r="19" spans="1:6" s="125" customFormat="1" ht="18.75" customHeight="1">
      <c r="A19" s="315"/>
      <c r="B19" s="316"/>
      <c r="C19" s="317" t="s">
        <v>673</v>
      </c>
      <c r="D19" s="318">
        <f>SUM(D8+D13+D17+D18)</f>
        <v>12904945</v>
      </c>
      <c r="E19" s="318">
        <f>SUM(E8+E13+E17+E18)</f>
        <v>6064566</v>
      </c>
      <c r="F19" s="318">
        <f>SUM(F8+F13+F17+F18)</f>
        <v>18969511</v>
      </c>
    </row>
    <row r="20" spans="2:6" s="57" customFormat="1" ht="12.75">
      <c r="B20" s="319"/>
      <c r="C20" s="320"/>
      <c r="D20" s="320"/>
      <c r="E20" s="320"/>
      <c r="F20" s="320"/>
    </row>
    <row r="21" spans="2:6" s="24" customFormat="1" ht="12.75">
      <c r="B21" s="319"/>
      <c r="C21" s="319"/>
      <c r="D21" s="319"/>
      <c r="E21" s="319"/>
      <c r="F21" s="319"/>
    </row>
    <row r="22" spans="2:6" s="24" customFormat="1" ht="12.75">
      <c r="B22" s="319"/>
      <c r="C22" s="319"/>
      <c r="D22" s="319"/>
      <c r="E22" s="319"/>
      <c r="F22" s="319"/>
    </row>
    <row r="23" spans="2:6" s="24" customFormat="1" ht="12.75">
      <c r="B23" s="319"/>
      <c r="C23" s="319"/>
      <c r="D23" s="319"/>
      <c r="E23" s="319"/>
      <c r="F23" s="319"/>
    </row>
    <row r="24" spans="2:6" s="24" customFormat="1" ht="12.75">
      <c r="B24" s="319"/>
      <c r="C24" s="319"/>
      <c r="D24" s="319"/>
      <c r="E24" s="319"/>
      <c r="F24" s="319"/>
    </row>
    <row r="25" spans="2:6" s="24" customFormat="1" ht="12.75">
      <c r="B25" s="319"/>
      <c r="C25" s="319"/>
      <c r="D25" s="319"/>
      <c r="E25" s="319"/>
      <c r="F25" s="319"/>
    </row>
    <row r="26" spans="2:6" s="24" customFormat="1" ht="12.75">
      <c r="B26" s="319"/>
      <c r="C26" s="319"/>
      <c r="D26" s="319"/>
      <c r="E26" s="319"/>
      <c r="F26" s="319"/>
    </row>
    <row r="27" spans="2:6" s="24" customFormat="1" ht="12.75">
      <c r="B27" s="319"/>
      <c r="C27" s="319"/>
      <c r="D27" s="319"/>
      <c r="E27" s="319"/>
      <c r="F27" s="319"/>
    </row>
    <row r="28" spans="2:6" s="24" customFormat="1" ht="12.75">
      <c r="B28" s="319"/>
      <c r="C28" s="319"/>
      <c r="D28" s="319"/>
      <c r="E28" s="319"/>
      <c r="F28" s="319"/>
    </row>
    <row r="29" spans="2:6" s="24" customFormat="1" ht="12.75">
      <c r="B29" s="319"/>
      <c r="C29" s="319"/>
      <c r="D29" s="319"/>
      <c r="E29" s="319"/>
      <c r="F29" s="319"/>
    </row>
    <row r="30" spans="2:6" s="24" customFormat="1" ht="12.75">
      <c r="B30" s="321"/>
      <c r="C30" s="319"/>
      <c r="D30" s="319"/>
      <c r="E30" s="319"/>
      <c r="F30" s="319"/>
    </row>
    <row r="31" spans="2:6" ht="12.75">
      <c r="B31" s="321"/>
      <c r="C31" s="321"/>
      <c r="D31" s="321"/>
      <c r="E31" s="321"/>
      <c r="F31" s="321"/>
    </row>
    <row r="32" spans="2:6" ht="12.75">
      <c r="B32" s="321"/>
      <c r="C32" s="321"/>
      <c r="D32" s="321"/>
      <c r="E32" s="321"/>
      <c r="F32" s="321"/>
    </row>
    <row r="33" spans="2:6" ht="12.75">
      <c r="B33" s="321"/>
      <c r="C33" s="321"/>
      <c r="D33" s="321"/>
      <c r="E33" s="321"/>
      <c r="F33" s="321"/>
    </row>
    <row r="34" spans="2:6" ht="12.75">
      <c r="B34" s="321"/>
      <c r="C34" s="321"/>
      <c r="D34" s="321"/>
      <c r="E34" s="321"/>
      <c r="F34" s="321"/>
    </row>
    <row r="35" spans="2:6" ht="12.75">
      <c r="B35" s="321"/>
      <c r="C35" s="321"/>
      <c r="D35" s="321"/>
      <c r="E35" s="321"/>
      <c r="F35" s="321"/>
    </row>
    <row r="36" spans="3:6" ht="12.75">
      <c r="C36" s="321"/>
      <c r="D36" s="321"/>
      <c r="E36" s="321"/>
      <c r="F36" s="321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  KIADÁSI  ELŐIRÁNYZATAI
2013.  ÉVBEN&amp;R&amp;"Times New Roman CE,Félkövér dőlt"4. sz.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zoomScale="90" zoomScaleNormal="90" zoomScalePageLayoutView="0" workbookViewId="0" topLeftCell="A1">
      <selection activeCell="F18" sqref="F18"/>
    </sheetView>
  </sheetViews>
  <sheetFormatPr defaultColWidth="9.00390625" defaultRowHeight="12.75"/>
  <cols>
    <col min="1" max="1" width="6.50390625" style="60" customWidth="1"/>
    <col min="2" max="2" width="7.00390625" style="60" customWidth="1"/>
    <col min="3" max="3" width="32.00390625" style="60" customWidth="1"/>
    <col min="4" max="4" width="10.375" style="60" customWidth="1"/>
    <col min="5" max="5" width="9.50390625" style="60" customWidth="1"/>
    <col min="6" max="6" width="11.625" style="60" customWidth="1"/>
    <col min="7" max="7" width="10.375" style="60" customWidth="1"/>
    <col min="8" max="8" width="11.875" style="60" customWidth="1"/>
    <col min="9" max="9" width="12.00390625" style="60" customWidth="1"/>
    <col min="10" max="11" width="10.875" style="60" customWidth="1"/>
    <col min="12" max="12" width="10.125" style="60" customWidth="1"/>
    <col min="13" max="13" width="11.875" style="60" customWidth="1"/>
    <col min="14" max="14" width="10.875" style="60" customWidth="1"/>
    <col min="15" max="15" width="13.00390625" style="60" customWidth="1"/>
    <col min="16" max="16384" width="9.375" style="60" customWidth="1"/>
  </cols>
  <sheetData>
    <row r="1" spans="1:15" ht="15" customHeight="1">
      <c r="A1" s="780" t="s">
        <v>1192</v>
      </c>
      <c r="B1" s="780" t="s">
        <v>1193</v>
      </c>
      <c r="C1" s="792" t="s">
        <v>353</v>
      </c>
      <c r="D1" s="785" t="s">
        <v>1194</v>
      </c>
      <c r="E1" s="789"/>
      <c r="F1" s="795" t="s">
        <v>785</v>
      </c>
      <c r="G1" s="785" t="s">
        <v>54</v>
      </c>
      <c r="H1" s="786"/>
      <c r="I1" s="783" t="s">
        <v>86</v>
      </c>
      <c r="J1" s="800" t="s">
        <v>391</v>
      </c>
      <c r="K1" s="801"/>
      <c r="L1" s="802"/>
      <c r="M1" s="78"/>
      <c r="N1" s="795" t="s">
        <v>1199</v>
      </c>
      <c r="O1" s="798" t="s">
        <v>364</v>
      </c>
    </row>
    <row r="2" spans="1:15" s="61" customFormat="1" ht="42" customHeight="1" thickBot="1">
      <c r="A2" s="781"/>
      <c r="B2" s="781"/>
      <c r="C2" s="793"/>
      <c r="D2" s="790"/>
      <c r="E2" s="791"/>
      <c r="F2" s="796"/>
      <c r="G2" s="787"/>
      <c r="H2" s="788"/>
      <c r="I2" s="796"/>
      <c r="J2" s="799" t="s">
        <v>1195</v>
      </c>
      <c r="K2" s="783" t="s">
        <v>1196</v>
      </c>
      <c r="L2" s="783" t="s">
        <v>1197</v>
      </c>
      <c r="M2" s="799" t="s">
        <v>1198</v>
      </c>
      <c r="N2" s="796"/>
      <c r="O2" s="796"/>
    </row>
    <row r="3" spans="1:15" s="61" customFormat="1" ht="27.75" customHeight="1" thickBot="1">
      <c r="A3" s="782"/>
      <c r="B3" s="782"/>
      <c r="C3" s="794"/>
      <c r="D3" s="323" t="s">
        <v>184</v>
      </c>
      <c r="E3" s="220" t="s">
        <v>792</v>
      </c>
      <c r="F3" s="797"/>
      <c r="G3" s="323" t="s">
        <v>389</v>
      </c>
      <c r="H3" s="220" t="s">
        <v>55</v>
      </c>
      <c r="I3" s="797"/>
      <c r="J3" s="784"/>
      <c r="K3" s="784"/>
      <c r="L3" s="784"/>
      <c r="M3" s="784"/>
      <c r="N3" s="797"/>
      <c r="O3" s="797"/>
    </row>
    <row r="4" spans="1:15" ht="16.5" customHeight="1">
      <c r="A4" s="345">
        <v>1</v>
      </c>
      <c r="B4" s="221"/>
      <c r="C4" s="80" t="s">
        <v>56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ht="16.5" customHeight="1">
      <c r="A5" s="81"/>
      <c r="B5" s="81">
        <v>12</v>
      </c>
      <c r="C5" s="80" t="s">
        <v>786</v>
      </c>
      <c r="D5" s="82">
        <f>13432+'11'!D8</f>
        <v>14307</v>
      </c>
      <c r="E5" s="82">
        <f>0+'11'!E8</f>
        <v>0</v>
      </c>
      <c r="F5" s="82">
        <f>0+'11'!F8</f>
        <v>0</v>
      </c>
      <c r="G5" s="82">
        <f>0+'11'!G8</f>
        <v>0</v>
      </c>
      <c r="H5" s="82">
        <f>0+'11'!H8</f>
        <v>0</v>
      </c>
      <c r="I5" s="82">
        <f>0+'11'!I8</f>
        <v>0</v>
      </c>
      <c r="J5" s="82">
        <f>0+'11'!J8</f>
        <v>0</v>
      </c>
      <c r="K5" s="82">
        <f>65+'11'!K8</f>
        <v>92</v>
      </c>
      <c r="L5" s="82">
        <f>0+'11'!L8</f>
        <v>0</v>
      </c>
      <c r="M5" s="82">
        <f>0+'11'!M8</f>
        <v>0</v>
      </c>
      <c r="N5" s="82">
        <f>0+'11'!N8</f>
        <v>0</v>
      </c>
      <c r="O5" s="82">
        <f aca="true" t="shared" si="0" ref="O5:O15">SUM(D5:N5)</f>
        <v>14399</v>
      </c>
    </row>
    <row r="6" spans="1:15" ht="16.5" customHeight="1">
      <c r="A6" s="81"/>
      <c r="B6" s="81">
        <v>13</v>
      </c>
      <c r="C6" s="80" t="s">
        <v>787</v>
      </c>
      <c r="D6" s="82">
        <f>5334+'11'!D11</f>
        <v>5334</v>
      </c>
      <c r="E6" s="82">
        <f>2000+'11'!E11</f>
        <v>2000</v>
      </c>
      <c r="F6" s="82">
        <f>0+'11'!F11</f>
        <v>0</v>
      </c>
      <c r="G6" s="82">
        <f>0+'11'!G11</f>
        <v>0</v>
      </c>
      <c r="H6" s="82">
        <f>0+'11'!H11</f>
        <v>0</v>
      </c>
      <c r="I6" s="82">
        <f>0+'11'!I11</f>
        <v>0</v>
      </c>
      <c r="J6" s="82">
        <f>0+'11'!J11</f>
        <v>0</v>
      </c>
      <c r="K6" s="82">
        <f>51643+'11'!K11</f>
        <v>51643</v>
      </c>
      <c r="L6" s="82">
        <f>315130+'11'!L11</f>
        <v>315130</v>
      </c>
      <c r="M6" s="82">
        <f>0+'11'!M11</f>
        <v>0</v>
      </c>
      <c r="N6" s="82">
        <f>0+'11'!N11</f>
        <v>0</v>
      </c>
      <c r="O6" s="82">
        <f t="shared" si="0"/>
        <v>374107</v>
      </c>
    </row>
    <row r="7" spans="1:15" ht="16.5" customHeight="1">
      <c r="A7" s="81"/>
      <c r="B7" s="81">
        <v>15</v>
      </c>
      <c r="C7" s="80" t="s">
        <v>366</v>
      </c>
      <c r="D7" s="82">
        <f>403142+'11'!D24</f>
        <v>432200</v>
      </c>
      <c r="E7" s="82">
        <f>0+'11'!E24</f>
        <v>0</v>
      </c>
      <c r="F7" s="82">
        <f>0+'11'!F24</f>
        <v>0</v>
      </c>
      <c r="G7" s="82">
        <f>0+'11'!G24</f>
        <v>3469</v>
      </c>
      <c r="H7" s="82">
        <f>22002+'11'!H24</f>
        <v>29313</v>
      </c>
      <c r="I7" s="82">
        <f>0+'11'!I24</f>
        <v>0</v>
      </c>
      <c r="J7" s="82">
        <f>0+'11'!J24</f>
        <v>0</v>
      </c>
      <c r="K7" s="82">
        <f>0+'11'!K24</f>
        <v>1503</v>
      </c>
      <c r="L7" s="82">
        <f>19824+'11'!L24</f>
        <v>19824</v>
      </c>
      <c r="M7" s="82">
        <f>0+'11'!M24</f>
        <v>0</v>
      </c>
      <c r="N7" s="82">
        <f>0+'11'!N24</f>
        <v>0</v>
      </c>
      <c r="O7" s="82">
        <f t="shared" si="0"/>
        <v>486309</v>
      </c>
    </row>
    <row r="8" spans="1:15" ht="16.5" customHeight="1">
      <c r="A8" s="81"/>
      <c r="B8" s="81">
        <v>16</v>
      </c>
      <c r="C8" s="80" t="s">
        <v>1201</v>
      </c>
      <c r="D8" s="82">
        <f>7709+'11'!D34</f>
        <v>27811</v>
      </c>
      <c r="E8" s="82">
        <f>0+'11'!E34</f>
        <v>0</v>
      </c>
      <c r="F8" s="82">
        <f>0+'11'!F34</f>
        <v>0</v>
      </c>
      <c r="G8" s="82">
        <f>100000+'11'!G34</f>
        <v>100000</v>
      </c>
      <c r="H8" s="82">
        <f>249000+'11'!H34</f>
        <v>249000</v>
      </c>
      <c r="I8" s="82">
        <f>0+'11'!I34</f>
        <v>0</v>
      </c>
      <c r="J8" s="82">
        <f>0+'11'!J34</f>
        <v>0</v>
      </c>
      <c r="K8" s="82">
        <f>0+'11'!K34</f>
        <v>0</v>
      </c>
      <c r="L8" s="82">
        <f>2756035+'11'!L34</f>
        <v>4151926</v>
      </c>
      <c r="M8" s="82">
        <f>0+'11'!M34</f>
        <v>0</v>
      </c>
      <c r="N8" s="82">
        <f>0+'11'!N34</f>
        <v>0</v>
      </c>
      <c r="O8" s="82">
        <f t="shared" si="0"/>
        <v>4528737</v>
      </c>
    </row>
    <row r="9" spans="1:15" ht="16.5" customHeight="1">
      <c r="A9" s="81"/>
      <c r="B9" s="81">
        <v>17</v>
      </c>
      <c r="C9" s="80" t="s">
        <v>367</v>
      </c>
      <c r="D9" s="82">
        <f>420747+'11'!D49</f>
        <v>487167</v>
      </c>
      <c r="E9" s="82">
        <f>0+'11'!E49</f>
        <v>0</v>
      </c>
      <c r="F9" s="82">
        <f>0+'11'!F49</f>
        <v>0</v>
      </c>
      <c r="G9" s="82">
        <f>134729+'11'!G49</f>
        <v>146730</v>
      </c>
      <c r="H9" s="82">
        <f>0+'11'!H49</f>
        <v>0</v>
      </c>
      <c r="I9" s="82">
        <f>0+'11'!I49</f>
        <v>0</v>
      </c>
      <c r="J9" s="82">
        <f>0+'11'!J49</f>
        <v>0</v>
      </c>
      <c r="K9" s="82">
        <f>0+'11'!K49</f>
        <v>0</v>
      </c>
      <c r="L9" s="82">
        <f>0+'11'!L49</f>
        <v>0</v>
      </c>
      <c r="M9" s="82">
        <f>20000+'11'!M49</f>
        <v>20000</v>
      </c>
      <c r="N9" s="82">
        <f>324490+'11'!N49</f>
        <v>324490</v>
      </c>
      <c r="O9" s="82">
        <f t="shared" si="0"/>
        <v>978387</v>
      </c>
    </row>
    <row r="10" spans="1:15" ht="16.5" customHeight="1">
      <c r="A10" s="81"/>
      <c r="B10" s="81">
        <v>18</v>
      </c>
      <c r="C10" s="80" t="s">
        <v>1200</v>
      </c>
      <c r="D10" s="82">
        <f>43180+'11'!D52</f>
        <v>43180</v>
      </c>
      <c r="E10" s="82">
        <f>0+'11'!E52</f>
        <v>0</v>
      </c>
      <c r="F10" s="82">
        <f>0+'11'!F52</f>
        <v>0</v>
      </c>
      <c r="G10" s="82">
        <f>0+'11'!G52</f>
        <v>0</v>
      </c>
      <c r="H10" s="82">
        <f>0+'11'!H52</f>
        <v>0</v>
      </c>
      <c r="I10" s="82">
        <f>0+'11'!I52</f>
        <v>0</v>
      </c>
      <c r="J10" s="82">
        <f>0+'11'!J52</f>
        <v>0</v>
      </c>
      <c r="K10" s="82">
        <f>0+'11'!K52</f>
        <v>0</v>
      </c>
      <c r="L10" s="82">
        <f>0+'11'!L52</f>
        <v>0</v>
      </c>
      <c r="M10" s="82">
        <f>0+'11'!M52</f>
        <v>0</v>
      </c>
      <c r="N10" s="82">
        <f>0+'11'!N52</f>
        <v>0</v>
      </c>
      <c r="O10" s="82">
        <f t="shared" si="0"/>
        <v>43180</v>
      </c>
    </row>
    <row r="11" spans="1:15" ht="16.5" customHeight="1">
      <c r="A11" s="81"/>
      <c r="B11" s="81">
        <v>19</v>
      </c>
      <c r="C11" s="80" t="s">
        <v>368</v>
      </c>
      <c r="D11" s="82">
        <f>160513+'11'!D68</f>
        <v>290385</v>
      </c>
      <c r="E11" s="82">
        <f>0+'11'!E68</f>
        <v>0</v>
      </c>
      <c r="F11" s="82">
        <f>3965000+'11'!F68</f>
        <v>3965000</v>
      </c>
      <c r="G11" s="82">
        <f>0+'11'!G68</f>
        <v>0</v>
      </c>
      <c r="H11" s="82">
        <f>0+'11'!H68</f>
        <v>0</v>
      </c>
      <c r="I11" s="82">
        <f>2962260+'11'!I68</f>
        <v>3117942</v>
      </c>
      <c r="J11" s="82">
        <f>0+'11'!J68</f>
        <v>0</v>
      </c>
      <c r="K11" s="82">
        <f>17396+'11'!K68</f>
        <v>58976</v>
      </c>
      <c r="L11" s="82">
        <f>0+'11'!L68</f>
        <v>0</v>
      </c>
      <c r="M11" s="82">
        <f>868089+'11'!M68</f>
        <v>868089</v>
      </c>
      <c r="N11" s="82">
        <f>2022732+'11'!N68</f>
        <v>2022732</v>
      </c>
      <c r="O11" s="82">
        <f t="shared" si="0"/>
        <v>10323124</v>
      </c>
    </row>
    <row r="12" spans="1:15" ht="16.5" customHeight="1">
      <c r="A12" s="81"/>
      <c r="B12" s="81">
        <v>20</v>
      </c>
      <c r="C12" s="40" t="s">
        <v>292</v>
      </c>
      <c r="D12" s="82">
        <f>0+'11'!D71</f>
        <v>0</v>
      </c>
      <c r="E12" s="82">
        <f>0+'11'!E71</f>
        <v>0</v>
      </c>
      <c r="F12" s="82">
        <f>1015+'11'!F71</f>
        <v>1015</v>
      </c>
      <c r="G12" s="82">
        <f>0+'11'!G71</f>
        <v>0</v>
      </c>
      <c r="H12" s="82">
        <f>0+'11'!H71</f>
        <v>0</v>
      </c>
      <c r="I12" s="82">
        <f>0+'11'!I71</f>
        <v>0</v>
      </c>
      <c r="J12" s="82">
        <f>0+'11'!J71</f>
        <v>0</v>
      </c>
      <c r="K12" s="82">
        <f>0+'11'!K71</f>
        <v>0</v>
      </c>
      <c r="L12" s="82">
        <f>0+'11'!L71</f>
        <v>0</v>
      </c>
      <c r="M12" s="82">
        <f>0+'11'!M71</f>
        <v>0</v>
      </c>
      <c r="N12" s="82">
        <f>0+'11'!N71</f>
        <v>0</v>
      </c>
      <c r="O12" s="82">
        <f t="shared" si="0"/>
        <v>1015</v>
      </c>
    </row>
    <row r="13" spans="1:15" ht="16.5" customHeight="1">
      <c r="A13" s="81"/>
      <c r="B13" s="81">
        <v>22</v>
      </c>
      <c r="C13" s="80" t="s">
        <v>294</v>
      </c>
      <c r="D13" s="82">
        <f>0+'11'!D74</f>
        <v>0</v>
      </c>
      <c r="E13" s="82">
        <f>4696+'11'!E74</f>
        <v>4696</v>
      </c>
      <c r="F13" s="82">
        <f>0+'11'!F74</f>
        <v>0</v>
      </c>
      <c r="G13" s="82">
        <f>0+'11'!G74</f>
        <v>0</v>
      </c>
      <c r="H13" s="82">
        <f>0+'11'!H74</f>
        <v>0</v>
      </c>
      <c r="I13" s="82">
        <f>0+'11'!I74</f>
        <v>0</v>
      </c>
      <c r="J13" s="82">
        <f>0+'11'!J74</f>
        <v>0</v>
      </c>
      <c r="K13" s="82">
        <f>14265+'11'!K74</f>
        <v>14265</v>
      </c>
      <c r="L13" s="82">
        <f>0+'11'!L74</f>
        <v>0</v>
      </c>
      <c r="M13" s="82">
        <f>0+'11'!M74</f>
        <v>0</v>
      </c>
      <c r="N13" s="82">
        <f>0+'11'!N74</f>
        <v>0</v>
      </c>
      <c r="O13" s="82">
        <f t="shared" si="0"/>
        <v>18961</v>
      </c>
    </row>
    <row r="14" spans="1:15" ht="27.75" customHeight="1">
      <c r="A14" s="83"/>
      <c r="B14" s="83"/>
      <c r="C14" s="250" t="s">
        <v>57</v>
      </c>
      <c r="D14" s="222">
        <f aca="true" t="shared" si="1" ref="D14:O14">SUM(D5:D13)</f>
        <v>1300384</v>
      </c>
      <c r="E14" s="222">
        <f t="shared" si="1"/>
        <v>6696</v>
      </c>
      <c r="F14" s="222">
        <f t="shared" si="1"/>
        <v>3966015</v>
      </c>
      <c r="G14" s="222">
        <f t="shared" si="1"/>
        <v>250199</v>
      </c>
      <c r="H14" s="222">
        <f t="shared" si="1"/>
        <v>278313</v>
      </c>
      <c r="I14" s="222">
        <f t="shared" si="1"/>
        <v>3117942</v>
      </c>
      <c r="J14" s="222">
        <f t="shared" si="1"/>
        <v>0</v>
      </c>
      <c r="K14" s="222">
        <f t="shared" si="1"/>
        <v>126479</v>
      </c>
      <c r="L14" s="222">
        <f t="shared" si="1"/>
        <v>4486880</v>
      </c>
      <c r="M14" s="222">
        <f t="shared" si="1"/>
        <v>888089</v>
      </c>
      <c r="N14" s="222">
        <f t="shared" si="1"/>
        <v>2347222</v>
      </c>
      <c r="O14" s="222">
        <f t="shared" si="1"/>
        <v>16768219</v>
      </c>
    </row>
    <row r="15" spans="1:15" ht="16.5" customHeight="1">
      <c r="A15" s="85">
        <v>2</v>
      </c>
      <c r="B15" s="85"/>
      <c r="C15" s="80" t="s">
        <v>53</v>
      </c>
      <c r="D15" s="82">
        <f>1154792+'11'!D76</f>
        <v>1221386</v>
      </c>
      <c r="E15" s="82">
        <f>62425+'11'!E76</f>
        <v>68478</v>
      </c>
      <c r="F15" s="82">
        <f>0+'11'!F76</f>
        <v>0</v>
      </c>
      <c r="G15" s="82">
        <f>16717+'11'!G76</f>
        <v>16717</v>
      </c>
      <c r="H15" s="82">
        <f>1000+'11'!H76</f>
        <v>956</v>
      </c>
      <c r="I15" s="82">
        <f>0+'11'!I76</f>
        <v>0</v>
      </c>
      <c r="J15" s="82">
        <f>231745+'11'!J76</f>
        <v>250745</v>
      </c>
      <c r="K15" s="82">
        <f>277186+'11'!K76</f>
        <v>296112</v>
      </c>
      <c r="L15" s="82">
        <f>65577+'11'!L76</f>
        <v>78311</v>
      </c>
      <c r="M15" s="82">
        <f>0+'11'!M76</f>
        <v>0</v>
      </c>
      <c r="N15" s="82">
        <f>268587+'11'!N76</f>
        <v>268587</v>
      </c>
      <c r="O15" s="82">
        <f t="shared" si="0"/>
        <v>2201292</v>
      </c>
    </row>
    <row r="16" spans="1:15" ht="16.5" customHeight="1">
      <c r="A16" s="83"/>
      <c r="B16" s="83"/>
      <c r="C16" s="84" t="s">
        <v>1160</v>
      </c>
      <c r="D16" s="222">
        <f aca="true" t="shared" si="2" ref="D16:O16">SUM(D14:D15)</f>
        <v>2521770</v>
      </c>
      <c r="E16" s="222">
        <f t="shared" si="2"/>
        <v>75174</v>
      </c>
      <c r="F16" s="222">
        <f t="shared" si="2"/>
        <v>3966015</v>
      </c>
      <c r="G16" s="222">
        <f t="shared" si="2"/>
        <v>266916</v>
      </c>
      <c r="H16" s="222">
        <f t="shared" si="2"/>
        <v>279269</v>
      </c>
      <c r="I16" s="222">
        <f t="shared" si="2"/>
        <v>3117942</v>
      </c>
      <c r="J16" s="222">
        <f t="shared" si="2"/>
        <v>250745</v>
      </c>
      <c r="K16" s="222">
        <f t="shared" si="2"/>
        <v>422591</v>
      </c>
      <c r="L16" s="222">
        <f t="shared" si="2"/>
        <v>4565191</v>
      </c>
      <c r="M16" s="222">
        <f t="shared" si="2"/>
        <v>888089</v>
      </c>
      <c r="N16" s="222">
        <f t="shared" si="2"/>
        <v>2615809</v>
      </c>
      <c r="O16" s="222">
        <f t="shared" si="2"/>
        <v>18969511</v>
      </c>
    </row>
    <row r="17" spans="3:12" ht="16.5" customHeight="1">
      <c r="C17" s="62"/>
      <c r="D17" s="63"/>
      <c r="E17" s="63"/>
      <c r="F17" s="63"/>
      <c r="G17" s="63"/>
      <c r="H17" s="63"/>
      <c r="I17" s="63"/>
      <c r="J17" s="63"/>
      <c r="K17" s="63"/>
      <c r="L17" s="63"/>
    </row>
    <row r="18" spans="3:11" ht="13.5" customHeight="1">
      <c r="C18" s="62"/>
      <c r="D18" s="63"/>
      <c r="E18" s="63"/>
      <c r="F18" s="63"/>
      <c r="G18" s="63"/>
      <c r="H18" s="63"/>
      <c r="I18" s="63"/>
      <c r="J18" s="63"/>
      <c r="K18" s="63"/>
    </row>
    <row r="19" spans="4:11" ht="13.5" customHeight="1">
      <c r="D19" s="63"/>
      <c r="E19" s="63"/>
      <c r="F19" s="63"/>
      <c r="G19" s="63"/>
      <c r="H19" s="63"/>
      <c r="I19" s="63"/>
      <c r="J19" s="63"/>
      <c r="K19" s="63"/>
    </row>
    <row r="20" spans="4:11" ht="13.5" customHeight="1">
      <c r="D20" s="63"/>
      <c r="E20" s="63"/>
      <c r="F20" s="63"/>
      <c r="G20" s="63"/>
      <c r="H20" s="63"/>
      <c r="I20" s="63"/>
      <c r="J20" s="63"/>
      <c r="K20" s="63"/>
    </row>
    <row r="21" spans="4:11" ht="13.5" customHeight="1">
      <c r="D21" s="63"/>
      <c r="E21" s="63"/>
      <c r="F21" s="63"/>
      <c r="G21" s="63"/>
      <c r="H21" s="63"/>
      <c r="I21" s="63"/>
      <c r="J21" s="63"/>
      <c r="K21" s="63"/>
    </row>
    <row r="22" spans="4:11" ht="13.5" customHeight="1">
      <c r="D22" s="63"/>
      <c r="E22" s="63"/>
      <c r="F22" s="63"/>
      <c r="G22" s="63"/>
      <c r="H22" s="63"/>
      <c r="I22" s="63"/>
      <c r="J22" s="63"/>
      <c r="K22" s="63"/>
    </row>
    <row r="23" spans="4:11" ht="13.5" customHeight="1">
      <c r="D23" s="63"/>
      <c r="E23" s="63"/>
      <c r="F23" s="63"/>
      <c r="G23" s="63"/>
      <c r="H23" s="63"/>
      <c r="I23" s="63"/>
      <c r="J23" s="63"/>
      <c r="K23" s="63"/>
    </row>
    <row r="24" spans="4:11" ht="13.5" customHeight="1">
      <c r="D24" s="63"/>
      <c r="E24" s="63"/>
      <c r="F24" s="63"/>
      <c r="G24" s="63"/>
      <c r="H24" s="63"/>
      <c r="I24" s="63"/>
      <c r="J24" s="63"/>
      <c r="K24" s="63"/>
    </row>
    <row r="25" spans="4:11" ht="13.5" customHeight="1">
      <c r="D25" s="63"/>
      <c r="E25" s="63"/>
      <c r="F25" s="63"/>
      <c r="G25" s="63"/>
      <c r="H25" s="63"/>
      <c r="I25" s="63"/>
      <c r="J25" s="63"/>
      <c r="K25" s="63"/>
    </row>
    <row r="26" spans="4:11" ht="13.5" customHeight="1">
      <c r="D26" s="63"/>
      <c r="E26" s="63"/>
      <c r="F26" s="63"/>
      <c r="G26" s="63"/>
      <c r="H26" s="63"/>
      <c r="I26" s="63"/>
      <c r="J26" s="63"/>
      <c r="K26" s="63"/>
    </row>
    <row r="27" ht="13.5" customHeight="1"/>
    <row r="28" ht="13.5" customHeight="1"/>
    <row r="29" ht="13.5" customHeight="1"/>
  </sheetData>
  <sheetProtection/>
  <mergeCells count="14">
    <mergeCell ref="O1:O3"/>
    <mergeCell ref="I1:I3"/>
    <mergeCell ref="J2:J3"/>
    <mergeCell ref="M2:M3"/>
    <mergeCell ref="N1:N3"/>
    <mergeCell ref="J1:L1"/>
    <mergeCell ref="A1:A3"/>
    <mergeCell ref="B1:B3"/>
    <mergeCell ref="K2:K3"/>
    <mergeCell ref="L2:L3"/>
    <mergeCell ref="G1:H2"/>
    <mergeCell ref="D1:E2"/>
    <mergeCell ref="C1:C3"/>
    <mergeCell ref="F1:F3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
 2013. ÉVI  BEVÉTELI ELŐIRÁNYZATAI CíMENKÉNTI BONTÁSBAN &amp;R&amp;"Times New Roman,Félkövér dőlt"5.sz.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pane ySplit="2" topLeftCell="A3" activePane="bottomLeft" state="frozen"/>
      <selection pane="topLeft" activeCell="B1" sqref="B1"/>
      <selection pane="bottomLeft" activeCell="N18" sqref="N18:N19"/>
    </sheetView>
  </sheetViews>
  <sheetFormatPr defaultColWidth="9.00390625" defaultRowHeight="12.75"/>
  <cols>
    <col min="1" max="1" width="6.875" style="58" customWidth="1"/>
    <col min="2" max="2" width="7.00390625" style="58" customWidth="1"/>
    <col min="3" max="3" width="28.00390625" style="58" customWidth="1"/>
    <col min="4" max="4" width="10.00390625" style="58" customWidth="1"/>
    <col min="5" max="5" width="11.875" style="58" customWidth="1"/>
    <col min="6" max="6" width="9.875" style="58" customWidth="1"/>
    <col min="7" max="7" width="9.625" style="58" customWidth="1"/>
    <col min="8" max="8" width="10.50390625" style="58" customWidth="1"/>
    <col min="9" max="9" width="10.00390625" style="58" bestFit="1" customWidth="1"/>
    <col min="10" max="10" width="9.50390625" style="58" bestFit="1" customWidth="1"/>
    <col min="11" max="11" width="9.50390625" style="58" customWidth="1"/>
    <col min="12" max="12" width="11.00390625" style="58" customWidth="1"/>
    <col min="13" max="13" width="11.625" style="126" customWidth="1"/>
    <col min="14" max="14" width="10.875" style="126" customWidth="1"/>
    <col min="15" max="16384" width="9.375" style="58" customWidth="1"/>
  </cols>
  <sheetData>
    <row r="1" spans="1:14" s="121" customFormat="1" ht="13.5" thickTop="1">
      <c r="A1" s="376"/>
      <c r="B1" s="377"/>
      <c r="C1" s="377"/>
      <c r="D1" s="803" t="s">
        <v>656</v>
      </c>
      <c r="E1" s="804"/>
      <c r="F1" s="804"/>
      <c r="G1" s="804"/>
      <c r="H1" s="805"/>
      <c r="I1" s="806" t="s">
        <v>662</v>
      </c>
      <c r="J1" s="807"/>
      <c r="K1" s="808"/>
      <c r="L1" s="377"/>
      <c r="M1" s="377"/>
      <c r="N1" s="378"/>
    </row>
    <row r="2" spans="1:14" s="122" customFormat="1" ht="60" customHeight="1" thickBot="1">
      <c r="A2" s="127" t="s">
        <v>370</v>
      </c>
      <c r="B2" s="128" t="s">
        <v>371</v>
      </c>
      <c r="C2" s="128" t="s">
        <v>353</v>
      </c>
      <c r="D2" s="346" t="s">
        <v>657</v>
      </c>
      <c r="E2" s="346" t="s">
        <v>801</v>
      </c>
      <c r="F2" s="346" t="s">
        <v>14</v>
      </c>
      <c r="G2" s="346" t="s">
        <v>660</v>
      </c>
      <c r="H2" s="346" t="s">
        <v>373</v>
      </c>
      <c r="I2" s="346" t="s">
        <v>663</v>
      </c>
      <c r="J2" s="346" t="s">
        <v>664</v>
      </c>
      <c r="K2" s="346" t="s">
        <v>665</v>
      </c>
      <c r="L2" s="346" t="s">
        <v>802</v>
      </c>
      <c r="M2" s="346" t="s">
        <v>375</v>
      </c>
      <c r="N2" s="347" t="s">
        <v>291</v>
      </c>
    </row>
    <row r="3" spans="1:14" s="122" customFormat="1" ht="15" customHeight="1">
      <c r="A3" s="25">
        <v>1</v>
      </c>
      <c r="B3" s="25"/>
      <c r="C3" s="348" t="s">
        <v>52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s="122" customFormat="1" ht="15" customHeight="1">
      <c r="A4" s="25">
        <v>1</v>
      </c>
      <c r="B4" s="25">
        <v>1</v>
      </c>
      <c r="C4" s="349" t="s">
        <v>793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s="123" customFormat="1" ht="13.5" customHeight="1">
      <c r="A5" s="29"/>
      <c r="B5" s="29">
        <v>12</v>
      </c>
      <c r="C5" s="348" t="s">
        <v>786</v>
      </c>
      <c r="D5" s="30">
        <f>0+'12'!F34</f>
        <v>560</v>
      </c>
      <c r="E5" s="30">
        <f>0+'12'!G34</f>
        <v>1636</v>
      </c>
      <c r="F5" s="30">
        <f>33456+'12'!H34</f>
        <v>28729</v>
      </c>
      <c r="G5" s="30">
        <f>25605+'12'!I34</f>
        <v>25005</v>
      </c>
      <c r="H5" s="30">
        <f>342480+'12'!J34</f>
        <v>445586</v>
      </c>
      <c r="I5" s="30">
        <f>0+'12'!K34</f>
        <v>0</v>
      </c>
      <c r="J5" s="30">
        <f>0+'12'!L34</f>
        <v>0</v>
      </c>
      <c r="K5" s="30">
        <f>0+'12'!M34</f>
        <v>1400</v>
      </c>
      <c r="L5" s="30">
        <f>42519+'12'!N34</f>
        <v>41119</v>
      </c>
      <c r="M5" s="30">
        <f>0+'12'!O34</f>
        <v>0</v>
      </c>
      <c r="N5" s="30">
        <f aca="true" t="shared" si="0" ref="N5:N14">SUM(D5:M5)</f>
        <v>544035</v>
      </c>
    </row>
    <row r="6" spans="1:14" s="123" customFormat="1" ht="13.5" customHeight="1">
      <c r="A6" s="29"/>
      <c r="B6" s="29">
        <v>13</v>
      </c>
      <c r="C6" s="348" t="s">
        <v>787</v>
      </c>
      <c r="D6" s="30">
        <f>4596+'12'!F88</f>
        <v>5153</v>
      </c>
      <c r="E6" s="30">
        <f>1163+'12'!G88</f>
        <v>1559</v>
      </c>
      <c r="F6" s="30">
        <f>113992+'12'!H88</f>
        <v>112507</v>
      </c>
      <c r="G6" s="30">
        <f>441771+'12'!I88</f>
        <v>512928</v>
      </c>
      <c r="H6" s="30">
        <f>16610+'12'!J88</f>
        <v>16860</v>
      </c>
      <c r="I6" s="30">
        <f>602154+'12'!K88</f>
        <v>616805</v>
      </c>
      <c r="J6" s="30">
        <f>139422+'12'!L88</f>
        <v>146604</v>
      </c>
      <c r="K6" s="30">
        <f>75763+'12'!M88</f>
        <v>65978</v>
      </c>
      <c r="L6" s="30">
        <f>14700+'12'!N88</f>
        <v>8820</v>
      </c>
      <c r="M6" s="30">
        <f>0+'12'!O88</f>
        <v>0</v>
      </c>
      <c r="N6" s="30">
        <f t="shared" si="0"/>
        <v>1487214</v>
      </c>
    </row>
    <row r="7" spans="1:14" s="123" customFormat="1" ht="13.5" customHeight="1">
      <c r="A7" s="29"/>
      <c r="B7" s="29">
        <v>15</v>
      </c>
      <c r="C7" s="130" t="s">
        <v>366</v>
      </c>
      <c r="D7" s="30">
        <f>3708+'12'!F142</f>
        <v>3744</v>
      </c>
      <c r="E7" s="30">
        <f>698+'12'!G142</f>
        <v>698</v>
      </c>
      <c r="F7" s="30">
        <f>1324698+'12'!H142</f>
        <v>1352219</v>
      </c>
      <c r="G7" s="30">
        <f>45145+'12'!I142</f>
        <v>44322</v>
      </c>
      <c r="H7" s="30">
        <f>0+'12'!J142</f>
        <v>0</v>
      </c>
      <c r="I7" s="30">
        <f>169621+'12'!K142</f>
        <v>175292</v>
      </c>
      <c r="J7" s="30">
        <f>303354+'12'!L142</f>
        <v>309594</v>
      </c>
      <c r="K7" s="30">
        <f>21091+'12'!M142</f>
        <v>30350</v>
      </c>
      <c r="L7" s="30">
        <f>0+'12'!N142</f>
        <v>0</v>
      </c>
      <c r="M7" s="30">
        <f>0+'12'!O142</f>
        <v>0</v>
      </c>
      <c r="N7" s="30">
        <f t="shared" si="0"/>
        <v>1916219</v>
      </c>
    </row>
    <row r="8" spans="1:15" s="123" customFormat="1" ht="13.5" customHeight="1">
      <c r="A8" s="29"/>
      <c r="B8" s="29">
        <v>16</v>
      </c>
      <c r="C8" s="130" t="s">
        <v>1201</v>
      </c>
      <c r="D8" s="30">
        <f>0+'12'!F149</f>
        <v>0</v>
      </c>
      <c r="E8" s="30">
        <f>0+'12'!G149</f>
        <v>0</v>
      </c>
      <c r="F8" s="30">
        <f>4247+'12'!H149</f>
        <v>4219</v>
      </c>
      <c r="G8" s="30">
        <f>0+'12'!I149</f>
        <v>0</v>
      </c>
      <c r="H8" s="30">
        <f>0+'12'!J149</f>
        <v>0</v>
      </c>
      <c r="I8" s="30">
        <f>3994821+'12'!K149</f>
        <v>5411969</v>
      </c>
      <c r="J8" s="30">
        <f>52555+'12'!L149</f>
        <v>51246</v>
      </c>
      <c r="K8" s="30">
        <f>131902+'12'!M149</f>
        <v>131902</v>
      </c>
      <c r="L8" s="30">
        <f>0+'12'!N149</f>
        <v>0</v>
      </c>
      <c r="M8" s="30">
        <f>0+'12'!O149</f>
        <v>0</v>
      </c>
      <c r="N8" s="30">
        <f t="shared" si="0"/>
        <v>5599336</v>
      </c>
      <c r="O8" s="124"/>
    </row>
    <row r="9" spans="1:14" s="123" customFormat="1" ht="13.5" customHeight="1">
      <c r="A9" s="29"/>
      <c r="B9" s="29">
        <v>17</v>
      </c>
      <c r="C9" s="130" t="s">
        <v>367</v>
      </c>
      <c r="D9" s="30">
        <f>0+'12'!F167</f>
        <v>0</v>
      </c>
      <c r="E9" s="30">
        <f>0+'12'!G167</f>
        <v>16</v>
      </c>
      <c r="F9" s="30">
        <f>229830+'12'!H167</f>
        <v>259628</v>
      </c>
      <c r="G9" s="30">
        <f>31190+'12'!I167</f>
        <v>41190</v>
      </c>
      <c r="H9" s="30">
        <f>0+'12'!J167</f>
        <v>0</v>
      </c>
      <c r="I9" s="30">
        <f>226838+'12'!K167</f>
        <v>231235</v>
      </c>
      <c r="J9" s="30">
        <f>30635+'12'!L167</f>
        <v>35927</v>
      </c>
      <c r="K9" s="30">
        <f>68333+'12'!M167</f>
        <v>80846</v>
      </c>
      <c r="L9" s="30">
        <f>0+'12'!N167</f>
        <v>0</v>
      </c>
      <c r="M9" s="30">
        <f>0+'12'!O167</f>
        <v>0</v>
      </c>
      <c r="N9" s="30">
        <f t="shared" si="0"/>
        <v>648842</v>
      </c>
    </row>
    <row r="10" spans="1:14" s="123" customFormat="1" ht="13.5" customHeight="1">
      <c r="A10" s="29"/>
      <c r="B10" s="29">
        <v>18</v>
      </c>
      <c r="C10" s="130" t="s">
        <v>221</v>
      </c>
      <c r="D10" s="30">
        <f>0+'12'!F173</f>
        <v>0</v>
      </c>
      <c r="E10" s="30">
        <f>0+'12'!G173</f>
        <v>0</v>
      </c>
      <c r="F10" s="30">
        <f>16779+'12'!H173</f>
        <v>17779</v>
      </c>
      <c r="G10" s="30">
        <f>1914+'12'!I173</f>
        <v>1914</v>
      </c>
      <c r="H10" s="30">
        <f>0+'12'!J173</f>
        <v>0</v>
      </c>
      <c r="I10" s="30">
        <f>1383+'12'!K173</f>
        <v>1383</v>
      </c>
      <c r="J10" s="30">
        <f>0+'12'!L173</f>
        <v>0</v>
      </c>
      <c r="K10" s="30">
        <f>0+'12'!M173</f>
        <v>0</v>
      </c>
      <c r="L10" s="30">
        <f>0+'12'!N173</f>
        <v>0</v>
      </c>
      <c r="M10" s="30">
        <f>0+'12'!O173</f>
        <v>0</v>
      </c>
      <c r="N10" s="30">
        <f t="shared" si="0"/>
        <v>21076</v>
      </c>
    </row>
    <row r="11" spans="1:14" s="123" customFormat="1" ht="13.5" customHeight="1">
      <c r="A11" s="29"/>
      <c r="B11" s="29">
        <v>19</v>
      </c>
      <c r="C11" s="129" t="s">
        <v>368</v>
      </c>
      <c r="D11" s="30">
        <f>1200+'12'!F194</f>
        <v>19126</v>
      </c>
      <c r="E11" s="30">
        <f>250+'12'!G194</f>
        <v>3784</v>
      </c>
      <c r="F11" s="30">
        <f>397553+'12'!H194</f>
        <v>538874</v>
      </c>
      <c r="G11" s="30">
        <f>795911+'12'!I194</f>
        <v>828698</v>
      </c>
      <c r="H11" s="30">
        <f>0+'12'!J194</f>
        <v>0</v>
      </c>
      <c r="I11" s="30">
        <f>0+'12'!K194</f>
        <v>0</v>
      </c>
      <c r="J11" s="30">
        <f>0+'12'!L194</f>
        <v>0</v>
      </c>
      <c r="K11" s="30">
        <f>19200+'12'!M194</f>
        <v>20725</v>
      </c>
      <c r="L11" s="30">
        <f>425975+'12'!N194</f>
        <v>425975</v>
      </c>
      <c r="M11" s="30">
        <f>0+'12'!O194</f>
        <v>0</v>
      </c>
      <c r="N11" s="30">
        <f t="shared" si="0"/>
        <v>1837182</v>
      </c>
    </row>
    <row r="12" spans="1:14" s="123" customFormat="1" ht="12.75" customHeight="1">
      <c r="A12" s="29"/>
      <c r="B12" s="29">
        <v>20</v>
      </c>
      <c r="C12" s="129" t="s">
        <v>292</v>
      </c>
      <c r="D12" s="30">
        <f>0+'12'!F196</f>
        <v>0</v>
      </c>
      <c r="E12" s="30">
        <f>0+'12'!G196</f>
        <v>0</v>
      </c>
      <c r="F12" s="30">
        <f>1015+'12'!H196</f>
        <v>1015</v>
      </c>
      <c r="G12" s="30">
        <f>0+'12'!I196</f>
        <v>0</v>
      </c>
      <c r="H12" s="30">
        <f>0+'12'!J196</f>
        <v>0</v>
      </c>
      <c r="I12" s="30">
        <f>0+'12'!K196</f>
        <v>0</v>
      </c>
      <c r="J12" s="30">
        <f>0+'12'!L196</f>
        <v>0</v>
      </c>
      <c r="K12" s="30">
        <f>0+'12'!M196</f>
        <v>0</v>
      </c>
      <c r="L12" s="30">
        <f>0+'12'!N196</f>
        <v>0</v>
      </c>
      <c r="M12" s="30">
        <f>0+'12'!O196</f>
        <v>0</v>
      </c>
      <c r="N12" s="30">
        <f t="shared" si="0"/>
        <v>1015</v>
      </c>
    </row>
    <row r="13" spans="1:14" s="123" customFormat="1" ht="12.75" customHeight="1">
      <c r="A13" s="29"/>
      <c r="B13" s="29">
        <v>21</v>
      </c>
      <c r="C13" s="129" t="s">
        <v>293</v>
      </c>
      <c r="D13" s="30">
        <f>60692+'12'!F210</f>
        <v>60762</v>
      </c>
      <c r="E13" s="30">
        <f>17831+'12'!G210</f>
        <v>17930</v>
      </c>
      <c r="F13" s="30">
        <f>97734+'12'!H210</f>
        <v>89184</v>
      </c>
      <c r="G13" s="30">
        <f>50626+'12'!I210</f>
        <v>54577</v>
      </c>
      <c r="H13" s="30">
        <f>0+'12'!J210</f>
        <v>0</v>
      </c>
      <c r="I13" s="30">
        <f>0+'12'!K210</f>
        <v>0</v>
      </c>
      <c r="J13" s="30">
        <f>0+'12'!L210</f>
        <v>0</v>
      </c>
      <c r="K13" s="30">
        <f>780+'12'!M210</f>
        <v>1030</v>
      </c>
      <c r="L13" s="30">
        <f>0+'12'!N210</f>
        <v>0</v>
      </c>
      <c r="M13" s="30">
        <f>0+'12'!O210</f>
        <v>0</v>
      </c>
      <c r="N13" s="30">
        <f t="shared" si="0"/>
        <v>223483</v>
      </c>
    </row>
    <row r="14" spans="1:14" s="123" customFormat="1" ht="12.75" customHeight="1">
      <c r="A14" s="29"/>
      <c r="B14" s="29">
        <v>30</v>
      </c>
      <c r="C14" s="31" t="s">
        <v>185</v>
      </c>
      <c r="D14" s="30">
        <f>0+'12'!F223</f>
        <v>0</v>
      </c>
      <c r="E14" s="30">
        <f>0+'12'!G223</f>
        <v>0</v>
      </c>
      <c r="F14" s="30">
        <f>0+'12'!H223</f>
        <v>0</v>
      </c>
      <c r="G14" s="30">
        <f>0+'12'!I223</f>
        <v>0</v>
      </c>
      <c r="H14" s="30">
        <f>0+'12'!J223</f>
        <v>0</v>
      </c>
      <c r="I14" s="30">
        <f>0+'12'!K223</f>
        <v>0</v>
      </c>
      <c r="J14" s="30">
        <f>17328+'12'!L223</f>
        <v>9056</v>
      </c>
      <c r="K14" s="30">
        <f>0+'12'!M223</f>
        <v>0</v>
      </c>
      <c r="L14" s="30">
        <f>0+'12'!N223</f>
        <v>0</v>
      </c>
      <c r="M14" s="30">
        <f>271438+'12'!O223</f>
        <v>149641</v>
      </c>
      <c r="N14" s="30">
        <f t="shared" si="0"/>
        <v>158697</v>
      </c>
    </row>
    <row r="15" spans="1:14" s="125" customFormat="1" ht="24.75" customHeight="1">
      <c r="A15" s="131"/>
      <c r="B15" s="131"/>
      <c r="C15" s="350" t="s">
        <v>803</v>
      </c>
      <c r="D15" s="34">
        <f>SUM(D3:D14)</f>
        <v>89345</v>
      </c>
      <c r="E15" s="34">
        <f aca="true" t="shared" si="1" ref="E15:N15">SUM(E3:E14)</f>
        <v>25623</v>
      </c>
      <c r="F15" s="34">
        <f t="shared" si="1"/>
        <v>2404154</v>
      </c>
      <c r="G15" s="34">
        <f t="shared" si="1"/>
        <v>1508634</v>
      </c>
      <c r="H15" s="34">
        <f t="shared" si="1"/>
        <v>462446</v>
      </c>
      <c r="I15" s="34">
        <f t="shared" si="1"/>
        <v>6436684</v>
      </c>
      <c r="J15" s="34">
        <f t="shared" si="1"/>
        <v>552427</v>
      </c>
      <c r="K15" s="34">
        <f t="shared" si="1"/>
        <v>332231</v>
      </c>
      <c r="L15" s="34">
        <f t="shared" si="1"/>
        <v>475914</v>
      </c>
      <c r="M15" s="34">
        <f t="shared" si="1"/>
        <v>149641</v>
      </c>
      <c r="N15" s="34">
        <f t="shared" si="1"/>
        <v>12437099</v>
      </c>
    </row>
    <row r="16" spans="1:14" s="125" customFormat="1" ht="12.75" customHeight="1">
      <c r="A16" s="32">
        <v>2</v>
      </c>
      <c r="B16" s="35"/>
      <c r="C16" s="351" t="s">
        <v>53</v>
      </c>
      <c r="D16" s="33">
        <f>2753761+'12'!F225</f>
        <v>2812415</v>
      </c>
      <c r="E16" s="33">
        <f>685551+'12'!G225</f>
        <v>716589</v>
      </c>
      <c r="F16" s="33">
        <f>2728511+'12'!H225</f>
        <v>2814973</v>
      </c>
      <c r="G16" s="33">
        <f>4140+'12'!I225</f>
        <v>9923</v>
      </c>
      <c r="H16" s="33">
        <f>158+'12'!J225</f>
        <v>158</v>
      </c>
      <c r="I16" s="33">
        <f>52158+'12'!K225</f>
        <v>83049</v>
      </c>
      <c r="J16" s="33">
        <f>87229+'12'!L225</f>
        <v>94862</v>
      </c>
      <c r="K16" s="33">
        <f>443+'12'!M225</f>
        <v>443</v>
      </c>
      <c r="L16" s="33">
        <f>0+'12'!N225</f>
        <v>0</v>
      </c>
      <c r="M16" s="33">
        <f>0+'12'!O225</f>
        <v>0</v>
      </c>
      <c r="N16" s="33">
        <f>SUM(D16:M16)</f>
        <v>6532412</v>
      </c>
    </row>
    <row r="17" spans="1:14" s="125" customFormat="1" ht="12.75" customHeight="1">
      <c r="A17" s="131"/>
      <c r="B17" s="131"/>
      <c r="C17" s="223" t="s">
        <v>1160</v>
      </c>
      <c r="D17" s="34">
        <f aca="true" t="shared" si="2" ref="D17:N17">SUM(D15:D16)</f>
        <v>2901760</v>
      </c>
      <c r="E17" s="34">
        <f t="shared" si="2"/>
        <v>742212</v>
      </c>
      <c r="F17" s="34">
        <f t="shared" si="2"/>
        <v>5219127</v>
      </c>
      <c r="G17" s="34">
        <f t="shared" si="2"/>
        <v>1518557</v>
      </c>
      <c r="H17" s="34">
        <f t="shared" si="2"/>
        <v>462604</v>
      </c>
      <c r="I17" s="34">
        <f t="shared" si="2"/>
        <v>6519733</v>
      </c>
      <c r="J17" s="34">
        <f t="shared" si="2"/>
        <v>647289</v>
      </c>
      <c r="K17" s="34">
        <f t="shared" si="2"/>
        <v>332674</v>
      </c>
      <c r="L17" s="34">
        <f t="shared" si="2"/>
        <v>475914</v>
      </c>
      <c r="M17" s="34">
        <f t="shared" si="2"/>
        <v>149641</v>
      </c>
      <c r="N17" s="34">
        <f t="shared" si="2"/>
        <v>18969511</v>
      </c>
    </row>
    <row r="18" spans="13:14" s="24" customFormat="1" ht="12">
      <c r="M18" s="59"/>
      <c r="N18" s="59"/>
    </row>
    <row r="19" spans="13:14" s="24" customFormat="1" ht="12">
      <c r="M19" s="59"/>
      <c r="N19" s="545"/>
    </row>
    <row r="20" spans="13:14" s="24" customFormat="1" ht="12">
      <c r="M20" s="59"/>
      <c r="N20" s="59"/>
    </row>
    <row r="21" spans="13:14" s="24" customFormat="1" ht="12">
      <c r="M21" s="59"/>
      <c r="N21" s="59"/>
    </row>
    <row r="22" spans="13:14" s="24" customFormat="1" ht="12">
      <c r="M22" s="59"/>
      <c r="N22" s="59"/>
    </row>
    <row r="23" spans="13:14" s="24" customFormat="1" ht="12">
      <c r="M23" s="59"/>
      <c r="N23" s="59"/>
    </row>
    <row r="24" spans="13:14" s="24" customFormat="1" ht="12">
      <c r="M24" s="59"/>
      <c r="N24" s="59"/>
    </row>
    <row r="25" spans="13:14" s="24" customFormat="1" ht="12">
      <c r="M25" s="59"/>
      <c r="N25" s="59"/>
    </row>
    <row r="26" spans="13:14" s="24" customFormat="1" ht="12">
      <c r="M26" s="59"/>
      <c r="N26" s="59"/>
    </row>
    <row r="27" spans="13:14" s="24" customFormat="1" ht="12">
      <c r="M27" s="59"/>
      <c r="N27" s="59"/>
    </row>
    <row r="28" spans="13:14" s="24" customFormat="1" ht="12">
      <c r="M28" s="59"/>
      <c r="N28" s="59"/>
    </row>
  </sheetData>
  <sheetProtection/>
  <mergeCells count="2">
    <mergeCell ref="D1:H1"/>
    <mergeCell ref="I1:K1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2013.  ÉVI KIADÁSI ELŐIRÁNYZATAI
CÍMENKÉNTI BONTÁSBAN&amp;R&amp;"Times New Roman CE,Félkövér dőlt"6.sz. melléklet
Adatok: ezer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84"/>
  <sheetViews>
    <sheetView zoomScale="90" zoomScaleNormal="90" zoomScalePageLayoutView="0" workbookViewId="0" topLeftCell="A1">
      <pane ySplit="2" topLeftCell="A247" activePane="bottomLeft" state="frozen"/>
      <selection pane="topLeft" activeCell="D1" sqref="D1"/>
      <selection pane="bottomLeft" activeCell="M261" sqref="M261:N261"/>
    </sheetView>
  </sheetViews>
  <sheetFormatPr defaultColWidth="9.00390625" defaultRowHeight="12.75"/>
  <cols>
    <col min="1" max="1" width="5.375" style="64" customWidth="1"/>
    <col min="2" max="2" width="4.375" style="64" customWidth="1"/>
    <col min="3" max="3" width="8.125" style="64" customWidth="1"/>
    <col min="4" max="4" width="61.625" style="64" customWidth="1"/>
    <col min="5" max="5" width="4.50390625" style="64" customWidth="1"/>
    <col min="6" max="6" width="9.50390625" style="64" customWidth="1"/>
    <col min="7" max="7" width="11.875" style="64" customWidth="1"/>
    <col min="8" max="8" width="13.125" style="64" customWidth="1"/>
    <col min="9" max="9" width="11.375" style="64" customWidth="1"/>
    <col min="10" max="10" width="11.50390625" style="64" customWidth="1"/>
    <col min="11" max="11" width="13.375" style="64" customWidth="1"/>
    <col min="12" max="12" width="11.50390625" style="64" customWidth="1"/>
    <col min="13" max="13" width="11.875" style="64" customWidth="1"/>
    <col min="14" max="14" width="13.375" style="64" customWidth="1"/>
    <col min="15" max="15" width="12.00390625" style="64" customWidth="1"/>
    <col min="16" max="16384" width="9.375" style="64" customWidth="1"/>
  </cols>
  <sheetData>
    <row r="1" spans="1:15" ht="28.5" customHeight="1">
      <c r="A1" s="379"/>
      <c r="B1" s="380"/>
      <c r="C1" s="381"/>
      <c r="D1" s="382"/>
      <c r="E1" s="383"/>
      <c r="F1" s="384"/>
      <c r="G1" s="809" t="s">
        <v>869</v>
      </c>
      <c r="H1" s="810"/>
      <c r="I1" s="811"/>
      <c r="J1" s="814" t="s">
        <v>870</v>
      </c>
      <c r="K1" s="815"/>
      <c r="L1" s="816"/>
      <c r="M1" s="814" t="s">
        <v>575</v>
      </c>
      <c r="N1" s="815"/>
      <c r="O1" s="816"/>
    </row>
    <row r="2" spans="1:15" ht="95.25" thickBot="1">
      <c r="A2" s="385" t="s">
        <v>1202</v>
      </c>
      <c r="B2" s="386" t="s">
        <v>1203</v>
      </c>
      <c r="C2" s="387" t="s">
        <v>1204</v>
      </c>
      <c r="D2" s="388" t="s">
        <v>1205</v>
      </c>
      <c r="E2" s="628"/>
      <c r="F2" s="691" t="s">
        <v>228</v>
      </c>
      <c r="G2" s="692" t="s">
        <v>0</v>
      </c>
      <c r="H2" s="692" t="s">
        <v>832</v>
      </c>
      <c r="I2" s="692" t="s">
        <v>833</v>
      </c>
      <c r="J2" s="692" t="s">
        <v>0</v>
      </c>
      <c r="K2" s="692" t="s">
        <v>832</v>
      </c>
      <c r="L2" s="692" t="s">
        <v>833</v>
      </c>
      <c r="M2" s="692" t="s">
        <v>0</v>
      </c>
      <c r="N2" s="692" t="s">
        <v>832</v>
      </c>
      <c r="O2" s="692" t="s">
        <v>833</v>
      </c>
    </row>
    <row r="3" spans="1:15" ht="13.5" customHeight="1">
      <c r="A3" s="285">
        <v>1</v>
      </c>
      <c r="B3" s="389"/>
      <c r="C3" s="625"/>
      <c r="D3" s="626" t="s">
        <v>52</v>
      </c>
      <c r="E3" s="627"/>
      <c r="F3" s="693"/>
      <c r="G3" s="283"/>
      <c r="H3" s="283"/>
      <c r="I3" s="283"/>
      <c r="J3" s="694"/>
      <c r="K3" s="694"/>
      <c r="L3" s="694"/>
      <c r="M3" s="694"/>
      <c r="N3" s="694"/>
      <c r="O3" s="694"/>
    </row>
    <row r="4" spans="1:15" ht="13.5" customHeight="1">
      <c r="A4" s="285"/>
      <c r="B4" s="389">
        <v>12</v>
      </c>
      <c r="C4" s="625"/>
      <c r="D4" s="363" t="s">
        <v>787</v>
      </c>
      <c r="E4" s="627"/>
      <c r="F4" s="693"/>
      <c r="G4" s="283"/>
      <c r="H4" s="283"/>
      <c r="I4" s="283"/>
      <c r="J4" s="694"/>
      <c r="K4" s="694"/>
      <c r="L4" s="694"/>
      <c r="M4" s="694"/>
      <c r="N4" s="694"/>
      <c r="O4" s="694"/>
    </row>
    <row r="5" spans="1:15" ht="13.5" customHeight="1">
      <c r="A5" s="285"/>
      <c r="B5" s="389"/>
      <c r="C5" s="625" t="s">
        <v>224</v>
      </c>
      <c r="D5" s="722" t="s">
        <v>398</v>
      </c>
      <c r="E5" s="627"/>
      <c r="F5" s="693" t="s">
        <v>72</v>
      </c>
      <c r="G5" s="283"/>
      <c r="H5" s="283"/>
      <c r="I5" s="283"/>
      <c r="J5" s="694"/>
      <c r="K5" s="244">
        <v>1400</v>
      </c>
      <c r="L5" s="244">
        <v>1400</v>
      </c>
      <c r="M5" s="101">
        <f>SUM(G5+J5)</f>
        <v>0</v>
      </c>
      <c r="N5" s="244">
        <v>1400</v>
      </c>
      <c r="O5" s="101">
        <f>SUM(M5:N5)</f>
        <v>1400</v>
      </c>
    </row>
    <row r="6" spans="1:15" ht="13.5" customHeight="1">
      <c r="A6" s="723"/>
      <c r="B6" s="724"/>
      <c r="C6" s="725"/>
      <c r="D6" s="726" t="s">
        <v>795</v>
      </c>
      <c r="E6" s="727"/>
      <c r="F6" s="728"/>
      <c r="G6" s="704"/>
      <c r="H6" s="704"/>
      <c r="I6" s="704"/>
      <c r="J6" s="729"/>
      <c r="K6" s="731">
        <v>1400</v>
      </c>
      <c r="L6" s="731">
        <v>1400</v>
      </c>
      <c r="M6" s="730">
        <f>SUM(G6+J6)</f>
        <v>0</v>
      </c>
      <c r="N6" s="731">
        <v>1400</v>
      </c>
      <c r="O6" s="730">
        <f>SUM(M6:N6)</f>
        <v>1400</v>
      </c>
    </row>
    <row r="7" spans="1:15" ht="13.5" customHeight="1">
      <c r="A7" s="390">
        <v>1</v>
      </c>
      <c r="B7" s="390">
        <v>13</v>
      </c>
      <c r="C7" s="141"/>
      <c r="D7" s="391" t="s">
        <v>787</v>
      </c>
      <c r="E7" s="392"/>
      <c r="F7" s="437"/>
      <c r="G7" s="283"/>
      <c r="H7" s="283"/>
      <c r="I7" s="283"/>
      <c r="J7" s="183"/>
      <c r="K7" s="183"/>
      <c r="L7" s="183"/>
      <c r="M7" s="101">
        <f>SUM(G7+J7)</f>
        <v>0</v>
      </c>
      <c r="N7" s="183"/>
      <c r="O7" s="101">
        <f>SUM(M7:N7)</f>
        <v>0</v>
      </c>
    </row>
    <row r="8" spans="1:15" ht="15" customHeight="1">
      <c r="A8" s="393"/>
      <c r="B8" s="394"/>
      <c r="C8" s="141" t="s">
        <v>224</v>
      </c>
      <c r="D8" s="160" t="s">
        <v>29</v>
      </c>
      <c r="E8" s="395"/>
      <c r="F8" s="623" t="s">
        <v>72</v>
      </c>
      <c r="G8" s="283">
        <v>80348</v>
      </c>
      <c r="H8" s="283">
        <v>0</v>
      </c>
      <c r="I8" s="283">
        <v>80348</v>
      </c>
      <c r="J8" s="101">
        <v>2703</v>
      </c>
      <c r="K8" s="399"/>
      <c r="L8" s="399">
        <f>SUM(J8:K8)</f>
        <v>2703</v>
      </c>
      <c r="M8" s="101">
        <f>SUM(G8+J8)</f>
        <v>83051</v>
      </c>
      <c r="N8" s="101">
        <f>SUM(H8+K8)</f>
        <v>0</v>
      </c>
      <c r="O8" s="101">
        <f>SUM(M8:N8)</f>
        <v>83051</v>
      </c>
    </row>
    <row r="9" spans="1:15" ht="15" customHeight="1">
      <c r="A9" s="393"/>
      <c r="B9" s="394"/>
      <c r="C9" s="141" t="s">
        <v>309</v>
      </c>
      <c r="D9" s="396" t="s">
        <v>834</v>
      </c>
      <c r="E9" s="397"/>
      <c r="F9" s="623"/>
      <c r="G9" s="283">
        <v>0</v>
      </c>
      <c r="H9" s="283">
        <v>2000</v>
      </c>
      <c r="I9" s="283">
        <v>2000</v>
      </c>
      <c r="J9" s="101"/>
      <c r="K9" s="399"/>
      <c r="L9" s="399">
        <f aca="true" t="shared" si="0" ref="L9:L90">SUM(J9:K9)</f>
        <v>0</v>
      </c>
      <c r="M9" s="101">
        <f aca="true" t="shared" si="1" ref="M9:M40">SUM(G9+J9)</f>
        <v>0</v>
      </c>
      <c r="N9" s="101">
        <f aca="true" t="shared" si="2" ref="N9:N40">SUM(H9+K9)</f>
        <v>2000</v>
      </c>
      <c r="O9" s="101">
        <f aca="true" t="shared" si="3" ref="O9:O41">SUM(M9:N9)</f>
        <v>2000</v>
      </c>
    </row>
    <row r="10" spans="1:15" ht="15" customHeight="1">
      <c r="A10" s="393"/>
      <c r="B10" s="394"/>
      <c r="C10" s="141" t="s">
        <v>311</v>
      </c>
      <c r="D10" s="398" t="s">
        <v>835</v>
      </c>
      <c r="E10" s="397"/>
      <c r="F10" s="623"/>
      <c r="G10" s="283">
        <v>0</v>
      </c>
      <c r="H10" s="283">
        <v>0</v>
      </c>
      <c r="I10" s="283">
        <v>0</v>
      </c>
      <c r="J10" s="399"/>
      <c r="K10" s="399"/>
      <c r="L10" s="399">
        <f t="shared" si="0"/>
        <v>0</v>
      </c>
      <c r="M10" s="101">
        <f t="shared" si="1"/>
        <v>0</v>
      </c>
      <c r="N10" s="101">
        <f t="shared" si="2"/>
        <v>0</v>
      </c>
      <c r="O10" s="101">
        <f t="shared" si="3"/>
        <v>0</v>
      </c>
    </row>
    <row r="11" spans="1:15" ht="15" customHeight="1">
      <c r="A11" s="393"/>
      <c r="B11" s="394"/>
      <c r="C11" s="141" t="s">
        <v>313</v>
      </c>
      <c r="D11" s="400" t="s">
        <v>836</v>
      </c>
      <c r="E11" s="397" t="s">
        <v>1161</v>
      </c>
      <c r="F11" s="623"/>
      <c r="G11" s="283">
        <v>80000</v>
      </c>
      <c r="H11" s="283">
        <v>0</v>
      </c>
      <c r="I11" s="283">
        <v>80000</v>
      </c>
      <c r="J11" s="399"/>
      <c r="K11" s="399"/>
      <c r="L11" s="399">
        <f t="shared" si="0"/>
        <v>0</v>
      </c>
      <c r="M11" s="101">
        <f t="shared" si="1"/>
        <v>80000</v>
      </c>
      <c r="N11" s="101">
        <f t="shared" si="2"/>
        <v>0</v>
      </c>
      <c r="O11" s="101">
        <f t="shared" si="3"/>
        <v>80000</v>
      </c>
    </row>
    <row r="12" spans="1:15" ht="24.75" customHeight="1">
      <c r="A12" s="393"/>
      <c r="B12" s="394"/>
      <c r="C12" s="141" t="s">
        <v>314</v>
      </c>
      <c r="D12" s="400" t="s">
        <v>837</v>
      </c>
      <c r="E12" s="401"/>
      <c r="F12" s="623"/>
      <c r="G12" s="283">
        <v>2500</v>
      </c>
      <c r="H12" s="283">
        <v>0</v>
      </c>
      <c r="I12" s="283">
        <v>2500</v>
      </c>
      <c r="J12" s="101"/>
      <c r="K12" s="399"/>
      <c r="L12" s="399">
        <f t="shared" si="0"/>
        <v>0</v>
      </c>
      <c r="M12" s="101">
        <f t="shared" si="1"/>
        <v>2500</v>
      </c>
      <c r="N12" s="101">
        <f t="shared" si="2"/>
        <v>0</v>
      </c>
      <c r="O12" s="101">
        <f t="shared" si="3"/>
        <v>2500</v>
      </c>
    </row>
    <row r="13" spans="1:15" ht="27.75" customHeight="1">
      <c r="A13" s="393"/>
      <c r="B13" s="394"/>
      <c r="C13" s="141" t="s">
        <v>315</v>
      </c>
      <c r="D13" s="400" t="s">
        <v>838</v>
      </c>
      <c r="E13" s="401"/>
      <c r="F13" s="623"/>
      <c r="G13" s="283">
        <v>2500</v>
      </c>
      <c r="H13" s="283">
        <v>0</v>
      </c>
      <c r="I13" s="283">
        <v>2500</v>
      </c>
      <c r="J13" s="101"/>
      <c r="K13" s="399"/>
      <c r="L13" s="399">
        <f t="shared" si="0"/>
        <v>0</v>
      </c>
      <c r="M13" s="101">
        <f t="shared" si="1"/>
        <v>2500</v>
      </c>
      <c r="N13" s="101">
        <f t="shared" si="2"/>
        <v>0</v>
      </c>
      <c r="O13" s="101">
        <f t="shared" si="3"/>
        <v>2500</v>
      </c>
    </row>
    <row r="14" spans="1:15" ht="21.75" customHeight="1">
      <c r="A14" s="393"/>
      <c r="B14" s="394"/>
      <c r="C14" s="141" t="s">
        <v>344</v>
      </c>
      <c r="D14" s="402" t="s">
        <v>839</v>
      </c>
      <c r="E14" s="397"/>
      <c r="F14" s="623" t="s">
        <v>395</v>
      </c>
      <c r="G14" s="283">
        <v>2000</v>
      </c>
      <c r="H14" s="283">
        <v>0</v>
      </c>
      <c r="I14" s="283">
        <v>2000</v>
      </c>
      <c r="J14" s="399">
        <v>-2000</v>
      </c>
      <c r="K14" s="399">
        <v>2000</v>
      </c>
      <c r="L14" s="399">
        <f t="shared" si="0"/>
        <v>0</v>
      </c>
      <c r="M14" s="101">
        <f t="shared" si="1"/>
        <v>0</v>
      </c>
      <c r="N14" s="101">
        <f t="shared" si="2"/>
        <v>2000</v>
      </c>
      <c r="O14" s="101">
        <f t="shared" si="3"/>
        <v>2000</v>
      </c>
    </row>
    <row r="15" spans="1:15" ht="15" customHeight="1">
      <c r="A15" s="393"/>
      <c r="B15" s="394"/>
      <c r="C15" s="141" t="s">
        <v>345</v>
      </c>
      <c r="D15" s="160" t="s">
        <v>840</v>
      </c>
      <c r="E15" s="403"/>
      <c r="F15" s="623"/>
      <c r="G15" s="283">
        <v>0</v>
      </c>
      <c r="H15" s="283">
        <v>1000</v>
      </c>
      <c r="I15" s="283">
        <v>1000</v>
      </c>
      <c r="J15" s="101"/>
      <c r="K15" s="399"/>
      <c r="L15" s="399">
        <f t="shared" si="0"/>
        <v>0</v>
      </c>
      <c r="M15" s="101">
        <f t="shared" si="1"/>
        <v>0</v>
      </c>
      <c r="N15" s="101">
        <f t="shared" si="2"/>
        <v>1000</v>
      </c>
      <c r="O15" s="101">
        <f t="shared" si="3"/>
        <v>1000</v>
      </c>
    </row>
    <row r="16" spans="1:15" ht="40.5" customHeight="1">
      <c r="A16" s="393"/>
      <c r="B16" s="394"/>
      <c r="C16" s="141" t="s">
        <v>347</v>
      </c>
      <c r="D16" s="170" t="s">
        <v>841</v>
      </c>
      <c r="E16" s="403"/>
      <c r="F16" s="623"/>
      <c r="G16" s="283">
        <v>305063</v>
      </c>
      <c r="H16" s="283">
        <v>0</v>
      </c>
      <c r="I16" s="283">
        <v>305063</v>
      </c>
      <c r="J16" s="101"/>
      <c r="K16" s="399"/>
      <c r="L16" s="399">
        <f t="shared" si="0"/>
        <v>0</v>
      </c>
      <c r="M16" s="101">
        <f t="shared" si="1"/>
        <v>305063</v>
      </c>
      <c r="N16" s="101">
        <f t="shared" si="2"/>
        <v>0</v>
      </c>
      <c r="O16" s="101">
        <f t="shared" si="3"/>
        <v>305063</v>
      </c>
    </row>
    <row r="17" spans="1:15" ht="15" customHeight="1">
      <c r="A17" s="393"/>
      <c r="B17" s="394"/>
      <c r="C17" s="141" t="s">
        <v>74</v>
      </c>
      <c r="D17" s="396" t="s">
        <v>842</v>
      </c>
      <c r="E17" s="397"/>
      <c r="F17" s="623"/>
      <c r="G17" s="283">
        <v>300</v>
      </c>
      <c r="H17" s="283">
        <v>0</v>
      </c>
      <c r="I17" s="283">
        <v>300</v>
      </c>
      <c r="J17" s="399"/>
      <c r="K17" s="399"/>
      <c r="L17" s="399">
        <f t="shared" si="0"/>
        <v>0</v>
      </c>
      <c r="M17" s="101">
        <f t="shared" si="1"/>
        <v>300</v>
      </c>
      <c r="N17" s="101">
        <f t="shared" si="2"/>
        <v>0</v>
      </c>
      <c r="O17" s="101">
        <f t="shared" si="3"/>
        <v>300</v>
      </c>
    </row>
    <row r="18" spans="1:15" ht="15" customHeight="1">
      <c r="A18" s="393"/>
      <c r="B18" s="394"/>
      <c r="C18" s="141" t="s">
        <v>75</v>
      </c>
      <c r="D18" s="239" t="s">
        <v>843</v>
      </c>
      <c r="E18" s="240"/>
      <c r="F18" s="623" t="s">
        <v>395</v>
      </c>
      <c r="G18" s="283">
        <v>6020</v>
      </c>
      <c r="H18" s="283">
        <v>0</v>
      </c>
      <c r="I18" s="283">
        <v>6020</v>
      </c>
      <c r="J18" s="183">
        <v>-5695</v>
      </c>
      <c r="K18" s="183"/>
      <c r="L18" s="399">
        <f t="shared" si="0"/>
        <v>-5695</v>
      </c>
      <c r="M18" s="101">
        <f t="shared" si="1"/>
        <v>325</v>
      </c>
      <c r="N18" s="101">
        <f t="shared" si="2"/>
        <v>0</v>
      </c>
      <c r="O18" s="101">
        <f t="shared" si="3"/>
        <v>325</v>
      </c>
    </row>
    <row r="19" spans="1:15" ht="15" customHeight="1">
      <c r="A19" s="393"/>
      <c r="B19" s="394"/>
      <c r="C19" s="141" t="s">
        <v>218</v>
      </c>
      <c r="D19" s="404" t="s">
        <v>844</v>
      </c>
      <c r="E19" s="397"/>
      <c r="F19" s="623" t="s">
        <v>395</v>
      </c>
      <c r="G19" s="283">
        <v>2000</v>
      </c>
      <c r="H19" s="283">
        <v>0</v>
      </c>
      <c r="I19" s="283">
        <v>2000</v>
      </c>
      <c r="J19" s="399">
        <v>-2000</v>
      </c>
      <c r="K19" s="399"/>
      <c r="L19" s="399">
        <f t="shared" si="0"/>
        <v>-2000</v>
      </c>
      <c r="M19" s="101">
        <f t="shared" si="1"/>
        <v>0</v>
      </c>
      <c r="N19" s="101">
        <f t="shared" si="2"/>
        <v>0</v>
      </c>
      <c r="O19" s="101">
        <f t="shared" si="3"/>
        <v>0</v>
      </c>
    </row>
    <row r="20" spans="1:15" ht="24.75" customHeight="1">
      <c r="A20" s="393"/>
      <c r="B20" s="394"/>
      <c r="C20" s="141" t="s">
        <v>460</v>
      </c>
      <c r="D20" s="400" t="s">
        <v>845</v>
      </c>
      <c r="E20" s="401"/>
      <c r="F20" s="623" t="s">
        <v>395</v>
      </c>
      <c r="G20" s="283">
        <v>80</v>
      </c>
      <c r="H20" s="283">
        <v>5620</v>
      </c>
      <c r="I20" s="283">
        <v>5700</v>
      </c>
      <c r="J20" s="101">
        <v>9</v>
      </c>
      <c r="K20" s="399"/>
      <c r="L20" s="399">
        <f t="shared" si="0"/>
        <v>9</v>
      </c>
      <c r="M20" s="101">
        <f t="shared" si="1"/>
        <v>89</v>
      </c>
      <c r="N20" s="101">
        <f t="shared" si="2"/>
        <v>5620</v>
      </c>
      <c r="O20" s="101">
        <f t="shared" si="3"/>
        <v>5709</v>
      </c>
    </row>
    <row r="21" spans="1:15" ht="24.75" customHeight="1">
      <c r="A21" s="393"/>
      <c r="B21" s="394"/>
      <c r="C21" s="141" t="s">
        <v>288</v>
      </c>
      <c r="D21" s="400" t="s">
        <v>846</v>
      </c>
      <c r="E21" s="401"/>
      <c r="F21" s="623" t="s">
        <v>395</v>
      </c>
      <c r="G21" s="283">
        <v>10000</v>
      </c>
      <c r="H21" s="283">
        <v>0</v>
      </c>
      <c r="I21" s="283">
        <v>10000</v>
      </c>
      <c r="J21" s="101">
        <v>-183</v>
      </c>
      <c r="K21" s="399"/>
      <c r="L21" s="399">
        <f t="shared" si="0"/>
        <v>-183</v>
      </c>
      <c r="M21" s="101">
        <f t="shared" si="1"/>
        <v>9817</v>
      </c>
      <c r="N21" s="101">
        <f t="shared" si="2"/>
        <v>0</v>
      </c>
      <c r="O21" s="101">
        <f t="shared" si="3"/>
        <v>9817</v>
      </c>
    </row>
    <row r="22" spans="1:15" ht="24.75" customHeight="1">
      <c r="A22" s="393"/>
      <c r="B22" s="394"/>
      <c r="C22" s="141" t="s">
        <v>1</v>
      </c>
      <c r="D22" s="400" t="s">
        <v>847</v>
      </c>
      <c r="E22" s="401"/>
      <c r="F22" s="623"/>
      <c r="G22" s="283">
        <v>3000</v>
      </c>
      <c r="H22" s="283">
        <v>0</v>
      </c>
      <c r="I22" s="283">
        <v>3000</v>
      </c>
      <c r="J22" s="101"/>
      <c r="K22" s="399"/>
      <c r="L22" s="399">
        <f t="shared" si="0"/>
        <v>0</v>
      </c>
      <c r="M22" s="101">
        <f t="shared" si="1"/>
        <v>3000</v>
      </c>
      <c r="N22" s="101">
        <f t="shared" si="2"/>
        <v>0</v>
      </c>
      <c r="O22" s="101">
        <f t="shared" si="3"/>
        <v>3000</v>
      </c>
    </row>
    <row r="23" spans="1:15" ht="24.75" customHeight="1">
      <c r="A23" s="393"/>
      <c r="B23" s="394"/>
      <c r="C23" s="141" t="s">
        <v>848</v>
      </c>
      <c r="D23" s="400" t="s">
        <v>849</v>
      </c>
      <c r="E23" s="401"/>
      <c r="F23" s="623" t="s">
        <v>395</v>
      </c>
      <c r="G23" s="180">
        <v>4000</v>
      </c>
      <c r="H23" s="180">
        <v>0</v>
      </c>
      <c r="I23" s="180">
        <v>4000</v>
      </c>
      <c r="J23" s="101">
        <v>-1405</v>
      </c>
      <c r="K23" s="399"/>
      <c r="L23" s="399">
        <f t="shared" si="0"/>
        <v>-1405</v>
      </c>
      <c r="M23" s="101">
        <f t="shared" si="1"/>
        <v>2595</v>
      </c>
      <c r="N23" s="101">
        <f t="shared" si="2"/>
        <v>0</v>
      </c>
      <c r="O23" s="101">
        <f t="shared" si="3"/>
        <v>2595</v>
      </c>
    </row>
    <row r="24" spans="1:15" ht="24.75" customHeight="1">
      <c r="A24" s="393"/>
      <c r="B24" s="394"/>
      <c r="C24" s="141" t="s">
        <v>850</v>
      </c>
      <c r="D24" s="400" t="s">
        <v>851</v>
      </c>
      <c r="E24" s="401"/>
      <c r="F24" s="623"/>
      <c r="G24" s="283">
        <v>1357</v>
      </c>
      <c r="H24" s="283">
        <v>0</v>
      </c>
      <c r="I24" s="283">
        <v>1357</v>
      </c>
      <c r="J24" s="101"/>
      <c r="K24" s="399"/>
      <c r="L24" s="399">
        <f t="shared" si="0"/>
        <v>0</v>
      </c>
      <c r="M24" s="101">
        <f t="shared" si="1"/>
        <v>1357</v>
      </c>
      <c r="N24" s="101">
        <f t="shared" si="2"/>
        <v>0</v>
      </c>
      <c r="O24" s="101">
        <f t="shared" si="3"/>
        <v>1357</v>
      </c>
    </row>
    <row r="25" spans="1:15" ht="15" customHeight="1">
      <c r="A25" s="393"/>
      <c r="B25" s="394"/>
      <c r="C25" s="141" t="s">
        <v>852</v>
      </c>
      <c r="D25" s="396" t="s">
        <v>853</v>
      </c>
      <c r="E25" s="405"/>
      <c r="F25" s="182"/>
      <c r="G25" s="283">
        <v>1000</v>
      </c>
      <c r="H25" s="283">
        <v>0</v>
      </c>
      <c r="I25" s="283">
        <v>1000</v>
      </c>
      <c r="J25" s="182"/>
      <c r="K25" s="182"/>
      <c r="L25" s="399">
        <f t="shared" si="0"/>
        <v>0</v>
      </c>
      <c r="M25" s="101">
        <f t="shared" si="1"/>
        <v>1000</v>
      </c>
      <c r="N25" s="101">
        <f t="shared" si="2"/>
        <v>0</v>
      </c>
      <c r="O25" s="101">
        <f t="shared" si="3"/>
        <v>1000</v>
      </c>
    </row>
    <row r="26" spans="1:15" ht="24.75" customHeight="1">
      <c r="A26" s="393"/>
      <c r="B26" s="394"/>
      <c r="C26" s="141" t="s">
        <v>854</v>
      </c>
      <c r="D26" s="170" t="s">
        <v>855</v>
      </c>
      <c r="E26" s="403"/>
      <c r="F26" s="623"/>
      <c r="G26" s="283">
        <v>0</v>
      </c>
      <c r="H26" s="283">
        <v>20000</v>
      </c>
      <c r="I26" s="283">
        <v>20000</v>
      </c>
      <c r="J26" s="101"/>
      <c r="K26" s="399"/>
      <c r="L26" s="399">
        <f t="shared" si="0"/>
        <v>0</v>
      </c>
      <c r="M26" s="101">
        <f t="shared" si="1"/>
        <v>0</v>
      </c>
      <c r="N26" s="101">
        <f t="shared" si="2"/>
        <v>20000</v>
      </c>
      <c r="O26" s="101">
        <f t="shared" si="3"/>
        <v>20000</v>
      </c>
    </row>
    <row r="27" spans="1:15" ht="24.75" customHeight="1">
      <c r="A27" s="393"/>
      <c r="B27" s="394"/>
      <c r="C27" s="140" t="s">
        <v>408</v>
      </c>
      <c r="D27" s="225" t="s">
        <v>409</v>
      </c>
      <c r="E27" s="403"/>
      <c r="F27" s="623"/>
      <c r="G27" s="283"/>
      <c r="H27" s="283">
        <v>10299</v>
      </c>
      <c r="I27" s="283">
        <v>10299</v>
      </c>
      <c r="J27" s="101"/>
      <c r="K27" s="399"/>
      <c r="L27" s="399">
        <f t="shared" si="0"/>
        <v>0</v>
      </c>
      <c r="M27" s="101"/>
      <c r="N27" s="101">
        <f t="shared" si="2"/>
        <v>10299</v>
      </c>
      <c r="O27" s="101">
        <f t="shared" si="3"/>
        <v>10299</v>
      </c>
    </row>
    <row r="28" spans="1:15" ht="15" customHeight="1">
      <c r="A28" s="393"/>
      <c r="B28" s="394"/>
      <c r="C28" s="140" t="s">
        <v>410</v>
      </c>
      <c r="D28" s="225" t="s">
        <v>411</v>
      </c>
      <c r="E28" s="403"/>
      <c r="F28" s="623"/>
      <c r="G28" s="283">
        <v>1269</v>
      </c>
      <c r="H28" s="283">
        <v>0</v>
      </c>
      <c r="I28" s="283">
        <v>1269</v>
      </c>
      <c r="J28" s="101"/>
      <c r="K28" s="399"/>
      <c r="L28" s="399">
        <f t="shared" si="0"/>
        <v>0</v>
      </c>
      <c r="M28" s="101">
        <f t="shared" si="1"/>
        <v>1269</v>
      </c>
      <c r="N28" s="101">
        <f t="shared" si="2"/>
        <v>0</v>
      </c>
      <c r="O28" s="101">
        <f t="shared" si="3"/>
        <v>1269</v>
      </c>
    </row>
    <row r="29" spans="1:15" ht="15" customHeight="1">
      <c r="A29" s="393"/>
      <c r="B29" s="394"/>
      <c r="C29" s="140" t="s">
        <v>35</v>
      </c>
      <c r="D29" s="225" t="s">
        <v>36</v>
      </c>
      <c r="E29" s="403"/>
      <c r="F29" s="623"/>
      <c r="G29" s="283">
        <v>450</v>
      </c>
      <c r="H29" s="283">
        <v>0</v>
      </c>
      <c r="I29" s="283">
        <v>450</v>
      </c>
      <c r="J29" s="101"/>
      <c r="K29" s="399"/>
      <c r="L29" s="399">
        <f t="shared" si="0"/>
        <v>0</v>
      </c>
      <c r="M29" s="101">
        <f t="shared" si="1"/>
        <v>450</v>
      </c>
      <c r="N29" s="101">
        <f t="shared" si="2"/>
        <v>0</v>
      </c>
      <c r="O29" s="101">
        <f t="shared" si="3"/>
        <v>450</v>
      </c>
    </row>
    <row r="30" spans="1:15" ht="15" customHeight="1">
      <c r="A30" s="393"/>
      <c r="B30" s="394"/>
      <c r="C30" s="140" t="s">
        <v>944</v>
      </c>
      <c r="D30" s="662" t="s">
        <v>997</v>
      </c>
      <c r="E30" s="403"/>
      <c r="F30" s="623"/>
      <c r="G30" s="283">
        <v>300</v>
      </c>
      <c r="H30" s="283">
        <v>0</v>
      </c>
      <c r="I30" s="283">
        <v>300</v>
      </c>
      <c r="J30" s="101"/>
      <c r="K30" s="399"/>
      <c r="L30" s="399">
        <f t="shared" si="0"/>
        <v>0</v>
      </c>
      <c r="M30" s="101">
        <f t="shared" si="1"/>
        <v>300</v>
      </c>
      <c r="N30" s="101">
        <f t="shared" si="2"/>
        <v>0</v>
      </c>
      <c r="O30" s="101">
        <f t="shared" si="3"/>
        <v>300</v>
      </c>
    </row>
    <row r="31" spans="1:15" ht="15" customHeight="1">
      <c r="A31" s="393"/>
      <c r="B31" s="394"/>
      <c r="C31" s="140" t="s">
        <v>556</v>
      </c>
      <c r="D31" s="686" t="s">
        <v>641</v>
      </c>
      <c r="E31" s="478"/>
      <c r="F31" s="488"/>
      <c r="G31" s="283">
        <v>0</v>
      </c>
      <c r="H31" s="283">
        <v>3000</v>
      </c>
      <c r="I31" s="283">
        <v>3000</v>
      </c>
      <c r="J31" s="101"/>
      <c r="K31" s="399"/>
      <c r="L31" s="399">
        <f t="shared" si="0"/>
        <v>0</v>
      </c>
      <c r="M31" s="101">
        <f t="shared" si="1"/>
        <v>0</v>
      </c>
      <c r="N31" s="101">
        <f t="shared" si="2"/>
        <v>3000</v>
      </c>
      <c r="O31" s="101">
        <f t="shared" si="3"/>
        <v>3000</v>
      </c>
    </row>
    <row r="32" spans="1:15" ht="15" customHeight="1">
      <c r="A32" s="393"/>
      <c r="B32" s="394"/>
      <c r="C32" s="140" t="s">
        <v>557</v>
      </c>
      <c r="D32" s="686" t="s">
        <v>558</v>
      </c>
      <c r="E32" s="478"/>
      <c r="F32" s="488"/>
      <c r="G32" s="283"/>
      <c r="H32" s="283">
        <v>6000</v>
      </c>
      <c r="I32" s="283">
        <v>6000</v>
      </c>
      <c r="J32" s="101"/>
      <c r="K32" s="399"/>
      <c r="L32" s="399">
        <f t="shared" si="0"/>
        <v>0</v>
      </c>
      <c r="M32" s="101">
        <f t="shared" si="1"/>
        <v>0</v>
      </c>
      <c r="N32" s="101">
        <f t="shared" si="2"/>
        <v>6000</v>
      </c>
      <c r="O32" s="101">
        <f t="shared" si="3"/>
        <v>6000</v>
      </c>
    </row>
    <row r="33" spans="1:15" ht="15" customHeight="1">
      <c r="A33" s="393"/>
      <c r="B33" s="394"/>
      <c r="C33" s="140" t="s">
        <v>1166</v>
      </c>
      <c r="D33" s="686" t="s">
        <v>472</v>
      </c>
      <c r="E33" s="478"/>
      <c r="F33" s="488" t="s">
        <v>72</v>
      </c>
      <c r="G33" s="283"/>
      <c r="H33" s="283"/>
      <c r="I33" s="283"/>
      <c r="J33" s="101">
        <v>19050</v>
      </c>
      <c r="K33" s="399"/>
      <c r="L33" s="399">
        <f t="shared" si="0"/>
        <v>19050</v>
      </c>
      <c r="M33" s="101">
        <f t="shared" si="1"/>
        <v>19050</v>
      </c>
      <c r="N33" s="101"/>
      <c r="O33" s="101">
        <f t="shared" si="3"/>
        <v>19050</v>
      </c>
    </row>
    <row r="34" spans="1:15" ht="13.5" customHeight="1">
      <c r="A34" s="393"/>
      <c r="B34" s="394"/>
      <c r="C34" s="142"/>
      <c r="D34" s="242" t="s">
        <v>856</v>
      </c>
      <c r="E34" s="392"/>
      <c r="F34" s="437"/>
      <c r="G34" s="283">
        <v>0</v>
      </c>
      <c r="H34" s="283">
        <v>0</v>
      </c>
      <c r="I34" s="283">
        <v>0</v>
      </c>
      <c r="J34" s="183"/>
      <c r="K34" s="183"/>
      <c r="L34" s="399">
        <f t="shared" si="0"/>
        <v>0</v>
      </c>
      <c r="M34" s="101">
        <f t="shared" si="1"/>
        <v>0</v>
      </c>
      <c r="N34" s="101">
        <f t="shared" si="2"/>
        <v>0</v>
      </c>
      <c r="O34" s="101">
        <f t="shared" si="3"/>
        <v>0</v>
      </c>
    </row>
    <row r="35" spans="1:15" ht="24.75" customHeight="1">
      <c r="A35" s="393"/>
      <c r="B35" s="394"/>
      <c r="C35" s="142" t="s">
        <v>80</v>
      </c>
      <c r="D35" s="406" t="s">
        <v>862</v>
      </c>
      <c r="E35" s="407" t="s">
        <v>1161</v>
      </c>
      <c r="F35" s="695"/>
      <c r="G35" s="283">
        <v>95696</v>
      </c>
      <c r="H35" s="283">
        <v>0</v>
      </c>
      <c r="I35" s="283">
        <v>95696</v>
      </c>
      <c r="J35" s="184"/>
      <c r="K35" s="184"/>
      <c r="L35" s="399">
        <f t="shared" si="0"/>
        <v>0</v>
      </c>
      <c r="M35" s="101">
        <f t="shared" si="1"/>
        <v>95696</v>
      </c>
      <c r="N35" s="101">
        <f t="shared" si="2"/>
        <v>0</v>
      </c>
      <c r="O35" s="101">
        <f t="shared" si="3"/>
        <v>95696</v>
      </c>
    </row>
    <row r="36" spans="1:15" ht="15" customHeight="1">
      <c r="A36" s="393"/>
      <c r="B36" s="394"/>
      <c r="C36" s="142" t="s">
        <v>186</v>
      </c>
      <c r="D36" s="252" t="s">
        <v>393</v>
      </c>
      <c r="E36" s="408"/>
      <c r="F36" s="283" t="s">
        <v>395</v>
      </c>
      <c r="G36" s="283">
        <v>2000</v>
      </c>
      <c r="H36" s="283">
        <v>0</v>
      </c>
      <c r="I36" s="283">
        <v>2000</v>
      </c>
      <c r="J36" s="409">
        <v>4172</v>
      </c>
      <c r="K36" s="283"/>
      <c r="L36" s="399">
        <f t="shared" si="0"/>
        <v>4172</v>
      </c>
      <c r="M36" s="101">
        <f t="shared" si="1"/>
        <v>6172</v>
      </c>
      <c r="N36" s="101">
        <f t="shared" si="2"/>
        <v>0</v>
      </c>
      <c r="O36" s="101">
        <f t="shared" si="3"/>
        <v>6172</v>
      </c>
    </row>
    <row r="37" spans="1:15" ht="15" customHeight="1">
      <c r="A37" s="393"/>
      <c r="B37" s="394"/>
      <c r="C37" s="142" t="s">
        <v>187</v>
      </c>
      <c r="D37" s="812" t="s">
        <v>377</v>
      </c>
      <c r="E37" s="813"/>
      <c r="F37" s="623"/>
      <c r="G37" s="283">
        <v>2271</v>
      </c>
      <c r="H37" s="283">
        <v>0</v>
      </c>
      <c r="I37" s="283">
        <v>2271</v>
      </c>
      <c r="J37" s="524"/>
      <c r="K37" s="183"/>
      <c r="L37" s="399">
        <f t="shared" si="0"/>
        <v>0</v>
      </c>
      <c r="M37" s="101">
        <f t="shared" si="1"/>
        <v>2271</v>
      </c>
      <c r="N37" s="101">
        <f t="shared" si="2"/>
        <v>0</v>
      </c>
      <c r="O37" s="101">
        <f t="shared" si="3"/>
        <v>2271</v>
      </c>
    </row>
    <row r="38" spans="1:15" ht="15" customHeight="1">
      <c r="A38" s="393"/>
      <c r="B38" s="394"/>
      <c r="C38" s="142" t="s">
        <v>188</v>
      </c>
      <c r="D38" s="410" t="s">
        <v>459</v>
      </c>
      <c r="E38" s="408"/>
      <c r="F38" s="283"/>
      <c r="G38" s="283">
        <v>0</v>
      </c>
      <c r="H38" s="283">
        <v>0</v>
      </c>
      <c r="I38" s="283">
        <v>0</v>
      </c>
      <c r="J38" s="409"/>
      <c r="K38" s="283"/>
      <c r="L38" s="399">
        <f t="shared" si="0"/>
        <v>0</v>
      </c>
      <c r="M38" s="101">
        <f t="shared" si="1"/>
        <v>0</v>
      </c>
      <c r="N38" s="101">
        <f t="shared" si="2"/>
        <v>0</v>
      </c>
      <c r="O38" s="101">
        <f t="shared" si="3"/>
        <v>0</v>
      </c>
    </row>
    <row r="39" spans="1:15" ht="15" customHeight="1">
      <c r="A39" s="393"/>
      <c r="B39" s="394"/>
      <c r="C39" s="142" t="s">
        <v>863</v>
      </c>
      <c r="D39" s="286" t="s">
        <v>287</v>
      </c>
      <c r="E39" s="411"/>
      <c r="F39" s="283" t="s">
        <v>72</v>
      </c>
      <c r="G39" s="283">
        <v>0</v>
      </c>
      <c r="H39" s="283">
        <v>13950</v>
      </c>
      <c r="I39" s="283">
        <v>13950</v>
      </c>
      <c r="J39" s="409"/>
      <c r="K39" s="283">
        <v>-13450</v>
      </c>
      <c r="L39" s="399">
        <f t="shared" si="0"/>
        <v>-13450</v>
      </c>
      <c r="M39" s="101">
        <f t="shared" si="1"/>
        <v>0</v>
      </c>
      <c r="N39" s="101">
        <f t="shared" si="2"/>
        <v>500</v>
      </c>
      <c r="O39" s="101">
        <f t="shared" si="3"/>
        <v>500</v>
      </c>
    </row>
    <row r="40" spans="1:15" ht="15" customHeight="1">
      <c r="A40" s="393"/>
      <c r="B40" s="394"/>
      <c r="C40" s="142" t="s">
        <v>864</v>
      </c>
      <c r="D40" s="287" t="s">
        <v>866</v>
      </c>
      <c r="E40" s="397"/>
      <c r="F40" s="623"/>
      <c r="G40" s="283">
        <v>0</v>
      </c>
      <c r="H40" s="283">
        <v>4366</v>
      </c>
      <c r="I40" s="283">
        <v>4366</v>
      </c>
      <c r="J40" s="524"/>
      <c r="K40" s="183"/>
      <c r="L40" s="399">
        <f t="shared" si="0"/>
        <v>0</v>
      </c>
      <c r="M40" s="101">
        <f t="shared" si="1"/>
        <v>0</v>
      </c>
      <c r="N40" s="101">
        <f t="shared" si="2"/>
        <v>4366</v>
      </c>
      <c r="O40" s="101">
        <f t="shared" si="3"/>
        <v>4366</v>
      </c>
    </row>
    <row r="41" spans="1:15" ht="12.75" customHeight="1">
      <c r="A41" s="412"/>
      <c r="B41" s="413"/>
      <c r="C41" s="414"/>
      <c r="D41" s="415" t="s">
        <v>867</v>
      </c>
      <c r="E41" s="416"/>
      <c r="F41" s="261"/>
      <c r="G41" s="262">
        <f aca="true" t="shared" si="4" ref="G41:N41">SUM(G8:G40)</f>
        <v>602154</v>
      </c>
      <c r="H41" s="262">
        <f t="shared" si="4"/>
        <v>66235</v>
      </c>
      <c r="I41" s="262">
        <f t="shared" si="4"/>
        <v>668389</v>
      </c>
      <c r="J41" s="262">
        <f t="shared" si="4"/>
        <v>14651</v>
      </c>
      <c r="K41" s="262">
        <f t="shared" si="4"/>
        <v>-11450</v>
      </c>
      <c r="L41" s="262">
        <f t="shared" si="4"/>
        <v>3201</v>
      </c>
      <c r="M41" s="262">
        <f t="shared" si="4"/>
        <v>616805</v>
      </c>
      <c r="N41" s="262">
        <f t="shared" si="4"/>
        <v>54785</v>
      </c>
      <c r="O41" s="94">
        <f t="shared" si="3"/>
        <v>671590</v>
      </c>
    </row>
    <row r="42" spans="1:15" ht="12.75" customHeight="1">
      <c r="A42" s="417">
        <v>1</v>
      </c>
      <c r="B42" s="418">
        <v>15</v>
      </c>
      <c r="C42" s="140"/>
      <c r="D42" s="161" t="s">
        <v>366</v>
      </c>
      <c r="E42" s="419"/>
      <c r="F42" s="696"/>
      <c r="G42" s="283"/>
      <c r="H42" s="283"/>
      <c r="I42" s="283"/>
      <c r="J42" s="420"/>
      <c r="K42" s="420"/>
      <c r="L42" s="399">
        <f t="shared" si="0"/>
        <v>0</v>
      </c>
      <c r="M42" s="420"/>
      <c r="N42" s="420"/>
      <c r="O42" s="420"/>
    </row>
    <row r="43" spans="1:15" ht="12.75" customHeight="1">
      <c r="A43" s="417"/>
      <c r="B43" s="418"/>
      <c r="C43" s="139">
        <v>1</v>
      </c>
      <c r="D43" s="161" t="s">
        <v>392</v>
      </c>
      <c r="E43" s="419"/>
      <c r="F43" s="697"/>
      <c r="G43" s="283"/>
      <c r="H43" s="283"/>
      <c r="I43" s="283"/>
      <c r="J43" s="420"/>
      <c r="K43" s="420"/>
      <c r="L43" s="399">
        <f t="shared" si="0"/>
        <v>0</v>
      </c>
      <c r="M43" s="420"/>
      <c r="N43" s="420"/>
      <c r="O43" s="420"/>
    </row>
    <row r="44" spans="1:15" ht="12.75" customHeight="1">
      <c r="A44" s="417"/>
      <c r="B44" s="418"/>
      <c r="C44" s="140" t="s">
        <v>306</v>
      </c>
      <c r="D44" s="421" t="s">
        <v>868</v>
      </c>
      <c r="E44" s="419"/>
      <c r="F44" s="697"/>
      <c r="G44" s="283">
        <v>1000</v>
      </c>
      <c r="H44" s="283">
        <v>0</v>
      </c>
      <c r="I44" s="283">
        <v>1000</v>
      </c>
      <c r="J44" s="181"/>
      <c r="K44" s="181"/>
      <c r="L44" s="399">
        <f t="shared" si="0"/>
        <v>0</v>
      </c>
      <c r="M44" s="181">
        <f>SUM(G44+J44)</f>
        <v>1000</v>
      </c>
      <c r="N44" s="181">
        <f>SUM(H44+K44)</f>
        <v>0</v>
      </c>
      <c r="O44" s="181">
        <f>SUM(M44:N44)</f>
        <v>1000</v>
      </c>
    </row>
    <row r="45" spans="1:15" ht="12.75" customHeight="1">
      <c r="A45" s="417"/>
      <c r="B45" s="418"/>
      <c r="C45" s="140" t="s">
        <v>307</v>
      </c>
      <c r="D45" s="421" t="s">
        <v>461</v>
      </c>
      <c r="E45" s="419"/>
      <c r="F45" s="697" t="s">
        <v>72</v>
      </c>
      <c r="G45" s="283">
        <v>1000</v>
      </c>
      <c r="H45" s="283">
        <v>0</v>
      </c>
      <c r="I45" s="283">
        <v>1000</v>
      </c>
      <c r="J45" s="181">
        <v>-1000</v>
      </c>
      <c r="K45" s="181"/>
      <c r="L45" s="399">
        <f t="shared" si="0"/>
        <v>-1000</v>
      </c>
      <c r="M45" s="181">
        <f aca="true" t="shared" si="5" ref="M45:M124">SUM(G45+J45)</f>
        <v>0</v>
      </c>
      <c r="N45" s="181">
        <f aca="true" t="shared" si="6" ref="N45:N123">SUM(H45+K45)</f>
        <v>0</v>
      </c>
      <c r="O45" s="181">
        <f aca="true" t="shared" si="7" ref="O45:O121">SUM(M45:N45)</f>
        <v>0</v>
      </c>
    </row>
    <row r="46" spans="1:15" ht="12.75" customHeight="1">
      <c r="A46" s="417"/>
      <c r="B46" s="418"/>
      <c r="C46" s="140" t="s">
        <v>308</v>
      </c>
      <c r="D46" s="421" t="s">
        <v>872</v>
      </c>
      <c r="E46" s="422"/>
      <c r="F46" s="399" t="s">
        <v>72</v>
      </c>
      <c r="G46" s="283">
        <v>3068</v>
      </c>
      <c r="H46" s="283">
        <v>0</v>
      </c>
      <c r="I46" s="283">
        <v>3068</v>
      </c>
      <c r="J46" s="101">
        <v>-3068</v>
      </c>
      <c r="K46" s="399"/>
      <c r="L46" s="399">
        <f t="shared" si="0"/>
        <v>-3068</v>
      </c>
      <c r="M46" s="181">
        <f t="shared" si="5"/>
        <v>0</v>
      </c>
      <c r="N46" s="181">
        <f t="shared" si="6"/>
        <v>0</v>
      </c>
      <c r="O46" s="181">
        <f t="shared" si="7"/>
        <v>0</v>
      </c>
    </row>
    <row r="47" spans="1:15" ht="12.75" customHeight="1">
      <c r="A47" s="417"/>
      <c r="B47" s="418"/>
      <c r="C47" s="140" t="s">
        <v>295</v>
      </c>
      <c r="D47" s="421" t="s">
        <v>176</v>
      </c>
      <c r="E47" s="422"/>
      <c r="F47" s="399"/>
      <c r="G47" s="283">
        <v>10000</v>
      </c>
      <c r="H47" s="283"/>
      <c r="I47" s="283">
        <v>10000</v>
      </c>
      <c r="J47" s="101"/>
      <c r="K47" s="399"/>
      <c r="L47" s="399">
        <f t="shared" si="0"/>
        <v>0</v>
      </c>
      <c r="M47" s="181">
        <f t="shared" si="5"/>
        <v>10000</v>
      </c>
      <c r="N47" s="181"/>
      <c r="O47" s="181">
        <f t="shared" si="7"/>
        <v>10000</v>
      </c>
    </row>
    <row r="48" spans="1:15" ht="12.75" customHeight="1">
      <c r="A48" s="417"/>
      <c r="B48" s="418"/>
      <c r="C48" s="140" t="s">
        <v>296</v>
      </c>
      <c r="D48" s="421" t="s">
        <v>676</v>
      </c>
      <c r="E48" s="422"/>
      <c r="F48" s="399"/>
      <c r="G48" s="283">
        <v>18326</v>
      </c>
      <c r="H48" s="283"/>
      <c r="I48" s="283">
        <v>18326</v>
      </c>
      <c r="J48" s="399"/>
      <c r="K48" s="399"/>
      <c r="L48" s="399">
        <f t="shared" si="0"/>
        <v>0</v>
      </c>
      <c r="M48" s="181">
        <f t="shared" si="5"/>
        <v>18326</v>
      </c>
      <c r="N48" s="181"/>
      <c r="O48" s="181">
        <f t="shared" si="7"/>
        <v>18326</v>
      </c>
    </row>
    <row r="49" spans="1:15" ht="12.75" customHeight="1">
      <c r="A49" s="417"/>
      <c r="B49" s="418"/>
      <c r="C49" s="140"/>
      <c r="D49" s="242" t="s">
        <v>856</v>
      </c>
      <c r="E49" s="419"/>
      <c r="F49" s="697"/>
      <c r="G49" s="283">
        <v>0</v>
      </c>
      <c r="H49" s="283">
        <v>0</v>
      </c>
      <c r="I49" s="283">
        <v>0</v>
      </c>
      <c r="J49" s="181"/>
      <c r="K49" s="181"/>
      <c r="L49" s="399">
        <f t="shared" si="0"/>
        <v>0</v>
      </c>
      <c r="M49" s="181">
        <f t="shared" si="5"/>
        <v>0</v>
      </c>
      <c r="N49" s="181">
        <f t="shared" si="6"/>
        <v>0</v>
      </c>
      <c r="O49" s="181">
        <f t="shared" si="7"/>
        <v>0</v>
      </c>
    </row>
    <row r="50" spans="1:15" ht="12.75" customHeight="1">
      <c r="A50" s="417"/>
      <c r="B50" s="418"/>
      <c r="C50" s="137" t="s">
        <v>309</v>
      </c>
      <c r="D50" s="164" t="s">
        <v>462</v>
      </c>
      <c r="E50" s="419"/>
      <c r="F50" s="697"/>
      <c r="G50" s="283">
        <v>0</v>
      </c>
      <c r="H50" s="283">
        <v>0</v>
      </c>
      <c r="I50" s="283">
        <v>0</v>
      </c>
      <c r="J50" s="181"/>
      <c r="K50" s="181"/>
      <c r="L50" s="399">
        <f t="shared" si="0"/>
        <v>0</v>
      </c>
      <c r="M50" s="181">
        <f t="shared" si="5"/>
        <v>0</v>
      </c>
      <c r="N50" s="181">
        <f t="shared" si="6"/>
        <v>0</v>
      </c>
      <c r="O50" s="181">
        <f t="shared" si="7"/>
        <v>0</v>
      </c>
    </row>
    <row r="51" spans="1:15" ht="12.75" customHeight="1">
      <c r="A51" s="417"/>
      <c r="B51" s="418"/>
      <c r="C51" s="140" t="s">
        <v>310</v>
      </c>
      <c r="D51" s="421" t="s">
        <v>28</v>
      </c>
      <c r="E51" s="419"/>
      <c r="F51" s="697" t="s">
        <v>72</v>
      </c>
      <c r="G51" s="283">
        <v>1000</v>
      </c>
      <c r="H51" s="283">
        <v>0</v>
      </c>
      <c r="I51" s="283">
        <v>1000</v>
      </c>
      <c r="J51" s="181">
        <v>-1000</v>
      </c>
      <c r="K51" s="181"/>
      <c r="L51" s="399">
        <f t="shared" si="0"/>
        <v>-1000</v>
      </c>
      <c r="M51" s="181">
        <f t="shared" si="5"/>
        <v>0</v>
      </c>
      <c r="N51" s="181">
        <f t="shared" si="6"/>
        <v>0</v>
      </c>
      <c r="O51" s="181">
        <f t="shared" si="7"/>
        <v>0</v>
      </c>
    </row>
    <row r="52" spans="1:15" ht="24.75" customHeight="1">
      <c r="A52" s="417"/>
      <c r="B52" s="418"/>
      <c r="C52" s="140" t="s">
        <v>27</v>
      </c>
      <c r="D52" s="423" t="s">
        <v>73</v>
      </c>
      <c r="E52" s="419"/>
      <c r="F52" s="697"/>
      <c r="G52" s="283">
        <v>0</v>
      </c>
      <c r="H52" s="283">
        <v>10000</v>
      </c>
      <c r="I52" s="283">
        <v>10000</v>
      </c>
      <c r="J52" s="181"/>
      <c r="K52" s="181"/>
      <c r="L52" s="399">
        <f t="shared" si="0"/>
        <v>0</v>
      </c>
      <c r="M52" s="181">
        <f t="shared" si="5"/>
        <v>0</v>
      </c>
      <c r="N52" s="181">
        <f t="shared" si="6"/>
        <v>10000</v>
      </c>
      <c r="O52" s="181">
        <f t="shared" si="7"/>
        <v>10000</v>
      </c>
    </row>
    <row r="53" spans="1:15" ht="24.75" customHeight="1">
      <c r="A53" s="417"/>
      <c r="B53" s="418"/>
      <c r="C53" s="140" t="s">
        <v>563</v>
      </c>
      <c r="D53" s="423" t="s">
        <v>887</v>
      </c>
      <c r="E53" s="419"/>
      <c r="F53" s="697"/>
      <c r="G53" s="283">
        <v>500</v>
      </c>
      <c r="H53" s="283">
        <v>0</v>
      </c>
      <c r="I53" s="283">
        <v>500</v>
      </c>
      <c r="J53" s="181"/>
      <c r="K53" s="181"/>
      <c r="L53" s="399">
        <f t="shared" si="0"/>
        <v>0</v>
      </c>
      <c r="M53" s="181">
        <f t="shared" si="5"/>
        <v>500</v>
      </c>
      <c r="N53" s="181">
        <f t="shared" si="6"/>
        <v>0</v>
      </c>
      <c r="O53" s="181">
        <f t="shared" si="7"/>
        <v>500</v>
      </c>
    </row>
    <row r="54" spans="1:15" ht="24.75" customHeight="1">
      <c r="A54" s="417"/>
      <c r="B54" s="418"/>
      <c r="C54" s="140" t="s">
        <v>945</v>
      </c>
      <c r="D54" s="423" t="s">
        <v>965</v>
      </c>
      <c r="E54" s="419"/>
      <c r="F54" s="697" t="s">
        <v>72</v>
      </c>
      <c r="G54" s="283"/>
      <c r="H54" s="283">
        <v>10943</v>
      </c>
      <c r="I54" s="283">
        <v>10943</v>
      </c>
      <c r="J54" s="181"/>
      <c r="K54" s="181">
        <v>8573</v>
      </c>
      <c r="L54" s="399">
        <f t="shared" si="0"/>
        <v>8573</v>
      </c>
      <c r="M54" s="181"/>
      <c r="N54" s="181">
        <f t="shared" si="6"/>
        <v>19516</v>
      </c>
      <c r="O54" s="181">
        <f t="shared" si="7"/>
        <v>19516</v>
      </c>
    </row>
    <row r="55" spans="1:15" ht="12.75" customHeight="1">
      <c r="A55" s="417"/>
      <c r="B55" s="418"/>
      <c r="C55" s="138" t="s">
        <v>311</v>
      </c>
      <c r="D55" s="167" t="s">
        <v>225</v>
      </c>
      <c r="E55" s="419"/>
      <c r="F55" s="697"/>
      <c r="G55" s="283">
        <v>0</v>
      </c>
      <c r="H55" s="283">
        <v>0</v>
      </c>
      <c r="I55" s="283">
        <v>0</v>
      </c>
      <c r="J55" s="181"/>
      <c r="K55" s="181"/>
      <c r="L55" s="399">
        <f t="shared" si="0"/>
        <v>0</v>
      </c>
      <c r="M55" s="181">
        <f t="shared" si="5"/>
        <v>0</v>
      </c>
      <c r="N55" s="181">
        <f t="shared" si="6"/>
        <v>0</v>
      </c>
      <c r="O55" s="181">
        <f t="shared" si="7"/>
        <v>0</v>
      </c>
    </row>
    <row r="56" spans="1:15" ht="12.75" customHeight="1">
      <c r="A56" s="417"/>
      <c r="B56" s="418"/>
      <c r="C56" s="140" t="s">
        <v>316</v>
      </c>
      <c r="D56" s="254" t="s">
        <v>463</v>
      </c>
      <c r="E56" s="419"/>
      <c r="F56" s="697" t="s">
        <v>395</v>
      </c>
      <c r="G56" s="283">
        <v>1080</v>
      </c>
      <c r="H56" s="283">
        <v>0</v>
      </c>
      <c r="I56" s="283">
        <v>1080</v>
      </c>
      <c r="J56" s="181">
        <v>4544</v>
      </c>
      <c r="K56" s="181"/>
      <c r="L56" s="399">
        <f t="shared" si="0"/>
        <v>4544</v>
      </c>
      <c r="M56" s="181">
        <f t="shared" si="5"/>
        <v>5624</v>
      </c>
      <c r="N56" s="181">
        <f t="shared" si="6"/>
        <v>0</v>
      </c>
      <c r="O56" s="181">
        <f t="shared" si="7"/>
        <v>5624</v>
      </c>
    </row>
    <row r="57" spans="1:15" ht="12.75" customHeight="1">
      <c r="A57" s="417"/>
      <c r="B57" s="418"/>
      <c r="C57" s="140" t="s">
        <v>317</v>
      </c>
      <c r="D57" s="424" t="s">
        <v>888</v>
      </c>
      <c r="E57" s="224"/>
      <c r="F57" s="697"/>
      <c r="G57" s="283">
        <v>521</v>
      </c>
      <c r="H57" s="283">
        <v>0</v>
      </c>
      <c r="I57" s="283">
        <v>521</v>
      </c>
      <c r="J57" s="181"/>
      <c r="K57" s="181"/>
      <c r="L57" s="399">
        <f t="shared" si="0"/>
        <v>0</v>
      </c>
      <c r="M57" s="181">
        <f t="shared" si="5"/>
        <v>521</v>
      </c>
      <c r="N57" s="181">
        <f t="shared" si="6"/>
        <v>0</v>
      </c>
      <c r="O57" s="181">
        <f t="shared" si="7"/>
        <v>521</v>
      </c>
    </row>
    <row r="58" spans="1:15" ht="12.75" customHeight="1">
      <c r="A58" s="417"/>
      <c r="B58" s="418"/>
      <c r="C58" s="140" t="s">
        <v>339</v>
      </c>
      <c r="D58" s="534" t="s">
        <v>967</v>
      </c>
      <c r="E58" s="224"/>
      <c r="F58" s="697"/>
      <c r="G58" s="283"/>
      <c r="H58" s="283">
        <v>48</v>
      </c>
      <c r="I58" s="283">
        <v>48</v>
      </c>
      <c r="J58" s="181"/>
      <c r="K58" s="181"/>
      <c r="L58" s="399">
        <f t="shared" si="0"/>
        <v>0</v>
      </c>
      <c r="M58" s="181"/>
      <c r="N58" s="181">
        <f t="shared" si="6"/>
        <v>48</v>
      </c>
      <c r="O58" s="181">
        <f t="shared" si="7"/>
        <v>48</v>
      </c>
    </row>
    <row r="59" spans="1:15" ht="12.75" customHeight="1">
      <c r="A59" s="417"/>
      <c r="B59" s="418"/>
      <c r="C59" s="140"/>
      <c r="D59" s="242" t="s">
        <v>856</v>
      </c>
      <c r="E59" s="224"/>
      <c r="F59" s="697"/>
      <c r="G59" s="283">
        <v>0</v>
      </c>
      <c r="H59" s="283"/>
      <c r="I59" s="283">
        <v>0</v>
      </c>
      <c r="J59" s="181"/>
      <c r="K59" s="181"/>
      <c r="L59" s="399">
        <f t="shared" si="0"/>
        <v>0</v>
      </c>
      <c r="M59" s="181">
        <f t="shared" si="5"/>
        <v>0</v>
      </c>
      <c r="N59" s="181"/>
      <c r="O59" s="181">
        <f t="shared" si="7"/>
        <v>0</v>
      </c>
    </row>
    <row r="60" spans="1:15" ht="12.75" customHeight="1">
      <c r="A60" s="417"/>
      <c r="B60" s="418"/>
      <c r="C60" s="140" t="s">
        <v>412</v>
      </c>
      <c r="D60" s="534" t="s">
        <v>413</v>
      </c>
      <c r="E60" s="224"/>
      <c r="F60" s="697" t="s">
        <v>395</v>
      </c>
      <c r="G60" s="283">
        <v>314</v>
      </c>
      <c r="H60" s="283"/>
      <c r="I60" s="283">
        <v>314</v>
      </c>
      <c r="J60" s="181">
        <v>-314</v>
      </c>
      <c r="K60" s="181"/>
      <c r="L60" s="399">
        <f t="shared" si="0"/>
        <v>-314</v>
      </c>
      <c r="M60" s="181">
        <f t="shared" si="5"/>
        <v>0</v>
      </c>
      <c r="N60" s="181"/>
      <c r="O60" s="181">
        <f t="shared" si="7"/>
        <v>0</v>
      </c>
    </row>
    <row r="61" spans="1:15" ht="12.75" customHeight="1">
      <c r="A61" s="417"/>
      <c r="B61" s="418"/>
      <c r="C61" s="140" t="s">
        <v>177</v>
      </c>
      <c r="D61" s="448" t="s">
        <v>175</v>
      </c>
      <c r="E61" s="227"/>
      <c r="F61" s="180"/>
      <c r="G61" s="283">
        <v>1200</v>
      </c>
      <c r="H61" s="283"/>
      <c r="I61" s="283">
        <v>1200</v>
      </c>
      <c r="J61" s="180"/>
      <c r="K61" s="180"/>
      <c r="L61" s="399">
        <f t="shared" si="0"/>
        <v>0</v>
      </c>
      <c r="M61" s="181">
        <f>SUM(G61+J61)</f>
        <v>1200</v>
      </c>
      <c r="N61" s="181"/>
      <c r="O61" s="181">
        <f>SUM(M61:N61)</f>
        <v>1200</v>
      </c>
    </row>
    <row r="62" spans="1:15" ht="12.75" customHeight="1">
      <c r="A62" s="417"/>
      <c r="B62" s="418"/>
      <c r="C62" s="138" t="s">
        <v>313</v>
      </c>
      <c r="D62" s="425" t="s">
        <v>318</v>
      </c>
      <c r="E62" s="224"/>
      <c r="F62" s="697"/>
      <c r="G62" s="283">
        <v>0</v>
      </c>
      <c r="H62" s="283">
        <v>0</v>
      </c>
      <c r="I62" s="283">
        <v>0</v>
      </c>
      <c r="J62" s="420"/>
      <c r="K62" s="420"/>
      <c r="L62" s="399">
        <f t="shared" si="0"/>
        <v>0</v>
      </c>
      <c r="M62" s="181">
        <f t="shared" si="5"/>
        <v>0</v>
      </c>
      <c r="N62" s="181">
        <f t="shared" si="6"/>
        <v>0</v>
      </c>
      <c r="O62" s="181">
        <f t="shared" si="7"/>
        <v>0</v>
      </c>
    </row>
    <row r="63" spans="1:15" ht="12.75" customHeight="1">
      <c r="A63" s="417"/>
      <c r="B63" s="418"/>
      <c r="C63" s="140" t="s">
        <v>319</v>
      </c>
      <c r="D63" s="426" t="s">
        <v>889</v>
      </c>
      <c r="E63" s="224"/>
      <c r="F63" s="697"/>
      <c r="G63" s="283">
        <v>1700</v>
      </c>
      <c r="H63" s="283">
        <v>0</v>
      </c>
      <c r="I63" s="283">
        <v>1700</v>
      </c>
      <c r="J63" s="181"/>
      <c r="K63" s="181"/>
      <c r="L63" s="399">
        <f t="shared" si="0"/>
        <v>0</v>
      </c>
      <c r="M63" s="181">
        <f t="shared" si="5"/>
        <v>1700</v>
      </c>
      <c r="N63" s="181">
        <f t="shared" si="6"/>
        <v>0</v>
      </c>
      <c r="O63" s="181">
        <f t="shared" si="7"/>
        <v>1700</v>
      </c>
    </row>
    <row r="64" spans="1:15" ht="24.75" customHeight="1">
      <c r="A64" s="417"/>
      <c r="B64" s="418"/>
      <c r="C64" s="140" t="s">
        <v>320</v>
      </c>
      <c r="D64" s="426" t="s">
        <v>890</v>
      </c>
      <c r="E64" s="224"/>
      <c r="F64" s="697" t="s">
        <v>72</v>
      </c>
      <c r="G64" s="283">
        <v>2500</v>
      </c>
      <c r="H64" s="283">
        <v>0</v>
      </c>
      <c r="I64" s="283">
        <v>2500</v>
      </c>
      <c r="J64" s="181">
        <v>-999</v>
      </c>
      <c r="K64" s="181"/>
      <c r="L64" s="399">
        <f t="shared" si="0"/>
        <v>-999</v>
      </c>
      <c r="M64" s="181">
        <f t="shared" si="5"/>
        <v>1501</v>
      </c>
      <c r="N64" s="181">
        <f t="shared" si="6"/>
        <v>0</v>
      </c>
      <c r="O64" s="181">
        <f t="shared" si="7"/>
        <v>1501</v>
      </c>
    </row>
    <row r="65" spans="1:15" ht="12.75" customHeight="1">
      <c r="A65" s="417"/>
      <c r="B65" s="418"/>
      <c r="C65" s="140" t="s">
        <v>321</v>
      </c>
      <c r="D65" s="427" t="s">
        <v>891</v>
      </c>
      <c r="E65" s="224"/>
      <c r="F65" s="697" t="s">
        <v>72</v>
      </c>
      <c r="G65" s="283">
        <v>3000</v>
      </c>
      <c r="H65" s="283">
        <v>0</v>
      </c>
      <c r="I65" s="283">
        <v>3000</v>
      </c>
      <c r="J65" s="181">
        <v>-765</v>
      </c>
      <c r="K65" s="181"/>
      <c r="L65" s="399">
        <f t="shared" si="0"/>
        <v>-765</v>
      </c>
      <c r="M65" s="181">
        <f t="shared" si="5"/>
        <v>2235</v>
      </c>
      <c r="N65" s="181">
        <f t="shared" si="6"/>
        <v>0</v>
      </c>
      <c r="O65" s="181">
        <f t="shared" si="7"/>
        <v>2235</v>
      </c>
    </row>
    <row r="66" spans="1:15" ht="12.75" customHeight="1">
      <c r="A66" s="417"/>
      <c r="B66" s="418"/>
      <c r="C66" s="140" t="s">
        <v>322</v>
      </c>
      <c r="D66" s="427" t="s">
        <v>466</v>
      </c>
      <c r="E66" s="224"/>
      <c r="F66" s="697" t="s">
        <v>395</v>
      </c>
      <c r="G66" s="283">
        <v>2500</v>
      </c>
      <c r="H66" s="283">
        <v>0</v>
      </c>
      <c r="I66" s="283">
        <v>2500</v>
      </c>
      <c r="J66" s="181">
        <v>-2499</v>
      </c>
      <c r="K66" s="181"/>
      <c r="L66" s="399">
        <f t="shared" si="0"/>
        <v>-2499</v>
      </c>
      <c r="M66" s="181">
        <f t="shared" si="5"/>
        <v>1</v>
      </c>
      <c r="N66" s="181">
        <f t="shared" si="6"/>
        <v>0</v>
      </c>
      <c r="O66" s="181">
        <f t="shared" si="7"/>
        <v>1</v>
      </c>
    </row>
    <row r="67" spans="1:15" ht="12.75" customHeight="1">
      <c r="A67" s="417"/>
      <c r="B67" s="418"/>
      <c r="C67" s="140" t="s">
        <v>323</v>
      </c>
      <c r="D67" s="427" t="s">
        <v>467</v>
      </c>
      <c r="E67" s="224"/>
      <c r="F67" s="697" t="s">
        <v>395</v>
      </c>
      <c r="G67" s="283">
        <v>3000</v>
      </c>
      <c r="H67" s="283">
        <v>0</v>
      </c>
      <c r="I67" s="283">
        <v>3000</v>
      </c>
      <c r="J67" s="181">
        <v>-3000</v>
      </c>
      <c r="K67" s="181"/>
      <c r="L67" s="399">
        <f t="shared" si="0"/>
        <v>-3000</v>
      </c>
      <c r="M67" s="181">
        <f t="shared" si="5"/>
        <v>0</v>
      </c>
      <c r="N67" s="181">
        <f t="shared" si="6"/>
        <v>0</v>
      </c>
      <c r="O67" s="181">
        <f t="shared" si="7"/>
        <v>0</v>
      </c>
    </row>
    <row r="68" spans="1:15" ht="12.75" customHeight="1">
      <c r="A68" s="417"/>
      <c r="B68" s="418"/>
      <c r="C68" s="140" t="s">
        <v>324</v>
      </c>
      <c r="D68" s="427" t="s">
        <v>892</v>
      </c>
      <c r="E68" s="224"/>
      <c r="F68" s="697"/>
      <c r="G68" s="283">
        <v>0</v>
      </c>
      <c r="H68" s="283">
        <v>0</v>
      </c>
      <c r="I68" s="283">
        <v>0</v>
      </c>
      <c r="J68" s="181"/>
      <c r="K68" s="181"/>
      <c r="L68" s="399">
        <f t="shared" si="0"/>
        <v>0</v>
      </c>
      <c r="M68" s="181">
        <f t="shared" si="5"/>
        <v>0</v>
      </c>
      <c r="N68" s="181">
        <f t="shared" si="6"/>
        <v>0</v>
      </c>
      <c r="O68" s="181">
        <f t="shared" si="7"/>
        <v>0</v>
      </c>
    </row>
    <row r="69" spans="1:15" ht="12.75" customHeight="1">
      <c r="A69" s="417"/>
      <c r="B69" s="418"/>
      <c r="C69" s="140" t="s">
        <v>325</v>
      </c>
      <c r="D69" s="427" t="s">
        <v>893</v>
      </c>
      <c r="E69" s="224"/>
      <c r="F69" s="697" t="s">
        <v>395</v>
      </c>
      <c r="G69" s="283">
        <v>2000</v>
      </c>
      <c r="H69" s="283">
        <v>0</v>
      </c>
      <c r="I69" s="283">
        <v>2000</v>
      </c>
      <c r="J69" s="181">
        <v>1385</v>
      </c>
      <c r="K69" s="181"/>
      <c r="L69" s="399">
        <f t="shared" si="0"/>
        <v>1385</v>
      </c>
      <c r="M69" s="181">
        <f t="shared" si="5"/>
        <v>3385</v>
      </c>
      <c r="N69" s="181">
        <f t="shared" si="6"/>
        <v>0</v>
      </c>
      <c r="O69" s="181">
        <f t="shared" si="7"/>
        <v>3385</v>
      </c>
    </row>
    <row r="70" spans="1:15" ht="12.75" customHeight="1">
      <c r="A70" s="417"/>
      <c r="B70" s="418"/>
      <c r="C70" s="140" t="s">
        <v>326</v>
      </c>
      <c r="D70" s="427" t="s">
        <v>894</v>
      </c>
      <c r="E70" s="224"/>
      <c r="F70" s="697"/>
      <c r="G70" s="283">
        <v>7327</v>
      </c>
      <c r="H70" s="283">
        <v>0</v>
      </c>
      <c r="I70" s="283">
        <v>7327</v>
      </c>
      <c r="J70" s="181"/>
      <c r="K70" s="181"/>
      <c r="L70" s="399">
        <f t="shared" si="0"/>
        <v>0</v>
      </c>
      <c r="M70" s="181">
        <f t="shared" si="5"/>
        <v>7327</v>
      </c>
      <c r="N70" s="181">
        <f t="shared" si="6"/>
        <v>0</v>
      </c>
      <c r="O70" s="181">
        <f t="shared" si="7"/>
        <v>7327</v>
      </c>
    </row>
    <row r="71" spans="1:15" ht="12.75" customHeight="1">
      <c r="A71" s="417"/>
      <c r="B71" s="418"/>
      <c r="C71" s="140" t="s">
        <v>414</v>
      </c>
      <c r="D71" s="426" t="s">
        <v>415</v>
      </c>
      <c r="E71" s="224"/>
      <c r="F71" s="697"/>
      <c r="G71" s="283">
        <v>0</v>
      </c>
      <c r="H71" s="283"/>
      <c r="I71" s="283">
        <v>0</v>
      </c>
      <c r="J71" s="181"/>
      <c r="K71" s="181"/>
      <c r="L71" s="399">
        <f t="shared" si="0"/>
        <v>0</v>
      </c>
      <c r="M71" s="181">
        <f t="shared" si="5"/>
        <v>0</v>
      </c>
      <c r="N71" s="181"/>
      <c r="O71" s="181">
        <f t="shared" si="7"/>
        <v>0</v>
      </c>
    </row>
    <row r="72" spans="1:15" ht="12.75" customHeight="1">
      <c r="A72" s="417"/>
      <c r="B72" s="418"/>
      <c r="C72" s="140" t="s">
        <v>1013</v>
      </c>
      <c r="D72" s="426" t="s">
        <v>859</v>
      </c>
      <c r="E72" s="224"/>
      <c r="F72" s="697" t="s">
        <v>450</v>
      </c>
      <c r="G72" s="283">
        <v>500</v>
      </c>
      <c r="H72" s="283"/>
      <c r="I72" s="283">
        <v>500</v>
      </c>
      <c r="J72" s="181">
        <v>1656</v>
      </c>
      <c r="K72" s="181"/>
      <c r="L72" s="399">
        <f t="shared" si="0"/>
        <v>1656</v>
      </c>
      <c r="M72" s="181">
        <f t="shared" si="5"/>
        <v>2156</v>
      </c>
      <c r="N72" s="181"/>
      <c r="O72" s="181">
        <f t="shared" si="7"/>
        <v>2156</v>
      </c>
    </row>
    <row r="73" spans="1:15" ht="12.75" customHeight="1">
      <c r="A73" s="417"/>
      <c r="B73" s="418"/>
      <c r="C73" s="140"/>
      <c r="D73" s="242" t="s">
        <v>856</v>
      </c>
      <c r="E73" s="224"/>
      <c r="F73" s="697"/>
      <c r="G73" s="283">
        <v>0</v>
      </c>
      <c r="H73" s="283">
        <v>0</v>
      </c>
      <c r="I73" s="283">
        <v>0</v>
      </c>
      <c r="J73" s="181"/>
      <c r="K73" s="181"/>
      <c r="L73" s="399">
        <f t="shared" si="0"/>
        <v>0</v>
      </c>
      <c r="M73" s="181">
        <f t="shared" si="5"/>
        <v>0</v>
      </c>
      <c r="N73" s="181">
        <f t="shared" si="6"/>
        <v>0</v>
      </c>
      <c r="O73" s="181">
        <f t="shared" si="7"/>
        <v>0</v>
      </c>
    </row>
    <row r="74" spans="1:15" ht="12.75" customHeight="1">
      <c r="A74" s="417"/>
      <c r="B74" s="418"/>
      <c r="C74" s="140" t="s">
        <v>190</v>
      </c>
      <c r="D74" s="255" t="s">
        <v>222</v>
      </c>
      <c r="E74" s="224"/>
      <c r="F74" s="697"/>
      <c r="G74" s="283">
        <v>0</v>
      </c>
      <c r="H74" s="283">
        <v>0</v>
      </c>
      <c r="I74" s="283">
        <v>0</v>
      </c>
      <c r="J74" s="181"/>
      <c r="K74" s="181"/>
      <c r="L74" s="399">
        <f t="shared" si="0"/>
        <v>0</v>
      </c>
      <c r="M74" s="181">
        <f t="shared" si="5"/>
        <v>0</v>
      </c>
      <c r="N74" s="181">
        <f t="shared" si="6"/>
        <v>0</v>
      </c>
      <c r="O74" s="181">
        <f t="shared" si="7"/>
        <v>0</v>
      </c>
    </row>
    <row r="75" spans="1:15" ht="12.75" customHeight="1">
      <c r="A75" s="417"/>
      <c r="B75" s="418"/>
      <c r="C75" s="140" t="s">
        <v>191</v>
      </c>
      <c r="D75" s="255" t="s">
        <v>50</v>
      </c>
      <c r="E75" s="224"/>
      <c r="F75" s="697" t="s">
        <v>395</v>
      </c>
      <c r="G75" s="283">
        <v>3000</v>
      </c>
      <c r="H75" s="283">
        <v>0</v>
      </c>
      <c r="I75" s="283">
        <v>3000</v>
      </c>
      <c r="J75" s="181">
        <v>-3000</v>
      </c>
      <c r="K75" s="181"/>
      <c r="L75" s="399">
        <f t="shared" si="0"/>
        <v>-3000</v>
      </c>
      <c r="M75" s="181">
        <f t="shared" si="5"/>
        <v>0</v>
      </c>
      <c r="N75" s="181">
        <f t="shared" si="6"/>
        <v>0</v>
      </c>
      <c r="O75" s="181">
        <f t="shared" si="7"/>
        <v>0</v>
      </c>
    </row>
    <row r="76" spans="1:15" ht="12.75" customHeight="1">
      <c r="A76" s="417"/>
      <c r="B76" s="418"/>
      <c r="C76" s="140" t="s">
        <v>192</v>
      </c>
      <c r="D76" s="255" t="s">
        <v>464</v>
      </c>
      <c r="E76" s="224"/>
      <c r="F76" s="697"/>
      <c r="G76" s="283">
        <v>0</v>
      </c>
      <c r="H76" s="283">
        <v>0</v>
      </c>
      <c r="I76" s="283">
        <v>0</v>
      </c>
      <c r="J76" s="181"/>
      <c r="K76" s="181"/>
      <c r="L76" s="399">
        <f t="shared" si="0"/>
        <v>0</v>
      </c>
      <c r="M76" s="181">
        <f t="shared" si="5"/>
        <v>0</v>
      </c>
      <c r="N76" s="181">
        <f t="shared" si="6"/>
        <v>0</v>
      </c>
      <c r="O76" s="181">
        <f t="shared" si="7"/>
        <v>0</v>
      </c>
    </row>
    <row r="77" spans="1:15" ht="12.75" customHeight="1">
      <c r="A77" s="417"/>
      <c r="B77" s="418"/>
      <c r="C77" s="140" t="s">
        <v>198</v>
      </c>
      <c r="D77" s="255" t="s">
        <v>465</v>
      </c>
      <c r="E77" s="224"/>
      <c r="F77" s="697" t="s">
        <v>395</v>
      </c>
      <c r="G77" s="283">
        <v>1264</v>
      </c>
      <c r="H77" s="283">
        <v>0</v>
      </c>
      <c r="I77" s="283">
        <v>1264</v>
      </c>
      <c r="J77" s="181">
        <v>426</v>
      </c>
      <c r="K77" s="181"/>
      <c r="L77" s="399">
        <f t="shared" si="0"/>
        <v>426</v>
      </c>
      <c r="M77" s="181">
        <f t="shared" si="5"/>
        <v>1690</v>
      </c>
      <c r="N77" s="181">
        <f t="shared" si="6"/>
        <v>0</v>
      </c>
      <c r="O77" s="181">
        <f t="shared" si="7"/>
        <v>1690</v>
      </c>
    </row>
    <row r="78" spans="1:15" ht="12.75" customHeight="1">
      <c r="A78" s="417"/>
      <c r="B78" s="418"/>
      <c r="C78" s="140" t="s">
        <v>199</v>
      </c>
      <c r="D78" s="255" t="s">
        <v>468</v>
      </c>
      <c r="E78" s="224"/>
      <c r="F78" s="697"/>
      <c r="G78" s="283">
        <v>1000</v>
      </c>
      <c r="H78" s="283">
        <v>0</v>
      </c>
      <c r="I78" s="283">
        <v>1000</v>
      </c>
      <c r="J78" s="181"/>
      <c r="K78" s="181"/>
      <c r="L78" s="399">
        <f t="shared" si="0"/>
        <v>0</v>
      </c>
      <c r="M78" s="181">
        <f t="shared" si="5"/>
        <v>1000</v>
      </c>
      <c r="N78" s="181">
        <f t="shared" si="6"/>
        <v>0</v>
      </c>
      <c r="O78" s="181">
        <f t="shared" si="7"/>
        <v>1000</v>
      </c>
    </row>
    <row r="79" spans="1:15" ht="12.75" customHeight="1">
      <c r="A79" s="417"/>
      <c r="B79" s="418"/>
      <c r="C79" s="140" t="s">
        <v>200</v>
      </c>
      <c r="D79" s="255" t="s">
        <v>470</v>
      </c>
      <c r="E79" s="224"/>
      <c r="F79" s="697" t="s">
        <v>395</v>
      </c>
      <c r="G79" s="283">
        <v>500</v>
      </c>
      <c r="H79" s="283">
        <v>0</v>
      </c>
      <c r="I79" s="283">
        <v>500</v>
      </c>
      <c r="J79" s="181">
        <v>-500</v>
      </c>
      <c r="K79" s="181"/>
      <c r="L79" s="399">
        <f t="shared" si="0"/>
        <v>-500</v>
      </c>
      <c r="M79" s="181">
        <f t="shared" si="5"/>
        <v>0</v>
      </c>
      <c r="N79" s="181">
        <f t="shared" si="6"/>
        <v>0</v>
      </c>
      <c r="O79" s="181">
        <f t="shared" si="7"/>
        <v>0</v>
      </c>
    </row>
    <row r="80" spans="1:15" ht="12.75" customHeight="1">
      <c r="A80" s="417"/>
      <c r="B80" s="418"/>
      <c r="C80" s="140" t="s">
        <v>201</v>
      </c>
      <c r="D80" s="256" t="s">
        <v>136</v>
      </c>
      <c r="E80" s="224"/>
      <c r="F80" s="697"/>
      <c r="G80" s="283">
        <v>0</v>
      </c>
      <c r="H80" s="283">
        <v>0</v>
      </c>
      <c r="I80" s="283">
        <v>0</v>
      </c>
      <c r="J80" s="181"/>
      <c r="K80" s="181"/>
      <c r="L80" s="399">
        <f t="shared" si="0"/>
        <v>0</v>
      </c>
      <c r="M80" s="181">
        <f t="shared" si="5"/>
        <v>0</v>
      </c>
      <c r="N80" s="181">
        <f t="shared" si="6"/>
        <v>0</v>
      </c>
      <c r="O80" s="181">
        <f t="shared" si="7"/>
        <v>0</v>
      </c>
    </row>
    <row r="81" spans="1:15" ht="12.75" customHeight="1">
      <c r="A81" s="417"/>
      <c r="B81" s="418"/>
      <c r="C81" s="140" t="s">
        <v>202</v>
      </c>
      <c r="D81" s="428" t="s">
        <v>780</v>
      </c>
      <c r="E81" s="224"/>
      <c r="F81" s="697"/>
      <c r="G81" s="283">
        <v>3244</v>
      </c>
      <c r="H81" s="283">
        <v>0</v>
      </c>
      <c r="I81" s="283">
        <v>3244</v>
      </c>
      <c r="J81" s="181"/>
      <c r="K81" s="181"/>
      <c r="L81" s="399">
        <f t="shared" si="0"/>
        <v>0</v>
      </c>
      <c r="M81" s="181">
        <f t="shared" si="5"/>
        <v>3244</v>
      </c>
      <c r="N81" s="181">
        <f t="shared" si="6"/>
        <v>0</v>
      </c>
      <c r="O81" s="181">
        <f t="shared" si="7"/>
        <v>3244</v>
      </c>
    </row>
    <row r="82" spans="1:15" ht="12.75" customHeight="1">
      <c r="A82" s="417"/>
      <c r="B82" s="418"/>
      <c r="C82" s="140" t="s">
        <v>203</v>
      </c>
      <c r="D82" s="429" t="s">
        <v>61</v>
      </c>
      <c r="E82" s="224"/>
      <c r="F82" s="697"/>
      <c r="G82" s="283">
        <v>0</v>
      </c>
      <c r="H82" s="283">
        <v>0</v>
      </c>
      <c r="I82" s="283">
        <v>0</v>
      </c>
      <c r="J82" s="181"/>
      <c r="K82" s="181"/>
      <c r="L82" s="399">
        <f t="shared" si="0"/>
        <v>0</v>
      </c>
      <c r="M82" s="181">
        <f t="shared" si="5"/>
        <v>0</v>
      </c>
      <c r="N82" s="181">
        <f t="shared" si="6"/>
        <v>0</v>
      </c>
      <c r="O82" s="181">
        <f t="shared" si="7"/>
        <v>0</v>
      </c>
    </row>
    <row r="83" spans="1:15" ht="12.75" customHeight="1">
      <c r="A83" s="417"/>
      <c r="B83" s="418"/>
      <c r="C83" s="138" t="s">
        <v>314</v>
      </c>
      <c r="D83" s="167" t="s">
        <v>226</v>
      </c>
      <c r="E83" s="224"/>
      <c r="F83" s="697"/>
      <c r="G83" s="283">
        <v>0</v>
      </c>
      <c r="H83" s="283">
        <v>0</v>
      </c>
      <c r="I83" s="283">
        <v>0</v>
      </c>
      <c r="J83" s="181"/>
      <c r="K83" s="181"/>
      <c r="L83" s="399">
        <f t="shared" si="0"/>
        <v>0</v>
      </c>
      <c r="M83" s="181">
        <f t="shared" si="5"/>
        <v>0</v>
      </c>
      <c r="N83" s="181">
        <f t="shared" si="6"/>
        <v>0</v>
      </c>
      <c r="O83" s="181">
        <f t="shared" si="7"/>
        <v>0</v>
      </c>
    </row>
    <row r="84" spans="1:15" ht="12.75" customHeight="1">
      <c r="A84" s="417"/>
      <c r="B84" s="418"/>
      <c r="C84" s="143" t="s">
        <v>334</v>
      </c>
      <c r="D84" s="430" t="s">
        <v>895</v>
      </c>
      <c r="E84" s="224"/>
      <c r="F84" s="697"/>
      <c r="G84" s="283">
        <v>2170</v>
      </c>
      <c r="H84" s="283">
        <v>0</v>
      </c>
      <c r="I84" s="283">
        <v>2170</v>
      </c>
      <c r="J84" s="181"/>
      <c r="K84" s="181"/>
      <c r="L84" s="399">
        <f t="shared" si="0"/>
        <v>0</v>
      </c>
      <c r="M84" s="181">
        <f t="shared" si="5"/>
        <v>2170</v>
      </c>
      <c r="N84" s="181">
        <f t="shared" si="6"/>
        <v>0</v>
      </c>
      <c r="O84" s="181">
        <f t="shared" si="7"/>
        <v>2170</v>
      </c>
    </row>
    <row r="85" spans="1:15" ht="12.75" customHeight="1">
      <c r="A85" s="417"/>
      <c r="B85" s="418"/>
      <c r="C85" s="143" t="s">
        <v>335</v>
      </c>
      <c r="D85" s="430" t="s">
        <v>896</v>
      </c>
      <c r="E85" s="224"/>
      <c r="F85" s="697"/>
      <c r="G85" s="283">
        <v>800</v>
      </c>
      <c r="H85" s="283">
        <v>0</v>
      </c>
      <c r="I85" s="283">
        <v>800</v>
      </c>
      <c r="J85" s="181"/>
      <c r="K85" s="181"/>
      <c r="L85" s="399">
        <f t="shared" si="0"/>
        <v>0</v>
      </c>
      <c r="M85" s="181">
        <f t="shared" si="5"/>
        <v>800</v>
      </c>
      <c r="N85" s="181">
        <f t="shared" si="6"/>
        <v>0</v>
      </c>
      <c r="O85" s="181">
        <f t="shared" si="7"/>
        <v>800</v>
      </c>
    </row>
    <row r="86" spans="1:15" ht="12.75" customHeight="1">
      <c r="A86" s="417"/>
      <c r="B86" s="418"/>
      <c r="C86" s="143" t="s">
        <v>336</v>
      </c>
      <c r="D86" s="396" t="s">
        <v>897</v>
      </c>
      <c r="E86" s="224"/>
      <c r="F86" s="697"/>
      <c r="G86" s="283">
        <v>300</v>
      </c>
      <c r="H86" s="283">
        <v>0</v>
      </c>
      <c r="I86" s="283">
        <v>300</v>
      </c>
      <c r="J86" s="181"/>
      <c r="K86" s="181"/>
      <c r="L86" s="399">
        <f t="shared" si="0"/>
        <v>0</v>
      </c>
      <c r="M86" s="181">
        <f t="shared" si="5"/>
        <v>300</v>
      </c>
      <c r="N86" s="181">
        <f t="shared" si="6"/>
        <v>0</v>
      </c>
      <c r="O86" s="181">
        <f t="shared" si="7"/>
        <v>300</v>
      </c>
    </row>
    <row r="87" spans="1:15" ht="12.75" customHeight="1">
      <c r="A87" s="417"/>
      <c r="B87" s="418"/>
      <c r="C87" s="143" t="s">
        <v>337</v>
      </c>
      <c r="D87" s="396" t="s">
        <v>898</v>
      </c>
      <c r="E87" s="224"/>
      <c r="F87" s="697"/>
      <c r="G87" s="283">
        <v>1500</v>
      </c>
      <c r="H87" s="283">
        <v>0</v>
      </c>
      <c r="I87" s="283">
        <v>1500</v>
      </c>
      <c r="J87" s="181"/>
      <c r="K87" s="181"/>
      <c r="L87" s="399">
        <f t="shared" si="0"/>
        <v>0</v>
      </c>
      <c r="M87" s="181">
        <f t="shared" si="5"/>
        <v>1500</v>
      </c>
      <c r="N87" s="181">
        <f t="shared" si="6"/>
        <v>0</v>
      </c>
      <c r="O87" s="181">
        <f t="shared" si="7"/>
        <v>1500</v>
      </c>
    </row>
    <row r="88" spans="1:15" ht="12.75" customHeight="1">
      <c r="A88" s="417"/>
      <c r="B88" s="418"/>
      <c r="C88" s="285" t="s">
        <v>416</v>
      </c>
      <c r="D88" s="396" t="s">
        <v>417</v>
      </c>
      <c r="E88" s="224"/>
      <c r="F88" s="697"/>
      <c r="G88" s="283">
        <v>227</v>
      </c>
      <c r="H88" s="283"/>
      <c r="I88" s="283">
        <v>227</v>
      </c>
      <c r="J88" s="181"/>
      <c r="K88" s="181"/>
      <c r="L88" s="399">
        <f t="shared" si="0"/>
        <v>0</v>
      </c>
      <c r="M88" s="181">
        <f t="shared" si="5"/>
        <v>227</v>
      </c>
      <c r="N88" s="181"/>
      <c r="O88" s="181">
        <f t="shared" si="7"/>
        <v>227</v>
      </c>
    </row>
    <row r="89" spans="1:15" ht="12.75" customHeight="1">
      <c r="A89" s="417"/>
      <c r="B89" s="418"/>
      <c r="C89" s="285" t="s">
        <v>1004</v>
      </c>
      <c r="D89" s="396" t="s">
        <v>708</v>
      </c>
      <c r="E89" s="224"/>
      <c r="F89" s="697" t="s">
        <v>395</v>
      </c>
      <c r="G89" s="283"/>
      <c r="H89" s="283"/>
      <c r="I89" s="283"/>
      <c r="J89" s="181">
        <v>1905</v>
      </c>
      <c r="K89" s="181"/>
      <c r="L89" s="399">
        <f t="shared" si="0"/>
        <v>1905</v>
      </c>
      <c r="M89" s="181">
        <f t="shared" si="5"/>
        <v>1905</v>
      </c>
      <c r="N89" s="181"/>
      <c r="O89" s="181">
        <f t="shared" si="7"/>
        <v>1905</v>
      </c>
    </row>
    <row r="90" spans="1:15" ht="12.75" customHeight="1">
      <c r="A90" s="417"/>
      <c r="B90" s="418"/>
      <c r="C90" s="138"/>
      <c r="D90" s="247" t="s">
        <v>856</v>
      </c>
      <c r="E90" s="224"/>
      <c r="F90" s="697"/>
      <c r="G90" s="283">
        <v>0</v>
      </c>
      <c r="H90" s="283">
        <v>0</v>
      </c>
      <c r="I90" s="283">
        <v>0</v>
      </c>
      <c r="J90" s="181"/>
      <c r="K90" s="181"/>
      <c r="L90" s="399">
        <f t="shared" si="0"/>
        <v>0</v>
      </c>
      <c r="M90" s="181">
        <f t="shared" si="5"/>
        <v>0</v>
      </c>
      <c r="N90" s="181">
        <f t="shared" si="6"/>
        <v>0</v>
      </c>
      <c r="O90" s="181">
        <f t="shared" si="7"/>
        <v>0</v>
      </c>
    </row>
    <row r="91" spans="1:15" ht="12.75" customHeight="1">
      <c r="A91" s="417"/>
      <c r="B91" s="418"/>
      <c r="C91" s="143" t="s">
        <v>540</v>
      </c>
      <c r="D91" s="169" t="s">
        <v>537</v>
      </c>
      <c r="E91" s="224"/>
      <c r="F91" s="697"/>
      <c r="G91" s="283">
        <v>0</v>
      </c>
      <c r="H91" s="283">
        <v>0</v>
      </c>
      <c r="I91" s="283">
        <v>0</v>
      </c>
      <c r="J91" s="181"/>
      <c r="K91" s="181"/>
      <c r="L91" s="399">
        <f aca="true" t="shared" si="8" ref="L91:L164">SUM(J91:K91)</f>
        <v>0</v>
      </c>
      <c r="M91" s="181">
        <f t="shared" si="5"/>
        <v>0</v>
      </c>
      <c r="N91" s="181">
        <f t="shared" si="6"/>
        <v>0</v>
      </c>
      <c r="O91" s="181">
        <f t="shared" si="7"/>
        <v>0</v>
      </c>
    </row>
    <row r="92" spans="1:15" ht="24.75" customHeight="1">
      <c r="A92" s="417"/>
      <c r="B92" s="418"/>
      <c r="C92" s="143" t="s">
        <v>541</v>
      </c>
      <c r="D92" s="255" t="s">
        <v>538</v>
      </c>
      <c r="E92" s="224"/>
      <c r="F92" s="697"/>
      <c r="G92" s="283">
        <v>18</v>
      </c>
      <c r="H92" s="283">
        <v>0</v>
      </c>
      <c r="I92" s="283">
        <v>18</v>
      </c>
      <c r="J92" s="181"/>
      <c r="K92" s="181"/>
      <c r="L92" s="399">
        <f t="shared" si="8"/>
        <v>0</v>
      </c>
      <c r="M92" s="181">
        <f t="shared" si="5"/>
        <v>18</v>
      </c>
      <c r="N92" s="181">
        <f t="shared" si="6"/>
        <v>0</v>
      </c>
      <c r="O92" s="181">
        <f t="shared" si="7"/>
        <v>18</v>
      </c>
    </row>
    <row r="93" spans="1:15" ht="12.75" customHeight="1">
      <c r="A93" s="417"/>
      <c r="B93" s="418"/>
      <c r="C93" s="143" t="s">
        <v>542</v>
      </c>
      <c r="D93" s="229" t="s">
        <v>539</v>
      </c>
      <c r="E93" s="224"/>
      <c r="F93" s="697"/>
      <c r="G93" s="283">
        <v>0</v>
      </c>
      <c r="H93" s="283">
        <v>0</v>
      </c>
      <c r="I93" s="283">
        <v>0</v>
      </c>
      <c r="J93" s="181"/>
      <c r="K93" s="181"/>
      <c r="L93" s="399">
        <f t="shared" si="8"/>
        <v>0</v>
      </c>
      <c r="M93" s="181">
        <f t="shared" si="5"/>
        <v>0</v>
      </c>
      <c r="N93" s="181">
        <f t="shared" si="6"/>
        <v>0</v>
      </c>
      <c r="O93" s="181">
        <f t="shared" si="7"/>
        <v>0</v>
      </c>
    </row>
    <row r="94" spans="1:15" ht="12.75" customHeight="1">
      <c r="A94" s="417"/>
      <c r="B94" s="418"/>
      <c r="C94" s="143" t="s">
        <v>899</v>
      </c>
      <c r="D94" s="253" t="s">
        <v>781</v>
      </c>
      <c r="E94" s="224"/>
      <c r="F94" s="697"/>
      <c r="G94" s="283">
        <v>400</v>
      </c>
      <c r="H94" s="283">
        <v>0</v>
      </c>
      <c r="I94" s="283">
        <v>400</v>
      </c>
      <c r="J94" s="181"/>
      <c r="K94" s="181"/>
      <c r="L94" s="399">
        <f t="shared" si="8"/>
        <v>0</v>
      </c>
      <c r="M94" s="181">
        <f t="shared" si="5"/>
        <v>400</v>
      </c>
      <c r="N94" s="181">
        <f t="shared" si="6"/>
        <v>0</v>
      </c>
      <c r="O94" s="181">
        <f t="shared" si="7"/>
        <v>400</v>
      </c>
    </row>
    <row r="95" spans="1:15" ht="12.75" customHeight="1">
      <c r="A95" s="417"/>
      <c r="B95" s="418"/>
      <c r="C95" s="143" t="s">
        <v>900</v>
      </c>
      <c r="D95" s="253" t="s">
        <v>901</v>
      </c>
      <c r="E95" s="224"/>
      <c r="F95" s="697"/>
      <c r="G95" s="283">
        <v>597</v>
      </c>
      <c r="H95" s="283">
        <v>0</v>
      </c>
      <c r="I95" s="283">
        <v>597</v>
      </c>
      <c r="J95" s="181"/>
      <c r="K95" s="181"/>
      <c r="L95" s="399">
        <f t="shared" si="8"/>
        <v>0</v>
      </c>
      <c r="M95" s="181">
        <f t="shared" si="5"/>
        <v>597</v>
      </c>
      <c r="N95" s="181">
        <f t="shared" si="6"/>
        <v>0</v>
      </c>
      <c r="O95" s="181">
        <f t="shared" si="7"/>
        <v>597</v>
      </c>
    </row>
    <row r="96" spans="1:15" ht="12.75" customHeight="1">
      <c r="A96" s="417"/>
      <c r="B96" s="418"/>
      <c r="C96" s="138" t="s">
        <v>345</v>
      </c>
      <c r="D96" s="425" t="s">
        <v>346</v>
      </c>
      <c r="E96" s="224"/>
      <c r="F96" s="697"/>
      <c r="G96" s="283">
        <v>0</v>
      </c>
      <c r="H96" s="283">
        <v>0</v>
      </c>
      <c r="I96" s="283">
        <v>0</v>
      </c>
      <c r="J96" s="181"/>
      <c r="K96" s="181"/>
      <c r="L96" s="399">
        <f t="shared" si="8"/>
        <v>0</v>
      </c>
      <c r="M96" s="181">
        <f t="shared" si="5"/>
        <v>0</v>
      </c>
      <c r="N96" s="181">
        <f t="shared" si="6"/>
        <v>0</v>
      </c>
      <c r="O96" s="181">
        <f t="shared" si="7"/>
        <v>0</v>
      </c>
    </row>
    <row r="97" spans="1:15" ht="12.75" customHeight="1">
      <c r="A97" s="417"/>
      <c r="B97" s="418"/>
      <c r="C97" s="140" t="s">
        <v>543</v>
      </c>
      <c r="D97" s="430" t="s">
        <v>902</v>
      </c>
      <c r="E97" s="224"/>
      <c r="F97" s="697"/>
      <c r="G97" s="283">
        <v>300</v>
      </c>
      <c r="H97" s="283">
        <v>0</v>
      </c>
      <c r="I97" s="283">
        <v>300</v>
      </c>
      <c r="J97" s="181"/>
      <c r="K97" s="181"/>
      <c r="L97" s="399">
        <f t="shared" si="8"/>
        <v>0</v>
      </c>
      <c r="M97" s="181">
        <f t="shared" si="5"/>
        <v>300</v>
      </c>
      <c r="N97" s="181">
        <f t="shared" si="6"/>
        <v>0</v>
      </c>
      <c r="O97" s="181">
        <f t="shared" si="7"/>
        <v>300</v>
      </c>
    </row>
    <row r="98" spans="1:15" ht="12.75" customHeight="1">
      <c r="A98" s="417"/>
      <c r="B98" s="418"/>
      <c r="C98" s="140" t="s">
        <v>544</v>
      </c>
      <c r="D98" s="424" t="s">
        <v>909</v>
      </c>
      <c r="E98" s="224"/>
      <c r="F98" s="697"/>
      <c r="G98" s="283">
        <v>1000</v>
      </c>
      <c r="H98" s="283">
        <v>0</v>
      </c>
      <c r="I98" s="283">
        <v>1000</v>
      </c>
      <c r="J98" s="181"/>
      <c r="K98" s="181"/>
      <c r="L98" s="399">
        <f t="shared" si="8"/>
        <v>0</v>
      </c>
      <c r="M98" s="181">
        <f t="shared" si="5"/>
        <v>1000</v>
      </c>
      <c r="N98" s="181">
        <f t="shared" si="6"/>
        <v>0</v>
      </c>
      <c r="O98" s="181">
        <f t="shared" si="7"/>
        <v>1000</v>
      </c>
    </row>
    <row r="99" spans="1:15" ht="12.75" customHeight="1">
      <c r="A99" s="417"/>
      <c r="B99" s="418"/>
      <c r="C99" s="140" t="s">
        <v>910</v>
      </c>
      <c r="D99" s="424" t="s">
        <v>911</v>
      </c>
      <c r="E99" s="224"/>
      <c r="F99" s="697"/>
      <c r="G99" s="283">
        <v>1000</v>
      </c>
      <c r="H99" s="283">
        <v>0</v>
      </c>
      <c r="I99" s="283">
        <v>1000</v>
      </c>
      <c r="J99" s="181"/>
      <c r="K99" s="181"/>
      <c r="L99" s="399">
        <f t="shared" si="8"/>
        <v>0</v>
      </c>
      <c r="M99" s="181">
        <f t="shared" si="5"/>
        <v>1000</v>
      </c>
      <c r="N99" s="181">
        <f t="shared" si="6"/>
        <v>0</v>
      </c>
      <c r="O99" s="181">
        <f t="shared" si="7"/>
        <v>1000</v>
      </c>
    </row>
    <row r="100" spans="1:15" ht="12.75" customHeight="1">
      <c r="A100" s="417"/>
      <c r="B100" s="418"/>
      <c r="C100" s="140" t="s">
        <v>912</v>
      </c>
      <c r="D100" s="424" t="s">
        <v>913</v>
      </c>
      <c r="E100" s="224"/>
      <c r="F100" s="697"/>
      <c r="G100" s="283">
        <v>1000</v>
      </c>
      <c r="H100" s="283">
        <v>0</v>
      </c>
      <c r="I100" s="283">
        <v>1000</v>
      </c>
      <c r="J100" s="181"/>
      <c r="K100" s="181"/>
      <c r="L100" s="399">
        <f t="shared" si="8"/>
        <v>0</v>
      </c>
      <c r="M100" s="181">
        <f t="shared" si="5"/>
        <v>1000</v>
      </c>
      <c r="N100" s="181">
        <f t="shared" si="6"/>
        <v>0</v>
      </c>
      <c r="O100" s="181">
        <f t="shared" si="7"/>
        <v>1000</v>
      </c>
    </row>
    <row r="101" spans="1:15" ht="12.75" customHeight="1">
      <c r="A101" s="417"/>
      <c r="B101" s="418"/>
      <c r="C101" s="140" t="s">
        <v>681</v>
      </c>
      <c r="D101" s="534" t="s">
        <v>682</v>
      </c>
      <c r="E101" s="224"/>
      <c r="F101" s="697" t="s">
        <v>72</v>
      </c>
      <c r="G101" s="283"/>
      <c r="H101" s="283"/>
      <c r="I101" s="283"/>
      <c r="J101" s="181">
        <v>1750</v>
      </c>
      <c r="K101" s="181"/>
      <c r="L101" s="399">
        <f t="shared" si="8"/>
        <v>1750</v>
      </c>
      <c r="M101" s="181">
        <f t="shared" si="5"/>
        <v>1750</v>
      </c>
      <c r="N101" s="181"/>
      <c r="O101" s="181">
        <f t="shared" si="7"/>
        <v>1750</v>
      </c>
    </row>
    <row r="102" spans="1:15" ht="12.75" customHeight="1">
      <c r="A102" s="417"/>
      <c r="B102" s="418"/>
      <c r="C102" s="138" t="s">
        <v>347</v>
      </c>
      <c r="D102" s="167" t="s">
        <v>348</v>
      </c>
      <c r="E102" s="224"/>
      <c r="F102" s="697"/>
      <c r="G102" s="283">
        <v>0</v>
      </c>
      <c r="H102" s="283">
        <v>0</v>
      </c>
      <c r="I102" s="283">
        <v>0</v>
      </c>
      <c r="J102" s="181"/>
      <c r="K102" s="181"/>
      <c r="L102" s="399">
        <f t="shared" si="8"/>
        <v>0</v>
      </c>
      <c r="M102" s="181">
        <f t="shared" si="5"/>
        <v>0</v>
      </c>
      <c r="N102" s="181">
        <f t="shared" si="6"/>
        <v>0</v>
      </c>
      <c r="O102" s="181">
        <f t="shared" si="7"/>
        <v>0</v>
      </c>
    </row>
    <row r="103" spans="1:15" ht="24.75" customHeight="1">
      <c r="A103" s="417"/>
      <c r="B103" s="418"/>
      <c r="C103" s="143" t="s">
        <v>349</v>
      </c>
      <c r="D103" s="431" t="s">
        <v>44</v>
      </c>
      <c r="E103" s="241"/>
      <c r="F103" s="623" t="s">
        <v>450</v>
      </c>
      <c r="G103" s="180">
        <v>2236</v>
      </c>
      <c r="H103" s="180">
        <v>0</v>
      </c>
      <c r="I103" s="180">
        <v>2236</v>
      </c>
      <c r="J103" s="399">
        <v>2921</v>
      </c>
      <c r="K103" s="399"/>
      <c r="L103" s="399">
        <f t="shared" si="8"/>
        <v>2921</v>
      </c>
      <c r="M103" s="181">
        <f t="shared" si="5"/>
        <v>5157</v>
      </c>
      <c r="N103" s="181">
        <f t="shared" si="6"/>
        <v>0</v>
      </c>
      <c r="O103" s="181">
        <f t="shared" si="7"/>
        <v>5157</v>
      </c>
    </row>
    <row r="104" spans="1:15" ht="24.75" customHeight="1">
      <c r="A104" s="417"/>
      <c r="B104" s="418"/>
      <c r="C104" s="143" t="s">
        <v>350</v>
      </c>
      <c r="D104" s="424" t="s">
        <v>914</v>
      </c>
      <c r="E104" s="224"/>
      <c r="F104" s="697"/>
      <c r="G104" s="283">
        <v>2000</v>
      </c>
      <c r="H104" s="283">
        <v>0</v>
      </c>
      <c r="I104" s="283">
        <v>2000</v>
      </c>
      <c r="J104" s="181"/>
      <c r="K104" s="181"/>
      <c r="L104" s="399">
        <f t="shared" si="8"/>
        <v>0</v>
      </c>
      <c r="M104" s="181">
        <f t="shared" si="5"/>
        <v>2000</v>
      </c>
      <c r="N104" s="181">
        <f t="shared" si="6"/>
        <v>0</v>
      </c>
      <c r="O104" s="181">
        <f t="shared" si="7"/>
        <v>2000</v>
      </c>
    </row>
    <row r="105" spans="1:15" ht="15" customHeight="1">
      <c r="A105" s="417"/>
      <c r="B105" s="418"/>
      <c r="C105" s="143" t="s">
        <v>351</v>
      </c>
      <c r="D105" s="424" t="s">
        <v>70</v>
      </c>
      <c r="E105" s="224"/>
      <c r="F105" s="697"/>
      <c r="G105" s="283">
        <v>6200</v>
      </c>
      <c r="H105" s="283">
        <v>0</v>
      </c>
      <c r="I105" s="283">
        <v>6200</v>
      </c>
      <c r="J105" s="181"/>
      <c r="K105" s="181"/>
      <c r="L105" s="399">
        <f t="shared" si="8"/>
        <v>0</v>
      </c>
      <c r="M105" s="181">
        <f t="shared" si="5"/>
        <v>6200</v>
      </c>
      <c r="N105" s="181">
        <f t="shared" si="6"/>
        <v>0</v>
      </c>
      <c r="O105" s="181">
        <f t="shared" si="7"/>
        <v>6200</v>
      </c>
    </row>
    <row r="106" spans="1:15" ht="24.75" customHeight="1">
      <c r="A106" s="417"/>
      <c r="B106" s="418"/>
      <c r="C106" s="143" t="s">
        <v>352</v>
      </c>
      <c r="D106" s="427" t="s">
        <v>545</v>
      </c>
      <c r="E106" s="177"/>
      <c r="F106" s="399" t="s">
        <v>450</v>
      </c>
      <c r="G106" s="283">
        <v>6000</v>
      </c>
      <c r="H106" s="283">
        <v>0</v>
      </c>
      <c r="I106" s="283">
        <v>6000</v>
      </c>
      <c r="J106" s="101">
        <v>6733</v>
      </c>
      <c r="K106" s="399"/>
      <c r="L106" s="399">
        <f t="shared" si="8"/>
        <v>6733</v>
      </c>
      <c r="M106" s="181">
        <f t="shared" si="5"/>
        <v>12733</v>
      </c>
      <c r="N106" s="181">
        <f t="shared" si="6"/>
        <v>0</v>
      </c>
      <c r="O106" s="181">
        <f t="shared" si="7"/>
        <v>12733</v>
      </c>
    </row>
    <row r="107" spans="1:15" ht="15" customHeight="1">
      <c r="A107" s="417"/>
      <c r="B107" s="418"/>
      <c r="C107" s="143" t="s">
        <v>546</v>
      </c>
      <c r="D107" s="427" t="s">
        <v>464</v>
      </c>
      <c r="E107" s="224"/>
      <c r="F107" s="697"/>
      <c r="G107" s="283">
        <v>7500</v>
      </c>
      <c r="H107" s="283">
        <v>0</v>
      </c>
      <c r="I107" s="283">
        <v>7500</v>
      </c>
      <c r="J107" s="181"/>
      <c r="K107" s="181"/>
      <c r="L107" s="399">
        <f t="shared" si="8"/>
        <v>0</v>
      </c>
      <c r="M107" s="181">
        <f t="shared" si="5"/>
        <v>7500</v>
      </c>
      <c r="N107" s="181">
        <f t="shared" si="6"/>
        <v>0</v>
      </c>
      <c r="O107" s="181">
        <f t="shared" si="7"/>
        <v>7500</v>
      </c>
    </row>
    <row r="108" spans="1:15" ht="24.75" customHeight="1">
      <c r="A108" s="417"/>
      <c r="B108" s="418"/>
      <c r="C108" s="143" t="s">
        <v>547</v>
      </c>
      <c r="D108" s="432" t="s">
        <v>915</v>
      </c>
      <c r="E108" s="224"/>
      <c r="F108" s="697"/>
      <c r="G108" s="283">
        <v>10979</v>
      </c>
      <c r="H108" s="283">
        <v>0</v>
      </c>
      <c r="I108" s="283">
        <v>10979</v>
      </c>
      <c r="J108" s="181"/>
      <c r="K108" s="181"/>
      <c r="L108" s="399">
        <f t="shared" si="8"/>
        <v>0</v>
      </c>
      <c r="M108" s="181">
        <f t="shared" si="5"/>
        <v>10979</v>
      </c>
      <c r="N108" s="181">
        <f t="shared" si="6"/>
        <v>0</v>
      </c>
      <c r="O108" s="181">
        <f t="shared" si="7"/>
        <v>10979</v>
      </c>
    </row>
    <row r="109" spans="1:15" ht="15" customHeight="1">
      <c r="A109" s="417"/>
      <c r="B109" s="418"/>
      <c r="C109" s="143" t="s">
        <v>548</v>
      </c>
      <c r="D109" s="432" t="s">
        <v>916</v>
      </c>
      <c r="E109" s="224"/>
      <c r="F109" s="697"/>
      <c r="G109" s="283">
        <v>1200</v>
      </c>
      <c r="H109" s="283">
        <v>0</v>
      </c>
      <c r="I109" s="283">
        <v>1200</v>
      </c>
      <c r="J109" s="181"/>
      <c r="K109" s="181"/>
      <c r="L109" s="399">
        <f t="shared" si="8"/>
        <v>0</v>
      </c>
      <c r="M109" s="181">
        <f t="shared" si="5"/>
        <v>1200</v>
      </c>
      <c r="N109" s="181">
        <f t="shared" si="6"/>
        <v>0</v>
      </c>
      <c r="O109" s="181">
        <f t="shared" si="7"/>
        <v>1200</v>
      </c>
    </row>
    <row r="110" spans="1:15" ht="15" customHeight="1">
      <c r="A110" s="417"/>
      <c r="B110" s="418"/>
      <c r="C110" s="285" t="s">
        <v>418</v>
      </c>
      <c r="D110" s="406" t="s">
        <v>419</v>
      </c>
      <c r="E110" s="224"/>
      <c r="F110" s="697" t="s">
        <v>395</v>
      </c>
      <c r="G110" s="283">
        <v>5452</v>
      </c>
      <c r="H110" s="283"/>
      <c r="I110" s="283">
        <v>5452</v>
      </c>
      <c r="J110" s="181">
        <v>246</v>
      </c>
      <c r="K110" s="181"/>
      <c r="L110" s="399">
        <f t="shared" si="8"/>
        <v>246</v>
      </c>
      <c r="M110" s="181">
        <f t="shared" si="5"/>
        <v>5698</v>
      </c>
      <c r="N110" s="181"/>
      <c r="O110" s="181">
        <f t="shared" si="7"/>
        <v>5698</v>
      </c>
    </row>
    <row r="111" spans="1:15" ht="15" customHeight="1">
      <c r="A111" s="417"/>
      <c r="B111" s="418"/>
      <c r="C111" s="285" t="s">
        <v>996</v>
      </c>
      <c r="D111" s="396" t="s">
        <v>1128</v>
      </c>
      <c r="E111" s="224"/>
      <c r="F111" s="697"/>
      <c r="G111" s="283">
        <v>3400</v>
      </c>
      <c r="H111" s="283"/>
      <c r="I111" s="283">
        <v>3400</v>
      </c>
      <c r="J111" s="181"/>
      <c r="K111" s="181"/>
      <c r="L111" s="399">
        <f t="shared" si="8"/>
        <v>0</v>
      </c>
      <c r="M111" s="181">
        <f t="shared" si="5"/>
        <v>3400</v>
      </c>
      <c r="N111" s="181"/>
      <c r="O111" s="181">
        <f t="shared" si="7"/>
        <v>3400</v>
      </c>
    </row>
    <row r="112" spans="1:15" ht="15" customHeight="1">
      <c r="A112" s="417"/>
      <c r="B112" s="418"/>
      <c r="C112" s="285" t="s">
        <v>963</v>
      </c>
      <c r="D112" s="396" t="s">
        <v>644</v>
      </c>
      <c r="E112" s="224"/>
      <c r="F112" s="697"/>
      <c r="G112" s="283">
        <v>45664</v>
      </c>
      <c r="H112" s="283"/>
      <c r="I112" s="283">
        <v>45664</v>
      </c>
      <c r="J112" s="181"/>
      <c r="K112" s="181"/>
      <c r="L112" s="399">
        <f t="shared" si="8"/>
        <v>0</v>
      </c>
      <c r="M112" s="181">
        <f t="shared" si="5"/>
        <v>45664</v>
      </c>
      <c r="N112" s="181"/>
      <c r="O112" s="181">
        <f t="shared" si="7"/>
        <v>45664</v>
      </c>
    </row>
    <row r="113" spans="1:15" ht="15" customHeight="1">
      <c r="A113" s="417"/>
      <c r="B113" s="418"/>
      <c r="C113" s="143"/>
      <c r="D113" s="242" t="s">
        <v>856</v>
      </c>
      <c r="E113" s="224"/>
      <c r="F113" s="697"/>
      <c r="G113" s="283">
        <v>0</v>
      </c>
      <c r="H113" s="283">
        <v>0</v>
      </c>
      <c r="I113" s="283">
        <v>0</v>
      </c>
      <c r="J113" s="181"/>
      <c r="K113" s="181"/>
      <c r="L113" s="399">
        <f t="shared" si="8"/>
        <v>0</v>
      </c>
      <c r="M113" s="181">
        <f t="shared" si="5"/>
        <v>0</v>
      </c>
      <c r="N113" s="181">
        <f t="shared" si="6"/>
        <v>0</v>
      </c>
      <c r="O113" s="181">
        <f t="shared" si="7"/>
        <v>0</v>
      </c>
    </row>
    <row r="114" spans="1:15" ht="15" customHeight="1">
      <c r="A114" s="417"/>
      <c r="B114" s="418"/>
      <c r="C114" s="143" t="s">
        <v>216</v>
      </c>
      <c r="D114" s="253" t="s">
        <v>782</v>
      </c>
      <c r="E114" s="224"/>
      <c r="F114" s="697" t="s">
        <v>72</v>
      </c>
      <c r="G114" s="283">
        <v>134</v>
      </c>
      <c r="H114" s="283">
        <v>0</v>
      </c>
      <c r="I114" s="283">
        <v>134</v>
      </c>
      <c r="J114" s="181">
        <v>250</v>
      </c>
      <c r="K114" s="181"/>
      <c r="L114" s="399">
        <f t="shared" si="8"/>
        <v>250</v>
      </c>
      <c r="M114" s="181">
        <f t="shared" si="5"/>
        <v>384</v>
      </c>
      <c r="N114" s="181">
        <f t="shared" si="6"/>
        <v>0</v>
      </c>
      <c r="O114" s="181">
        <f t="shared" si="7"/>
        <v>384</v>
      </c>
    </row>
    <row r="115" spans="1:15" ht="15" customHeight="1">
      <c r="A115" s="417"/>
      <c r="B115" s="418"/>
      <c r="C115" s="143" t="s">
        <v>67</v>
      </c>
      <c r="D115" s="249" t="s">
        <v>101</v>
      </c>
      <c r="E115" s="224"/>
      <c r="F115" s="697" t="s">
        <v>1169</v>
      </c>
      <c r="G115" s="283">
        <v>0</v>
      </c>
      <c r="H115" s="283">
        <v>100</v>
      </c>
      <c r="I115" s="283">
        <v>100</v>
      </c>
      <c r="J115" s="181"/>
      <c r="K115" s="181">
        <v>125</v>
      </c>
      <c r="L115" s="399">
        <f t="shared" si="8"/>
        <v>125</v>
      </c>
      <c r="M115" s="181">
        <f t="shared" si="5"/>
        <v>0</v>
      </c>
      <c r="N115" s="181">
        <f t="shared" si="6"/>
        <v>225</v>
      </c>
      <c r="O115" s="181">
        <f t="shared" si="7"/>
        <v>225</v>
      </c>
    </row>
    <row r="116" spans="1:15" ht="12.75" customHeight="1">
      <c r="A116" s="412"/>
      <c r="B116" s="413"/>
      <c r="C116" s="414"/>
      <c r="D116" s="433" t="s">
        <v>290</v>
      </c>
      <c r="E116" s="434"/>
      <c r="F116" s="698"/>
      <c r="G116" s="262">
        <f aca="true" t="shared" si="9" ref="G116:N116">SUM(G44:G115)</f>
        <v>169621</v>
      </c>
      <c r="H116" s="262">
        <f t="shared" si="9"/>
        <v>21091</v>
      </c>
      <c r="I116" s="262">
        <f t="shared" si="9"/>
        <v>190712</v>
      </c>
      <c r="J116" s="262">
        <f t="shared" si="9"/>
        <v>5671</v>
      </c>
      <c r="K116" s="262">
        <f t="shared" si="9"/>
        <v>8698</v>
      </c>
      <c r="L116" s="262">
        <f t="shared" si="9"/>
        <v>14369</v>
      </c>
      <c r="M116" s="262">
        <f t="shared" si="9"/>
        <v>175292</v>
      </c>
      <c r="N116" s="262">
        <f t="shared" si="9"/>
        <v>29789</v>
      </c>
      <c r="O116" s="262">
        <f t="shared" si="7"/>
        <v>205081</v>
      </c>
    </row>
    <row r="117" spans="1:15" ht="13.5" customHeight="1">
      <c r="A117" s="393">
        <v>1</v>
      </c>
      <c r="B117" s="394">
        <v>16</v>
      </c>
      <c r="C117" s="141"/>
      <c r="D117" s="435" t="s">
        <v>1201</v>
      </c>
      <c r="E117" s="436"/>
      <c r="F117" s="699"/>
      <c r="G117" s="283">
        <v>0</v>
      </c>
      <c r="H117" s="283">
        <v>0</v>
      </c>
      <c r="I117" s="283">
        <v>0</v>
      </c>
      <c r="J117" s="183"/>
      <c r="K117" s="183"/>
      <c r="L117" s="399">
        <f t="shared" si="8"/>
        <v>0</v>
      </c>
      <c r="M117" s="181">
        <f t="shared" si="5"/>
        <v>0</v>
      </c>
      <c r="N117" s="181">
        <f t="shared" si="6"/>
        <v>0</v>
      </c>
      <c r="O117" s="181">
        <f t="shared" si="7"/>
        <v>0</v>
      </c>
    </row>
    <row r="118" spans="1:15" ht="13.5" customHeight="1">
      <c r="A118" s="417"/>
      <c r="B118" s="418"/>
      <c r="C118" s="139">
        <v>1</v>
      </c>
      <c r="D118" s="161" t="s">
        <v>392</v>
      </c>
      <c r="E118" s="224"/>
      <c r="F118" s="697"/>
      <c r="G118" s="283">
        <v>0</v>
      </c>
      <c r="H118" s="283">
        <v>0</v>
      </c>
      <c r="I118" s="283">
        <v>0</v>
      </c>
      <c r="J118" s="181"/>
      <c r="K118" s="181"/>
      <c r="L118" s="399">
        <f t="shared" si="8"/>
        <v>0</v>
      </c>
      <c r="M118" s="181">
        <f t="shared" si="5"/>
        <v>0</v>
      </c>
      <c r="N118" s="181">
        <f t="shared" si="6"/>
        <v>0</v>
      </c>
      <c r="O118" s="181">
        <f t="shared" si="7"/>
        <v>0</v>
      </c>
    </row>
    <row r="119" spans="1:15" ht="15" customHeight="1">
      <c r="A119" s="438"/>
      <c r="B119" s="438"/>
      <c r="C119" s="140" t="s">
        <v>306</v>
      </c>
      <c r="D119" s="439" t="s">
        <v>917</v>
      </c>
      <c r="E119" s="224"/>
      <c r="F119" s="697"/>
      <c r="G119" s="283">
        <v>1808</v>
      </c>
      <c r="H119" s="283">
        <v>0</v>
      </c>
      <c r="I119" s="283">
        <v>1808</v>
      </c>
      <c r="J119" s="181"/>
      <c r="K119" s="181"/>
      <c r="L119" s="399">
        <f t="shared" si="8"/>
        <v>0</v>
      </c>
      <c r="M119" s="181">
        <f t="shared" si="5"/>
        <v>1808</v>
      </c>
      <c r="N119" s="181">
        <f t="shared" si="6"/>
        <v>0</v>
      </c>
      <c r="O119" s="181">
        <f t="shared" si="7"/>
        <v>1808</v>
      </c>
    </row>
    <row r="120" spans="1:15" ht="15" customHeight="1">
      <c r="A120" s="438"/>
      <c r="B120" s="438"/>
      <c r="C120" s="140" t="s">
        <v>307</v>
      </c>
      <c r="D120" s="440" t="s">
        <v>918</v>
      </c>
      <c r="E120" s="226"/>
      <c r="F120" s="182" t="s">
        <v>395</v>
      </c>
      <c r="G120" s="283">
        <v>1500</v>
      </c>
      <c r="H120" s="283">
        <v>0</v>
      </c>
      <c r="I120" s="283">
        <v>1500</v>
      </c>
      <c r="J120" s="182">
        <v>-400</v>
      </c>
      <c r="K120" s="182"/>
      <c r="L120" s="399">
        <f t="shared" si="8"/>
        <v>-400</v>
      </c>
      <c r="M120" s="181">
        <f t="shared" si="5"/>
        <v>1100</v>
      </c>
      <c r="N120" s="181">
        <f t="shared" si="6"/>
        <v>0</v>
      </c>
      <c r="O120" s="181">
        <f t="shared" si="7"/>
        <v>1100</v>
      </c>
    </row>
    <row r="121" spans="1:15" ht="15" customHeight="1">
      <c r="A121" s="438"/>
      <c r="B121" s="438"/>
      <c r="C121" s="140" t="s">
        <v>308</v>
      </c>
      <c r="D121" s="440" t="s">
        <v>919</v>
      </c>
      <c r="E121" s="441"/>
      <c r="F121" s="283" t="s">
        <v>395</v>
      </c>
      <c r="G121" s="283">
        <v>2500</v>
      </c>
      <c r="H121" s="283">
        <v>0</v>
      </c>
      <c r="I121" s="283">
        <v>2500</v>
      </c>
      <c r="J121" s="283">
        <v>-600</v>
      </c>
      <c r="K121" s="283"/>
      <c r="L121" s="399">
        <f t="shared" si="8"/>
        <v>-600</v>
      </c>
      <c r="M121" s="181">
        <f t="shared" si="5"/>
        <v>1900</v>
      </c>
      <c r="N121" s="181">
        <f t="shared" si="6"/>
        <v>0</v>
      </c>
      <c r="O121" s="181">
        <f t="shared" si="7"/>
        <v>1900</v>
      </c>
    </row>
    <row r="122" spans="1:15" ht="15" customHeight="1">
      <c r="A122" s="438"/>
      <c r="B122" s="438"/>
      <c r="C122" s="140" t="s">
        <v>295</v>
      </c>
      <c r="D122" s="442" t="s">
        <v>920</v>
      </c>
      <c r="E122" s="226"/>
      <c r="F122" s="182"/>
      <c r="G122" s="283">
        <v>20682</v>
      </c>
      <c r="H122" s="283">
        <v>0</v>
      </c>
      <c r="I122" s="283">
        <v>20682</v>
      </c>
      <c r="J122" s="182"/>
      <c r="K122" s="182"/>
      <c r="L122" s="399">
        <f t="shared" si="8"/>
        <v>0</v>
      </c>
      <c r="M122" s="181">
        <f t="shared" si="5"/>
        <v>20682</v>
      </c>
      <c r="N122" s="181">
        <f t="shared" si="6"/>
        <v>0</v>
      </c>
      <c r="O122" s="181">
        <f aca="true" t="shared" si="10" ref="O122:O197">SUM(M122:N122)</f>
        <v>20682</v>
      </c>
    </row>
    <row r="123" spans="1:15" ht="24.75" customHeight="1">
      <c r="A123" s="438"/>
      <c r="B123" s="438"/>
      <c r="C123" s="140" t="s">
        <v>296</v>
      </c>
      <c r="D123" s="443" t="s">
        <v>561</v>
      </c>
      <c r="E123" s="226"/>
      <c r="F123" s="182"/>
      <c r="G123" s="283">
        <v>18000</v>
      </c>
      <c r="H123" s="283">
        <v>0</v>
      </c>
      <c r="I123" s="283">
        <v>18000</v>
      </c>
      <c r="J123" s="182"/>
      <c r="K123" s="182"/>
      <c r="L123" s="399">
        <f t="shared" si="8"/>
        <v>0</v>
      </c>
      <c r="M123" s="181">
        <f t="shared" si="5"/>
        <v>18000</v>
      </c>
      <c r="N123" s="181">
        <f t="shared" si="6"/>
        <v>0</v>
      </c>
      <c r="O123" s="181">
        <f t="shared" si="10"/>
        <v>18000</v>
      </c>
    </row>
    <row r="124" spans="1:15" ht="15" customHeight="1">
      <c r="A124" s="438"/>
      <c r="B124" s="438"/>
      <c r="C124" s="140" t="s">
        <v>602</v>
      </c>
      <c r="D124" s="443" t="s">
        <v>604</v>
      </c>
      <c r="E124" s="226"/>
      <c r="F124" s="182"/>
      <c r="G124" s="283">
        <v>182</v>
      </c>
      <c r="H124" s="283"/>
      <c r="I124" s="283">
        <v>182</v>
      </c>
      <c r="J124" s="182"/>
      <c r="K124" s="182"/>
      <c r="L124" s="399">
        <f t="shared" si="8"/>
        <v>0</v>
      </c>
      <c r="M124" s="181">
        <f t="shared" si="5"/>
        <v>182</v>
      </c>
      <c r="N124" s="181"/>
      <c r="O124" s="181">
        <f t="shared" si="10"/>
        <v>182</v>
      </c>
    </row>
    <row r="125" spans="1:15" ht="15" customHeight="1">
      <c r="A125" s="438"/>
      <c r="B125" s="438"/>
      <c r="C125" s="140" t="s">
        <v>603</v>
      </c>
      <c r="D125" s="443" t="s">
        <v>605</v>
      </c>
      <c r="E125" s="226"/>
      <c r="F125" s="182"/>
      <c r="G125" s="283">
        <v>1217</v>
      </c>
      <c r="H125" s="283"/>
      <c r="I125" s="283">
        <v>1217</v>
      </c>
      <c r="J125" s="182"/>
      <c r="K125" s="182"/>
      <c r="L125" s="399">
        <f t="shared" si="8"/>
        <v>0</v>
      </c>
      <c r="M125" s="181">
        <f>SUM(G125+J125)</f>
        <v>1217</v>
      </c>
      <c r="N125" s="181"/>
      <c r="O125" s="181">
        <f t="shared" si="10"/>
        <v>1217</v>
      </c>
    </row>
    <row r="126" spans="1:15" ht="15" customHeight="1">
      <c r="A126" s="438"/>
      <c r="B126" s="438"/>
      <c r="C126" s="140" t="s">
        <v>599</v>
      </c>
      <c r="D126" s="443" t="s">
        <v>600</v>
      </c>
      <c r="E126" s="226"/>
      <c r="F126" s="182" t="s">
        <v>72</v>
      </c>
      <c r="G126" s="283">
        <v>2920</v>
      </c>
      <c r="H126" s="283"/>
      <c r="I126" s="283">
        <v>2920</v>
      </c>
      <c r="J126" s="182">
        <v>9396</v>
      </c>
      <c r="K126" s="182"/>
      <c r="L126" s="399">
        <f t="shared" si="8"/>
        <v>9396</v>
      </c>
      <c r="M126" s="181">
        <f>SUM(G126+J126)</f>
        <v>12316</v>
      </c>
      <c r="N126" s="181"/>
      <c r="O126" s="181">
        <f t="shared" si="10"/>
        <v>12316</v>
      </c>
    </row>
    <row r="127" spans="1:15" ht="15" customHeight="1">
      <c r="A127" s="438"/>
      <c r="B127" s="438"/>
      <c r="C127" s="140" t="s">
        <v>946</v>
      </c>
      <c r="D127" s="443" t="s">
        <v>975</v>
      </c>
      <c r="E127" s="226"/>
      <c r="F127" s="182" t="s">
        <v>395</v>
      </c>
      <c r="G127" s="283">
        <v>20000</v>
      </c>
      <c r="H127" s="283"/>
      <c r="I127" s="283">
        <v>20000</v>
      </c>
      <c r="J127" s="182">
        <v>450</v>
      </c>
      <c r="K127" s="182"/>
      <c r="L127" s="399">
        <f t="shared" si="8"/>
        <v>450</v>
      </c>
      <c r="M127" s="181">
        <f>SUM(G127+J127)</f>
        <v>20450</v>
      </c>
      <c r="N127" s="181"/>
      <c r="O127" s="181">
        <f t="shared" si="10"/>
        <v>20450</v>
      </c>
    </row>
    <row r="128" spans="1:15" ht="15" customHeight="1">
      <c r="A128" s="438"/>
      <c r="B128" s="438"/>
      <c r="C128" s="140"/>
      <c r="D128" s="242" t="s">
        <v>856</v>
      </c>
      <c r="E128" s="226"/>
      <c r="F128" s="182"/>
      <c r="G128" s="283">
        <v>0</v>
      </c>
      <c r="H128" s="283">
        <v>0</v>
      </c>
      <c r="I128" s="283">
        <v>0</v>
      </c>
      <c r="J128" s="182"/>
      <c r="K128" s="182"/>
      <c r="L128" s="399">
        <f t="shared" si="8"/>
        <v>0</v>
      </c>
      <c r="M128" s="181">
        <f aca="true" t="shared" si="11" ref="M128:M200">SUM(G128+J128)</f>
        <v>0</v>
      </c>
      <c r="N128" s="181">
        <f aca="true" t="shared" si="12" ref="N128:N199">SUM(H128+K128)</f>
        <v>0</v>
      </c>
      <c r="O128" s="181">
        <f t="shared" si="10"/>
        <v>0</v>
      </c>
    </row>
    <row r="129" spans="1:15" ht="15" customHeight="1">
      <c r="A129" s="438"/>
      <c r="B129" s="438"/>
      <c r="C129" s="140" t="s">
        <v>80</v>
      </c>
      <c r="D129" s="256" t="s">
        <v>549</v>
      </c>
      <c r="E129" s="163"/>
      <c r="F129" s="183"/>
      <c r="G129" s="283">
        <v>2059</v>
      </c>
      <c r="H129" s="283">
        <v>0</v>
      </c>
      <c r="I129" s="283">
        <v>2059</v>
      </c>
      <c r="J129" s="182"/>
      <c r="K129" s="182"/>
      <c r="L129" s="399">
        <f t="shared" si="8"/>
        <v>0</v>
      </c>
      <c r="M129" s="181">
        <f t="shared" si="11"/>
        <v>2059</v>
      </c>
      <c r="N129" s="181">
        <f t="shared" si="12"/>
        <v>0</v>
      </c>
      <c r="O129" s="181">
        <f t="shared" si="10"/>
        <v>2059</v>
      </c>
    </row>
    <row r="130" spans="1:15" ht="24.75" customHeight="1">
      <c r="A130" s="438"/>
      <c r="B130" s="438"/>
      <c r="C130" s="140" t="s">
        <v>186</v>
      </c>
      <c r="D130" s="444" t="s">
        <v>45</v>
      </c>
      <c r="E130" s="163"/>
      <c r="F130" s="183"/>
      <c r="G130" s="283">
        <v>0</v>
      </c>
      <c r="H130" s="283">
        <v>0</v>
      </c>
      <c r="I130" s="283">
        <v>0</v>
      </c>
      <c r="J130" s="182"/>
      <c r="K130" s="182"/>
      <c r="L130" s="399">
        <f t="shared" si="8"/>
        <v>0</v>
      </c>
      <c r="M130" s="181">
        <f t="shared" si="11"/>
        <v>0</v>
      </c>
      <c r="N130" s="181">
        <f t="shared" si="12"/>
        <v>0</v>
      </c>
      <c r="O130" s="181">
        <f t="shared" si="10"/>
        <v>0</v>
      </c>
    </row>
    <row r="131" spans="1:15" ht="15" customHeight="1">
      <c r="A131" s="438"/>
      <c r="B131" s="438"/>
      <c r="C131" s="140" t="s">
        <v>187</v>
      </c>
      <c r="D131" s="256" t="s">
        <v>550</v>
      </c>
      <c r="E131" s="163"/>
      <c r="F131" s="183"/>
      <c r="G131" s="283">
        <v>4813</v>
      </c>
      <c r="H131" s="283">
        <v>0</v>
      </c>
      <c r="I131" s="283">
        <v>4813</v>
      </c>
      <c r="J131" s="182"/>
      <c r="K131" s="182"/>
      <c r="L131" s="399">
        <f t="shared" si="8"/>
        <v>0</v>
      </c>
      <c r="M131" s="181">
        <f t="shared" si="11"/>
        <v>4813</v>
      </c>
      <c r="N131" s="181">
        <f t="shared" si="12"/>
        <v>0</v>
      </c>
      <c r="O131" s="181">
        <f t="shared" si="10"/>
        <v>4813</v>
      </c>
    </row>
    <row r="132" spans="1:15" ht="15" customHeight="1">
      <c r="A132" s="438"/>
      <c r="B132" s="438"/>
      <c r="C132" s="140" t="s">
        <v>188</v>
      </c>
      <c r="D132" s="256" t="s">
        <v>560</v>
      </c>
      <c r="E132" s="163"/>
      <c r="F132" s="183"/>
      <c r="G132" s="283">
        <v>6549</v>
      </c>
      <c r="H132" s="283">
        <v>0</v>
      </c>
      <c r="I132" s="283">
        <v>6549</v>
      </c>
      <c r="J132" s="182"/>
      <c r="K132" s="182"/>
      <c r="L132" s="399">
        <f t="shared" si="8"/>
        <v>0</v>
      </c>
      <c r="M132" s="181">
        <f t="shared" si="11"/>
        <v>6549</v>
      </c>
      <c r="N132" s="181">
        <f t="shared" si="12"/>
        <v>0</v>
      </c>
      <c r="O132" s="181">
        <f t="shared" si="10"/>
        <v>6549</v>
      </c>
    </row>
    <row r="133" spans="1:15" ht="15" customHeight="1">
      <c r="A133" s="438"/>
      <c r="B133" s="438"/>
      <c r="C133" s="140" t="s">
        <v>863</v>
      </c>
      <c r="D133" s="256" t="s">
        <v>562</v>
      </c>
      <c r="E133" s="163"/>
      <c r="F133" s="183" t="s">
        <v>395</v>
      </c>
      <c r="G133" s="283">
        <v>29972</v>
      </c>
      <c r="H133" s="283">
        <v>0</v>
      </c>
      <c r="I133" s="283">
        <v>29972</v>
      </c>
      <c r="J133" s="182">
        <v>2674</v>
      </c>
      <c r="K133" s="182"/>
      <c r="L133" s="399">
        <f t="shared" si="8"/>
        <v>2674</v>
      </c>
      <c r="M133" s="181">
        <f t="shared" si="11"/>
        <v>32646</v>
      </c>
      <c r="N133" s="181">
        <f t="shared" si="12"/>
        <v>0</v>
      </c>
      <c r="O133" s="181">
        <f t="shared" si="10"/>
        <v>32646</v>
      </c>
    </row>
    <row r="134" spans="1:15" ht="15" customHeight="1">
      <c r="A134" s="438"/>
      <c r="B134" s="438"/>
      <c r="C134" s="140" t="s">
        <v>864</v>
      </c>
      <c r="D134" s="445" t="s">
        <v>47</v>
      </c>
      <c r="E134" s="163"/>
      <c r="F134" s="183" t="s">
        <v>395</v>
      </c>
      <c r="G134" s="283">
        <v>3213</v>
      </c>
      <c r="H134" s="283">
        <v>0</v>
      </c>
      <c r="I134" s="283">
        <v>3213</v>
      </c>
      <c r="J134" s="182">
        <v>1759</v>
      </c>
      <c r="K134" s="182"/>
      <c r="L134" s="399">
        <f t="shared" si="8"/>
        <v>1759</v>
      </c>
      <c r="M134" s="181">
        <f t="shared" si="11"/>
        <v>4972</v>
      </c>
      <c r="N134" s="181">
        <f t="shared" si="12"/>
        <v>0</v>
      </c>
      <c r="O134" s="181">
        <f t="shared" si="10"/>
        <v>4972</v>
      </c>
    </row>
    <row r="135" spans="1:15" ht="15" customHeight="1">
      <c r="A135" s="438"/>
      <c r="B135" s="438"/>
      <c r="C135" s="140" t="s">
        <v>921</v>
      </c>
      <c r="D135" s="253" t="s">
        <v>69</v>
      </c>
      <c r="E135" s="163"/>
      <c r="F135" s="183"/>
      <c r="G135" s="283">
        <v>2470</v>
      </c>
      <c r="H135" s="283">
        <v>0</v>
      </c>
      <c r="I135" s="283">
        <v>2470</v>
      </c>
      <c r="J135" s="182"/>
      <c r="K135" s="182"/>
      <c r="L135" s="399">
        <f t="shared" si="8"/>
        <v>0</v>
      </c>
      <c r="M135" s="181">
        <f t="shared" si="11"/>
        <v>2470</v>
      </c>
      <c r="N135" s="181">
        <f t="shared" si="12"/>
        <v>0</v>
      </c>
      <c r="O135" s="181">
        <f t="shared" si="10"/>
        <v>2470</v>
      </c>
    </row>
    <row r="136" spans="1:15" ht="15" customHeight="1">
      <c r="A136" s="438"/>
      <c r="B136" s="438"/>
      <c r="C136" s="140" t="s">
        <v>922</v>
      </c>
      <c r="D136" s="444" t="s">
        <v>46</v>
      </c>
      <c r="E136" s="163"/>
      <c r="F136" s="183"/>
      <c r="G136" s="283">
        <v>0</v>
      </c>
      <c r="H136" s="283">
        <v>0</v>
      </c>
      <c r="I136" s="283">
        <v>0</v>
      </c>
      <c r="J136" s="182"/>
      <c r="K136" s="182"/>
      <c r="L136" s="399">
        <f t="shared" si="8"/>
        <v>0</v>
      </c>
      <c r="M136" s="181">
        <f t="shared" si="11"/>
        <v>0</v>
      </c>
      <c r="N136" s="181">
        <f t="shared" si="12"/>
        <v>0</v>
      </c>
      <c r="O136" s="181">
        <f t="shared" si="10"/>
        <v>0</v>
      </c>
    </row>
    <row r="137" spans="1:15" ht="24.75" customHeight="1">
      <c r="A137" s="438"/>
      <c r="B137" s="438"/>
      <c r="C137" s="140" t="s">
        <v>178</v>
      </c>
      <c r="D137" s="560" t="s">
        <v>1138</v>
      </c>
      <c r="E137" s="163"/>
      <c r="F137" s="183"/>
      <c r="G137" s="283">
        <v>649</v>
      </c>
      <c r="H137" s="283"/>
      <c r="I137" s="283">
        <v>649</v>
      </c>
      <c r="J137" s="182"/>
      <c r="K137" s="182"/>
      <c r="L137" s="399">
        <f t="shared" si="8"/>
        <v>0</v>
      </c>
      <c r="M137" s="181">
        <f t="shared" si="11"/>
        <v>649</v>
      </c>
      <c r="N137" s="181"/>
      <c r="O137" s="181">
        <f t="shared" si="10"/>
        <v>649</v>
      </c>
    </row>
    <row r="138" spans="1:15" ht="13.5" customHeight="1">
      <c r="A138" s="446"/>
      <c r="B138" s="446"/>
      <c r="C138" s="137" t="s">
        <v>309</v>
      </c>
      <c r="D138" s="164" t="s">
        <v>462</v>
      </c>
      <c r="E138" s="227"/>
      <c r="F138" s="180"/>
      <c r="G138" s="283">
        <v>0</v>
      </c>
      <c r="H138" s="283">
        <v>0</v>
      </c>
      <c r="I138" s="283">
        <v>0</v>
      </c>
      <c r="J138" s="180"/>
      <c r="K138" s="180"/>
      <c r="L138" s="399">
        <f t="shared" si="8"/>
        <v>0</v>
      </c>
      <c r="M138" s="181">
        <f t="shared" si="11"/>
        <v>0</v>
      </c>
      <c r="N138" s="181">
        <f t="shared" si="12"/>
        <v>0</v>
      </c>
      <c r="O138" s="181">
        <f t="shared" si="10"/>
        <v>0</v>
      </c>
    </row>
    <row r="139" spans="1:15" ht="13.5" customHeight="1">
      <c r="A139" s="446"/>
      <c r="B139" s="446"/>
      <c r="C139" s="142" t="s">
        <v>310</v>
      </c>
      <c r="D139" s="447" t="s">
        <v>924</v>
      </c>
      <c r="E139" s="224"/>
      <c r="F139" s="697" t="s">
        <v>395</v>
      </c>
      <c r="G139" s="283">
        <v>15600</v>
      </c>
      <c r="H139" s="283">
        <v>0</v>
      </c>
      <c r="I139" s="283">
        <v>15600</v>
      </c>
      <c r="J139" s="181">
        <v>-450</v>
      </c>
      <c r="K139" s="181"/>
      <c r="L139" s="399">
        <f t="shared" si="8"/>
        <v>-450</v>
      </c>
      <c r="M139" s="181">
        <f t="shared" si="11"/>
        <v>15150</v>
      </c>
      <c r="N139" s="181">
        <f t="shared" si="12"/>
        <v>0</v>
      </c>
      <c r="O139" s="181">
        <f t="shared" si="10"/>
        <v>15150</v>
      </c>
    </row>
    <row r="140" spans="1:15" ht="13.5" customHeight="1">
      <c r="A140" s="446"/>
      <c r="B140" s="446"/>
      <c r="C140" s="142"/>
      <c r="D140" s="242" t="s">
        <v>856</v>
      </c>
      <c r="E140" s="224"/>
      <c r="F140" s="697"/>
      <c r="G140" s="283">
        <v>0</v>
      </c>
      <c r="H140" s="283">
        <v>0</v>
      </c>
      <c r="I140" s="283">
        <v>0</v>
      </c>
      <c r="J140" s="181"/>
      <c r="K140" s="181"/>
      <c r="L140" s="399">
        <f t="shared" si="8"/>
        <v>0</v>
      </c>
      <c r="M140" s="181">
        <f t="shared" si="11"/>
        <v>0</v>
      </c>
      <c r="N140" s="181">
        <f t="shared" si="12"/>
        <v>0</v>
      </c>
      <c r="O140" s="181">
        <f t="shared" si="10"/>
        <v>0</v>
      </c>
    </row>
    <row r="141" spans="1:15" ht="13.5" customHeight="1">
      <c r="A141" s="446"/>
      <c r="B141" s="446"/>
      <c r="C141" s="142" t="s">
        <v>189</v>
      </c>
      <c r="D141" s="256" t="s">
        <v>564</v>
      </c>
      <c r="E141" s="224"/>
      <c r="F141" s="697"/>
      <c r="G141" s="283">
        <v>2900</v>
      </c>
      <c r="H141" s="283">
        <v>0</v>
      </c>
      <c r="I141" s="283">
        <v>2900</v>
      </c>
      <c r="J141" s="181"/>
      <c r="K141" s="181"/>
      <c r="L141" s="399">
        <f t="shared" si="8"/>
        <v>0</v>
      </c>
      <c r="M141" s="181">
        <f t="shared" si="11"/>
        <v>2900</v>
      </c>
      <c r="N141" s="181">
        <f t="shared" si="12"/>
        <v>0</v>
      </c>
      <c r="O141" s="181">
        <f t="shared" si="10"/>
        <v>2900</v>
      </c>
    </row>
    <row r="142" spans="1:15" ht="13.5" customHeight="1">
      <c r="A142" s="446"/>
      <c r="B142" s="446"/>
      <c r="C142" s="138" t="s">
        <v>311</v>
      </c>
      <c r="D142" s="167" t="s">
        <v>225</v>
      </c>
      <c r="E142" s="227"/>
      <c r="F142" s="180"/>
      <c r="G142" s="283">
        <v>0</v>
      </c>
      <c r="H142" s="283">
        <v>0</v>
      </c>
      <c r="I142" s="283">
        <v>0</v>
      </c>
      <c r="J142" s="180"/>
      <c r="K142" s="180"/>
      <c r="L142" s="399">
        <f t="shared" si="8"/>
        <v>0</v>
      </c>
      <c r="M142" s="181">
        <f t="shared" si="11"/>
        <v>0</v>
      </c>
      <c r="N142" s="181">
        <f t="shared" si="12"/>
        <v>0</v>
      </c>
      <c r="O142" s="181">
        <f t="shared" si="10"/>
        <v>0</v>
      </c>
    </row>
    <row r="143" spans="1:15" ht="24.75" customHeight="1">
      <c r="A143" s="446"/>
      <c r="B143" s="446"/>
      <c r="C143" s="142" t="s">
        <v>316</v>
      </c>
      <c r="D143" s="456" t="s">
        <v>683</v>
      </c>
      <c r="E143" s="227" t="s">
        <v>1161</v>
      </c>
      <c r="F143" s="180" t="s">
        <v>72</v>
      </c>
      <c r="G143" s="283">
        <v>90000</v>
      </c>
      <c r="H143" s="283">
        <v>0</v>
      </c>
      <c r="I143" s="283">
        <v>90000</v>
      </c>
      <c r="J143" s="180">
        <v>491005</v>
      </c>
      <c r="K143" s="180"/>
      <c r="L143" s="399">
        <f t="shared" si="8"/>
        <v>491005</v>
      </c>
      <c r="M143" s="181">
        <f t="shared" si="11"/>
        <v>581005</v>
      </c>
      <c r="N143" s="181">
        <f t="shared" si="12"/>
        <v>0</v>
      </c>
      <c r="O143" s="181">
        <f t="shared" si="10"/>
        <v>581005</v>
      </c>
    </row>
    <row r="144" spans="1:15" ht="24.75" customHeight="1">
      <c r="A144" s="446"/>
      <c r="B144" s="446"/>
      <c r="C144" s="142" t="s">
        <v>317</v>
      </c>
      <c r="D144" s="456" t="s">
        <v>684</v>
      </c>
      <c r="E144" s="227" t="s">
        <v>1161</v>
      </c>
      <c r="F144" s="180" t="s">
        <v>72</v>
      </c>
      <c r="G144" s="283">
        <v>90000</v>
      </c>
      <c r="H144" s="283">
        <v>0</v>
      </c>
      <c r="I144" s="283">
        <v>90000</v>
      </c>
      <c r="J144" s="180">
        <v>494387</v>
      </c>
      <c r="K144" s="180"/>
      <c r="L144" s="399">
        <f t="shared" si="8"/>
        <v>494387</v>
      </c>
      <c r="M144" s="181">
        <f t="shared" si="11"/>
        <v>584387</v>
      </c>
      <c r="N144" s="181">
        <f t="shared" si="12"/>
        <v>0</v>
      </c>
      <c r="O144" s="181">
        <f t="shared" si="10"/>
        <v>584387</v>
      </c>
    </row>
    <row r="145" spans="1:15" ht="12" customHeight="1">
      <c r="A145" s="138"/>
      <c r="B145" s="138"/>
      <c r="C145" s="138" t="s">
        <v>313</v>
      </c>
      <c r="D145" s="167" t="s">
        <v>318</v>
      </c>
      <c r="E145" s="168"/>
      <c r="F145" s="695"/>
      <c r="G145" s="283">
        <v>0</v>
      </c>
      <c r="H145" s="283">
        <v>0</v>
      </c>
      <c r="I145" s="283">
        <v>0</v>
      </c>
      <c r="J145" s="184"/>
      <c r="K145" s="184"/>
      <c r="L145" s="399">
        <f t="shared" si="8"/>
        <v>0</v>
      </c>
      <c r="M145" s="181">
        <f t="shared" si="11"/>
        <v>0</v>
      </c>
      <c r="N145" s="181">
        <f t="shared" si="12"/>
        <v>0</v>
      </c>
      <c r="O145" s="181">
        <f t="shared" si="10"/>
        <v>0</v>
      </c>
    </row>
    <row r="146" spans="1:15" ht="24.75" customHeight="1">
      <c r="A146" s="138"/>
      <c r="B146" s="138"/>
      <c r="C146" s="143" t="s">
        <v>319</v>
      </c>
      <c r="D146" s="426" t="s">
        <v>925</v>
      </c>
      <c r="E146" s="449"/>
      <c r="F146" s="700"/>
      <c r="G146" s="283">
        <v>13100</v>
      </c>
      <c r="H146" s="283">
        <v>0</v>
      </c>
      <c r="I146" s="283">
        <v>13100</v>
      </c>
      <c r="J146" s="244"/>
      <c r="K146" s="244"/>
      <c r="L146" s="399">
        <f t="shared" si="8"/>
        <v>0</v>
      </c>
      <c r="M146" s="181">
        <f t="shared" si="11"/>
        <v>13100</v>
      </c>
      <c r="N146" s="181">
        <f t="shared" si="12"/>
        <v>0</v>
      </c>
      <c r="O146" s="181">
        <f t="shared" si="10"/>
        <v>13100</v>
      </c>
    </row>
    <row r="147" spans="1:15" ht="15" customHeight="1">
      <c r="A147" s="138"/>
      <c r="B147" s="138"/>
      <c r="C147" s="143" t="s">
        <v>320</v>
      </c>
      <c r="D147" s="426" t="s">
        <v>926</v>
      </c>
      <c r="E147" s="449"/>
      <c r="F147" s="700" t="s">
        <v>395</v>
      </c>
      <c r="G147" s="283">
        <v>2000</v>
      </c>
      <c r="H147" s="283">
        <v>0</v>
      </c>
      <c r="I147" s="283">
        <v>2000</v>
      </c>
      <c r="J147" s="244">
        <v>-835</v>
      </c>
      <c r="K147" s="244"/>
      <c r="L147" s="399">
        <f t="shared" si="8"/>
        <v>-835</v>
      </c>
      <c r="M147" s="181">
        <f t="shared" si="11"/>
        <v>1165</v>
      </c>
      <c r="N147" s="181">
        <f t="shared" si="12"/>
        <v>0</v>
      </c>
      <c r="O147" s="181">
        <f t="shared" si="10"/>
        <v>1165</v>
      </c>
    </row>
    <row r="148" spans="1:15" ht="15" customHeight="1">
      <c r="A148" s="138"/>
      <c r="B148" s="138"/>
      <c r="C148" s="143" t="s">
        <v>321</v>
      </c>
      <c r="D148" s="426" t="s">
        <v>927</v>
      </c>
      <c r="E148" s="177"/>
      <c r="F148" s="399"/>
      <c r="G148" s="283">
        <v>800</v>
      </c>
      <c r="H148" s="283">
        <v>0</v>
      </c>
      <c r="I148" s="283">
        <v>800</v>
      </c>
      <c r="J148" s="39"/>
      <c r="K148" s="563"/>
      <c r="L148" s="399">
        <f t="shared" si="8"/>
        <v>0</v>
      </c>
      <c r="M148" s="181">
        <f t="shared" si="11"/>
        <v>800</v>
      </c>
      <c r="N148" s="181">
        <f t="shared" si="12"/>
        <v>0</v>
      </c>
      <c r="O148" s="181">
        <f t="shared" si="10"/>
        <v>800</v>
      </c>
    </row>
    <row r="149" spans="1:15" ht="15" customHeight="1">
      <c r="A149" s="138"/>
      <c r="B149" s="138"/>
      <c r="C149" s="143" t="s">
        <v>322</v>
      </c>
      <c r="D149" s="427" t="s">
        <v>928</v>
      </c>
      <c r="E149" s="168"/>
      <c r="F149" s="695"/>
      <c r="G149" s="283">
        <v>500</v>
      </c>
      <c r="H149" s="283">
        <v>0</v>
      </c>
      <c r="I149" s="283">
        <v>500</v>
      </c>
      <c r="J149" s="184"/>
      <c r="K149" s="184"/>
      <c r="L149" s="399">
        <f t="shared" si="8"/>
        <v>0</v>
      </c>
      <c r="M149" s="181">
        <f t="shared" si="11"/>
        <v>500</v>
      </c>
      <c r="N149" s="181">
        <f t="shared" si="12"/>
        <v>0</v>
      </c>
      <c r="O149" s="181">
        <f t="shared" si="10"/>
        <v>500</v>
      </c>
    </row>
    <row r="150" spans="1:15" ht="15" customHeight="1">
      <c r="A150" s="138"/>
      <c r="B150" s="138"/>
      <c r="C150" s="143" t="s">
        <v>323</v>
      </c>
      <c r="D150" s="256" t="s">
        <v>929</v>
      </c>
      <c r="E150" s="168"/>
      <c r="F150" s="695" t="s">
        <v>395</v>
      </c>
      <c r="G150" s="283">
        <v>10000</v>
      </c>
      <c r="H150" s="283">
        <v>0</v>
      </c>
      <c r="I150" s="283">
        <v>10000</v>
      </c>
      <c r="J150" s="184">
        <v>-600</v>
      </c>
      <c r="K150" s="184"/>
      <c r="L150" s="399">
        <f t="shared" si="8"/>
        <v>-600</v>
      </c>
      <c r="M150" s="181">
        <f t="shared" si="11"/>
        <v>9400</v>
      </c>
      <c r="N150" s="181">
        <f t="shared" si="12"/>
        <v>0</v>
      </c>
      <c r="O150" s="181">
        <f t="shared" si="10"/>
        <v>9400</v>
      </c>
    </row>
    <row r="151" spans="1:15" ht="15" customHeight="1">
      <c r="A151" s="138"/>
      <c r="B151" s="138"/>
      <c r="C151" s="143" t="s">
        <v>324</v>
      </c>
      <c r="D151" s="256" t="s">
        <v>930</v>
      </c>
      <c r="E151" s="168"/>
      <c r="F151" s="695"/>
      <c r="G151" s="283">
        <v>1500</v>
      </c>
      <c r="H151" s="283">
        <v>0</v>
      </c>
      <c r="I151" s="283">
        <v>1500</v>
      </c>
      <c r="J151" s="184"/>
      <c r="K151" s="184"/>
      <c r="L151" s="399">
        <f t="shared" si="8"/>
        <v>0</v>
      </c>
      <c r="M151" s="181">
        <f t="shared" si="11"/>
        <v>1500</v>
      </c>
      <c r="N151" s="181">
        <f t="shared" si="12"/>
        <v>0</v>
      </c>
      <c r="O151" s="181">
        <f t="shared" si="10"/>
        <v>1500</v>
      </c>
    </row>
    <row r="152" spans="1:15" ht="15" customHeight="1">
      <c r="A152" s="138"/>
      <c r="B152" s="138"/>
      <c r="C152" s="143" t="s">
        <v>325</v>
      </c>
      <c r="D152" s="423" t="s">
        <v>931</v>
      </c>
      <c r="E152" s="168"/>
      <c r="F152" s="695"/>
      <c r="G152" s="283">
        <v>19606</v>
      </c>
      <c r="H152" s="283">
        <v>0</v>
      </c>
      <c r="I152" s="283">
        <v>19606</v>
      </c>
      <c r="J152" s="184"/>
      <c r="K152" s="184"/>
      <c r="L152" s="399">
        <f t="shared" si="8"/>
        <v>0</v>
      </c>
      <c r="M152" s="181">
        <f t="shared" si="11"/>
        <v>19606</v>
      </c>
      <c r="N152" s="181">
        <f t="shared" si="12"/>
        <v>0</v>
      </c>
      <c r="O152" s="181">
        <f t="shared" si="10"/>
        <v>19606</v>
      </c>
    </row>
    <row r="153" spans="1:15" ht="15" customHeight="1">
      <c r="A153" s="138"/>
      <c r="B153" s="138"/>
      <c r="C153" s="143" t="s">
        <v>326</v>
      </c>
      <c r="D153" s="450" t="s">
        <v>932</v>
      </c>
      <c r="E153" s="168"/>
      <c r="F153" s="695" t="s">
        <v>72</v>
      </c>
      <c r="G153" s="283">
        <v>22274</v>
      </c>
      <c r="H153" s="283">
        <v>0</v>
      </c>
      <c r="I153" s="283">
        <v>22274</v>
      </c>
      <c r="J153" s="184">
        <v>-392</v>
      </c>
      <c r="K153" s="184"/>
      <c r="L153" s="399">
        <f t="shared" si="8"/>
        <v>-392</v>
      </c>
      <c r="M153" s="181">
        <f t="shared" si="11"/>
        <v>21882</v>
      </c>
      <c r="N153" s="181">
        <f t="shared" si="12"/>
        <v>0</v>
      </c>
      <c r="O153" s="181">
        <f t="shared" si="10"/>
        <v>21882</v>
      </c>
    </row>
    <row r="154" spans="1:15" ht="15" customHeight="1">
      <c r="A154" s="138"/>
      <c r="B154" s="138"/>
      <c r="C154" s="143" t="s">
        <v>327</v>
      </c>
      <c r="D154" s="451" t="s">
        <v>567</v>
      </c>
      <c r="E154" s="168"/>
      <c r="F154" s="695"/>
      <c r="G154" s="283">
        <v>1400</v>
      </c>
      <c r="H154" s="283">
        <v>0</v>
      </c>
      <c r="I154" s="283">
        <v>1400</v>
      </c>
      <c r="J154" s="184"/>
      <c r="K154" s="184"/>
      <c r="L154" s="399">
        <f t="shared" si="8"/>
        <v>0</v>
      </c>
      <c r="M154" s="181">
        <f t="shared" si="11"/>
        <v>1400</v>
      </c>
      <c r="N154" s="181">
        <f t="shared" si="12"/>
        <v>0</v>
      </c>
      <c r="O154" s="181">
        <f t="shared" si="10"/>
        <v>1400</v>
      </c>
    </row>
    <row r="155" spans="1:15" ht="24.75" customHeight="1">
      <c r="A155" s="138"/>
      <c r="B155" s="138"/>
      <c r="C155" s="143" t="s">
        <v>328</v>
      </c>
      <c r="D155" s="451" t="s">
        <v>933</v>
      </c>
      <c r="E155" s="168"/>
      <c r="F155" s="695"/>
      <c r="G155" s="283">
        <v>0</v>
      </c>
      <c r="H155" s="283">
        <v>0</v>
      </c>
      <c r="I155" s="283">
        <v>0</v>
      </c>
      <c r="J155" s="184"/>
      <c r="K155" s="184"/>
      <c r="L155" s="399">
        <f t="shared" si="8"/>
        <v>0</v>
      </c>
      <c r="M155" s="181">
        <f t="shared" si="11"/>
        <v>0</v>
      </c>
      <c r="N155" s="181">
        <f t="shared" si="12"/>
        <v>0</v>
      </c>
      <c r="O155" s="181">
        <f t="shared" si="10"/>
        <v>0</v>
      </c>
    </row>
    <row r="156" spans="1:15" ht="15" customHeight="1">
      <c r="A156" s="138"/>
      <c r="B156" s="138"/>
      <c r="C156" s="143" t="s">
        <v>329</v>
      </c>
      <c r="D156" s="448" t="s">
        <v>934</v>
      </c>
      <c r="E156" s="168"/>
      <c r="F156" s="695"/>
      <c r="G156" s="283">
        <v>30000</v>
      </c>
      <c r="H156" s="283">
        <v>0</v>
      </c>
      <c r="I156" s="283">
        <v>30000</v>
      </c>
      <c r="J156" s="184"/>
      <c r="K156" s="184"/>
      <c r="L156" s="399">
        <f t="shared" si="8"/>
        <v>0</v>
      </c>
      <c r="M156" s="181">
        <f t="shared" si="11"/>
        <v>30000</v>
      </c>
      <c r="N156" s="181">
        <f t="shared" si="12"/>
        <v>0</v>
      </c>
      <c r="O156" s="181">
        <f t="shared" si="10"/>
        <v>30000</v>
      </c>
    </row>
    <row r="157" spans="1:15" ht="15" customHeight="1">
      <c r="A157" s="138"/>
      <c r="B157" s="138"/>
      <c r="C157" s="143" t="s">
        <v>330</v>
      </c>
      <c r="D157" s="448" t="s">
        <v>935</v>
      </c>
      <c r="E157" s="168"/>
      <c r="F157" s="695"/>
      <c r="G157" s="283">
        <v>500</v>
      </c>
      <c r="H157" s="283">
        <v>0</v>
      </c>
      <c r="I157" s="283">
        <v>500</v>
      </c>
      <c r="J157" s="184"/>
      <c r="K157" s="184"/>
      <c r="L157" s="399">
        <f t="shared" si="8"/>
        <v>0</v>
      </c>
      <c r="M157" s="181">
        <f t="shared" si="11"/>
        <v>500</v>
      </c>
      <c r="N157" s="181">
        <f t="shared" si="12"/>
        <v>0</v>
      </c>
      <c r="O157" s="181">
        <f t="shared" si="10"/>
        <v>500</v>
      </c>
    </row>
    <row r="158" spans="1:15" ht="15" customHeight="1">
      <c r="A158" s="138"/>
      <c r="B158" s="138"/>
      <c r="C158" s="143" t="s">
        <v>331</v>
      </c>
      <c r="D158" s="452" t="s">
        <v>936</v>
      </c>
      <c r="E158" s="168" t="s">
        <v>1161</v>
      </c>
      <c r="F158" s="695"/>
      <c r="G158" s="283">
        <v>315790</v>
      </c>
      <c r="H158" s="283">
        <v>0</v>
      </c>
      <c r="I158" s="283">
        <v>315790</v>
      </c>
      <c r="J158" s="184"/>
      <c r="K158" s="184"/>
      <c r="L158" s="399">
        <f t="shared" si="8"/>
        <v>0</v>
      </c>
      <c r="M158" s="181">
        <f t="shared" si="11"/>
        <v>315790</v>
      </c>
      <c r="N158" s="181">
        <f t="shared" si="12"/>
        <v>0</v>
      </c>
      <c r="O158" s="181">
        <f t="shared" si="10"/>
        <v>315790</v>
      </c>
    </row>
    <row r="159" spans="1:15" ht="15" customHeight="1">
      <c r="A159" s="138"/>
      <c r="B159" s="138"/>
      <c r="C159" s="143" t="s">
        <v>332</v>
      </c>
      <c r="D159" s="243" t="s">
        <v>1165</v>
      </c>
      <c r="E159" s="168"/>
      <c r="F159" s="695" t="s">
        <v>72</v>
      </c>
      <c r="G159" s="283"/>
      <c r="H159" s="283"/>
      <c r="I159" s="283"/>
      <c r="J159" s="184">
        <v>13780</v>
      </c>
      <c r="K159" s="184"/>
      <c r="L159" s="399">
        <v>13780</v>
      </c>
      <c r="M159" s="181">
        <f t="shared" si="11"/>
        <v>13780</v>
      </c>
      <c r="N159" s="181"/>
      <c r="O159" s="181">
        <f t="shared" si="10"/>
        <v>13780</v>
      </c>
    </row>
    <row r="160" spans="1:15" ht="15" customHeight="1">
      <c r="A160" s="138"/>
      <c r="B160" s="138"/>
      <c r="C160" s="144"/>
      <c r="D160" s="242" t="s">
        <v>856</v>
      </c>
      <c r="E160" s="166"/>
      <c r="F160" s="695"/>
      <c r="G160" s="283">
        <v>0</v>
      </c>
      <c r="H160" s="283">
        <v>0</v>
      </c>
      <c r="I160" s="283">
        <v>0</v>
      </c>
      <c r="J160" s="184"/>
      <c r="K160" s="184"/>
      <c r="L160" s="399">
        <f t="shared" si="8"/>
        <v>0</v>
      </c>
      <c r="M160" s="181">
        <f t="shared" si="11"/>
        <v>0</v>
      </c>
      <c r="N160" s="181">
        <f t="shared" si="12"/>
        <v>0</v>
      </c>
      <c r="O160" s="181">
        <f t="shared" si="10"/>
        <v>0</v>
      </c>
    </row>
    <row r="161" spans="1:15" ht="24.75" customHeight="1">
      <c r="A161" s="138"/>
      <c r="B161" s="138"/>
      <c r="C161" s="144" t="s">
        <v>190</v>
      </c>
      <c r="D161" s="451" t="s">
        <v>998</v>
      </c>
      <c r="E161" s="186" t="s">
        <v>1161</v>
      </c>
      <c r="F161" s="701"/>
      <c r="G161" s="283">
        <v>168644</v>
      </c>
      <c r="H161" s="283">
        <v>0</v>
      </c>
      <c r="I161" s="283">
        <v>168644</v>
      </c>
      <c r="J161" s="184"/>
      <c r="K161" s="184"/>
      <c r="L161" s="399">
        <f t="shared" si="8"/>
        <v>0</v>
      </c>
      <c r="M161" s="181">
        <f t="shared" si="11"/>
        <v>168644</v>
      </c>
      <c r="N161" s="181">
        <f t="shared" si="12"/>
        <v>0</v>
      </c>
      <c r="O161" s="181">
        <f t="shared" si="10"/>
        <v>168644</v>
      </c>
    </row>
    <row r="162" spans="1:15" ht="15" customHeight="1">
      <c r="A162" s="138"/>
      <c r="B162" s="138"/>
      <c r="C162" s="258" t="s">
        <v>192</v>
      </c>
      <c r="D162" s="257" t="s">
        <v>566</v>
      </c>
      <c r="E162" s="186"/>
      <c r="F162" s="701"/>
      <c r="G162" s="283">
        <v>7000</v>
      </c>
      <c r="H162" s="283">
        <v>0</v>
      </c>
      <c r="I162" s="283">
        <v>7000</v>
      </c>
      <c r="J162" s="184"/>
      <c r="K162" s="184"/>
      <c r="L162" s="399">
        <f t="shared" si="8"/>
        <v>0</v>
      </c>
      <c r="M162" s="181">
        <f t="shared" si="11"/>
        <v>7000</v>
      </c>
      <c r="N162" s="181">
        <f t="shared" si="12"/>
        <v>0</v>
      </c>
      <c r="O162" s="181">
        <f t="shared" si="10"/>
        <v>7000</v>
      </c>
    </row>
    <row r="163" spans="1:15" ht="15" customHeight="1">
      <c r="A163" s="138"/>
      <c r="B163" s="138"/>
      <c r="C163" s="258" t="s">
        <v>198</v>
      </c>
      <c r="D163" s="256" t="s">
        <v>999</v>
      </c>
      <c r="E163" s="186"/>
      <c r="F163" s="701"/>
      <c r="G163" s="283">
        <v>441</v>
      </c>
      <c r="H163" s="283">
        <v>0</v>
      </c>
      <c r="I163" s="283">
        <v>441</v>
      </c>
      <c r="J163" s="184"/>
      <c r="K163" s="184"/>
      <c r="L163" s="399">
        <f t="shared" si="8"/>
        <v>0</v>
      </c>
      <c r="M163" s="181">
        <f t="shared" si="11"/>
        <v>441</v>
      </c>
      <c r="N163" s="181">
        <f t="shared" si="12"/>
        <v>0</v>
      </c>
      <c r="O163" s="181">
        <f t="shared" si="10"/>
        <v>441</v>
      </c>
    </row>
    <row r="164" spans="1:15" ht="15" customHeight="1">
      <c r="A164" s="138"/>
      <c r="B164" s="138"/>
      <c r="C164" s="258" t="s">
        <v>199</v>
      </c>
      <c r="D164" s="453" t="s">
        <v>675</v>
      </c>
      <c r="E164" s="186"/>
      <c r="F164" s="701"/>
      <c r="G164" s="283">
        <v>21000</v>
      </c>
      <c r="H164" s="283">
        <v>0</v>
      </c>
      <c r="I164" s="283">
        <v>21000</v>
      </c>
      <c r="J164" s="184"/>
      <c r="K164" s="184"/>
      <c r="L164" s="399">
        <f t="shared" si="8"/>
        <v>0</v>
      </c>
      <c r="M164" s="181">
        <f t="shared" si="11"/>
        <v>21000</v>
      </c>
      <c r="N164" s="181">
        <f t="shared" si="12"/>
        <v>0</v>
      </c>
      <c r="O164" s="181">
        <f t="shared" si="10"/>
        <v>21000</v>
      </c>
    </row>
    <row r="165" spans="1:15" ht="15" customHeight="1">
      <c r="A165" s="138"/>
      <c r="B165" s="138"/>
      <c r="C165" s="258" t="s">
        <v>200</v>
      </c>
      <c r="D165" s="255" t="s">
        <v>469</v>
      </c>
      <c r="E165" s="186"/>
      <c r="F165" s="702"/>
      <c r="G165" s="283">
        <v>6850</v>
      </c>
      <c r="H165" s="283">
        <v>0</v>
      </c>
      <c r="I165" s="283">
        <v>6850</v>
      </c>
      <c r="J165" s="184"/>
      <c r="K165" s="184"/>
      <c r="L165" s="399">
        <f aca="true" t="shared" si="13" ref="L165:L250">SUM(J165:K165)</f>
        <v>0</v>
      </c>
      <c r="M165" s="181">
        <f t="shared" si="11"/>
        <v>6850</v>
      </c>
      <c r="N165" s="181">
        <f t="shared" si="12"/>
        <v>0</v>
      </c>
      <c r="O165" s="181">
        <f t="shared" si="10"/>
        <v>6850</v>
      </c>
    </row>
    <row r="166" spans="1:15" ht="24.75" customHeight="1">
      <c r="A166" s="138"/>
      <c r="B166" s="138"/>
      <c r="C166" s="258" t="s">
        <v>201</v>
      </c>
      <c r="D166" s="454" t="s">
        <v>49</v>
      </c>
      <c r="E166" s="186"/>
      <c r="F166" s="701"/>
      <c r="G166" s="283">
        <v>7775</v>
      </c>
      <c r="H166" s="283">
        <v>0</v>
      </c>
      <c r="I166" s="283">
        <v>7775</v>
      </c>
      <c r="J166" s="184"/>
      <c r="K166" s="184"/>
      <c r="L166" s="399">
        <f t="shared" si="13"/>
        <v>0</v>
      </c>
      <c r="M166" s="181">
        <f t="shared" si="11"/>
        <v>7775</v>
      </c>
      <c r="N166" s="181">
        <f t="shared" si="12"/>
        <v>0</v>
      </c>
      <c r="O166" s="181">
        <f t="shared" si="10"/>
        <v>7775</v>
      </c>
    </row>
    <row r="167" spans="1:15" ht="15" customHeight="1">
      <c r="A167" s="138"/>
      <c r="B167" s="138"/>
      <c r="C167" s="258" t="s">
        <v>202</v>
      </c>
      <c r="D167" s="454" t="s">
        <v>677</v>
      </c>
      <c r="E167" s="186"/>
      <c r="F167" s="701"/>
      <c r="G167" s="283">
        <v>2480</v>
      </c>
      <c r="H167" s="283">
        <v>0</v>
      </c>
      <c r="I167" s="283">
        <v>2480</v>
      </c>
      <c r="J167" s="184"/>
      <c r="K167" s="184"/>
      <c r="L167" s="399">
        <f t="shared" si="13"/>
        <v>0</v>
      </c>
      <c r="M167" s="181">
        <f t="shared" si="11"/>
        <v>2480</v>
      </c>
      <c r="N167" s="181">
        <f t="shared" si="12"/>
        <v>0</v>
      </c>
      <c r="O167" s="181">
        <f t="shared" si="10"/>
        <v>2480</v>
      </c>
    </row>
    <row r="168" spans="1:15" ht="15" customHeight="1">
      <c r="A168" s="138"/>
      <c r="B168" s="138"/>
      <c r="C168" s="258" t="s">
        <v>203</v>
      </c>
      <c r="D168" s="454" t="s">
        <v>60</v>
      </c>
      <c r="E168" s="186"/>
      <c r="F168" s="701"/>
      <c r="G168" s="283">
        <v>1824</v>
      </c>
      <c r="H168" s="283">
        <v>0</v>
      </c>
      <c r="I168" s="283">
        <v>1824</v>
      </c>
      <c r="J168" s="184"/>
      <c r="K168" s="184"/>
      <c r="L168" s="399">
        <f t="shared" si="13"/>
        <v>0</v>
      </c>
      <c r="M168" s="181">
        <f t="shared" si="11"/>
        <v>1824</v>
      </c>
      <c r="N168" s="181">
        <f t="shared" si="12"/>
        <v>0</v>
      </c>
      <c r="O168" s="181">
        <f t="shared" si="10"/>
        <v>1824</v>
      </c>
    </row>
    <row r="169" spans="1:15" ht="15" customHeight="1">
      <c r="A169" s="138"/>
      <c r="B169" s="138"/>
      <c r="C169" s="258" t="s">
        <v>338</v>
      </c>
      <c r="D169" s="229" t="s">
        <v>62</v>
      </c>
      <c r="E169" s="186"/>
      <c r="F169" s="701" t="s">
        <v>395</v>
      </c>
      <c r="G169" s="283">
        <v>13681</v>
      </c>
      <c r="H169" s="283">
        <v>0</v>
      </c>
      <c r="I169" s="283">
        <v>13681</v>
      </c>
      <c r="J169" s="184">
        <v>-561</v>
      </c>
      <c r="K169" s="184"/>
      <c r="L169" s="399">
        <f t="shared" si="13"/>
        <v>-561</v>
      </c>
      <c r="M169" s="181">
        <f t="shared" si="11"/>
        <v>13120</v>
      </c>
      <c r="N169" s="181">
        <f t="shared" si="12"/>
        <v>0</v>
      </c>
      <c r="O169" s="181">
        <f t="shared" si="10"/>
        <v>13120</v>
      </c>
    </row>
    <row r="170" spans="1:15" ht="13.5" customHeight="1">
      <c r="A170" s="138"/>
      <c r="B170" s="138"/>
      <c r="C170" s="138" t="s">
        <v>314</v>
      </c>
      <c r="D170" s="167" t="s">
        <v>226</v>
      </c>
      <c r="E170" s="186"/>
      <c r="F170" s="701"/>
      <c r="G170" s="283">
        <v>0</v>
      </c>
      <c r="H170" s="283">
        <v>0</v>
      </c>
      <c r="I170" s="283">
        <v>0</v>
      </c>
      <c r="J170" s="184"/>
      <c r="K170" s="184"/>
      <c r="L170" s="399">
        <f t="shared" si="13"/>
        <v>0</v>
      </c>
      <c r="M170" s="181">
        <f t="shared" si="11"/>
        <v>0</v>
      </c>
      <c r="N170" s="181">
        <f t="shared" si="12"/>
        <v>0</v>
      </c>
      <c r="O170" s="181">
        <f t="shared" si="10"/>
        <v>0</v>
      </c>
    </row>
    <row r="171" spans="1:15" ht="13.5" customHeight="1">
      <c r="A171" s="138"/>
      <c r="B171" s="138"/>
      <c r="C171" s="143" t="s">
        <v>334</v>
      </c>
      <c r="D171" s="455" t="s">
        <v>1000</v>
      </c>
      <c r="E171" s="224"/>
      <c r="F171" s="697"/>
      <c r="G171" s="283">
        <v>900</v>
      </c>
      <c r="H171" s="283">
        <v>0</v>
      </c>
      <c r="I171" s="283">
        <v>900</v>
      </c>
      <c r="J171" s="181"/>
      <c r="K171" s="181"/>
      <c r="L171" s="399">
        <f t="shared" si="13"/>
        <v>0</v>
      </c>
      <c r="M171" s="181">
        <f t="shared" si="11"/>
        <v>900</v>
      </c>
      <c r="N171" s="181">
        <f t="shared" si="12"/>
        <v>0</v>
      </c>
      <c r="O171" s="181">
        <f t="shared" si="10"/>
        <v>900</v>
      </c>
    </row>
    <row r="172" spans="1:15" ht="13.5" customHeight="1">
      <c r="A172" s="138"/>
      <c r="B172" s="138"/>
      <c r="C172" s="143" t="s">
        <v>335</v>
      </c>
      <c r="D172" s="165" t="s">
        <v>63</v>
      </c>
      <c r="E172" s="224"/>
      <c r="F172" s="697"/>
      <c r="G172" s="283">
        <v>2720</v>
      </c>
      <c r="H172" s="283">
        <v>0</v>
      </c>
      <c r="I172" s="283">
        <v>2720</v>
      </c>
      <c r="J172" s="181"/>
      <c r="K172" s="181"/>
      <c r="L172" s="399">
        <f t="shared" si="13"/>
        <v>0</v>
      </c>
      <c r="M172" s="181">
        <f t="shared" si="11"/>
        <v>2720</v>
      </c>
      <c r="N172" s="181">
        <f t="shared" si="12"/>
        <v>0</v>
      </c>
      <c r="O172" s="181">
        <f t="shared" si="10"/>
        <v>2720</v>
      </c>
    </row>
    <row r="173" spans="1:15" ht="13.5" customHeight="1">
      <c r="A173" s="138"/>
      <c r="B173" s="138"/>
      <c r="C173" s="143" t="s">
        <v>336</v>
      </c>
      <c r="D173" s="663" t="s">
        <v>109</v>
      </c>
      <c r="E173" s="224"/>
      <c r="F173" s="697"/>
      <c r="G173" s="283">
        <v>1000</v>
      </c>
      <c r="H173" s="283"/>
      <c r="I173" s="283">
        <v>1000</v>
      </c>
      <c r="J173" s="181"/>
      <c r="K173" s="181"/>
      <c r="L173" s="399">
        <f t="shared" si="13"/>
        <v>0</v>
      </c>
      <c r="M173" s="181">
        <f t="shared" si="11"/>
        <v>1000</v>
      </c>
      <c r="N173" s="181"/>
      <c r="O173" s="181">
        <f t="shared" si="10"/>
        <v>1000</v>
      </c>
    </row>
    <row r="174" spans="1:15" ht="13.5" customHeight="1">
      <c r="A174" s="138"/>
      <c r="B174" s="138"/>
      <c r="C174" s="143" t="s">
        <v>337</v>
      </c>
      <c r="D174" s="663" t="s">
        <v>980</v>
      </c>
      <c r="E174" s="224"/>
      <c r="F174" s="697"/>
      <c r="G174" s="283">
        <v>2500</v>
      </c>
      <c r="H174" s="283"/>
      <c r="I174" s="283">
        <v>2500</v>
      </c>
      <c r="J174" s="181"/>
      <c r="K174" s="181"/>
      <c r="L174" s="399">
        <f t="shared" si="13"/>
        <v>0</v>
      </c>
      <c r="M174" s="181">
        <f t="shared" si="11"/>
        <v>2500</v>
      </c>
      <c r="N174" s="181"/>
      <c r="O174" s="181">
        <f t="shared" si="10"/>
        <v>2500</v>
      </c>
    </row>
    <row r="175" spans="1:15" ht="12.75" customHeight="1">
      <c r="A175" s="138"/>
      <c r="B175" s="138"/>
      <c r="C175" s="138" t="s">
        <v>315</v>
      </c>
      <c r="D175" s="167" t="s">
        <v>227</v>
      </c>
      <c r="E175" s="168"/>
      <c r="F175" s="695"/>
      <c r="G175" s="283">
        <v>0</v>
      </c>
      <c r="H175" s="283">
        <v>0</v>
      </c>
      <c r="I175" s="283">
        <v>0</v>
      </c>
      <c r="J175" s="184"/>
      <c r="K175" s="184"/>
      <c r="L175" s="399">
        <f t="shared" si="13"/>
        <v>0</v>
      </c>
      <c r="M175" s="181">
        <f t="shared" si="11"/>
        <v>0</v>
      </c>
      <c r="N175" s="181">
        <f t="shared" si="12"/>
        <v>0</v>
      </c>
      <c r="O175" s="181">
        <f t="shared" si="10"/>
        <v>0</v>
      </c>
    </row>
    <row r="176" spans="1:15" ht="12.75" customHeight="1">
      <c r="A176" s="138"/>
      <c r="B176" s="138"/>
      <c r="C176" s="143" t="s">
        <v>341</v>
      </c>
      <c r="D176" s="165" t="s">
        <v>204</v>
      </c>
      <c r="E176" s="186"/>
      <c r="F176" s="702" t="s">
        <v>395</v>
      </c>
      <c r="G176" s="283">
        <v>8535</v>
      </c>
      <c r="H176" s="283">
        <v>0</v>
      </c>
      <c r="I176" s="283">
        <v>8535</v>
      </c>
      <c r="J176" s="184">
        <v>-2294</v>
      </c>
      <c r="K176" s="184"/>
      <c r="L176" s="399">
        <f t="shared" si="13"/>
        <v>-2294</v>
      </c>
      <c r="M176" s="181">
        <f t="shared" si="11"/>
        <v>6241</v>
      </c>
      <c r="N176" s="181">
        <f t="shared" si="12"/>
        <v>0</v>
      </c>
      <c r="O176" s="181">
        <f t="shared" si="10"/>
        <v>6241</v>
      </c>
    </row>
    <row r="177" spans="1:15" ht="12.75" customHeight="1">
      <c r="A177" s="138"/>
      <c r="B177" s="138"/>
      <c r="C177" s="664" t="s">
        <v>981</v>
      </c>
      <c r="D177" s="663" t="s">
        <v>982</v>
      </c>
      <c r="E177" s="186"/>
      <c r="F177" s="702"/>
      <c r="G177" s="283">
        <v>1000</v>
      </c>
      <c r="H177" s="283"/>
      <c r="I177" s="283">
        <v>1000</v>
      </c>
      <c r="J177" s="184"/>
      <c r="K177" s="184"/>
      <c r="L177" s="399">
        <f t="shared" si="13"/>
        <v>0</v>
      </c>
      <c r="M177" s="181">
        <f t="shared" si="11"/>
        <v>1000</v>
      </c>
      <c r="N177" s="181"/>
      <c r="O177" s="181">
        <f t="shared" si="10"/>
        <v>1000</v>
      </c>
    </row>
    <row r="178" spans="1:15" ht="24.75" customHeight="1">
      <c r="A178" s="138"/>
      <c r="B178" s="138"/>
      <c r="C178" s="664" t="s">
        <v>986</v>
      </c>
      <c r="D178" s="665" t="s">
        <v>983</v>
      </c>
      <c r="E178" s="186"/>
      <c r="F178" s="702"/>
      <c r="G178" s="283">
        <v>1500</v>
      </c>
      <c r="H178" s="283"/>
      <c r="I178" s="283">
        <v>1500</v>
      </c>
      <c r="J178" s="184"/>
      <c r="K178" s="184"/>
      <c r="L178" s="399">
        <f t="shared" si="13"/>
        <v>0</v>
      </c>
      <c r="M178" s="181">
        <f t="shared" si="11"/>
        <v>1500</v>
      </c>
      <c r="N178" s="181"/>
      <c r="O178" s="181">
        <f t="shared" si="10"/>
        <v>1500</v>
      </c>
    </row>
    <row r="179" spans="1:15" ht="12.75" customHeight="1">
      <c r="A179" s="138"/>
      <c r="B179" s="138"/>
      <c r="C179" s="664" t="s">
        <v>987</v>
      </c>
      <c r="D179" s="663" t="s">
        <v>984</v>
      </c>
      <c r="E179" s="186"/>
      <c r="F179" s="702" t="s">
        <v>395</v>
      </c>
      <c r="G179" s="283">
        <v>2000</v>
      </c>
      <c r="H179" s="283"/>
      <c r="I179" s="283">
        <v>2000</v>
      </c>
      <c r="J179" s="184">
        <v>680</v>
      </c>
      <c r="K179" s="184"/>
      <c r="L179" s="399">
        <f t="shared" si="13"/>
        <v>680</v>
      </c>
      <c r="M179" s="181">
        <f t="shared" si="11"/>
        <v>2680</v>
      </c>
      <c r="N179" s="181"/>
      <c r="O179" s="181">
        <f t="shared" si="10"/>
        <v>2680</v>
      </c>
    </row>
    <row r="180" spans="1:15" ht="12.75" customHeight="1">
      <c r="A180" s="138"/>
      <c r="B180" s="138"/>
      <c r="C180" s="664" t="s">
        <v>988</v>
      </c>
      <c r="D180" s="663" t="s">
        <v>985</v>
      </c>
      <c r="E180" s="186"/>
      <c r="F180" s="702"/>
      <c r="G180" s="283">
        <v>2500</v>
      </c>
      <c r="H180" s="283"/>
      <c r="I180" s="283">
        <v>2500</v>
      </c>
      <c r="J180" s="184"/>
      <c r="K180" s="184"/>
      <c r="L180" s="399">
        <f t="shared" si="13"/>
        <v>0</v>
      </c>
      <c r="M180" s="181">
        <f t="shared" si="11"/>
        <v>2500</v>
      </c>
      <c r="N180" s="181"/>
      <c r="O180" s="181">
        <f t="shared" si="10"/>
        <v>2500</v>
      </c>
    </row>
    <row r="181" spans="1:15" ht="12.75" customHeight="1">
      <c r="A181" s="138"/>
      <c r="B181" s="138"/>
      <c r="C181" s="143"/>
      <c r="D181" s="242" t="s">
        <v>1001</v>
      </c>
      <c r="E181" s="186"/>
      <c r="F181" s="701"/>
      <c r="G181" s="283">
        <v>0</v>
      </c>
      <c r="H181" s="283">
        <v>0</v>
      </c>
      <c r="I181" s="283">
        <v>0</v>
      </c>
      <c r="J181" s="184"/>
      <c r="K181" s="184"/>
      <c r="L181" s="399">
        <f t="shared" si="13"/>
        <v>0</v>
      </c>
      <c r="M181" s="181">
        <f t="shared" si="11"/>
        <v>0</v>
      </c>
      <c r="N181" s="181">
        <f t="shared" si="12"/>
        <v>0</v>
      </c>
      <c r="O181" s="181">
        <f t="shared" si="10"/>
        <v>0</v>
      </c>
    </row>
    <row r="182" spans="1:15" ht="15" customHeight="1">
      <c r="A182" s="138"/>
      <c r="B182" s="138"/>
      <c r="C182" s="143" t="s">
        <v>205</v>
      </c>
      <c r="D182" s="228" t="s">
        <v>774</v>
      </c>
      <c r="E182" s="186"/>
      <c r="F182" s="701"/>
      <c r="G182" s="283">
        <v>950</v>
      </c>
      <c r="H182" s="283">
        <v>0</v>
      </c>
      <c r="I182" s="283">
        <v>950</v>
      </c>
      <c r="J182" s="184"/>
      <c r="K182" s="184"/>
      <c r="L182" s="399">
        <f t="shared" si="13"/>
        <v>0</v>
      </c>
      <c r="M182" s="181">
        <f t="shared" si="11"/>
        <v>950</v>
      </c>
      <c r="N182" s="181">
        <f t="shared" si="12"/>
        <v>0</v>
      </c>
      <c r="O182" s="181">
        <f t="shared" si="10"/>
        <v>950</v>
      </c>
    </row>
    <row r="183" spans="1:15" ht="15" customHeight="1">
      <c r="A183" s="138"/>
      <c r="B183" s="138"/>
      <c r="C183" s="143" t="s">
        <v>1156</v>
      </c>
      <c r="D183" s="165" t="s">
        <v>386</v>
      </c>
      <c r="E183" s="186"/>
      <c r="F183" s="701"/>
      <c r="G183" s="283">
        <v>126</v>
      </c>
      <c r="H183" s="283">
        <v>0</v>
      </c>
      <c r="I183" s="283">
        <v>126</v>
      </c>
      <c r="J183" s="184"/>
      <c r="K183" s="184"/>
      <c r="L183" s="399">
        <f t="shared" si="13"/>
        <v>0</v>
      </c>
      <c r="M183" s="181">
        <f t="shared" si="11"/>
        <v>126</v>
      </c>
      <c r="N183" s="181">
        <f t="shared" si="12"/>
        <v>0</v>
      </c>
      <c r="O183" s="181">
        <f t="shared" si="10"/>
        <v>126</v>
      </c>
    </row>
    <row r="184" spans="1:15" ht="12.75" customHeight="1">
      <c r="A184" s="138"/>
      <c r="B184" s="138"/>
      <c r="C184" s="143" t="s">
        <v>342</v>
      </c>
      <c r="D184" s="256" t="s">
        <v>1002</v>
      </c>
      <c r="E184" s="186"/>
      <c r="F184" s="702" t="s">
        <v>395</v>
      </c>
      <c r="G184" s="283">
        <v>33634</v>
      </c>
      <c r="H184" s="283">
        <v>0</v>
      </c>
      <c r="I184" s="283">
        <v>33634</v>
      </c>
      <c r="J184" s="184">
        <v>-1000</v>
      </c>
      <c r="K184" s="184"/>
      <c r="L184" s="399">
        <f t="shared" si="13"/>
        <v>-1000</v>
      </c>
      <c r="M184" s="181">
        <f t="shared" si="11"/>
        <v>32634</v>
      </c>
      <c r="N184" s="181">
        <f t="shared" si="12"/>
        <v>0</v>
      </c>
      <c r="O184" s="181">
        <f t="shared" si="10"/>
        <v>32634</v>
      </c>
    </row>
    <row r="185" spans="1:15" ht="12.75" customHeight="1">
      <c r="A185" s="138"/>
      <c r="B185" s="138"/>
      <c r="C185" s="143" t="s">
        <v>343</v>
      </c>
      <c r="D185" s="256" t="s">
        <v>1003</v>
      </c>
      <c r="E185" s="186"/>
      <c r="F185" s="702"/>
      <c r="G185" s="283">
        <v>25043</v>
      </c>
      <c r="H185" s="283">
        <v>0</v>
      </c>
      <c r="I185" s="283">
        <v>25043</v>
      </c>
      <c r="J185" s="184"/>
      <c r="K185" s="184"/>
      <c r="L185" s="399">
        <f t="shared" si="13"/>
        <v>0</v>
      </c>
      <c r="M185" s="181">
        <f t="shared" si="11"/>
        <v>25043</v>
      </c>
      <c r="N185" s="181">
        <f t="shared" si="12"/>
        <v>0</v>
      </c>
      <c r="O185" s="181">
        <f t="shared" si="10"/>
        <v>25043</v>
      </c>
    </row>
    <row r="186" spans="1:15" ht="15" customHeight="1">
      <c r="A186" s="138"/>
      <c r="B186" s="138"/>
      <c r="C186" s="143" t="s">
        <v>102</v>
      </c>
      <c r="D186" s="229" t="s">
        <v>64</v>
      </c>
      <c r="E186" s="186"/>
      <c r="F186" s="702"/>
      <c r="G186" s="283">
        <v>0</v>
      </c>
      <c r="H186" s="283">
        <v>17500</v>
      </c>
      <c r="I186" s="283">
        <v>17500</v>
      </c>
      <c r="J186" s="184"/>
      <c r="K186" s="184"/>
      <c r="L186" s="399">
        <f t="shared" si="13"/>
        <v>0</v>
      </c>
      <c r="M186" s="181">
        <f t="shared" si="11"/>
        <v>0</v>
      </c>
      <c r="N186" s="181">
        <f t="shared" si="12"/>
        <v>17500</v>
      </c>
      <c r="O186" s="181">
        <f t="shared" si="10"/>
        <v>17500</v>
      </c>
    </row>
    <row r="187" spans="1:15" ht="12.75" customHeight="1">
      <c r="A187" s="138"/>
      <c r="B187" s="138"/>
      <c r="C187" s="143" t="s">
        <v>103</v>
      </c>
      <c r="D187" s="229" t="s">
        <v>1005</v>
      </c>
      <c r="E187" s="186"/>
      <c r="F187" s="702"/>
      <c r="G187" s="283">
        <v>1100</v>
      </c>
      <c r="H187" s="283">
        <v>0</v>
      </c>
      <c r="I187" s="283">
        <v>1100</v>
      </c>
      <c r="J187" s="184"/>
      <c r="K187" s="184"/>
      <c r="L187" s="399">
        <f t="shared" si="13"/>
        <v>0</v>
      </c>
      <c r="M187" s="181">
        <f t="shared" si="11"/>
        <v>1100</v>
      </c>
      <c r="N187" s="181">
        <f t="shared" si="12"/>
        <v>0</v>
      </c>
      <c r="O187" s="181">
        <f t="shared" si="10"/>
        <v>1100</v>
      </c>
    </row>
    <row r="188" spans="1:15" ht="15" customHeight="1">
      <c r="A188" s="138"/>
      <c r="B188" s="138"/>
      <c r="C188" s="143" t="s">
        <v>206</v>
      </c>
      <c r="D188" s="228" t="s">
        <v>1006</v>
      </c>
      <c r="E188" s="186"/>
      <c r="F188" s="701"/>
      <c r="G188" s="283">
        <v>22000</v>
      </c>
      <c r="H188" s="283">
        <v>0</v>
      </c>
      <c r="I188" s="283">
        <v>22000</v>
      </c>
      <c r="J188" s="184"/>
      <c r="K188" s="184"/>
      <c r="L188" s="399">
        <f t="shared" si="13"/>
        <v>0</v>
      </c>
      <c r="M188" s="181">
        <f t="shared" si="11"/>
        <v>22000</v>
      </c>
      <c r="N188" s="181">
        <f t="shared" si="12"/>
        <v>0</v>
      </c>
      <c r="O188" s="181">
        <f t="shared" si="10"/>
        <v>22000</v>
      </c>
    </row>
    <row r="189" spans="1:15" ht="12.75" customHeight="1">
      <c r="A189" s="138"/>
      <c r="B189" s="138"/>
      <c r="C189" s="143" t="s">
        <v>207</v>
      </c>
      <c r="D189" s="229" t="s">
        <v>1007</v>
      </c>
      <c r="E189" s="186"/>
      <c r="F189" s="701"/>
      <c r="G189" s="283">
        <v>3000</v>
      </c>
      <c r="H189" s="283">
        <v>0</v>
      </c>
      <c r="I189" s="283">
        <v>3000</v>
      </c>
      <c r="J189" s="184"/>
      <c r="K189" s="184"/>
      <c r="L189" s="399">
        <f t="shared" si="13"/>
        <v>0</v>
      </c>
      <c r="M189" s="181">
        <f t="shared" si="11"/>
        <v>3000</v>
      </c>
      <c r="N189" s="181">
        <f t="shared" si="12"/>
        <v>0</v>
      </c>
      <c r="O189" s="181">
        <f t="shared" si="10"/>
        <v>3000</v>
      </c>
    </row>
    <row r="190" spans="1:15" ht="12.75" customHeight="1">
      <c r="A190" s="138"/>
      <c r="B190" s="138"/>
      <c r="C190" s="143" t="s">
        <v>117</v>
      </c>
      <c r="D190" s="456" t="s">
        <v>1008</v>
      </c>
      <c r="E190" s="186"/>
      <c r="F190" s="702" t="s">
        <v>395</v>
      </c>
      <c r="G190" s="283">
        <v>25000</v>
      </c>
      <c r="H190" s="283">
        <v>0</v>
      </c>
      <c r="I190" s="283">
        <v>25000</v>
      </c>
      <c r="J190" s="184">
        <v>-1842</v>
      </c>
      <c r="K190" s="184"/>
      <c r="L190" s="399">
        <f t="shared" si="13"/>
        <v>-1842</v>
      </c>
      <c r="M190" s="181">
        <f t="shared" si="11"/>
        <v>23158</v>
      </c>
      <c r="N190" s="181">
        <f t="shared" si="12"/>
        <v>0</v>
      </c>
      <c r="O190" s="181">
        <f t="shared" si="10"/>
        <v>23158</v>
      </c>
    </row>
    <row r="191" spans="1:15" ht="12.75" customHeight="1">
      <c r="A191" s="138"/>
      <c r="B191" s="138"/>
      <c r="C191" s="143" t="s">
        <v>155</v>
      </c>
      <c r="D191" s="229" t="s">
        <v>1009</v>
      </c>
      <c r="E191" s="186"/>
      <c r="F191" s="701"/>
      <c r="G191" s="283">
        <v>5000</v>
      </c>
      <c r="H191" s="283">
        <v>0</v>
      </c>
      <c r="I191" s="283">
        <v>5000</v>
      </c>
      <c r="J191" s="184"/>
      <c r="K191" s="184"/>
      <c r="L191" s="399">
        <f t="shared" si="13"/>
        <v>0</v>
      </c>
      <c r="M191" s="181">
        <f t="shared" si="11"/>
        <v>5000</v>
      </c>
      <c r="N191" s="181">
        <f t="shared" si="12"/>
        <v>0</v>
      </c>
      <c r="O191" s="181">
        <f t="shared" si="10"/>
        <v>5000</v>
      </c>
    </row>
    <row r="192" spans="1:15" ht="12.75" customHeight="1">
      <c r="A192" s="138"/>
      <c r="B192" s="138"/>
      <c r="C192" s="143" t="s">
        <v>1010</v>
      </c>
      <c r="D192" s="457" t="s">
        <v>1011</v>
      </c>
      <c r="E192" s="186"/>
      <c r="F192" s="701"/>
      <c r="G192" s="283">
        <v>1500</v>
      </c>
      <c r="H192" s="283">
        <v>0</v>
      </c>
      <c r="I192" s="283">
        <v>1500</v>
      </c>
      <c r="J192" s="184"/>
      <c r="K192" s="184"/>
      <c r="L192" s="399">
        <f t="shared" si="13"/>
        <v>0</v>
      </c>
      <c r="M192" s="181">
        <f t="shared" si="11"/>
        <v>1500</v>
      </c>
      <c r="N192" s="181">
        <f t="shared" si="12"/>
        <v>0</v>
      </c>
      <c r="O192" s="181">
        <f t="shared" si="10"/>
        <v>1500</v>
      </c>
    </row>
    <row r="193" spans="1:15" ht="12.75" customHeight="1">
      <c r="A193" s="138"/>
      <c r="B193" s="138"/>
      <c r="C193" s="143" t="s">
        <v>1012</v>
      </c>
      <c r="D193" s="404" t="s">
        <v>1038</v>
      </c>
      <c r="E193" s="186"/>
      <c r="F193" s="701"/>
      <c r="G193" s="283">
        <v>12000</v>
      </c>
      <c r="H193" s="283">
        <v>0</v>
      </c>
      <c r="I193" s="283">
        <v>12000</v>
      </c>
      <c r="J193" s="184"/>
      <c r="K193" s="184"/>
      <c r="L193" s="399">
        <f t="shared" si="13"/>
        <v>0</v>
      </c>
      <c r="M193" s="181">
        <f t="shared" si="11"/>
        <v>12000</v>
      </c>
      <c r="N193" s="181">
        <f t="shared" si="12"/>
        <v>0</v>
      </c>
      <c r="O193" s="181">
        <f t="shared" si="10"/>
        <v>12000</v>
      </c>
    </row>
    <row r="194" spans="1:15" ht="12.75" customHeight="1">
      <c r="A194" s="138"/>
      <c r="B194" s="138"/>
      <c r="C194" s="143" t="s">
        <v>1039</v>
      </c>
      <c r="D194" s="404" t="s">
        <v>923</v>
      </c>
      <c r="E194" s="186" t="s">
        <v>1161</v>
      </c>
      <c r="F194" s="702"/>
      <c r="G194" s="283">
        <v>33300</v>
      </c>
      <c r="H194" s="283">
        <v>0</v>
      </c>
      <c r="I194" s="283">
        <v>33300</v>
      </c>
      <c r="J194" s="184"/>
      <c r="K194" s="184"/>
      <c r="L194" s="399">
        <f t="shared" si="13"/>
        <v>0</v>
      </c>
      <c r="M194" s="181">
        <f t="shared" si="11"/>
        <v>33300</v>
      </c>
      <c r="N194" s="181">
        <f t="shared" si="12"/>
        <v>0</v>
      </c>
      <c r="O194" s="181">
        <f t="shared" si="10"/>
        <v>33300</v>
      </c>
    </row>
    <row r="195" spans="1:15" ht="12.75" customHeight="1">
      <c r="A195" s="138"/>
      <c r="B195" s="138"/>
      <c r="C195" s="143" t="s">
        <v>1040</v>
      </c>
      <c r="D195" s="404" t="s">
        <v>1041</v>
      </c>
      <c r="E195" s="186"/>
      <c r="F195" s="701"/>
      <c r="G195" s="283">
        <v>0</v>
      </c>
      <c r="H195" s="283">
        <v>51623</v>
      </c>
      <c r="I195" s="283">
        <v>51623</v>
      </c>
      <c r="J195" s="184"/>
      <c r="K195" s="184"/>
      <c r="L195" s="399">
        <f t="shared" si="13"/>
        <v>0</v>
      </c>
      <c r="M195" s="181">
        <f t="shared" si="11"/>
        <v>0</v>
      </c>
      <c r="N195" s="181">
        <f t="shared" si="12"/>
        <v>51623</v>
      </c>
      <c r="O195" s="181">
        <f t="shared" si="10"/>
        <v>51623</v>
      </c>
    </row>
    <row r="196" spans="1:15" ht="24.75" customHeight="1">
      <c r="A196" s="138"/>
      <c r="B196" s="138"/>
      <c r="C196" s="143" t="s">
        <v>1042</v>
      </c>
      <c r="D196" s="400" t="s">
        <v>1043</v>
      </c>
      <c r="E196" s="186" t="s">
        <v>1161</v>
      </c>
      <c r="F196" s="701"/>
      <c r="G196" s="283">
        <v>75000</v>
      </c>
      <c r="H196" s="283">
        <v>0</v>
      </c>
      <c r="I196" s="283">
        <v>75000</v>
      </c>
      <c r="J196" s="184"/>
      <c r="K196" s="184"/>
      <c r="L196" s="399">
        <f t="shared" si="13"/>
        <v>0</v>
      </c>
      <c r="M196" s="181">
        <f t="shared" si="11"/>
        <v>75000</v>
      </c>
      <c r="N196" s="181">
        <f t="shared" si="12"/>
        <v>0</v>
      </c>
      <c r="O196" s="181">
        <f t="shared" si="10"/>
        <v>75000</v>
      </c>
    </row>
    <row r="197" spans="1:15" ht="24.75" customHeight="1">
      <c r="A197" s="138"/>
      <c r="B197" s="138"/>
      <c r="C197" s="143" t="s">
        <v>1044</v>
      </c>
      <c r="D197" s="400" t="s">
        <v>1045</v>
      </c>
      <c r="E197" s="186" t="s">
        <v>1161</v>
      </c>
      <c r="F197" s="701"/>
      <c r="G197" s="283">
        <v>60000</v>
      </c>
      <c r="H197" s="283">
        <v>0</v>
      </c>
      <c r="I197" s="283">
        <v>60000</v>
      </c>
      <c r="J197" s="184"/>
      <c r="K197" s="184"/>
      <c r="L197" s="399">
        <f t="shared" si="13"/>
        <v>0</v>
      </c>
      <c r="M197" s="181">
        <f t="shared" si="11"/>
        <v>60000</v>
      </c>
      <c r="N197" s="181">
        <f t="shared" si="12"/>
        <v>0</v>
      </c>
      <c r="O197" s="181">
        <f t="shared" si="10"/>
        <v>60000</v>
      </c>
    </row>
    <row r="198" spans="1:15" ht="24.75" customHeight="1">
      <c r="A198" s="138"/>
      <c r="B198" s="138"/>
      <c r="C198" s="143" t="s">
        <v>1046</v>
      </c>
      <c r="D198" s="400" t="s">
        <v>1047</v>
      </c>
      <c r="E198" s="186"/>
      <c r="F198" s="701"/>
      <c r="G198" s="283">
        <v>15000</v>
      </c>
      <c r="H198" s="283">
        <v>0</v>
      </c>
      <c r="I198" s="283">
        <v>15000</v>
      </c>
      <c r="J198" s="184"/>
      <c r="K198" s="184"/>
      <c r="L198" s="399">
        <f t="shared" si="13"/>
        <v>0</v>
      </c>
      <c r="M198" s="181">
        <f t="shared" si="11"/>
        <v>15000</v>
      </c>
      <c r="N198" s="181">
        <f t="shared" si="12"/>
        <v>0</v>
      </c>
      <c r="O198" s="181">
        <f aca="true" t="shared" si="14" ref="O198:O261">SUM(M198:N198)</f>
        <v>15000</v>
      </c>
    </row>
    <row r="199" spans="1:15" ht="15" customHeight="1">
      <c r="A199" s="138"/>
      <c r="B199" s="138"/>
      <c r="C199" s="143" t="s">
        <v>1048</v>
      </c>
      <c r="D199" s="400" t="s">
        <v>1049</v>
      </c>
      <c r="E199" s="186"/>
      <c r="F199" s="701"/>
      <c r="G199" s="283">
        <v>9700</v>
      </c>
      <c r="H199" s="283">
        <v>0</v>
      </c>
      <c r="I199" s="283">
        <v>9700</v>
      </c>
      <c r="J199" s="184"/>
      <c r="K199" s="184"/>
      <c r="L199" s="399">
        <f t="shared" si="13"/>
        <v>0</v>
      </c>
      <c r="M199" s="181">
        <f t="shared" si="11"/>
        <v>9700</v>
      </c>
      <c r="N199" s="181">
        <f t="shared" si="12"/>
        <v>0</v>
      </c>
      <c r="O199" s="181">
        <f t="shared" si="14"/>
        <v>9700</v>
      </c>
    </row>
    <row r="200" spans="1:15" ht="24.75" customHeight="1">
      <c r="A200" s="138"/>
      <c r="B200" s="138"/>
      <c r="C200" s="285" t="s">
        <v>420</v>
      </c>
      <c r="D200" s="228" t="s">
        <v>421</v>
      </c>
      <c r="E200" s="186"/>
      <c r="F200" s="702"/>
      <c r="G200" s="283">
        <v>261239</v>
      </c>
      <c r="H200" s="283"/>
      <c r="I200" s="283">
        <v>261239</v>
      </c>
      <c r="J200" s="184"/>
      <c r="K200" s="184"/>
      <c r="L200" s="399">
        <f t="shared" si="13"/>
        <v>0</v>
      </c>
      <c r="M200" s="181">
        <f t="shared" si="11"/>
        <v>261239</v>
      </c>
      <c r="N200" s="181"/>
      <c r="O200" s="181">
        <f t="shared" si="14"/>
        <v>261239</v>
      </c>
    </row>
    <row r="201" spans="1:15" ht="24.75" customHeight="1">
      <c r="A201" s="138"/>
      <c r="B201" s="138"/>
      <c r="C201" s="285" t="s">
        <v>422</v>
      </c>
      <c r="D201" s="228" t="s">
        <v>423</v>
      </c>
      <c r="E201" s="186"/>
      <c r="F201" s="695"/>
      <c r="G201" s="283">
        <v>342265</v>
      </c>
      <c r="H201" s="283"/>
      <c r="I201" s="283">
        <v>342265</v>
      </c>
      <c r="J201" s="184"/>
      <c r="K201" s="184"/>
      <c r="L201" s="399">
        <f t="shared" si="13"/>
        <v>0</v>
      </c>
      <c r="M201" s="181">
        <f aca="true" t="shared" si="15" ref="M201:M206">SUM(G201+J201)</f>
        <v>342265</v>
      </c>
      <c r="N201" s="181"/>
      <c r="O201" s="181">
        <f t="shared" si="14"/>
        <v>342265</v>
      </c>
    </row>
    <row r="202" spans="1:15" ht="24.75" customHeight="1">
      <c r="A202" s="138"/>
      <c r="B202" s="138"/>
      <c r="C202" s="285" t="s">
        <v>30</v>
      </c>
      <c r="D202" s="619" t="s">
        <v>31</v>
      </c>
      <c r="E202" s="186"/>
      <c r="F202" s="695"/>
      <c r="G202" s="283">
        <v>309202</v>
      </c>
      <c r="H202" s="283"/>
      <c r="I202" s="283">
        <v>309202</v>
      </c>
      <c r="J202" s="184"/>
      <c r="K202" s="184"/>
      <c r="L202" s="399">
        <f t="shared" si="13"/>
        <v>0</v>
      </c>
      <c r="M202" s="181">
        <f t="shared" si="15"/>
        <v>309202</v>
      </c>
      <c r="N202" s="181"/>
      <c r="O202" s="181">
        <f t="shared" si="14"/>
        <v>309202</v>
      </c>
    </row>
    <row r="203" spans="1:15" ht="24.75" customHeight="1">
      <c r="A203" s="138"/>
      <c r="B203" s="138"/>
      <c r="C203" s="285" t="s">
        <v>110</v>
      </c>
      <c r="D203" s="666" t="s">
        <v>111</v>
      </c>
      <c r="E203" s="186"/>
      <c r="F203" s="695"/>
      <c r="G203" s="283">
        <v>39694</v>
      </c>
      <c r="H203" s="283"/>
      <c r="I203" s="283">
        <v>39694</v>
      </c>
      <c r="J203" s="184"/>
      <c r="K203" s="184"/>
      <c r="L203" s="399">
        <f t="shared" si="13"/>
        <v>0</v>
      </c>
      <c r="M203" s="181">
        <f t="shared" si="15"/>
        <v>39694</v>
      </c>
      <c r="N203" s="181"/>
      <c r="O203" s="181">
        <f t="shared" si="14"/>
        <v>39694</v>
      </c>
    </row>
    <row r="204" spans="1:15" ht="24.75" customHeight="1">
      <c r="A204" s="138"/>
      <c r="B204" s="138"/>
      <c r="C204" s="667" t="s">
        <v>961</v>
      </c>
      <c r="D204" s="668" t="s">
        <v>962</v>
      </c>
      <c r="E204" s="186"/>
      <c r="F204" s="695"/>
      <c r="G204" s="283">
        <v>649018</v>
      </c>
      <c r="H204" s="283"/>
      <c r="I204" s="283">
        <v>649018</v>
      </c>
      <c r="J204" s="184"/>
      <c r="K204" s="184"/>
      <c r="L204" s="399">
        <f t="shared" si="13"/>
        <v>0</v>
      </c>
      <c r="M204" s="181">
        <f t="shared" si="15"/>
        <v>649018</v>
      </c>
      <c r="N204" s="181"/>
      <c r="O204" s="181">
        <f t="shared" si="14"/>
        <v>649018</v>
      </c>
    </row>
    <row r="205" spans="1:15" ht="15" customHeight="1">
      <c r="A205" s="138"/>
      <c r="B205" s="138"/>
      <c r="C205" s="667" t="s">
        <v>976</v>
      </c>
      <c r="D205" s="665" t="s">
        <v>977</v>
      </c>
      <c r="E205" s="186"/>
      <c r="F205" s="695"/>
      <c r="G205" s="283">
        <v>54000</v>
      </c>
      <c r="H205" s="283"/>
      <c r="I205" s="283">
        <v>54000</v>
      </c>
      <c r="J205" s="184"/>
      <c r="K205" s="184"/>
      <c r="L205" s="399">
        <f t="shared" si="13"/>
        <v>0</v>
      </c>
      <c r="M205" s="181">
        <f t="shared" si="15"/>
        <v>54000</v>
      </c>
      <c r="N205" s="181"/>
      <c r="O205" s="181">
        <f t="shared" si="14"/>
        <v>54000</v>
      </c>
    </row>
    <row r="206" spans="1:15" ht="24.75" customHeight="1">
      <c r="A206" s="138"/>
      <c r="B206" s="138"/>
      <c r="C206" s="285" t="s">
        <v>685</v>
      </c>
      <c r="D206" s="228" t="s">
        <v>686</v>
      </c>
      <c r="E206" s="186"/>
      <c r="F206" s="695" t="s">
        <v>72</v>
      </c>
      <c r="G206" s="283"/>
      <c r="H206" s="283"/>
      <c r="I206" s="283"/>
      <c r="J206" s="184">
        <v>412341</v>
      </c>
      <c r="K206" s="184"/>
      <c r="L206" s="399">
        <f t="shared" si="13"/>
        <v>412341</v>
      </c>
      <c r="M206" s="181">
        <f t="shared" si="15"/>
        <v>412341</v>
      </c>
      <c r="N206" s="181"/>
      <c r="O206" s="181">
        <f t="shared" si="14"/>
        <v>412341</v>
      </c>
    </row>
    <row r="207" spans="1:15" ht="12.75" customHeight="1">
      <c r="A207" s="138"/>
      <c r="B207" s="138"/>
      <c r="C207" s="143"/>
      <c r="D207" s="242" t="s">
        <v>856</v>
      </c>
      <c r="E207" s="186"/>
      <c r="F207" s="701"/>
      <c r="G207" s="283">
        <v>0</v>
      </c>
      <c r="H207" s="283">
        <v>0</v>
      </c>
      <c r="I207" s="283">
        <v>0</v>
      </c>
      <c r="J207" s="184"/>
      <c r="K207" s="184"/>
      <c r="L207" s="399">
        <f t="shared" si="13"/>
        <v>0</v>
      </c>
      <c r="M207" s="181">
        <f aca="true" t="shared" si="16" ref="M207:M260">SUM(G207+J207)</f>
        <v>0</v>
      </c>
      <c r="N207" s="181">
        <f aca="true" t="shared" si="17" ref="N207:N260">SUM(H207+K207)</f>
        <v>0</v>
      </c>
      <c r="O207" s="181">
        <f t="shared" si="14"/>
        <v>0</v>
      </c>
    </row>
    <row r="208" spans="1:15" ht="15" customHeight="1">
      <c r="A208" s="138"/>
      <c r="B208" s="138"/>
      <c r="C208" s="143" t="s">
        <v>208</v>
      </c>
      <c r="D208" s="165" t="s">
        <v>68</v>
      </c>
      <c r="E208" s="186" t="s">
        <v>1161</v>
      </c>
      <c r="F208" s="701"/>
      <c r="G208" s="283">
        <v>149113</v>
      </c>
      <c r="H208" s="283">
        <v>0</v>
      </c>
      <c r="I208" s="283">
        <v>149113</v>
      </c>
      <c r="J208" s="184"/>
      <c r="K208" s="184"/>
      <c r="L208" s="399">
        <f t="shared" si="13"/>
        <v>0</v>
      </c>
      <c r="M208" s="181">
        <f t="shared" si="16"/>
        <v>149113</v>
      </c>
      <c r="N208" s="181">
        <f t="shared" si="17"/>
        <v>0</v>
      </c>
      <c r="O208" s="181">
        <f t="shared" si="14"/>
        <v>149113</v>
      </c>
    </row>
    <row r="209" spans="1:15" ht="15" customHeight="1">
      <c r="A209" s="138"/>
      <c r="B209" s="138"/>
      <c r="C209" s="143" t="s">
        <v>209</v>
      </c>
      <c r="D209" s="259" t="s">
        <v>1050</v>
      </c>
      <c r="E209" s="186" t="s">
        <v>1161</v>
      </c>
      <c r="F209" s="701"/>
      <c r="G209" s="283">
        <v>9453</v>
      </c>
      <c r="H209" s="283">
        <v>0</v>
      </c>
      <c r="I209" s="283">
        <v>9453</v>
      </c>
      <c r="J209" s="184"/>
      <c r="K209" s="184"/>
      <c r="L209" s="399">
        <f t="shared" si="13"/>
        <v>0</v>
      </c>
      <c r="M209" s="181">
        <f t="shared" si="16"/>
        <v>9453</v>
      </c>
      <c r="N209" s="181">
        <f t="shared" si="17"/>
        <v>0</v>
      </c>
      <c r="O209" s="181">
        <f t="shared" si="14"/>
        <v>9453</v>
      </c>
    </row>
    <row r="210" spans="1:15" ht="15" customHeight="1">
      <c r="A210" s="138"/>
      <c r="B210" s="138"/>
      <c r="C210" s="143" t="s">
        <v>210</v>
      </c>
      <c r="D210" s="458" t="s">
        <v>223</v>
      </c>
      <c r="E210" s="186"/>
      <c r="F210" s="701"/>
      <c r="G210" s="283">
        <v>5000</v>
      </c>
      <c r="H210" s="283">
        <v>0</v>
      </c>
      <c r="I210" s="283">
        <v>5000</v>
      </c>
      <c r="J210" s="184"/>
      <c r="K210" s="184"/>
      <c r="L210" s="399">
        <f t="shared" si="13"/>
        <v>0</v>
      </c>
      <c r="M210" s="181">
        <f t="shared" si="16"/>
        <v>5000</v>
      </c>
      <c r="N210" s="181">
        <f t="shared" si="17"/>
        <v>0</v>
      </c>
      <c r="O210" s="181">
        <f t="shared" si="14"/>
        <v>5000</v>
      </c>
    </row>
    <row r="211" spans="1:15" ht="15" customHeight="1">
      <c r="A211" s="138"/>
      <c r="B211" s="138"/>
      <c r="C211" s="143" t="s">
        <v>211</v>
      </c>
      <c r="D211" s="280" t="s">
        <v>1051</v>
      </c>
      <c r="E211" s="186"/>
      <c r="F211" s="701"/>
      <c r="G211" s="283">
        <v>0</v>
      </c>
      <c r="H211" s="283">
        <v>0</v>
      </c>
      <c r="I211" s="283">
        <v>0</v>
      </c>
      <c r="J211" s="184"/>
      <c r="K211" s="184"/>
      <c r="L211" s="399">
        <f t="shared" si="13"/>
        <v>0</v>
      </c>
      <c r="M211" s="181">
        <f t="shared" si="16"/>
        <v>0</v>
      </c>
      <c r="N211" s="181">
        <f t="shared" si="17"/>
        <v>0</v>
      </c>
      <c r="O211" s="181">
        <f t="shared" si="14"/>
        <v>0</v>
      </c>
    </row>
    <row r="212" spans="1:15" ht="15" customHeight="1">
      <c r="A212" s="138"/>
      <c r="B212" s="138"/>
      <c r="C212" s="143" t="s">
        <v>212</v>
      </c>
      <c r="D212" s="243" t="s">
        <v>66</v>
      </c>
      <c r="E212" s="186"/>
      <c r="F212" s="702"/>
      <c r="G212" s="283">
        <v>29818</v>
      </c>
      <c r="H212" s="283">
        <v>0</v>
      </c>
      <c r="I212" s="283">
        <v>29818</v>
      </c>
      <c r="J212" s="184"/>
      <c r="K212" s="184"/>
      <c r="L212" s="399">
        <f t="shared" si="13"/>
        <v>0</v>
      </c>
      <c r="M212" s="181">
        <f t="shared" si="16"/>
        <v>29818</v>
      </c>
      <c r="N212" s="181">
        <f t="shared" si="17"/>
        <v>0</v>
      </c>
      <c r="O212" s="181">
        <f t="shared" si="14"/>
        <v>29818</v>
      </c>
    </row>
    <row r="213" spans="1:15" ht="15" customHeight="1">
      <c r="A213" s="138"/>
      <c r="B213" s="138"/>
      <c r="C213" s="143" t="s">
        <v>213</v>
      </c>
      <c r="D213" s="260" t="s">
        <v>775</v>
      </c>
      <c r="E213" s="186"/>
      <c r="F213" s="701"/>
      <c r="G213" s="283">
        <v>9000</v>
      </c>
      <c r="H213" s="283">
        <v>0</v>
      </c>
      <c r="I213" s="283">
        <v>9000</v>
      </c>
      <c r="J213" s="184"/>
      <c r="K213" s="184"/>
      <c r="L213" s="399">
        <f t="shared" si="13"/>
        <v>0</v>
      </c>
      <c r="M213" s="181">
        <f t="shared" si="16"/>
        <v>9000</v>
      </c>
      <c r="N213" s="181">
        <f t="shared" si="17"/>
        <v>0</v>
      </c>
      <c r="O213" s="181">
        <f t="shared" si="14"/>
        <v>9000</v>
      </c>
    </row>
    <row r="214" spans="1:15" ht="15" customHeight="1">
      <c r="A214" s="138"/>
      <c r="B214" s="138"/>
      <c r="C214" s="138" t="s">
        <v>344</v>
      </c>
      <c r="D214" s="167" t="s">
        <v>214</v>
      </c>
      <c r="E214" s="224"/>
      <c r="F214" s="697"/>
      <c r="G214" s="283"/>
      <c r="H214" s="283"/>
      <c r="I214" s="283"/>
      <c r="J214" s="181"/>
      <c r="K214" s="181"/>
      <c r="L214" s="399"/>
      <c r="M214" s="181"/>
      <c r="N214" s="181"/>
      <c r="O214" s="181"/>
    </row>
    <row r="215" spans="1:15" ht="36" customHeight="1">
      <c r="A215" s="138"/>
      <c r="B215" s="138"/>
      <c r="C215" s="143" t="s">
        <v>32</v>
      </c>
      <c r="D215" s="619" t="s">
        <v>33</v>
      </c>
      <c r="E215" s="224"/>
      <c r="F215" s="697"/>
      <c r="G215" s="283">
        <v>758846</v>
      </c>
      <c r="H215" s="283"/>
      <c r="I215" s="283">
        <v>758846</v>
      </c>
      <c r="J215" s="181"/>
      <c r="K215" s="181"/>
      <c r="L215" s="399">
        <f t="shared" si="13"/>
        <v>0</v>
      </c>
      <c r="M215" s="181">
        <f t="shared" si="16"/>
        <v>758846</v>
      </c>
      <c r="N215" s="181"/>
      <c r="O215" s="181">
        <f t="shared" si="14"/>
        <v>758846</v>
      </c>
    </row>
    <row r="216" spans="1:15" ht="33.75" customHeight="1">
      <c r="A216" s="138"/>
      <c r="B216" s="138"/>
      <c r="C216" s="669" t="s">
        <v>973</v>
      </c>
      <c r="D216" s="689" t="s">
        <v>974</v>
      </c>
      <c r="E216" s="224"/>
      <c r="F216" s="697"/>
      <c r="G216" s="283">
        <v>25000</v>
      </c>
      <c r="H216" s="283"/>
      <c r="I216" s="283">
        <v>25000</v>
      </c>
      <c r="J216" s="181"/>
      <c r="K216" s="181"/>
      <c r="L216" s="399">
        <f t="shared" si="13"/>
        <v>0</v>
      </c>
      <c r="M216" s="181">
        <f t="shared" si="16"/>
        <v>25000</v>
      </c>
      <c r="N216" s="181"/>
      <c r="O216" s="181">
        <f t="shared" si="14"/>
        <v>25000</v>
      </c>
    </row>
    <row r="217" spans="1:15" ht="15" customHeight="1">
      <c r="A217" s="138"/>
      <c r="B217" s="138"/>
      <c r="C217" s="143"/>
      <c r="D217" s="242" t="s">
        <v>856</v>
      </c>
      <c r="E217" s="224"/>
      <c r="F217" s="697"/>
      <c r="G217" s="283">
        <v>0</v>
      </c>
      <c r="H217" s="283">
        <v>0</v>
      </c>
      <c r="I217" s="283">
        <v>0</v>
      </c>
      <c r="J217" s="181"/>
      <c r="K217" s="181"/>
      <c r="L217" s="399">
        <f t="shared" si="13"/>
        <v>0</v>
      </c>
      <c r="M217" s="181">
        <f t="shared" si="16"/>
        <v>0</v>
      </c>
      <c r="N217" s="181">
        <f t="shared" si="17"/>
        <v>0</v>
      </c>
      <c r="O217" s="181">
        <f t="shared" si="14"/>
        <v>0</v>
      </c>
    </row>
    <row r="218" spans="1:15" ht="24.75" customHeight="1">
      <c r="A218" s="138"/>
      <c r="B218" s="138"/>
      <c r="C218" s="143" t="s">
        <v>776</v>
      </c>
      <c r="D218" s="169" t="s">
        <v>777</v>
      </c>
      <c r="E218" s="224"/>
      <c r="F218" s="697"/>
      <c r="G218" s="283">
        <v>16103</v>
      </c>
      <c r="H218" s="283">
        <v>0</v>
      </c>
      <c r="I218" s="283">
        <v>16103</v>
      </c>
      <c r="J218" s="181"/>
      <c r="K218" s="181"/>
      <c r="L218" s="399">
        <f t="shared" si="13"/>
        <v>0</v>
      </c>
      <c r="M218" s="181">
        <f t="shared" si="16"/>
        <v>16103</v>
      </c>
      <c r="N218" s="181">
        <f t="shared" si="17"/>
        <v>0</v>
      </c>
      <c r="O218" s="181">
        <f t="shared" si="14"/>
        <v>16103</v>
      </c>
    </row>
    <row r="219" spans="1:15" ht="13.5">
      <c r="A219" s="138"/>
      <c r="B219" s="138"/>
      <c r="C219" s="138" t="s">
        <v>347</v>
      </c>
      <c r="D219" s="167" t="s">
        <v>348</v>
      </c>
      <c r="E219" s="168"/>
      <c r="F219" s="695"/>
      <c r="G219" s="283">
        <v>0</v>
      </c>
      <c r="H219" s="283">
        <v>0</v>
      </c>
      <c r="I219" s="283">
        <v>0</v>
      </c>
      <c r="J219" s="184"/>
      <c r="K219" s="184"/>
      <c r="L219" s="399">
        <f t="shared" si="13"/>
        <v>0</v>
      </c>
      <c r="M219" s="181">
        <f t="shared" si="16"/>
        <v>0</v>
      </c>
      <c r="N219" s="181">
        <f t="shared" si="17"/>
        <v>0</v>
      </c>
      <c r="O219" s="181">
        <f t="shared" si="14"/>
        <v>0</v>
      </c>
    </row>
    <row r="220" spans="1:15" ht="13.5">
      <c r="A220" s="138"/>
      <c r="B220" s="138"/>
      <c r="C220" s="143" t="s">
        <v>349</v>
      </c>
      <c r="D220" s="165" t="s">
        <v>215</v>
      </c>
      <c r="E220" s="166"/>
      <c r="F220" s="695"/>
      <c r="G220" s="283">
        <v>5634</v>
      </c>
      <c r="H220" s="283">
        <v>0</v>
      </c>
      <c r="I220" s="283">
        <v>5634</v>
      </c>
      <c r="J220" s="184"/>
      <c r="K220" s="184"/>
      <c r="L220" s="399">
        <f t="shared" si="13"/>
        <v>0</v>
      </c>
      <c r="M220" s="181">
        <f t="shared" si="16"/>
        <v>5634</v>
      </c>
      <c r="N220" s="181">
        <f t="shared" si="17"/>
        <v>0</v>
      </c>
      <c r="O220" s="181">
        <f t="shared" si="14"/>
        <v>5634</v>
      </c>
    </row>
    <row r="221" spans="1:15" ht="13.5">
      <c r="A221" s="138"/>
      <c r="B221" s="138"/>
      <c r="C221" s="143" t="s">
        <v>350</v>
      </c>
      <c r="D221" s="440" t="s">
        <v>1052</v>
      </c>
      <c r="E221" s="166"/>
      <c r="F221" s="695"/>
      <c r="G221" s="283">
        <v>17025</v>
      </c>
      <c r="H221" s="283">
        <v>0</v>
      </c>
      <c r="I221" s="283">
        <v>17025</v>
      </c>
      <c r="J221" s="184"/>
      <c r="K221" s="184"/>
      <c r="L221" s="399">
        <f t="shared" si="13"/>
        <v>0</v>
      </c>
      <c r="M221" s="181">
        <f t="shared" si="16"/>
        <v>17025</v>
      </c>
      <c r="N221" s="181">
        <f t="shared" si="17"/>
        <v>0</v>
      </c>
      <c r="O221" s="181">
        <f t="shared" si="14"/>
        <v>17025</v>
      </c>
    </row>
    <row r="222" spans="1:15" ht="13.5">
      <c r="A222" s="138"/>
      <c r="B222" s="138"/>
      <c r="C222" s="143" t="s">
        <v>351</v>
      </c>
      <c r="D222" s="404" t="s">
        <v>1053</v>
      </c>
      <c r="E222" s="166"/>
      <c r="F222" s="695"/>
      <c r="G222" s="283">
        <v>2000</v>
      </c>
      <c r="H222" s="283">
        <v>0</v>
      </c>
      <c r="I222" s="283">
        <v>2000</v>
      </c>
      <c r="J222" s="184"/>
      <c r="K222" s="184"/>
      <c r="L222" s="399">
        <f t="shared" si="13"/>
        <v>0</v>
      </c>
      <c r="M222" s="181">
        <f t="shared" si="16"/>
        <v>2000</v>
      </c>
      <c r="N222" s="181">
        <f t="shared" si="17"/>
        <v>0</v>
      </c>
      <c r="O222" s="181">
        <f t="shared" si="14"/>
        <v>2000</v>
      </c>
    </row>
    <row r="223" spans="1:15" ht="13.5">
      <c r="A223" s="138"/>
      <c r="B223" s="138"/>
      <c r="C223" s="143" t="s">
        <v>352</v>
      </c>
      <c r="D223" s="229" t="s">
        <v>1054</v>
      </c>
      <c r="E223" s="166"/>
      <c r="F223" s="695" t="s">
        <v>395</v>
      </c>
      <c r="G223" s="283">
        <v>1000</v>
      </c>
      <c r="H223" s="283">
        <v>0</v>
      </c>
      <c r="I223" s="283">
        <v>1000</v>
      </c>
      <c r="J223" s="184">
        <v>-500</v>
      </c>
      <c r="K223" s="184"/>
      <c r="L223" s="399">
        <f t="shared" si="13"/>
        <v>-500</v>
      </c>
      <c r="M223" s="181">
        <f t="shared" si="16"/>
        <v>500</v>
      </c>
      <c r="N223" s="181">
        <f t="shared" si="17"/>
        <v>0</v>
      </c>
      <c r="O223" s="181">
        <f t="shared" si="14"/>
        <v>500</v>
      </c>
    </row>
    <row r="224" spans="1:15" ht="13.5">
      <c r="A224" s="138"/>
      <c r="B224" s="138"/>
      <c r="C224" s="143" t="s">
        <v>546</v>
      </c>
      <c r="D224" s="229" t="s">
        <v>34</v>
      </c>
      <c r="E224" s="166"/>
      <c r="F224" s="695"/>
      <c r="G224" s="283">
        <v>807</v>
      </c>
      <c r="H224" s="283"/>
      <c r="I224" s="283">
        <v>807</v>
      </c>
      <c r="J224" s="184"/>
      <c r="K224" s="184"/>
      <c r="L224" s="399">
        <f t="shared" si="13"/>
        <v>0</v>
      </c>
      <c r="M224" s="181">
        <f t="shared" si="16"/>
        <v>807</v>
      </c>
      <c r="N224" s="181"/>
      <c r="O224" s="181">
        <f t="shared" si="14"/>
        <v>807</v>
      </c>
    </row>
    <row r="225" spans="1:15" ht="13.5">
      <c r="A225" s="138"/>
      <c r="B225" s="138"/>
      <c r="C225" s="667" t="s">
        <v>971</v>
      </c>
      <c r="D225" s="663" t="s">
        <v>972</v>
      </c>
      <c r="E225" s="166"/>
      <c r="F225" s="695" t="s">
        <v>72</v>
      </c>
      <c r="G225" s="283">
        <v>1397</v>
      </c>
      <c r="H225" s="283"/>
      <c r="I225" s="283">
        <v>1397</v>
      </c>
      <c r="J225" s="184">
        <v>150</v>
      </c>
      <c r="K225" s="184"/>
      <c r="L225" s="399">
        <f t="shared" si="13"/>
        <v>150</v>
      </c>
      <c r="M225" s="181">
        <f t="shared" si="16"/>
        <v>1547</v>
      </c>
      <c r="N225" s="181"/>
      <c r="O225" s="181">
        <f t="shared" si="14"/>
        <v>1547</v>
      </c>
    </row>
    <row r="226" spans="1:15" ht="13.5">
      <c r="A226" s="138"/>
      <c r="B226" s="138"/>
      <c r="C226" s="143"/>
      <c r="D226" s="242" t="s">
        <v>856</v>
      </c>
      <c r="E226" s="166"/>
      <c r="F226" s="695"/>
      <c r="G226" s="283"/>
      <c r="H226" s="283"/>
      <c r="I226" s="283"/>
      <c r="J226" s="184"/>
      <c r="K226" s="184"/>
      <c r="L226" s="399">
        <f t="shared" si="13"/>
        <v>0</v>
      </c>
      <c r="M226" s="181"/>
      <c r="N226" s="181"/>
      <c r="O226" s="181"/>
    </row>
    <row r="227" spans="1:15" ht="13.5">
      <c r="A227" s="138"/>
      <c r="B227" s="138"/>
      <c r="C227" s="143" t="s">
        <v>216</v>
      </c>
      <c r="D227" s="257" t="s">
        <v>778</v>
      </c>
      <c r="E227" s="166"/>
      <c r="F227" s="695"/>
      <c r="G227" s="283">
        <v>0</v>
      </c>
      <c r="H227" s="283">
        <v>60868</v>
      </c>
      <c r="I227" s="283">
        <v>60868</v>
      </c>
      <c r="J227" s="184"/>
      <c r="K227" s="184"/>
      <c r="L227" s="399">
        <f t="shared" si="13"/>
        <v>0</v>
      </c>
      <c r="M227" s="181">
        <f t="shared" si="16"/>
        <v>0</v>
      </c>
      <c r="N227" s="181">
        <f t="shared" si="17"/>
        <v>60868</v>
      </c>
      <c r="O227" s="181">
        <f t="shared" si="14"/>
        <v>60868</v>
      </c>
    </row>
    <row r="228" spans="1:15" ht="13.5">
      <c r="A228" s="138"/>
      <c r="B228" s="138"/>
      <c r="C228" s="143" t="s">
        <v>67</v>
      </c>
      <c r="D228" s="459" t="s">
        <v>1143</v>
      </c>
      <c r="E228" s="166"/>
      <c r="F228" s="695"/>
      <c r="G228" s="283">
        <v>0</v>
      </c>
      <c r="H228" s="283">
        <v>0</v>
      </c>
      <c r="I228" s="283">
        <v>0</v>
      </c>
      <c r="J228" s="184"/>
      <c r="K228" s="184"/>
      <c r="L228" s="399">
        <f t="shared" si="13"/>
        <v>0</v>
      </c>
      <c r="M228" s="181">
        <f t="shared" si="16"/>
        <v>0</v>
      </c>
      <c r="N228" s="181">
        <f t="shared" si="17"/>
        <v>0</v>
      </c>
      <c r="O228" s="181">
        <f t="shared" si="14"/>
        <v>0</v>
      </c>
    </row>
    <row r="229" spans="1:15" ht="13.5">
      <c r="A229" s="460"/>
      <c r="B229" s="460"/>
      <c r="C229" s="414"/>
      <c r="D229" s="415" t="s">
        <v>3</v>
      </c>
      <c r="E229" s="461"/>
      <c r="F229" s="703"/>
      <c r="G229" s="261">
        <f aca="true" t="shared" si="18" ref="G229:N229">SUM(G119:G228)</f>
        <v>3994821</v>
      </c>
      <c r="H229" s="261">
        <f t="shared" si="18"/>
        <v>129991</v>
      </c>
      <c r="I229" s="261">
        <f t="shared" si="18"/>
        <v>4124812</v>
      </c>
      <c r="J229" s="261">
        <f t="shared" si="18"/>
        <v>1417148</v>
      </c>
      <c r="K229" s="261">
        <f t="shared" si="18"/>
        <v>0</v>
      </c>
      <c r="L229" s="261">
        <f t="shared" si="18"/>
        <v>1417148</v>
      </c>
      <c r="M229" s="261">
        <f t="shared" si="18"/>
        <v>5411969</v>
      </c>
      <c r="N229" s="261">
        <f t="shared" si="18"/>
        <v>129991</v>
      </c>
      <c r="O229" s="262">
        <f t="shared" si="14"/>
        <v>5541960</v>
      </c>
    </row>
    <row r="230" spans="1:15" ht="13.5">
      <c r="A230" s="360">
        <v>1</v>
      </c>
      <c r="B230" s="360">
        <v>17</v>
      </c>
      <c r="C230" s="140"/>
      <c r="D230" s="462" t="s">
        <v>1055</v>
      </c>
      <c r="E230" s="235"/>
      <c r="F230" s="182"/>
      <c r="G230" s="283">
        <v>0</v>
      </c>
      <c r="H230" s="283">
        <v>0</v>
      </c>
      <c r="I230" s="283">
        <v>0</v>
      </c>
      <c r="J230" s="185"/>
      <c r="K230" s="185"/>
      <c r="L230" s="399">
        <f t="shared" si="13"/>
        <v>0</v>
      </c>
      <c r="M230" s="181">
        <f t="shared" si="16"/>
        <v>0</v>
      </c>
      <c r="N230" s="181">
        <f t="shared" si="17"/>
        <v>0</v>
      </c>
      <c r="O230" s="181">
        <f t="shared" si="14"/>
        <v>0</v>
      </c>
    </row>
    <row r="231" spans="1:15" ht="15" customHeight="1">
      <c r="A231" s="438"/>
      <c r="B231" s="438"/>
      <c r="C231" s="140" t="s">
        <v>224</v>
      </c>
      <c r="D231" s="169" t="s">
        <v>1056</v>
      </c>
      <c r="E231" s="166"/>
      <c r="F231" s="695"/>
      <c r="G231" s="283">
        <v>36800</v>
      </c>
      <c r="H231" s="283">
        <v>0</v>
      </c>
      <c r="I231" s="283">
        <v>36800</v>
      </c>
      <c r="J231" s="184"/>
      <c r="K231" s="184"/>
      <c r="L231" s="399">
        <f t="shared" si="13"/>
        <v>0</v>
      </c>
      <c r="M231" s="181">
        <f t="shared" si="16"/>
        <v>36800</v>
      </c>
      <c r="N231" s="181">
        <f t="shared" si="17"/>
        <v>0</v>
      </c>
      <c r="O231" s="181">
        <f t="shared" si="14"/>
        <v>36800</v>
      </c>
    </row>
    <row r="232" spans="1:15" ht="24.75" customHeight="1">
      <c r="A232" s="438"/>
      <c r="B232" s="438"/>
      <c r="C232" s="140" t="s">
        <v>309</v>
      </c>
      <c r="D232" s="463" t="s">
        <v>1057</v>
      </c>
      <c r="E232" s="186"/>
      <c r="F232" s="702"/>
      <c r="G232" s="283">
        <v>23000</v>
      </c>
      <c r="H232" s="283">
        <v>0</v>
      </c>
      <c r="I232" s="283">
        <v>23000</v>
      </c>
      <c r="J232" s="184"/>
      <c r="K232" s="184"/>
      <c r="L232" s="399">
        <f t="shared" si="13"/>
        <v>0</v>
      </c>
      <c r="M232" s="181">
        <f t="shared" si="16"/>
        <v>23000</v>
      </c>
      <c r="N232" s="181">
        <f t="shared" si="17"/>
        <v>0</v>
      </c>
      <c r="O232" s="181">
        <f t="shared" si="14"/>
        <v>23000</v>
      </c>
    </row>
    <row r="233" spans="1:15" ht="15" customHeight="1">
      <c r="A233" s="438"/>
      <c r="B233" s="438"/>
      <c r="C233" s="140" t="s">
        <v>311</v>
      </c>
      <c r="D233" s="670" t="s">
        <v>978</v>
      </c>
      <c r="E233" s="186"/>
      <c r="F233" s="702" t="s">
        <v>72</v>
      </c>
      <c r="G233" s="283"/>
      <c r="H233" s="283">
        <v>200</v>
      </c>
      <c r="I233" s="283">
        <v>200</v>
      </c>
      <c r="J233" s="184"/>
      <c r="K233" s="184">
        <v>100</v>
      </c>
      <c r="L233" s="399">
        <f t="shared" si="13"/>
        <v>100</v>
      </c>
      <c r="M233" s="181">
        <f t="shared" si="16"/>
        <v>0</v>
      </c>
      <c r="N233" s="181">
        <f t="shared" si="17"/>
        <v>300</v>
      </c>
      <c r="O233" s="181">
        <f t="shared" si="14"/>
        <v>300</v>
      </c>
    </row>
    <row r="234" spans="1:15" ht="15" customHeight="1">
      <c r="A234" s="438"/>
      <c r="B234" s="438"/>
      <c r="C234" s="140">
        <v>4</v>
      </c>
      <c r="D234" s="624" t="s">
        <v>1163</v>
      </c>
      <c r="E234" s="186"/>
      <c r="F234" s="702" t="s">
        <v>72</v>
      </c>
      <c r="G234" s="283"/>
      <c r="H234" s="283"/>
      <c r="I234" s="283"/>
      <c r="J234" s="184">
        <v>1242</v>
      </c>
      <c r="K234" s="184"/>
      <c r="L234" s="399">
        <f t="shared" si="13"/>
        <v>1242</v>
      </c>
      <c r="M234" s="181">
        <f t="shared" si="16"/>
        <v>1242</v>
      </c>
      <c r="N234" s="181"/>
      <c r="O234" s="181">
        <f t="shared" si="14"/>
        <v>1242</v>
      </c>
    </row>
    <row r="235" spans="1:15" ht="15" customHeight="1">
      <c r="A235" s="438"/>
      <c r="B235" s="438"/>
      <c r="C235" s="140" t="s">
        <v>1171</v>
      </c>
      <c r="D235" s="735" t="s">
        <v>1172</v>
      </c>
      <c r="E235" s="186"/>
      <c r="F235" s="702" t="s">
        <v>72</v>
      </c>
      <c r="G235" s="283"/>
      <c r="H235" s="283"/>
      <c r="I235" s="283"/>
      <c r="J235" s="184">
        <v>3155</v>
      </c>
      <c r="K235" s="184"/>
      <c r="L235" s="399">
        <f t="shared" si="13"/>
        <v>3155</v>
      </c>
      <c r="M235" s="181">
        <f t="shared" si="16"/>
        <v>3155</v>
      </c>
      <c r="N235" s="181"/>
      <c r="O235" s="181">
        <f t="shared" si="14"/>
        <v>3155</v>
      </c>
    </row>
    <row r="236" spans="1:15" ht="13.5" customHeight="1">
      <c r="A236" s="438"/>
      <c r="B236" s="438"/>
      <c r="C236" s="140"/>
      <c r="D236" s="242" t="s">
        <v>856</v>
      </c>
      <c r="E236" s="166"/>
      <c r="F236" s="695"/>
      <c r="G236" s="283">
        <v>0</v>
      </c>
      <c r="H236" s="283">
        <v>0</v>
      </c>
      <c r="I236" s="283">
        <v>0</v>
      </c>
      <c r="J236" s="184"/>
      <c r="K236" s="184"/>
      <c r="L236" s="399">
        <f t="shared" si="13"/>
        <v>0</v>
      </c>
      <c r="M236" s="181">
        <f t="shared" si="16"/>
        <v>0</v>
      </c>
      <c r="N236" s="181">
        <f t="shared" si="17"/>
        <v>0</v>
      </c>
      <c r="O236" s="181">
        <f t="shared" si="14"/>
        <v>0</v>
      </c>
    </row>
    <row r="237" spans="1:15" ht="24.75" customHeight="1">
      <c r="A237" s="438"/>
      <c r="B237" s="438"/>
      <c r="C237" s="140" t="s">
        <v>1145</v>
      </c>
      <c r="D237" s="169" t="s">
        <v>1144</v>
      </c>
      <c r="E237" s="166"/>
      <c r="F237" s="695"/>
      <c r="G237" s="283">
        <v>103818</v>
      </c>
      <c r="H237" s="283">
        <v>0</v>
      </c>
      <c r="I237" s="283">
        <v>103818</v>
      </c>
      <c r="J237" s="184"/>
      <c r="K237" s="184"/>
      <c r="L237" s="399">
        <f t="shared" si="13"/>
        <v>0</v>
      </c>
      <c r="M237" s="181">
        <f t="shared" si="16"/>
        <v>103818</v>
      </c>
      <c r="N237" s="181">
        <f t="shared" si="17"/>
        <v>0</v>
      </c>
      <c r="O237" s="181">
        <f t="shared" si="14"/>
        <v>103818</v>
      </c>
    </row>
    <row r="238" spans="1:15" ht="24.75" customHeight="1">
      <c r="A238" s="438"/>
      <c r="B238" s="438"/>
      <c r="C238" s="140" t="s">
        <v>1146</v>
      </c>
      <c r="D238" s="169" t="s">
        <v>71</v>
      </c>
      <c r="E238" s="166"/>
      <c r="F238" s="695"/>
      <c r="G238" s="283">
        <v>23220</v>
      </c>
      <c r="H238" s="283">
        <v>0</v>
      </c>
      <c r="I238" s="283">
        <v>23220</v>
      </c>
      <c r="J238" s="184"/>
      <c r="K238" s="184"/>
      <c r="L238" s="399">
        <f t="shared" si="13"/>
        <v>0</v>
      </c>
      <c r="M238" s="181">
        <f t="shared" si="16"/>
        <v>23220</v>
      </c>
      <c r="N238" s="181">
        <f t="shared" si="17"/>
        <v>0</v>
      </c>
      <c r="O238" s="181">
        <f t="shared" si="14"/>
        <v>23220</v>
      </c>
    </row>
    <row r="239" spans="1:15" ht="24.75" customHeight="1">
      <c r="A239" s="438"/>
      <c r="B239" s="438"/>
      <c r="C239" s="140" t="s">
        <v>1147</v>
      </c>
      <c r="D239" s="228" t="s">
        <v>76</v>
      </c>
      <c r="E239" s="166"/>
      <c r="F239" s="695"/>
      <c r="G239" s="283">
        <v>40000</v>
      </c>
      <c r="H239" s="283">
        <v>0</v>
      </c>
      <c r="I239" s="283">
        <v>40000</v>
      </c>
      <c r="J239" s="184"/>
      <c r="K239" s="184"/>
      <c r="L239" s="399">
        <f t="shared" si="13"/>
        <v>0</v>
      </c>
      <c r="M239" s="181">
        <f t="shared" si="16"/>
        <v>40000</v>
      </c>
      <c r="N239" s="181">
        <f t="shared" si="17"/>
        <v>0</v>
      </c>
      <c r="O239" s="181">
        <f t="shared" si="14"/>
        <v>40000</v>
      </c>
    </row>
    <row r="240" spans="1:15" ht="14.25" customHeight="1">
      <c r="A240" s="460"/>
      <c r="B240" s="460"/>
      <c r="C240" s="414"/>
      <c r="D240" s="415" t="s">
        <v>1152</v>
      </c>
      <c r="E240" s="461"/>
      <c r="F240" s="703"/>
      <c r="G240" s="261">
        <f>SUM(G231:G239)</f>
        <v>226838</v>
      </c>
      <c r="H240" s="261">
        <f aca="true" t="shared" si="19" ref="H240:N240">SUM(H231:H239)</f>
        <v>200</v>
      </c>
      <c r="I240" s="261">
        <f t="shared" si="19"/>
        <v>227038</v>
      </c>
      <c r="J240" s="261">
        <f t="shared" si="19"/>
        <v>4397</v>
      </c>
      <c r="K240" s="261">
        <f t="shared" si="19"/>
        <v>100</v>
      </c>
      <c r="L240" s="261">
        <f t="shared" si="19"/>
        <v>4497</v>
      </c>
      <c r="M240" s="261">
        <f t="shared" si="19"/>
        <v>231235</v>
      </c>
      <c r="N240" s="261">
        <f t="shared" si="19"/>
        <v>300</v>
      </c>
      <c r="O240" s="262">
        <f t="shared" si="14"/>
        <v>231535</v>
      </c>
    </row>
    <row r="241" spans="1:15" ht="12" customHeight="1">
      <c r="A241" s="390">
        <v>1</v>
      </c>
      <c r="B241" s="390">
        <v>18</v>
      </c>
      <c r="C241" s="141"/>
      <c r="D241" s="464" t="s">
        <v>1058</v>
      </c>
      <c r="E241" s="234"/>
      <c r="F241" s="183"/>
      <c r="G241" s="283">
        <v>0</v>
      </c>
      <c r="H241" s="283">
        <v>0</v>
      </c>
      <c r="I241" s="283">
        <v>0</v>
      </c>
      <c r="J241" s="437"/>
      <c r="K241" s="437"/>
      <c r="L241" s="399">
        <f t="shared" si="13"/>
        <v>0</v>
      </c>
      <c r="M241" s="181">
        <f t="shared" si="16"/>
        <v>0</v>
      </c>
      <c r="N241" s="181">
        <f t="shared" si="17"/>
        <v>0</v>
      </c>
      <c r="O241" s="181">
        <f t="shared" si="14"/>
        <v>0</v>
      </c>
    </row>
    <row r="242" spans="1:15" ht="12" customHeight="1">
      <c r="A242" s="390"/>
      <c r="B242" s="390"/>
      <c r="C242" s="141" t="s">
        <v>224</v>
      </c>
      <c r="D242" s="396" t="s">
        <v>941</v>
      </c>
      <c r="E242" s="224"/>
      <c r="F242" s="697"/>
      <c r="G242" s="283">
        <v>1383</v>
      </c>
      <c r="H242" s="283"/>
      <c r="I242" s="283">
        <v>1383</v>
      </c>
      <c r="J242" s="181"/>
      <c r="K242" s="181"/>
      <c r="L242" s="399">
        <f t="shared" si="13"/>
        <v>0</v>
      </c>
      <c r="M242" s="181">
        <f t="shared" si="16"/>
        <v>1383</v>
      </c>
      <c r="N242" s="181"/>
      <c r="O242" s="181">
        <f t="shared" si="14"/>
        <v>1383</v>
      </c>
    </row>
    <row r="243" spans="1:15" ht="12" customHeight="1">
      <c r="A243" s="373"/>
      <c r="B243" s="373"/>
      <c r="C243" s="414"/>
      <c r="D243" s="415" t="s">
        <v>1059</v>
      </c>
      <c r="E243" s="461"/>
      <c r="F243" s="703"/>
      <c r="G243" s="261">
        <f>SUM(G241:G242)</f>
        <v>1383</v>
      </c>
      <c r="H243" s="261">
        <f aca="true" t="shared" si="20" ref="H243:N243">SUM(H241:H242)</f>
        <v>0</v>
      </c>
      <c r="I243" s="261">
        <f t="shared" si="20"/>
        <v>1383</v>
      </c>
      <c r="J243" s="261">
        <f t="shared" si="20"/>
        <v>0</v>
      </c>
      <c r="K243" s="261">
        <f t="shared" si="20"/>
        <v>0</v>
      </c>
      <c r="L243" s="261">
        <f t="shared" si="20"/>
        <v>0</v>
      </c>
      <c r="M243" s="261">
        <f t="shared" si="20"/>
        <v>1383</v>
      </c>
      <c r="N243" s="261">
        <f t="shared" si="20"/>
        <v>0</v>
      </c>
      <c r="O243" s="262">
        <f t="shared" si="14"/>
        <v>1383</v>
      </c>
    </row>
    <row r="244" spans="1:15" ht="12" customHeight="1">
      <c r="A244" s="360">
        <v>1</v>
      </c>
      <c r="B244" s="360">
        <v>19</v>
      </c>
      <c r="C244" s="140"/>
      <c r="D244" s="462" t="s">
        <v>368</v>
      </c>
      <c r="E244" s="235"/>
      <c r="F244" s="182"/>
      <c r="G244" s="283">
        <v>0</v>
      </c>
      <c r="H244" s="283">
        <v>0</v>
      </c>
      <c r="I244" s="283">
        <v>0</v>
      </c>
      <c r="J244" s="185"/>
      <c r="K244" s="185"/>
      <c r="L244" s="399">
        <f t="shared" si="13"/>
        <v>0</v>
      </c>
      <c r="M244" s="181">
        <f t="shared" si="16"/>
        <v>0</v>
      </c>
      <c r="N244" s="181">
        <f t="shared" si="17"/>
        <v>0</v>
      </c>
      <c r="O244" s="181">
        <f t="shared" si="14"/>
        <v>0</v>
      </c>
    </row>
    <row r="245" spans="1:15" ht="12" customHeight="1">
      <c r="A245" s="360"/>
      <c r="B245" s="360"/>
      <c r="C245" s="140" t="s">
        <v>224</v>
      </c>
      <c r="D245" s="162" t="s">
        <v>1060</v>
      </c>
      <c r="E245" s="235"/>
      <c r="F245" s="182"/>
      <c r="G245" s="283">
        <v>0</v>
      </c>
      <c r="H245" s="283">
        <v>3000</v>
      </c>
      <c r="I245" s="283">
        <v>3000</v>
      </c>
      <c r="J245" s="185"/>
      <c r="K245" s="182"/>
      <c r="L245" s="399">
        <f t="shared" si="13"/>
        <v>0</v>
      </c>
      <c r="M245" s="181">
        <f t="shared" si="16"/>
        <v>0</v>
      </c>
      <c r="N245" s="181">
        <f t="shared" si="17"/>
        <v>3000</v>
      </c>
      <c r="O245" s="181">
        <f t="shared" si="14"/>
        <v>3000</v>
      </c>
    </row>
    <row r="246" spans="1:15" ht="12" customHeight="1">
      <c r="A246" s="360"/>
      <c r="B246" s="360"/>
      <c r="C246" s="140" t="s">
        <v>309</v>
      </c>
      <c r="D246" s="162" t="s">
        <v>1170</v>
      </c>
      <c r="E246" s="235"/>
      <c r="F246" s="182" t="s">
        <v>1169</v>
      </c>
      <c r="G246" s="283"/>
      <c r="H246" s="283"/>
      <c r="I246" s="283"/>
      <c r="J246" s="185"/>
      <c r="K246" s="182">
        <v>525</v>
      </c>
      <c r="L246" s="399">
        <f t="shared" si="13"/>
        <v>525</v>
      </c>
      <c r="M246" s="181"/>
      <c r="N246" s="181">
        <f t="shared" si="17"/>
        <v>525</v>
      </c>
      <c r="O246" s="181">
        <f t="shared" si="14"/>
        <v>525</v>
      </c>
    </row>
    <row r="247" spans="1:15" ht="12" customHeight="1">
      <c r="A247" s="360"/>
      <c r="B247" s="360"/>
      <c r="C247" s="140" t="s">
        <v>311</v>
      </c>
      <c r="D247" s="764" t="s">
        <v>709</v>
      </c>
      <c r="E247" s="235"/>
      <c r="F247" s="182" t="s">
        <v>72</v>
      </c>
      <c r="G247" s="283"/>
      <c r="H247" s="283"/>
      <c r="I247" s="283"/>
      <c r="J247" s="185"/>
      <c r="K247" s="182">
        <v>3040</v>
      </c>
      <c r="L247" s="399">
        <f t="shared" si="13"/>
        <v>3040</v>
      </c>
      <c r="M247" s="181"/>
      <c r="N247" s="181">
        <f t="shared" si="17"/>
        <v>3040</v>
      </c>
      <c r="O247" s="181">
        <f t="shared" si="14"/>
        <v>3040</v>
      </c>
    </row>
    <row r="248" spans="1:15" ht="12" customHeight="1">
      <c r="A248" s="360"/>
      <c r="B248" s="360"/>
      <c r="C248" s="140" t="s">
        <v>313</v>
      </c>
      <c r="D248" s="774" t="s">
        <v>903</v>
      </c>
      <c r="E248" s="235"/>
      <c r="F248" s="182" t="s">
        <v>72</v>
      </c>
      <c r="G248" s="283"/>
      <c r="H248" s="283"/>
      <c r="I248" s="283"/>
      <c r="J248" s="185"/>
      <c r="K248" s="182">
        <v>1500</v>
      </c>
      <c r="L248" s="399">
        <v>1500</v>
      </c>
      <c r="M248" s="181"/>
      <c r="N248" s="181">
        <f t="shared" si="17"/>
        <v>1500</v>
      </c>
      <c r="O248" s="181">
        <f t="shared" si="14"/>
        <v>1500</v>
      </c>
    </row>
    <row r="249" spans="1:15" ht="12" customHeight="1">
      <c r="A249" s="360"/>
      <c r="B249" s="360"/>
      <c r="C249" s="140"/>
      <c r="D249" s="242" t="s">
        <v>856</v>
      </c>
      <c r="E249" s="235"/>
      <c r="F249" s="182"/>
      <c r="G249" s="283">
        <v>0</v>
      </c>
      <c r="H249" s="283">
        <v>0</v>
      </c>
      <c r="I249" s="283">
        <v>0</v>
      </c>
      <c r="J249" s="182"/>
      <c r="K249" s="182"/>
      <c r="L249" s="399">
        <f t="shared" si="13"/>
        <v>0</v>
      </c>
      <c r="M249" s="181">
        <f t="shared" si="16"/>
        <v>0</v>
      </c>
      <c r="N249" s="181">
        <f t="shared" si="17"/>
        <v>0</v>
      </c>
      <c r="O249" s="181">
        <f t="shared" si="14"/>
        <v>0</v>
      </c>
    </row>
    <row r="250" spans="1:15" ht="24.75" customHeight="1">
      <c r="A250" s="360"/>
      <c r="B250" s="360"/>
      <c r="C250" s="140" t="s">
        <v>79</v>
      </c>
      <c r="D250" s="225" t="s">
        <v>1061</v>
      </c>
      <c r="E250" s="235"/>
      <c r="F250" s="182" t="s">
        <v>72</v>
      </c>
      <c r="G250" s="180">
        <v>0</v>
      </c>
      <c r="H250" s="180">
        <v>8200</v>
      </c>
      <c r="I250" s="180">
        <v>8200</v>
      </c>
      <c r="J250" s="182"/>
      <c r="K250" s="182">
        <v>-4540</v>
      </c>
      <c r="L250" s="399">
        <f t="shared" si="13"/>
        <v>-4540</v>
      </c>
      <c r="M250" s="181">
        <f t="shared" si="16"/>
        <v>0</v>
      </c>
      <c r="N250" s="181">
        <f t="shared" si="17"/>
        <v>3660</v>
      </c>
      <c r="O250" s="181">
        <f t="shared" si="14"/>
        <v>3660</v>
      </c>
    </row>
    <row r="251" spans="1:15" ht="17.25" customHeight="1">
      <c r="A251" s="373"/>
      <c r="B251" s="373"/>
      <c r="C251" s="414"/>
      <c r="D251" s="415" t="s">
        <v>369</v>
      </c>
      <c r="E251" s="461"/>
      <c r="F251" s="703"/>
      <c r="G251" s="261">
        <f>SUM(G245:G250)</f>
        <v>0</v>
      </c>
      <c r="H251" s="261">
        <f aca="true" t="shared" si="21" ref="H251:N251">SUM(H245:H250)</f>
        <v>11200</v>
      </c>
      <c r="I251" s="261">
        <f t="shared" si="21"/>
        <v>11200</v>
      </c>
      <c r="J251" s="261">
        <f t="shared" si="21"/>
        <v>0</v>
      </c>
      <c r="K251" s="261">
        <f t="shared" si="21"/>
        <v>525</v>
      </c>
      <c r="L251" s="261">
        <f t="shared" si="21"/>
        <v>525</v>
      </c>
      <c r="M251" s="261">
        <f t="shared" si="21"/>
        <v>0</v>
      </c>
      <c r="N251" s="261">
        <f t="shared" si="21"/>
        <v>11725</v>
      </c>
      <c r="O251" s="262">
        <f t="shared" si="14"/>
        <v>11725</v>
      </c>
    </row>
    <row r="252" spans="1:15" ht="12" customHeight="1">
      <c r="A252" s="360">
        <v>1</v>
      </c>
      <c r="B252" s="360">
        <v>22</v>
      </c>
      <c r="C252" s="140"/>
      <c r="D252" s="462" t="s">
        <v>799</v>
      </c>
      <c r="E252" s="235"/>
      <c r="F252" s="182"/>
      <c r="G252" s="283">
        <v>0</v>
      </c>
      <c r="H252" s="283">
        <v>0</v>
      </c>
      <c r="I252" s="283">
        <v>0</v>
      </c>
      <c r="J252" s="182"/>
      <c r="K252" s="182"/>
      <c r="L252" s="399">
        <f aca="true" t="shared" si="22" ref="L252:L260">SUM(J252:K252)</f>
        <v>0</v>
      </c>
      <c r="M252" s="181">
        <f t="shared" si="16"/>
        <v>0</v>
      </c>
      <c r="N252" s="181">
        <f t="shared" si="17"/>
        <v>0</v>
      </c>
      <c r="O252" s="181">
        <f t="shared" si="14"/>
        <v>0</v>
      </c>
    </row>
    <row r="253" spans="1:15" ht="24.75" customHeight="1">
      <c r="A253" s="360"/>
      <c r="B253" s="360"/>
      <c r="C253" s="140" t="s">
        <v>224</v>
      </c>
      <c r="D253" s="228" t="s">
        <v>1062</v>
      </c>
      <c r="E253" s="186"/>
      <c r="F253" s="702"/>
      <c r="G253" s="283">
        <v>0</v>
      </c>
      <c r="H253" s="283">
        <v>780</v>
      </c>
      <c r="I253" s="283">
        <v>780</v>
      </c>
      <c r="J253" s="184"/>
      <c r="K253" s="184"/>
      <c r="L253" s="399">
        <f t="shared" si="22"/>
        <v>0</v>
      </c>
      <c r="M253" s="181">
        <f t="shared" si="16"/>
        <v>0</v>
      </c>
      <c r="N253" s="181">
        <f t="shared" si="17"/>
        <v>780</v>
      </c>
      <c r="O253" s="181">
        <f t="shared" si="14"/>
        <v>780</v>
      </c>
    </row>
    <row r="254" spans="1:15" ht="24.75" customHeight="1">
      <c r="A254" s="360"/>
      <c r="B254" s="360"/>
      <c r="C254" s="140" t="s">
        <v>309</v>
      </c>
      <c r="D254" s="140" t="s">
        <v>687</v>
      </c>
      <c r="E254" s="186"/>
      <c r="F254" s="702" t="s">
        <v>72</v>
      </c>
      <c r="G254" s="283"/>
      <c r="H254" s="283"/>
      <c r="I254" s="283"/>
      <c r="J254" s="184"/>
      <c r="K254" s="184">
        <v>250</v>
      </c>
      <c r="L254" s="399">
        <f t="shared" si="22"/>
        <v>250</v>
      </c>
      <c r="M254" s="181"/>
      <c r="N254" s="181">
        <f t="shared" si="17"/>
        <v>250</v>
      </c>
      <c r="O254" s="181">
        <f t="shared" si="14"/>
        <v>250</v>
      </c>
    </row>
    <row r="255" spans="1:15" ht="20.25" customHeight="1">
      <c r="A255" s="373"/>
      <c r="B255" s="373"/>
      <c r="C255" s="414"/>
      <c r="D255" s="415" t="s">
        <v>800</v>
      </c>
      <c r="E255" s="461"/>
      <c r="F255" s="703"/>
      <c r="G255" s="261">
        <f>SUM(G253:G254)</f>
        <v>0</v>
      </c>
      <c r="H255" s="261">
        <f aca="true" t="shared" si="23" ref="H255:O255">SUM(H253:H254)</f>
        <v>780</v>
      </c>
      <c r="I255" s="261">
        <f t="shared" si="23"/>
        <v>780</v>
      </c>
      <c r="J255" s="261">
        <f t="shared" si="23"/>
        <v>0</v>
      </c>
      <c r="K255" s="261">
        <f t="shared" si="23"/>
        <v>250</v>
      </c>
      <c r="L255" s="261">
        <f t="shared" si="23"/>
        <v>250</v>
      </c>
      <c r="M255" s="261">
        <f t="shared" si="23"/>
        <v>0</v>
      </c>
      <c r="N255" s="261">
        <f t="shared" si="23"/>
        <v>1030</v>
      </c>
      <c r="O255" s="261">
        <f t="shared" si="23"/>
        <v>1030</v>
      </c>
    </row>
    <row r="256" spans="1:15" ht="13.5">
      <c r="A256" s="465">
        <v>1</v>
      </c>
      <c r="B256" s="465">
        <v>3</v>
      </c>
      <c r="C256" s="142"/>
      <c r="D256" s="164" t="s">
        <v>1157</v>
      </c>
      <c r="E256" s="227"/>
      <c r="F256" s="180"/>
      <c r="G256" s="283">
        <v>0</v>
      </c>
      <c r="H256" s="283">
        <v>0</v>
      </c>
      <c r="I256" s="283">
        <v>0</v>
      </c>
      <c r="J256" s="180"/>
      <c r="K256" s="180"/>
      <c r="L256" s="399">
        <f t="shared" si="22"/>
        <v>0</v>
      </c>
      <c r="M256" s="181">
        <f t="shared" si="16"/>
        <v>0</v>
      </c>
      <c r="N256" s="181">
        <f t="shared" si="17"/>
        <v>0</v>
      </c>
      <c r="O256" s="181">
        <f t="shared" si="14"/>
        <v>0</v>
      </c>
    </row>
    <row r="257" spans="1:15" ht="13.5">
      <c r="A257" s="465"/>
      <c r="B257" s="465"/>
      <c r="C257" s="142" t="s">
        <v>224</v>
      </c>
      <c r="D257" s="263" t="s">
        <v>1148</v>
      </c>
      <c r="E257" s="227"/>
      <c r="F257" s="180"/>
      <c r="G257" s="283">
        <v>0</v>
      </c>
      <c r="H257" s="283">
        <v>0</v>
      </c>
      <c r="I257" s="283">
        <v>0</v>
      </c>
      <c r="J257" s="180"/>
      <c r="K257" s="180"/>
      <c r="L257" s="399">
        <f t="shared" si="22"/>
        <v>0</v>
      </c>
      <c r="M257" s="181">
        <f t="shared" si="16"/>
        <v>0</v>
      </c>
      <c r="N257" s="181">
        <f t="shared" si="17"/>
        <v>0</v>
      </c>
      <c r="O257" s="181">
        <f t="shared" si="14"/>
        <v>0</v>
      </c>
    </row>
    <row r="258" spans="1:15" ht="17.25" customHeight="1">
      <c r="A258" s="115"/>
      <c r="B258" s="115"/>
      <c r="C258" s="373"/>
      <c r="D258" s="466" t="s">
        <v>1158</v>
      </c>
      <c r="E258" s="467"/>
      <c r="F258" s="704"/>
      <c r="G258" s="468">
        <f>SUM(G257:G257)</f>
        <v>0</v>
      </c>
      <c r="H258" s="468">
        <f aca="true" t="shared" si="24" ref="H258:N258">SUM(H257:H257)</f>
        <v>0</v>
      </c>
      <c r="I258" s="468">
        <f t="shared" si="24"/>
        <v>0</v>
      </c>
      <c r="J258" s="468">
        <f t="shared" si="24"/>
        <v>0</v>
      </c>
      <c r="K258" s="468">
        <f t="shared" si="24"/>
        <v>0</v>
      </c>
      <c r="L258" s="468">
        <f t="shared" si="24"/>
        <v>0</v>
      </c>
      <c r="M258" s="468">
        <f t="shared" si="24"/>
        <v>0</v>
      </c>
      <c r="N258" s="468">
        <f t="shared" si="24"/>
        <v>0</v>
      </c>
      <c r="O258" s="262">
        <f t="shared" si="14"/>
        <v>0</v>
      </c>
    </row>
    <row r="259" spans="1:15" ht="18" customHeight="1">
      <c r="A259" s="116"/>
      <c r="B259" s="116"/>
      <c r="C259" s="374"/>
      <c r="D259" s="469" t="s">
        <v>1063</v>
      </c>
      <c r="E259" s="467"/>
      <c r="F259" s="704"/>
      <c r="G259" s="468">
        <f>SUM(G6+G41+G116+G229+G240+G243+G251+G255+G258)</f>
        <v>4994817</v>
      </c>
      <c r="H259" s="468">
        <f aca="true" t="shared" si="25" ref="H259:O259">SUM(H6+H41+H116+H229+H240+H243+H251+H255+H258)</f>
        <v>229497</v>
      </c>
      <c r="I259" s="468">
        <f t="shared" si="25"/>
        <v>5224314</v>
      </c>
      <c r="J259" s="468">
        <f t="shared" si="25"/>
        <v>1441867</v>
      </c>
      <c r="K259" s="468">
        <f t="shared" si="25"/>
        <v>-477</v>
      </c>
      <c r="L259" s="468">
        <f t="shared" si="25"/>
        <v>1441390</v>
      </c>
      <c r="M259" s="468">
        <f t="shared" si="25"/>
        <v>6436684</v>
      </c>
      <c r="N259" s="468">
        <f t="shared" si="25"/>
        <v>229020</v>
      </c>
      <c r="O259" s="468">
        <f t="shared" si="25"/>
        <v>6665704</v>
      </c>
    </row>
    <row r="260" spans="1:15" ht="12.75">
      <c r="A260" s="470">
        <v>2</v>
      </c>
      <c r="B260" s="284">
        <v>2</v>
      </c>
      <c r="C260" s="471"/>
      <c r="D260" s="391" t="s">
        <v>53</v>
      </c>
      <c r="E260" s="472"/>
      <c r="F260" s="283"/>
      <c r="G260" s="283">
        <v>52158</v>
      </c>
      <c r="H260" s="283">
        <v>443</v>
      </c>
      <c r="I260" s="283">
        <v>52601</v>
      </c>
      <c r="J260" s="283">
        <f>'táj.2.'!I32</f>
        <v>30891</v>
      </c>
      <c r="K260" s="283">
        <f>'táj.2.'!K32</f>
        <v>0</v>
      </c>
      <c r="L260" s="399">
        <f t="shared" si="22"/>
        <v>30891</v>
      </c>
      <c r="M260" s="181">
        <f t="shared" si="16"/>
        <v>83049</v>
      </c>
      <c r="N260" s="181">
        <f t="shared" si="17"/>
        <v>443</v>
      </c>
      <c r="O260" s="181">
        <f t="shared" si="14"/>
        <v>83492</v>
      </c>
    </row>
    <row r="261" spans="1:15" ht="20.25" customHeight="1">
      <c r="A261" s="116"/>
      <c r="B261" s="116"/>
      <c r="C261" s="374"/>
      <c r="D261" s="466" t="s">
        <v>1160</v>
      </c>
      <c r="E261" s="467"/>
      <c r="F261" s="704"/>
      <c r="G261" s="261">
        <f aca="true" t="shared" si="26" ref="G261:N261">SUM(G259:G260)</f>
        <v>5046975</v>
      </c>
      <c r="H261" s="261">
        <f t="shared" si="26"/>
        <v>229940</v>
      </c>
      <c r="I261" s="261">
        <f t="shared" si="26"/>
        <v>5276915</v>
      </c>
      <c r="J261" s="261">
        <f t="shared" si="26"/>
        <v>1472758</v>
      </c>
      <c r="K261" s="261">
        <f t="shared" si="26"/>
        <v>-477</v>
      </c>
      <c r="L261" s="261">
        <f t="shared" si="26"/>
        <v>1472281</v>
      </c>
      <c r="M261" s="261">
        <f t="shared" si="26"/>
        <v>6519733</v>
      </c>
      <c r="N261" s="261">
        <f t="shared" si="26"/>
        <v>229463</v>
      </c>
      <c r="O261" s="262">
        <f t="shared" si="14"/>
        <v>6749196</v>
      </c>
    </row>
    <row r="262" spans="1:15" ht="15" customHeight="1">
      <c r="A262" s="473" t="s">
        <v>1064</v>
      </c>
      <c r="B262" s="117"/>
      <c r="C262" s="117"/>
      <c r="D262" s="117"/>
      <c r="E262" s="117"/>
      <c r="F262" s="117"/>
      <c r="G262" s="546"/>
      <c r="H262" s="546"/>
      <c r="I262" s="546"/>
      <c r="J262" s="546"/>
      <c r="K262" s="546"/>
      <c r="L262" s="546"/>
      <c r="M262" s="546"/>
      <c r="N262" s="546"/>
      <c r="O262" s="117"/>
    </row>
    <row r="263" spans="1:15" ht="12.75">
      <c r="A263" s="473"/>
      <c r="B263" s="473"/>
      <c r="C263" s="473"/>
      <c r="D263" s="473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</row>
    <row r="264" spans="1:15" ht="12.7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</row>
    <row r="265" spans="1:15" ht="12.75">
      <c r="A265" s="117"/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</row>
    <row r="266" spans="1:15" ht="12.7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</row>
    <row r="267" spans="1:15" ht="13.5">
      <c r="A267" s="117"/>
      <c r="B267" s="117"/>
      <c r="C267" s="117"/>
      <c r="D267" s="117"/>
      <c r="E267" s="117"/>
      <c r="F267" s="117"/>
      <c r="G267" s="117"/>
      <c r="H267" s="117"/>
      <c r="I267" s="118"/>
      <c r="J267" s="118"/>
      <c r="K267" s="118"/>
      <c r="L267" s="118"/>
      <c r="M267" s="118"/>
      <c r="N267" s="118"/>
      <c r="O267" s="118"/>
    </row>
    <row r="268" spans="1:15" ht="13.5">
      <c r="A268" s="117"/>
      <c r="B268" s="117"/>
      <c r="C268" s="117"/>
      <c r="D268" s="117"/>
      <c r="E268" s="117"/>
      <c r="F268" s="117"/>
      <c r="G268" s="117"/>
      <c r="H268" s="117"/>
      <c r="I268" s="118"/>
      <c r="J268" s="118"/>
      <c r="K268" s="118"/>
      <c r="L268" s="118"/>
      <c r="M268" s="118"/>
      <c r="N268" s="118"/>
      <c r="O268" s="118"/>
    </row>
    <row r="269" spans="1:15" ht="12.75">
      <c r="A269" s="117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</row>
    <row r="270" spans="1:15" ht="12.75">
      <c r="A270" s="117"/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</row>
    <row r="271" spans="1:15" ht="12.75">
      <c r="A271" s="117"/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</row>
    <row r="272" spans="1:15" ht="12.75">
      <c r="A272" s="117"/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</row>
    <row r="273" spans="1:15" ht="12.75">
      <c r="A273" s="117"/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</row>
    <row r="274" spans="1:15" ht="12.75">
      <c r="A274" s="117"/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</row>
    <row r="275" spans="1:15" ht="12.75">
      <c r="A275" s="117"/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</row>
    <row r="276" spans="1:15" ht="12.75">
      <c r="A276" s="117"/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</row>
    <row r="277" spans="1:15" ht="12.75">
      <c r="A277" s="11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</row>
    <row r="278" spans="1:15" ht="12.75">
      <c r="A278" s="117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</row>
    <row r="279" spans="1:15" ht="12.75">
      <c r="A279" s="117"/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</row>
    <row r="280" spans="1:15" ht="12.75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</row>
    <row r="281" spans="1:15" ht="12.75">
      <c r="A281" s="117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</row>
    <row r="282" spans="1:15" ht="12.75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</row>
    <row r="283" spans="1:15" ht="12.75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</row>
    <row r="284" spans="1:15" ht="12.75">
      <c r="A284" s="117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</row>
  </sheetData>
  <sheetProtection selectLockedCells="1" selectUnlockedCells="1"/>
  <mergeCells count="4">
    <mergeCell ref="G1:I1"/>
    <mergeCell ref="D37:E37"/>
    <mergeCell ref="J1:L1"/>
    <mergeCell ref="M1:O1"/>
  </mergeCells>
  <printOptions horizontalCentered="1" verticalCentered="1"/>
  <pageMargins left="0.1968503937007874" right="0.1968503937007874" top="0.7086614173228347" bottom="0.7874015748031497" header="0.3937007874015748" footer="0.3937007874015748"/>
  <pageSetup horizontalDpi="600" verticalDpi="600" orientation="landscape" paperSize="9" scale="79" r:id="rId1"/>
  <headerFooter alignWithMargins="0">
    <oddHeader>&amp;C&amp;"Times New Roman,Félkövér dőlt"Zalaegerszeg Megyei Jogú Város Önkormányzatának
2013. évi beruházási célú kiadásai feladatonként&amp;R&amp;"Times New Roman,Félkövér dőlt"7. számú melléklet
Adatok :ezer Ft-ban</oddHeader>
    <oddFooter>&amp;L**kgy=közgyűlési hatáskör
    pm=polgármesteri hatáskör
    biz.=bizottsági hatáskör&amp;C&amp;P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62"/>
  <sheetViews>
    <sheetView zoomScale="90" zoomScaleNormal="90" zoomScalePageLayoutView="0" workbookViewId="0" topLeftCell="C1">
      <pane ySplit="2" topLeftCell="A125" activePane="bottomLeft" state="frozen"/>
      <selection pane="topLeft" activeCell="C1" sqref="C1"/>
      <selection pane="bottomLeft" activeCell="M157" sqref="M157:N157"/>
    </sheetView>
  </sheetViews>
  <sheetFormatPr defaultColWidth="9.00390625" defaultRowHeight="12.75"/>
  <cols>
    <col min="1" max="1" width="5.875" style="66" customWidth="1"/>
    <col min="2" max="2" width="7.375" style="66" customWidth="1"/>
    <col min="3" max="3" width="7.50390625" style="66" customWidth="1"/>
    <col min="4" max="4" width="59.125" style="66" customWidth="1"/>
    <col min="5" max="5" width="3.125" style="66" customWidth="1"/>
    <col min="6" max="6" width="7.50390625" style="66" customWidth="1"/>
    <col min="7" max="7" width="11.375" style="66" customWidth="1"/>
    <col min="8" max="12" width="10.50390625" style="66" customWidth="1"/>
    <col min="13" max="13" width="10.875" style="66" customWidth="1"/>
    <col min="14" max="14" width="11.00390625" style="66" customWidth="1"/>
    <col min="15" max="15" width="11.625" style="66" customWidth="1"/>
    <col min="16" max="16384" width="9.375" style="66" customWidth="1"/>
  </cols>
  <sheetData>
    <row r="1" spans="1:15" s="65" customFormat="1" ht="36.75" customHeight="1">
      <c r="A1" s="86"/>
      <c r="B1" s="87"/>
      <c r="C1" s="87"/>
      <c r="D1" s="172"/>
      <c r="E1" s="474"/>
      <c r="F1" s="819" t="s">
        <v>228</v>
      </c>
      <c r="G1" s="809" t="s">
        <v>869</v>
      </c>
      <c r="H1" s="810"/>
      <c r="I1" s="811"/>
      <c r="J1" s="814" t="s">
        <v>871</v>
      </c>
      <c r="K1" s="815"/>
      <c r="L1" s="816"/>
      <c r="M1" s="814" t="s">
        <v>575</v>
      </c>
      <c r="N1" s="815"/>
      <c r="O1" s="816"/>
    </row>
    <row r="2" spans="1:15" s="65" customFormat="1" ht="39.75" customHeight="1" thickBot="1">
      <c r="A2" s="88" t="s">
        <v>4</v>
      </c>
      <c r="B2" s="89" t="s">
        <v>5</v>
      </c>
      <c r="C2" s="89" t="s">
        <v>6</v>
      </c>
      <c r="D2" s="654" t="s">
        <v>7</v>
      </c>
      <c r="E2" s="475"/>
      <c r="F2" s="820"/>
      <c r="G2" s="79" t="s">
        <v>8</v>
      </c>
      <c r="H2" s="79" t="s">
        <v>9</v>
      </c>
      <c r="I2" s="79" t="s">
        <v>10</v>
      </c>
      <c r="J2" s="79" t="s">
        <v>8</v>
      </c>
      <c r="K2" s="79" t="s">
        <v>9</v>
      </c>
      <c r="L2" s="79" t="s">
        <v>10</v>
      </c>
      <c r="M2" s="79" t="s">
        <v>8</v>
      </c>
      <c r="N2" s="79" t="s">
        <v>9</v>
      </c>
      <c r="O2" s="79" t="s">
        <v>10</v>
      </c>
    </row>
    <row r="3" spans="1:15" ht="12.75" customHeight="1">
      <c r="A3" s="90"/>
      <c r="B3" s="90"/>
      <c r="C3" s="649"/>
      <c r="D3" s="650" t="s">
        <v>52</v>
      </c>
      <c r="E3" s="476"/>
      <c r="F3" s="476"/>
      <c r="G3" s="652"/>
      <c r="H3" s="653"/>
      <c r="I3" s="652"/>
      <c r="J3" s="651"/>
      <c r="K3" s="651"/>
      <c r="L3" s="651"/>
      <c r="M3" s="652"/>
      <c r="N3" s="653"/>
      <c r="O3" s="652"/>
    </row>
    <row r="4" spans="1:15" ht="15.75" customHeight="1">
      <c r="A4" s="99" t="s">
        <v>224</v>
      </c>
      <c r="B4" s="99">
        <v>13</v>
      </c>
      <c r="C4" s="99"/>
      <c r="D4" s="363" t="s">
        <v>787</v>
      </c>
      <c r="E4" s="176"/>
      <c r="F4" s="176"/>
      <c r="G4" s="100"/>
      <c r="H4" s="477"/>
      <c r="I4" s="100"/>
      <c r="J4" s="100"/>
      <c r="K4" s="100"/>
      <c r="L4" s="100"/>
      <c r="M4" s="100"/>
      <c r="N4" s="477"/>
      <c r="O4" s="100"/>
    </row>
    <row r="5" spans="1:15" ht="15" customHeight="1">
      <c r="A5" s="99"/>
      <c r="B5" s="99"/>
      <c r="C5" s="99" t="s">
        <v>224</v>
      </c>
      <c r="D5" s="179" t="s">
        <v>1065</v>
      </c>
      <c r="E5" s="629"/>
      <c r="F5" s="479"/>
      <c r="G5" s="101">
        <v>1000</v>
      </c>
      <c r="H5" s="101">
        <v>0</v>
      </c>
      <c r="I5" s="101">
        <v>1000</v>
      </c>
      <c r="J5" s="101"/>
      <c r="K5" s="101"/>
      <c r="L5" s="101">
        <f>SUM(J5:K5)</f>
        <v>0</v>
      </c>
      <c r="M5" s="101">
        <f>SUM(G5+J5)</f>
        <v>1000</v>
      </c>
      <c r="N5" s="101">
        <f>SUM(H5+K5)</f>
        <v>0</v>
      </c>
      <c r="O5" s="101">
        <f>SUM(M5:N5)</f>
        <v>1000</v>
      </c>
    </row>
    <row r="6" spans="1:15" ht="13.5" customHeight="1">
      <c r="A6" s="99"/>
      <c r="B6" s="99"/>
      <c r="C6" s="99" t="s">
        <v>309</v>
      </c>
      <c r="D6" s="40" t="s">
        <v>1066</v>
      </c>
      <c r="E6" s="629"/>
      <c r="F6" s="479"/>
      <c r="G6" s="101">
        <v>400</v>
      </c>
      <c r="H6" s="101">
        <v>0</v>
      </c>
      <c r="I6" s="101">
        <v>400</v>
      </c>
      <c r="J6" s="101"/>
      <c r="K6" s="101"/>
      <c r="L6" s="101">
        <f aca="true" t="shared" si="0" ref="L6:L79">SUM(J6:K6)</f>
        <v>0</v>
      </c>
      <c r="M6" s="101">
        <f aca="true" t="shared" si="1" ref="M6:M79">SUM(G6+J6)</f>
        <v>400</v>
      </c>
      <c r="N6" s="101">
        <f aca="true" t="shared" si="2" ref="N6:N79">SUM(H6+K6)</f>
        <v>0</v>
      </c>
      <c r="O6" s="101">
        <f aca="true" t="shared" si="3" ref="O6:O79">SUM(M6:N6)</f>
        <v>400</v>
      </c>
    </row>
    <row r="7" spans="1:15" ht="13.5" customHeight="1">
      <c r="A7" s="99"/>
      <c r="B7" s="99"/>
      <c r="C7" s="99" t="s">
        <v>311</v>
      </c>
      <c r="D7" s="179" t="s">
        <v>1067</v>
      </c>
      <c r="E7" s="629"/>
      <c r="F7" s="479" t="s">
        <v>395</v>
      </c>
      <c r="G7" s="101">
        <v>3100</v>
      </c>
      <c r="H7" s="101">
        <v>0</v>
      </c>
      <c r="I7" s="101">
        <v>3100</v>
      </c>
      <c r="J7" s="101">
        <v>-152</v>
      </c>
      <c r="K7" s="101"/>
      <c r="L7" s="101">
        <f t="shared" si="0"/>
        <v>-152</v>
      </c>
      <c r="M7" s="101">
        <f t="shared" si="1"/>
        <v>2948</v>
      </c>
      <c r="N7" s="101">
        <f t="shared" si="2"/>
        <v>0</v>
      </c>
      <c r="O7" s="101">
        <f t="shared" si="3"/>
        <v>2948</v>
      </c>
    </row>
    <row r="8" spans="1:15" ht="24.75" customHeight="1">
      <c r="A8" s="99"/>
      <c r="B8" s="99"/>
      <c r="C8" s="99" t="s">
        <v>313</v>
      </c>
      <c r="D8" s="480" t="s">
        <v>1068</v>
      </c>
      <c r="E8" s="629"/>
      <c r="F8" s="479"/>
      <c r="G8" s="101">
        <v>1896</v>
      </c>
      <c r="H8" s="101">
        <v>0</v>
      </c>
      <c r="I8" s="101">
        <v>1896</v>
      </c>
      <c r="J8" s="101"/>
      <c r="K8" s="101"/>
      <c r="L8" s="101">
        <f t="shared" si="0"/>
        <v>0</v>
      </c>
      <c r="M8" s="101">
        <f t="shared" si="1"/>
        <v>1896</v>
      </c>
      <c r="N8" s="101">
        <f t="shared" si="2"/>
        <v>0</v>
      </c>
      <c r="O8" s="101">
        <f t="shared" si="3"/>
        <v>1896</v>
      </c>
    </row>
    <row r="9" spans="1:15" ht="13.5" customHeight="1">
      <c r="A9" s="99"/>
      <c r="B9" s="99"/>
      <c r="C9" s="99" t="s">
        <v>314</v>
      </c>
      <c r="D9" s="481" t="s">
        <v>1069</v>
      </c>
      <c r="E9" s="629"/>
      <c r="F9" s="479"/>
      <c r="G9" s="101">
        <v>0</v>
      </c>
      <c r="H9" s="101">
        <v>1000</v>
      </c>
      <c r="I9" s="101">
        <v>1000</v>
      </c>
      <c r="J9" s="101"/>
      <c r="K9" s="101"/>
      <c r="L9" s="101">
        <f t="shared" si="0"/>
        <v>0</v>
      </c>
      <c r="M9" s="101">
        <f t="shared" si="1"/>
        <v>0</v>
      </c>
      <c r="N9" s="101">
        <f t="shared" si="2"/>
        <v>1000</v>
      </c>
      <c r="O9" s="101">
        <f t="shared" si="3"/>
        <v>1000</v>
      </c>
    </row>
    <row r="10" spans="1:15" ht="13.5" customHeight="1">
      <c r="A10" s="99"/>
      <c r="B10" s="99"/>
      <c r="C10" s="99" t="s">
        <v>315</v>
      </c>
      <c r="D10" s="482" t="s">
        <v>1070</v>
      </c>
      <c r="E10" s="629"/>
      <c r="F10" s="479"/>
      <c r="G10" s="101">
        <v>1500</v>
      </c>
      <c r="H10" s="101">
        <v>0</v>
      </c>
      <c r="I10" s="101">
        <v>1500</v>
      </c>
      <c r="J10" s="101"/>
      <c r="K10" s="101"/>
      <c r="L10" s="101">
        <f t="shared" si="0"/>
        <v>0</v>
      </c>
      <c r="M10" s="101">
        <f t="shared" si="1"/>
        <v>1500</v>
      </c>
      <c r="N10" s="101">
        <f t="shared" si="2"/>
        <v>0</v>
      </c>
      <c r="O10" s="101">
        <f t="shared" si="3"/>
        <v>1500</v>
      </c>
    </row>
    <row r="11" spans="1:15" ht="13.5" customHeight="1">
      <c r="A11" s="99"/>
      <c r="B11" s="99"/>
      <c r="C11" s="99" t="s">
        <v>344</v>
      </c>
      <c r="D11" s="480" t="s">
        <v>1071</v>
      </c>
      <c r="E11" s="630"/>
      <c r="F11" s="479" t="s">
        <v>395</v>
      </c>
      <c r="G11" s="101">
        <v>4500</v>
      </c>
      <c r="H11" s="101">
        <v>0</v>
      </c>
      <c r="I11" s="101">
        <v>4500</v>
      </c>
      <c r="J11" s="101">
        <v>25</v>
      </c>
      <c r="K11" s="101"/>
      <c r="L11" s="101">
        <f t="shared" si="0"/>
        <v>25</v>
      </c>
      <c r="M11" s="101">
        <f t="shared" si="1"/>
        <v>4525</v>
      </c>
      <c r="N11" s="101">
        <f t="shared" si="2"/>
        <v>0</v>
      </c>
      <c r="O11" s="101">
        <f t="shared" si="3"/>
        <v>4525</v>
      </c>
    </row>
    <row r="12" spans="1:15" ht="13.5" customHeight="1">
      <c r="A12" s="99"/>
      <c r="B12" s="99"/>
      <c r="C12" s="99" t="s">
        <v>345</v>
      </c>
      <c r="D12" s="481" t="s">
        <v>442</v>
      </c>
      <c r="E12" s="631"/>
      <c r="F12" s="479"/>
      <c r="G12" s="101">
        <v>3307</v>
      </c>
      <c r="H12" s="101">
        <v>0</v>
      </c>
      <c r="I12" s="101">
        <v>3307</v>
      </c>
      <c r="J12" s="101"/>
      <c r="K12" s="101"/>
      <c r="L12" s="101">
        <f t="shared" si="0"/>
        <v>0</v>
      </c>
      <c r="M12" s="101">
        <f t="shared" si="1"/>
        <v>3307</v>
      </c>
      <c r="N12" s="101">
        <f t="shared" si="2"/>
        <v>0</v>
      </c>
      <c r="O12" s="101">
        <f t="shared" si="3"/>
        <v>3307</v>
      </c>
    </row>
    <row r="13" spans="1:15" ht="13.5" customHeight="1">
      <c r="A13" s="99"/>
      <c r="B13" s="99"/>
      <c r="C13" s="99" t="s">
        <v>347</v>
      </c>
      <c r="D13" s="480" t="s">
        <v>1072</v>
      </c>
      <c r="E13" s="631"/>
      <c r="F13" s="479" t="s">
        <v>395</v>
      </c>
      <c r="G13" s="101">
        <v>2000</v>
      </c>
      <c r="H13" s="101">
        <v>0</v>
      </c>
      <c r="I13" s="101">
        <v>2000</v>
      </c>
      <c r="J13" s="101">
        <v>-25</v>
      </c>
      <c r="K13" s="101"/>
      <c r="L13" s="101">
        <f t="shared" si="0"/>
        <v>-25</v>
      </c>
      <c r="M13" s="101">
        <f t="shared" si="1"/>
        <v>1975</v>
      </c>
      <c r="N13" s="101">
        <f t="shared" si="2"/>
        <v>0</v>
      </c>
      <c r="O13" s="101">
        <f t="shared" si="3"/>
        <v>1975</v>
      </c>
    </row>
    <row r="14" spans="1:15" ht="24.75" customHeight="1">
      <c r="A14" s="99"/>
      <c r="B14" s="99"/>
      <c r="C14" s="99" t="s">
        <v>74</v>
      </c>
      <c r="D14" s="480" t="s">
        <v>1073</v>
      </c>
      <c r="E14" s="631"/>
      <c r="F14" s="479" t="s">
        <v>395</v>
      </c>
      <c r="G14" s="101">
        <v>3000</v>
      </c>
      <c r="H14" s="101">
        <v>0</v>
      </c>
      <c r="I14" s="101">
        <v>3000</v>
      </c>
      <c r="J14" s="101">
        <v>1728</v>
      </c>
      <c r="K14" s="101"/>
      <c r="L14" s="101">
        <f t="shared" si="0"/>
        <v>1728</v>
      </c>
      <c r="M14" s="101">
        <f t="shared" si="1"/>
        <v>4728</v>
      </c>
      <c r="N14" s="101">
        <f t="shared" si="2"/>
        <v>0</v>
      </c>
      <c r="O14" s="101">
        <f t="shared" si="3"/>
        <v>4728</v>
      </c>
    </row>
    <row r="15" spans="1:15" ht="13.5" customHeight="1">
      <c r="A15" s="99"/>
      <c r="B15" s="99"/>
      <c r="C15" s="99" t="s">
        <v>75</v>
      </c>
      <c r="D15" s="483" t="s">
        <v>1074</v>
      </c>
      <c r="E15" s="631"/>
      <c r="F15" s="479"/>
      <c r="G15" s="101">
        <v>0</v>
      </c>
      <c r="H15" s="101">
        <v>2000</v>
      </c>
      <c r="I15" s="101">
        <v>2000</v>
      </c>
      <c r="J15" s="101"/>
      <c r="K15" s="101"/>
      <c r="L15" s="101">
        <f t="shared" si="0"/>
        <v>0</v>
      </c>
      <c r="M15" s="101">
        <f t="shared" si="1"/>
        <v>0</v>
      </c>
      <c r="N15" s="101">
        <f t="shared" si="2"/>
        <v>2000</v>
      </c>
      <c r="O15" s="101">
        <f t="shared" si="3"/>
        <v>2000</v>
      </c>
    </row>
    <row r="16" spans="1:15" ht="24.75" customHeight="1">
      <c r="A16" s="99"/>
      <c r="B16" s="99"/>
      <c r="C16" s="99" t="s">
        <v>218</v>
      </c>
      <c r="D16" s="481" t="s">
        <v>1075</v>
      </c>
      <c r="E16" s="631"/>
      <c r="F16" s="479"/>
      <c r="G16" s="101">
        <v>200</v>
      </c>
      <c r="H16" s="101">
        <v>0</v>
      </c>
      <c r="I16" s="101">
        <v>200</v>
      </c>
      <c r="J16" s="101"/>
      <c r="K16" s="101"/>
      <c r="L16" s="101">
        <f t="shared" si="0"/>
        <v>0</v>
      </c>
      <c r="M16" s="101">
        <f t="shared" si="1"/>
        <v>200</v>
      </c>
      <c r="N16" s="101">
        <f t="shared" si="2"/>
        <v>0</v>
      </c>
      <c r="O16" s="101">
        <f t="shared" si="3"/>
        <v>200</v>
      </c>
    </row>
    <row r="17" spans="1:15" ht="13.5" customHeight="1">
      <c r="A17" s="99"/>
      <c r="B17" s="99"/>
      <c r="C17" s="99" t="s">
        <v>460</v>
      </c>
      <c r="D17" s="481" t="s">
        <v>1076</v>
      </c>
      <c r="E17" s="631"/>
      <c r="F17" s="479"/>
      <c r="G17" s="101">
        <v>900</v>
      </c>
      <c r="H17" s="101">
        <v>0</v>
      </c>
      <c r="I17" s="101">
        <v>900</v>
      </c>
      <c r="J17" s="101"/>
      <c r="K17" s="101"/>
      <c r="L17" s="101">
        <f t="shared" si="0"/>
        <v>0</v>
      </c>
      <c r="M17" s="101">
        <f t="shared" si="1"/>
        <v>900</v>
      </c>
      <c r="N17" s="101">
        <f t="shared" si="2"/>
        <v>0</v>
      </c>
      <c r="O17" s="101">
        <f t="shared" si="3"/>
        <v>900</v>
      </c>
    </row>
    <row r="18" spans="1:15" ht="13.5" customHeight="1">
      <c r="A18" s="99"/>
      <c r="B18" s="99"/>
      <c r="C18" s="99" t="s">
        <v>288</v>
      </c>
      <c r="D18" s="484" t="s">
        <v>1077</v>
      </c>
      <c r="E18" s="631"/>
      <c r="F18" s="479"/>
      <c r="G18" s="101">
        <v>0</v>
      </c>
      <c r="H18" s="101">
        <v>2000</v>
      </c>
      <c r="I18" s="101">
        <v>2000</v>
      </c>
      <c r="J18" s="101"/>
      <c r="K18" s="101"/>
      <c r="L18" s="101">
        <f t="shared" si="0"/>
        <v>0</v>
      </c>
      <c r="M18" s="101">
        <f t="shared" si="1"/>
        <v>0</v>
      </c>
      <c r="N18" s="101">
        <f t="shared" si="2"/>
        <v>2000</v>
      </c>
      <c r="O18" s="101">
        <f t="shared" si="3"/>
        <v>2000</v>
      </c>
    </row>
    <row r="19" spans="1:15" ht="13.5" customHeight="1">
      <c r="A19" s="99"/>
      <c r="B19" s="99"/>
      <c r="C19" s="99" t="s">
        <v>1</v>
      </c>
      <c r="D19" s="485" t="s">
        <v>1078</v>
      </c>
      <c r="E19" s="631"/>
      <c r="F19" s="479"/>
      <c r="G19" s="101">
        <v>0</v>
      </c>
      <c r="H19" s="101">
        <v>0</v>
      </c>
      <c r="I19" s="101">
        <v>0</v>
      </c>
      <c r="J19" s="101"/>
      <c r="K19" s="101"/>
      <c r="L19" s="101">
        <f t="shared" si="0"/>
        <v>0</v>
      </c>
      <c r="M19" s="101">
        <f t="shared" si="1"/>
        <v>0</v>
      </c>
      <c r="N19" s="101">
        <f t="shared" si="2"/>
        <v>0</v>
      </c>
      <c r="O19" s="101">
        <f t="shared" si="3"/>
        <v>0</v>
      </c>
    </row>
    <row r="20" spans="1:15" ht="13.5" customHeight="1">
      <c r="A20" s="99"/>
      <c r="B20" s="99"/>
      <c r="C20" s="99" t="s">
        <v>848</v>
      </c>
      <c r="D20" s="486" t="s">
        <v>1079</v>
      </c>
      <c r="E20" s="478"/>
      <c r="F20" s="479"/>
      <c r="G20" s="101">
        <v>3110</v>
      </c>
      <c r="H20" s="101">
        <v>0</v>
      </c>
      <c r="I20" s="101">
        <v>3110</v>
      </c>
      <c r="J20" s="101"/>
      <c r="K20" s="101"/>
      <c r="L20" s="101">
        <f t="shared" si="0"/>
        <v>0</v>
      </c>
      <c r="M20" s="101">
        <f t="shared" si="1"/>
        <v>3110</v>
      </c>
      <c r="N20" s="101">
        <f t="shared" si="2"/>
        <v>0</v>
      </c>
      <c r="O20" s="101">
        <f t="shared" si="3"/>
        <v>3110</v>
      </c>
    </row>
    <row r="21" spans="1:15" ht="13.5" customHeight="1">
      <c r="A21" s="99"/>
      <c r="B21" s="99"/>
      <c r="C21" s="99" t="s">
        <v>850</v>
      </c>
      <c r="D21" s="480" t="s">
        <v>112</v>
      </c>
      <c r="E21" s="478"/>
      <c r="F21" s="479"/>
      <c r="G21" s="101">
        <v>1502</v>
      </c>
      <c r="H21" s="101">
        <v>0</v>
      </c>
      <c r="I21" s="101">
        <v>1502</v>
      </c>
      <c r="J21" s="101"/>
      <c r="K21" s="101"/>
      <c r="L21" s="101">
        <f t="shared" si="0"/>
        <v>0</v>
      </c>
      <c r="M21" s="101">
        <f t="shared" si="1"/>
        <v>1502</v>
      </c>
      <c r="N21" s="101">
        <f t="shared" si="2"/>
        <v>0</v>
      </c>
      <c r="O21" s="101">
        <f t="shared" si="3"/>
        <v>1502</v>
      </c>
    </row>
    <row r="22" spans="1:15" ht="13.5" customHeight="1">
      <c r="A22" s="99"/>
      <c r="B22" s="99"/>
      <c r="C22" s="99" t="s">
        <v>852</v>
      </c>
      <c r="D22" s="661" t="s">
        <v>994</v>
      </c>
      <c r="E22" s="478"/>
      <c r="F22" s="479"/>
      <c r="G22" s="101">
        <v>30000</v>
      </c>
      <c r="H22" s="101">
        <v>0</v>
      </c>
      <c r="I22" s="101">
        <v>30000</v>
      </c>
      <c r="J22" s="101"/>
      <c r="K22" s="101"/>
      <c r="L22" s="101">
        <f t="shared" si="0"/>
        <v>0</v>
      </c>
      <c r="M22" s="101">
        <f t="shared" si="1"/>
        <v>30000</v>
      </c>
      <c r="N22" s="101">
        <f t="shared" si="2"/>
        <v>0</v>
      </c>
      <c r="O22" s="101">
        <f t="shared" si="3"/>
        <v>30000</v>
      </c>
    </row>
    <row r="23" spans="1:15" ht="13.5" customHeight="1">
      <c r="A23" s="99"/>
      <c r="B23" s="99"/>
      <c r="C23" s="99" t="s">
        <v>854</v>
      </c>
      <c r="D23" s="661" t="s">
        <v>108</v>
      </c>
      <c r="E23" s="478"/>
      <c r="F23" s="479"/>
      <c r="G23" s="101">
        <v>0</v>
      </c>
      <c r="H23" s="101">
        <v>600</v>
      </c>
      <c r="I23" s="101">
        <v>600</v>
      </c>
      <c r="J23" s="101"/>
      <c r="K23" s="101"/>
      <c r="L23" s="101">
        <f t="shared" si="0"/>
        <v>0</v>
      </c>
      <c r="M23" s="101">
        <f t="shared" si="1"/>
        <v>0</v>
      </c>
      <c r="N23" s="101">
        <f t="shared" si="2"/>
        <v>600</v>
      </c>
      <c r="O23" s="101">
        <f t="shared" si="3"/>
        <v>600</v>
      </c>
    </row>
    <row r="24" spans="1:15" ht="13.5" customHeight="1">
      <c r="A24" s="99"/>
      <c r="B24" s="99"/>
      <c r="C24" s="99" t="s">
        <v>408</v>
      </c>
      <c r="D24" s="661" t="s">
        <v>979</v>
      </c>
      <c r="E24" s="478"/>
      <c r="F24" s="479" t="s">
        <v>395</v>
      </c>
      <c r="G24" s="101">
        <v>800</v>
      </c>
      <c r="H24" s="101">
        <v>0</v>
      </c>
      <c r="I24" s="101">
        <v>800</v>
      </c>
      <c r="J24" s="101">
        <v>272</v>
      </c>
      <c r="K24" s="101"/>
      <c r="L24" s="101">
        <f t="shared" si="0"/>
        <v>272</v>
      </c>
      <c r="M24" s="101">
        <f t="shared" si="1"/>
        <v>1072</v>
      </c>
      <c r="N24" s="101">
        <f t="shared" si="2"/>
        <v>0</v>
      </c>
      <c r="O24" s="101">
        <f t="shared" si="3"/>
        <v>1072</v>
      </c>
    </row>
    <row r="25" spans="1:15" ht="13.5" customHeight="1">
      <c r="A25" s="99"/>
      <c r="B25" s="99"/>
      <c r="C25" s="99" t="s">
        <v>640</v>
      </c>
      <c r="D25" s="661" t="s">
        <v>642</v>
      </c>
      <c r="E25" s="478"/>
      <c r="F25" s="479"/>
      <c r="G25" s="101">
        <v>17500</v>
      </c>
      <c r="H25" s="101"/>
      <c r="I25" s="101">
        <v>17500</v>
      </c>
      <c r="J25" s="101"/>
      <c r="K25" s="101"/>
      <c r="L25" s="101">
        <f t="shared" si="0"/>
        <v>0</v>
      </c>
      <c r="M25" s="101">
        <f t="shared" si="1"/>
        <v>17500</v>
      </c>
      <c r="N25" s="101"/>
      <c r="O25" s="101">
        <f t="shared" si="3"/>
        <v>17500</v>
      </c>
    </row>
    <row r="26" spans="1:15" ht="24.75" customHeight="1">
      <c r="A26" s="99"/>
      <c r="B26" s="99"/>
      <c r="C26" s="99" t="s">
        <v>857</v>
      </c>
      <c r="D26" s="661" t="s">
        <v>858</v>
      </c>
      <c r="E26" s="478"/>
      <c r="F26" s="479"/>
      <c r="G26" s="101">
        <v>1197</v>
      </c>
      <c r="H26" s="101"/>
      <c r="I26" s="101">
        <v>1197</v>
      </c>
      <c r="J26" s="101"/>
      <c r="K26" s="101"/>
      <c r="L26" s="101">
        <f t="shared" si="0"/>
        <v>0</v>
      </c>
      <c r="M26" s="101">
        <f t="shared" si="1"/>
        <v>1197</v>
      </c>
      <c r="N26" s="101"/>
      <c r="O26" s="101">
        <f t="shared" si="3"/>
        <v>1197</v>
      </c>
    </row>
    <row r="27" spans="1:15" ht="15" customHeight="1">
      <c r="A27" s="99"/>
      <c r="B27" s="99"/>
      <c r="C27" s="99" t="s">
        <v>1029</v>
      </c>
      <c r="D27" s="661" t="s">
        <v>1030</v>
      </c>
      <c r="E27" s="478"/>
      <c r="F27" s="479" t="s">
        <v>395</v>
      </c>
      <c r="G27" s="101"/>
      <c r="H27" s="101"/>
      <c r="I27" s="101"/>
      <c r="J27" s="101">
        <v>5000</v>
      </c>
      <c r="K27" s="101"/>
      <c r="L27" s="101">
        <f t="shared" si="0"/>
        <v>5000</v>
      </c>
      <c r="M27" s="101">
        <f t="shared" si="1"/>
        <v>5000</v>
      </c>
      <c r="N27" s="101"/>
      <c r="O27" s="101">
        <f t="shared" si="3"/>
        <v>5000</v>
      </c>
    </row>
    <row r="28" spans="1:15" ht="13.5" customHeight="1">
      <c r="A28" s="99"/>
      <c r="B28" s="99"/>
      <c r="C28" s="99"/>
      <c r="D28" s="487" t="s">
        <v>856</v>
      </c>
      <c r="E28" s="632"/>
      <c r="F28" s="494"/>
      <c r="G28" s="101">
        <v>0</v>
      </c>
      <c r="H28" s="101">
        <v>0</v>
      </c>
      <c r="I28" s="101">
        <v>0</v>
      </c>
      <c r="J28" s="101"/>
      <c r="K28" s="101"/>
      <c r="L28" s="101">
        <f t="shared" si="0"/>
        <v>0</v>
      </c>
      <c r="M28" s="101">
        <f t="shared" si="1"/>
        <v>0</v>
      </c>
      <c r="N28" s="101">
        <f t="shared" si="2"/>
        <v>0</v>
      </c>
      <c r="O28" s="101">
        <f t="shared" si="3"/>
        <v>0</v>
      </c>
    </row>
    <row r="29" spans="1:15" ht="24" customHeight="1">
      <c r="A29" s="99"/>
      <c r="B29" s="99"/>
      <c r="C29" s="99" t="s">
        <v>80</v>
      </c>
      <c r="D29" s="817" t="s">
        <v>2</v>
      </c>
      <c r="E29" s="818"/>
      <c r="F29" s="488"/>
      <c r="G29" s="101">
        <v>24420</v>
      </c>
      <c r="H29" s="101">
        <v>0</v>
      </c>
      <c r="I29" s="101">
        <v>24420</v>
      </c>
      <c r="J29" s="101"/>
      <c r="K29" s="101"/>
      <c r="L29" s="101">
        <f t="shared" si="0"/>
        <v>0</v>
      </c>
      <c r="M29" s="101">
        <f t="shared" si="1"/>
        <v>24420</v>
      </c>
      <c r="N29" s="101">
        <f t="shared" si="2"/>
        <v>0</v>
      </c>
      <c r="O29" s="101">
        <f t="shared" si="3"/>
        <v>24420</v>
      </c>
    </row>
    <row r="30" spans="1:15" ht="15" customHeight="1">
      <c r="A30" s="99"/>
      <c r="B30" s="99"/>
      <c r="C30" s="99" t="s">
        <v>186</v>
      </c>
      <c r="D30" s="489" t="s">
        <v>1141</v>
      </c>
      <c r="E30" s="490"/>
      <c r="F30" s="488" t="s">
        <v>395</v>
      </c>
      <c r="G30" s="101">
        <v>0</v>
      </c>
      <c r="H30" s="101">
        <v>2143</v>
      </c>
      <c r="I30" s="101">
        <v>2143</v>
      </c>
      <c r="J30" s="101">
        <v>334</v>
      </c>
      <c r="K30" s="101"/>
      <c r="L30" s="101">
        <f t="shared" si="0"/>
        <v>334</v>
      </c>
      <c r="M30" s="101">
        <f t="shared" si="1"/>
        <v>334</v>
      </c>
      <c r="N30" s="101">
        <f t="shared" si="2"/>
        <v>2143</v>
      </c>
      <c r="O30" s="101">
        <f t="shared" si="3"/>
        <v>2477</v>
      </c>
    </row>
    <row r="31" spans="1:15" ht="15" customHeight="1">
      <c r="A31" s="99"/>
      <c r="B31" s="99"/>
      <c r="C31" s="99" t="s">
        <v>187</v>
      </c>
      <c r="D31" s="491" t="s">
        <v>229</v>
      </c>
      <c r="E31" s="490"/>
      <c r="F31" s="488" t="s">
        <v>395</v>
      </c>
      <c r="G31" s="101">
        <v>37058</v>
      </c>
      <c r="H31" s="101">
        <v>0</v>
      </c>
      <c r="I31" s="101">
        <v>37058</v>
      </c>
      <c r="J31" s="101"/>
      <c r="K31" s="101">
        <v>1665</v>
      </c>
      <c r="L31" s="101">
        <f t="shared" si="0"/>
        <v>1665</v>
      </c>
      <c r="M31" s="101">
        <f t="shared" si="1"/>
        <v>37058</v>
      </c>
      <c r="N31" s="101">
        <f t="shared" si="2"/>
        <v>1665</v>
      </c>
      <c r="O31" s="101">
        <f t="shared" si="3"/>
        <v>38723</v>
      </c>
    </row>
    <row r="32" spans="1:15" ht="15" customHeight="1">
      <c r="A32" s="99"/>
      <c r="B32" s="99"/>
      <c r="C32" s="99" t="s">
        <v>188</v>
      </c>
      <c r="D32" s="492" t="s">
        <v>230</v>
      </c>
      <c r="E32" s="490"/>
      <c r="F32" s="488"/>
      <c r="G32" s="101">
        <v>0</v>
      </c>
      <c r="H32" s="101">
        <v>0</v>
      </c>
      <c r="I32" s="101">
        <v>0</v>
      </c>
      <c r="J32" s="101"/>
      <c r="K32" s="101"/>
      <c r="L32" s="101">
        <f t="shared" si="0"/>
        <v>0</v>
      </c>
      <c r="M32" s="101">
        <f t="shared" si="1"/>
        <v>0</v>
      </c>
      <c r="N32" s="101">
        <f t="shared" si="2"/>
        <v>0</v>
      </c>
      <c r="O32" s="101">
        <f t="shared" si="3"/>
        <v>0</v>
      </c>
    </row>
    <row r="33" spans="1:15" ht="15" customHeight="1">
      <c r="A33" s="99"/>
      <c r="B33" s="99"/>
      <c r="C33" s="99" t="s">
        <v>863</v>
      </c>
      <c r="D33" s="245" t="s">
        <v>231</v>
      </c>
      <c r="E33" s="490"/>
      <c r="F33" s="488"/>
      <c r="G33" s="101">
        <v>2032</v>
      </c>
      <c r="H33" s="101">
        <v>0</v>
      </c>
      <c r="I33" s="101">
        <v>2032</v>
      </c>
      <c r="J33" s="101"/>
      <c r="K33" s="101"/>
      <c r="L33" s="101">
        <f t="shared" si="0"/>
        <v>0</v>
      </c>
      <c r="M33" s="101">
        <f t="shared" si="1"/>
        <v>2032</v>
      </c>
      <c r="N33" s="101">
        <f t="shared" si="2"/>
        <v>0</v>
      </c>
      <c r="O33" s="101">
        <f t="shared" si="3"/>
        <v>2032</v>
      </c>
    </row>
    <row r="34" spans="1:15" ht="24.75" customHeight="1">
      <c r="A34" s="99"/>
      <c r="B34" s="99"/>
      <c r="C34" s="99" t="s">
        <v>864</v>
      </c>
      <c r="D34" s="489" t="s">
        <v>779</v>
      </c>
      <c r="E34" s="493"/>
      <c r="F34" s="494"/>
      <c r="G34" s="101">
        <v>0</v>
      </c>
      <c r="H34" s="101">
        <v>1785</v>
      </c>
      <c r="I34" s="101">
        <v>1785</v>
      </c>
      <c r="J34" s="101"/>
      <c r="K34" s="101"/>
      <c r="L34" s="101">
        <f t="shared" si="0"/>
        <v>0</v>
      </c>
      <c r="M34" s="101">
        <f t="shared" si="1"/>
        <v>0</v>
      </c>
      <c r="N34" s="101">
        <f t="shared" si="2"/>
        <v>1785</v>
      </c>
      <c r="O34" s="101">
        <f t="shared" si="3"/>
        <v>1785</v>
      </c>
    </row>
    <row r="35" spans="1:15" ht="13.5" customHeight="1">
      <c r="A35" s="92"/>
      <c r="B35" s="92"/>
      <c r="C35" s="92"/>
      <c r="D35" s="173" t="s">
        <v>795</v>
      </c>
      <c r="E35" s="633"/>
      <c r="F35" s="93"/>
      <c r="G35" s="94">
        <f>SUM(G5:G34)</f>
        <v>139422</v>
      </c>
      <c r="H35" s="94">
        <f aca="true" t="shared" si="4" ref="H35:O35">SUM(H5:H34)</f>
        <v>9528</v>
      </c>
      <c r="I35" s="94">
        <f t="shared" si="4"/>
        <v>148950</v>
      </c>
      <c r="J35" s="94">
        <f t="shared" si="4"/>
        <v>7182</v>
      </c>
      <c r="K35" s="94">
        <f t="shared" si="4"/>
        <v>1665</v>
      </c>
      <c r="L35" s="94">
        <f t="shared" si="4"/>
        <v>8847</v>
      </c>
      <c r="M35" s="94">
        <f t="shared" si="4"/>
        <v>146604</v>
      </c>
      <c r="N35" s="94">
        <f t="shared" si="4"/>
        <v>11193</v>
      </c>
      <c r="O35" s="94">
        <f t="shared" si="4"/>
        <v>157797</v>
      </c>
    </row>
    <row r="36" spans="1:15" ht="12.75" customHeight="1">
      <c r="A36" s="238">
        <v>1</v>
      </c>
      <c r="B36" s="238">
        <v>15</v>
      </c>
      <c r="C36" s="238"/>
      <c r="D36" s="161" t="s">
        <v>366</v>
      </c>
      <c r="E36" s="493"/>
      <c r="F36" s="494"/>
      <c r="G36" s="101">
        <v>0</v>
      </c>
      <c r="H36" s="101">
        <v>0</v>
      </c>
      <c r="I36" s="101">
        <v>0</v>
      </c>
      <c r="J36" s="100"/>
      <c r="K36" s="100"/>
      <c r="L36" s="101">
        <f t="shared" si="0"/>
        <v>0</v>
      </c>
      <c r="M36" s="101">
        <f t="shared" si="1"/>
        <v>0</v>
      </c>
      <c r="N36" s="101">
        <f t="shared" si="2"/>
        <v>0</v>
      </c>
      <c r="O36" s="101">
        <f t="shared" si="3"/>
        <v>0</v>
      </c>
    </row>
    <row r="37" spans="1:15" ht="12.75" customHeight="1">
      <c r="A37" s="238"/>
      <c r="B37" s="238"/>
      <c r="C37" s="134">
        <v>1</v>
      </c>
      <c r="D37" s="246" t="s">
        <v>104</v>
      </c>
      <c r="E37" s="493"/>
      <c r="F37" s="494"/>
      <c r="G37" s="101">
        <v>0</v>
      </c>
      <c r="H37" s="101">
        <v>0</v>
      </c>
      <c r="I37" s="101">
        <v>0</v>
      </c>
      <c r="J37" s="100"/>
      <c r="K37" s="100"/>
      <c r="L37" s="101">
        <f t="shared" si="0"/>
        <v>0</v>
      </c>
      <c r="M37" s="101">
        <f t="shared" si="1"/>
        <v>0</v>
      </c>
      <c r="N37" s="101">
        <f t="shared" si="2"/>
        <v>0</v>
      </c>
      <c r="O37" s="101">
        <f t="shared" si="3"/>
        <v>0</v>
      </c>
    </row>
    <row r="38" spans="1:15" ht="24.75" customHeight="1">
      <c r="A38" s="238"/>
      <c r="B38" s="238"/>
      <c r="C38" s="135" t="s">
        <v>306</v>
      </c>
      <c r="D38" s="495" t="s">
        <v>1080</v>
      </c>
      <c r="E38" s="493"/>
      <c r="F38" s="494"/>
      <c r="G38" s="101">
        <v>14529</v>
      </c>
      <c r="H38" s="101">
        <v>0</v>
      </c>
      <c r="I38" s="101">
        <v>14529</v>
      </c>
      <c r="J38" s="101"/>
      <c r="K38" s="101"/>
      <c r="L38" s="101">
        <f t="shared" si="0"/>
        <v>0</v>
      </c>
      <c r="M38" s="101">
        <f t="shared" si="1"/>
        <v>14529</v>
      </c>
      <c r="N38" s="101">
        <f t="shared" si="2"/>
        <v>0</v>
      </c>
      <c r="O38" s="101">
        <f t="shared" si="3"/>
        <v>14529</v>
      </c>
    </row>
    <row r="39" spans="1:15" ht="12.75" customHeight="1">
      <c r="A39" s="238"/>
      <c r="B39" s="238"/>
      <c r="C39" s="135" t="s">
        <v>307</v>
      </c>
      <c r="D39" s="496" t="s">
        <v>1081</v>
      </c>
      <c r="E39" s="493"/>
      <c r="F39" s="494"/>
      <c r="G39" s="101">
        <v>6700</v>
      </c>
      <c r="H39" s="101">
        <v>0</v>
      </c>
      <c r="I39" s="101">
        <v>6700</v>
      </c>
      <c r="J39" s="101"/>
      <c r="K39" s="101"/>
      <c r="L39" s="101">
        <f t="shared" si="0"/>
        <v>0</v>
      </c>
      <c r="M39" s="101">
        <f t="shared" si="1"/>
        <v>6700</v>
      </c>
      <c r="N39" s="101">
        <f t="shared" si="2"/>
        <v>0</v>
      </c>
      <c r="O39" s="101">
        <f t="shared" si="3"/>
        <v>6700</v>
      </c>
    </row>
    <row r="40" spans="1:15" ht="12.75" customHeight="1">
      <c r="A40" s="238"/>
      <c r="B40" s="238"/>
      <c r="C40" s="135" t="s">
        <v>308</v>
      </c>
      <c r="D40" s="495" t="s">
        <v>1082</v>
      </c>
      <c r="E40" s="493"/>
      <c r="F40" s="501"/>
      <c r="G40" s="101">
        <v>800</v>
      </c>
      <c r="H40" s="101">
        <v>0</v>
      </c>
      <c r="I40" s="101">
        <v>800</v>
      </c>
      <c r="J40" s="101"/>
      <c r="K40" s="101"/>
      <c r="L40" s="101">
        <f t="shared" si="0"/>
        <v>0</v>
      </c>
      <c r="M40" s="101">
        <f t="shared" si="1"/>
        <v>800</v>
      </c>
      <c r="N40" s="101">
        <f t="shared" si="2"/>
        <v>0</v>
      </c>
      <c r="O40" s="101">
        <f t="shared" si="3"/>
        <v>800</v>
      </c>
    </row>
    <row r="41" spans="1:15" ht="12.75" customHeight="1">
      <c r="A41" s="238"/>
      <c r="B41" s="238"/>
      <c r="C41" s="135" t="s">
        <v>295</v>
      </c>
      <c r="D41" s="495" t="s">
        <v>1083</v>
      </c>
      <c r="E41" s="493"/>
      <c r="F41" s="501"/>
      <c r="G41" s="101">
        <v>800</v>
      </c>
      <c r="H41" s="101">
        <v>0</v>
      </c>
      <c r="I41" s="101">
        <v>800</v>
      </c>
      <c r="J41" s="101"/>
      <c r="K41" s="101"/>
      <c r="L41" s="101">
        <f t="shared" si="0"/>
        <v>0</v>
      </c>
      <c r="M41" s="101">
        <f t="shared" si="1"/>
        <v>800</v>
      </c>
      <c r="N41" s="101">
        <f t="shared" si="2"/>
        <v>0</v>
      </c>
      <c r="O41" s="101">
        <f t="shared" si="3"/>
        <v>800</v>
      </c>
    </row>
    <row r="42" spans="1:15" ht="12.75" customHeight="1">
      <c r="A42" s="238"/>
      <c r="B42" s="238"/>
      <c r="C42" s="135" t="s">
        <v>296</v>
      </c>
      <c r="D42" s="715" t="s">
        <v>1031</v>
      </c>
      <c r="E42" s="493"/>
      <c r="F42" s="501" t="s">
        <v>395</v>
      </c>
      <c r="G42" s="101"/>
      <c r="H42" s="101"/>
      <c r="I42" s="101"/>
      <c r="J42" s="101">
        <v>2149</v>
      </c>
      <c r="K42" s="101"/>
      <c r="L42" s="101">
        <f t="shared" si="0"/>
        <v>2149</v>
      </c>
      <c r="M42" s="101">
        <f t="shared" si="1"/>
        <v>2149</v>
      </c>
      <c r="N42" s="101"/>
      <c r="O42" s="101">
        <f t="shared" si="3"/>
        <v>2149</v>
      </c>
    </row>
    <row r="43" spans="1:15" ht="12.75" customHeight="1">
      <c r="A43" s="238"/>
      <c r="B43" s="238"/>
      <c r="C43" s="135" t="s">
        <v>602</v>
      </c>
      <c r="D43" s="40" t="s">
        <v>907</v>
      </c>
      <c r="E43" s="493"/>
      <c r="F43" s="501" t="s">
        <v>72</v>
      </c>
      <c r="G43" s="101"/>
      <c r="H43" s="101"/>
      <c r="I43" s="101"/>
      <c r="J43" s="101">
        <v>2776</v>
      </c>
      <c r="K43" s="101"/>
      <c r="L43" s="101">
        <f t="shared" si="0"/>
        <v>2776</v>
      </c>
      <c r="M43" s="101">
        <f t="shared" si="1"/>
        <v>2776</v>
      </c>
      <c r="N43" s="101"/>
      <c r="O43" s="101">
        <f t="shared" si="3"/>
        <v>2776</v>
      </c>
    </row>
    <row r="44" spans="1:15" ht="12.75" customHeight="1">
      <c r="A44" s="238"/>
      <c r="B44" s="238"/>
      <c r="C44" s="135" t="s">
        <v>603</v>
      </c>
      <c r="D44" s="40" t="s">
        <v>908</v>
      </c>
      <c r="E44" s="493"/>
      <c r="F44" s="501" t="s">
        <v>72</v>
      </c>
      <c r="G44" s="101"/>
      <c r="H44" s="101"/>
      <c r="I44" s="101"/>
      <c r="J44" s="101">
        <v>7114</v>
      </c>
      <c r="K44" s="101"/>
      <c r="L44" s="101">
        <f t="shared" si="0"/>
        <v>7114</v>
      </c>
      <c r="M44" s="101">
        <f t="shared" si="1"/>
        <v>7114</v>
      </c>
      <c r="N44" s="101"/>
      <c r="O44" s="101">
        <f t="shared" si="3"/>
        <v>7114</v>
      </c>
    </row>
    <row r="45" spans="1:15" ht="12.75" customHeight="1">
      <c r="A45" s="238"/>
      <c r="B45" s="238"/>
      <c r="C45" s="135"/>
      <c r="D45" s="497" t="s">
        <v>856</v>
      </c>
      <c r="E45" s="493"/>
      <c r="F45" s="5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1:15" ht="24.75" customHeight="1">
      <c r="A46" s="238"/>
      <c r="B46" s="238"/>
      <c r="C46" s="135" t="s">
        <v>1145</v>
      </c>
      <c r="D46" s="498" t="s">
        <v>1084</v>
      </c>
      <c r="E46" s="493"/>
      <c r="F46" s="501"/>
      <c r="G46" s="101">
        <v>8686</v>
      </c>
      <c r="H46" s="101">
        <v>0</v>
      </c>
      <c r="I46" s="101">
        <v>8686</v>
      </c>
      <c r="J46" s="101"/>
      <c r="K46" s="101"/>
      <c r="L46" s="101">
        <f t="shared" si="0"/>
        <v>0</v>
      </c>
      <c r="M46" s="101">
        <f t="shared" si="1"/>
        <v>8686</v>
      </c>
      <c r="N46" s="101">
        <f t="shared" si="2"/>
        <v>0</v>
      </c>
      <c r="O46" s="101">
        <f t="shared" si="3"/>
        <v>8686</v>
      </c>
    </row>
    <row r="47" spans="1:15" ht="12.75" customHeight="1">
      <c r="A47" s="238"/>
      <c r="B47" s="238"/>
      <c r="C47" s="95" t="s">
        <v>313</v>
      </c>
      <c r="D47" s="175" t="s">
        <v>1162</v>
      </c>
      <c r="E47" s="493"/>
      <c r="F47" s="494"/>
      <c r="G47" s="101">
        <v>0</v>
      </c>
      <c r="H47" s="101">
        <v>0</v>
      </c>
      <c r="I47" s="101">
        <v>0</v>
      </c>
      <c r="J47" s="101"/>
      <c r="K47" s="101"/>
      <c r="L47" s="101">
        <f t="shared" si="0"/>
        <v>0</v>
      </c>
      <c r="M47" s="101">
        <f t="shared" si="1"/>
        <v>0</v>
      </c>
      <c r="N47" s="101">
        <f t="shared" si="2"/>
        <v>0</v>
      </c>
      <c r="O47" s="101">
        <f t="shared" si="3"/>
        <v>0</v>
      </c>
    </row>
    <row r="48" spans="1:15" ht="12.75" customHeight="1">
      <c r="A48" s="238"/>
      <c r="B48" s="238"/>
      <c r="C48" s="99" t="s">
        <v>319</v>
      </c>
      <c r="D48" s="499" t="s">
        <v>1085</v>
      </c>
      <c r="E48" s="500"/>
      <c r="F48" s="501"/>
      <c r="G48" s="101">
        <v>3140</v>
      </c>
      <c r="H48" s="101">
        <v>0</v>
      </c>
      <c r="I48" s="101">
        <v>3140</v>
      </c>
      <c r="J48" s="101"/>
      <c r="K48" s="101"/>
      <c r="L48" s="101">
        <f t="shared" si="0"/>
        <v>0</v>
      </c>
      <c r="M48" s="101">
        <f t="shared" si="1"/>
        <v>3140</v>
      </c>
      <c r="N48" s="101">
        <f t="shared" si="2"/>
        <v>0</v>
      </c>
      <c r="O48" s="101">
        <f t="shared" si="3"/>
        <v>3140</v>
      </c>
    </row>
    <row r="49" spans="1:15" ht="12.75" customHeight="1">
      <c r="A49" s="238"/>
      <c r="B49" s="238"/>
      <c r="C49" s="99" t="s">
        <v>320</v>
      </c>
      <c r="D49" s="499" t="s">
        <v>1086</v>
      </c>
      <c r="E49" s="500"/>
      <c r="F49" s="501"/>
      <c r="G49" s="101">
        <v>2491</v>
      </c>
      <c r="H49" s="101">
        <v>0</v>
      </c>
      <c r="I49" s="101">
        <v>2491</v>
      </c>
      <c r="J49" s="101"/>
      <c r="K49" s="101"/>
      <c r="L49" s="101">
        <f t="shared" si="0"/>
        <v>0</v>
      </c>
      <c r="M49" s="101">
        <f t="shared" si="1"/>
        <v>2491</v>
      </c>
      <c r="N49" s="101">
        <f t="shared" si="2"/>
        <v>0</v>
      </c>
      <c r="O49" s="101">
        <f t="shared" si="3"/>
        <v>2491</v>
      </c>
    </row>
    <row r="50" spans="1:15" ht="12.75" customHeight="1">
      <c r="A50" s="238"/>
      <c r="B50" s="238"/>
      <c r="C50" s="99" t="s">
        <v>321</v>
      </c>
      <c r="D50" s="499" t="s">
        <v>1087</v>
      </c>
      <c r="E50" s="500"/>
      <c r="F50" s="501"/>
      <c r="G50" s="101">
        <v>0</v>
      </c>
      <c r="H50" s="101">
        <v>0</v>
      </c>
      <c r="I50" s="101">
        <v>0</v>
      </c>
      <c r="J50" s="101"/>
      <c r="K50" s="101"/>
      <c r="L50" s="101">
        <f t="shared" si="0"/>
        <v>0</v>
      </c>
      <c r="M50" s="101">
        <f t="shared" si="1"/>
        <v>0</v>
      </c>
      <c r="N50" s="101">
        <f t="shared" si="2"/>
        <v>0</v>
      </c>
      <c r="O50" s="101">
        <f t="shared" si="3"/>
        <v>0</v>
      </c>
    </row>
    <row r="51" spans="1:15" ht="15" customHeight="1">
      <c r="A51" s="238"/>
      <c r="B51" s="238"/>
      <c r="C51" s="99" t="s">
        <v>322</v>
      </c>
      <c r="D51" s="499" t="s">
        <v>1088</v>
      </c>
      <c r="E51" s="500"/>
      <c r="F51" s="501" t="s">
        <v>395</v>
      </c>
      <c r="G51" s="101">
        <v>3250</v>
      </c>
      <c r="H51" s="101">
        <v>0</v>
      </c>
      <c r="I51" s="101">
        <v>3250</v>
      </c>
      <c r="J51" s="101">
        <v>-697</v>
      </c>
      <c r="K51" s="101"/>
      <c r="L51" s="101">
        <f t="shared" si="0"/>
        <v>-697</v>
      </c>
      <c r="M51" s="101">
        <f t="shared" si="1"/>
        <v>2553</v>
      </c>
      <c r="N51" s="101">
        <f t="shared" si="2"/>
        <v>0</v>
      </c>
      <c r="O51" s="101">
        <f t="shared" si="3"/>
        <v>2553</v>
      </c>
    </row>
    <row r="52" spans="1:15" ht="15" customHeight="1">
      <c r="A52" s="238"/>
      <c r="B52" s="238"/>
      <c r="C52" s="99" t="s">
        <v>323</v>
      </c>
      <c r="D52" s="499" t="s">
        <v>1089</v>
      </c>
      <c r="E52" s="500"/>
      <c r="F52" s="501" t="s">
        <v>395</v>
      </c>
      <c r="G52" s="101">
        <v>154</v>
      </c>
      <c r="H52" s="101">
        <v>0</v>
      </c>
      <c r="I52" s="101">
        <v>154</v>
      </c>
      <c r="J52" s="101">
        <v>-154</v>
      </c>
      <c r="K52" s="101"/>
      <c r="L52" s="101">
        <f t="shared" si="0"/>
        <v>-154</v>
      </c>
      <c r="M52" s="101">
        <f t="shared" si="1"/>
        <v>0</v>
      </c>
      <c r="N52" s="101">
        <f t="shared" si="2"/>
        <v>0</v>
      </c>
      <c r="O52" s="101">
        <f t="shared" si="3"/>
        <v>0</v>
      </c>
    </row>
    <row r="53" spans="1:15" ht="12.75" customHeight="1">
      <c r="A53" s="238"/>
      <c r="B53" s="238"/>
      <c r="C53" s="99" t="s">
        <v>324</v>
      </c>
      <c r="D53" s="499" t="s">
        <v>1090</v>
      </c>
      <c r="E53" s="500"/>
      <c r="F53" s="501"/>
      <c r="G53" s="101">
        <v>0</v>
      </c>
      <c r="H53" s="101">
        <v>0</v>
      </c>
      <c r="I53" s="101">
        <v>0</v>
      </c>
      <c r="J53" s="101"/>
      <c r="K53" s="101"/>
      <c r="L53" s="101">
        <f t="shared" si="0"/>
        <v>0</v>
      </c>
      <c r="M53" s="101">
        <f t="shared" si="1"/>
        <v>0</v>
      </c>
      <c r="N53" s="101">
        <f t="shared" si="2"/>
        <v>0</v>
      </c>
      <c r="O53" s="101">
        <f t="shared" si="3"/>
        <v>0</v>
      </c>
    </row>
    <row r="54" spans="1:15" ht="12.75" customHeight="1">
      <c r="A54" s="238"/>
      <c r="B54" s="238"/>
      <c r="C54" s="99" t="s">
        <v>325</v>
      </c>
      <c r="D54" s="484" t="s">
        <v>1091</v>
      </c>
      <c r="E54" s="500"/>
      <c r="F54" s="501" t="s">
        <v>395</v>
      </c>
      <c r="G54" s="101">
        <v>620</v>
      </c>
      <c r="H54" s="101">
        <v>0</v>
      </c>
      <c r="I54" s="101">
        <v>620</v>
      </c>
      <c r="J54" s="101">
        <v>-620</v>
      </c>
      <c r="K54" s="101"/>
      <c r="L54" s="101">
        <f t="shared" si="0"/>
        <v>-620</v>
      </c>
      <c r="M54" s="101">
        <f t="shared" si="1"/>
        <v>0</v>
      </c>
      <c r="N54" s="101">
        <f t="shared" si="2"/>
        <v>0</v>
      </c>
      <c r="O54" s="101">
        <f t="shared" si="3"/>
        <v>0</v>
      </c>
    </row>
    <row r="55" spans="1:15" ht="12.75" customHeight="1">
      <c r="A55" s="238"/>
      <c r="B55" s="238"/>
      <c r="C55" s="99" t="s">
        <v>326</v>
      </c>
      <c r="D55" s="499" t="s">
        <v>1092</v>
      </c>
      <c r="E55" s="500"/>
      <c r="F55" s="501" t="s">
        <v>72</v>
      </c>
      <c r="G55" s="101">
        <v>1700</v>
      </c>
      <c r="H55" s="101">
        <v>0</v>
      </c>
      <c r="I55" s="101">
        <v>1700</v>
      </c>
      <c r="J55" s="101">
        <v>287</v>
      </c>
      <c r="K55" s="101"/>
      <c r="L55" s="101">
        <f t="shared" si="0"/>
        <v>287</v>
      </c>
      <c r="M55" s="101">
        <f t="shared" si="1"/>
        <v>1987</v>
      </c>
      <c r="N55" s="101">
        <f t="shared" si="2"/>
        <v>0</v>
      </c>
      <c r="O55" s="101">
        <f t="shared" si="3"/>
        <v>1987</v>
      </c>
    </row>
    <row r="56" spans="1:15" ht="12.75" customHeight="1">
      <c r="A56" s="238"/>
      <c r="B56" s="238"/>
      <c r="C56" s="99" t="s">
        <v>327</v>
      </c>
      <c r="D56" s="499" t="s">
        <v>1093</v>
      </c>
      <c r="E56" s="500"/>
      <c r="F56" s="501"/>
      <c r="G56" s="101">
        <v>183</v>
      </c>
      <c r="H56" s="101">
        <v>0</v>
      </c>
      <c r="I56" s="101">
        <v>183</v>
      </c>
      <c r="J56" s="101"/>
      <c r="K56" s="101"/>
      <c r="L56" s="101">
        <f t="shared" si="0"/>
        <v>0</v>
      </c>
      <c r="M56" s="101">
        <f t="shared" si="1"/>
        <v>183</v>
      </c>
      <c r="N56" s="101">
        <f t="shared" si="2"/>
        <v>0</v>
      </c>
      <c r="O56" s="101">
        <f t="shared" si="3"/>
        <v>183</v>
      </c>
    </row>
    <row r="57" spans="1:15" ht="12.75" customHeight="1">
      <c r="A57" s="238"/>
      <c r="B57" s="238"/>
      <c r="C57" s="99" t="s">
        <v>328</v>
      </c>
      <c r="D57" s="499" t="s">
        <v>1094</v>
      </c>
      <c r="E57" s="500"/>
      <c r="F57" s="501"/>
      <c r="G57" s="101">
        <v>0</v>
      </c>
      <c r="H57" s="101">
        <v>0</v>
      </c>
      <c r="I57" s="101">
        <v>0</v>
      </c>
      <c r="J57" s="101"/>
      <c r="K57" s="101"/>
      <c r="L57" s="101">
        <f t="shared" si="0"/>
        <v>0</v>
      </c>
      <c r="M57" s="101">
        <f t="shared" si="1"/>
        <v>0</v>
      </c>
      <c r="N57" s="101">
        <f t="shared" si="2"/>
        <v>0</v>
      </c>
      <c r="O57" s="101">
        <f t="shared" si="3"/>
        <v>0</v>
      </c>
    </row>
    <row r="58" spans="1:15" ht="12.75" customHeight="1">
      <c r="A58" s="238"/>
      <c r="B58" s="238"/>
      <c r="C58" s="99" t="s">
        <v>329</v>
      </c>
      <c r="D58" s="499" t="s">
        <v>380</v>
      </c>
      <c r="E58" s="500"/>
      <c r="F58" s="501" t="s">
        <v>395</v>
      </c>
      <c r="G58" s="101">
        <v>8619</v>
      </c>
      <c r="H58" s="101">
        <v>0</v>
      </c>
      <c r="I58" s="101">
        <v>8619</v>
      </c>
      <c r="J58" s="101">
        <v>9356</v>
      </c>
      <c r="K58" s="101"/>
      <c r="L58" s="101">
        <f t="shared" si="0"/>
        <v>9356</v>
      </c>
      <c r="M58" s="101">
        <f t="shared" si="1"/>
        <v>17975</v>
      </c>
      <c r="N58" s="101">
        <f t="shared" si="2"/>
        <v>0</v>
      </c>
      <c r="O58" s="101">
        <f t="shared" si="3"/>
        <v>17975</v>
      </c>
    </row>
    <row r="59" spans="1:15" ht="12.75" customHeight="1">
      <c r="A59" s="238"/>
      <c r="B59" s="238"/>
      <c r="C59" s="99" t="s">
        <v>330</v>
      </c>
      <c r="D59" s="484" t="s">
        <v>1095</v>
      </c>
      <c r="E59" s="500"/>
      <c r="F59" s="501" t="s">
        <v>395</v>
      </c>
      <c r="G59" s="101">
        <v>5000</v>
      </c>
      <c r="H59" s="101">
        <v>0</v>
      </c>
      <c r="I59" s="101">
        <v>5000</v>
      </c>
      <c r="J59" s="101">
        <v>-1867</v>
      </c>
      <c r="K59" s="101"/>
      <c r="L59" s="101">
        <f t="shared" si="0"/>
        <v>-1867</v>
      </c>
      <c r="M59" s="101">
        <f t="shared" si="1"/>
        <v>3133</v>
      </c>
      <c r="N59" s="101">
        <f t="shared" si="2"/>
        <v>0</v>
      </c>
      <c r="O59" s="101">
        <f t="shared" si="3"/>
        <v>3133</v>
      </c>
    </row>
    <row r="60" spans="1:15" ht="12.75" customHeight="1">
      <c r="A60" s="238"/>
      <c r="B60" s="238"/>
      <c r="C60" s="99" t="s">
        <v>331</v>
      </c>
      <c r="D60" s="499" t="s">
        <v>1096</v>
      </c>
      <c r="E60" s="500"/>
      <c r="F60" s="501" t="s">
        <v>395</v>
      </c>
      <c r="G60" s="101">
        <v>3000</v>
      </c>
      <c r="H60" s="101">
        <v>0</v>
      </c>
      <c r="I60" s="101">
        <v>3000</v>
      </c>
      <c r="J60" s="101">
        <v>-3000</v>
      </c>
      <c r="K60" s="101"/>
      <c r="L60" s="101">
        <f t="shared" si="0"/>
        <v>-3000</v>
      </c>
      <c r="M60" s="101">
        <f t="shared" si="1"/>
        <v>0</v>
      </c>
      <c r="N60" s="101">
        <f t="shared" si="2"/>
        <v>0</v>
      </c>
      <c r="O60" s="101">
        <f t="shared" si="3"/>
        <v>0</v>
      </c>
    </row>
    <row r="61" spans="1:15" ht="12.75" customHeight="1">
      <c r="A61" s="238"/>
      <c r="B61" s="238"/>
      <c r="C61" s="99" t="s">
        <v>332</v>
      </c>
      <c r="D61" s="499" t="s">
        <v>1097</v>
      </c>
      <c r="E61" s="500"/>
      <c r="F61" s="501"/>
      <c r="G61" s="101">
        <v>3000</v>
      </c>
      <c r="H61" s="101">
        <v>0</v>
      </c>
      <c r="I61" s="101">
        <v>3000</v>
      </c>
      <c r="J61" s="101"/>
      <c r="K61" s="101"/>
      <c r="L61" s="101">
        <f t="shared" si="0"/>
        <v>0</v>
      </c>
      <c r="M61" s="101">
        <f t="shared" si="1"/>
        <v>3000</v>
      </c>
      <c r="N61" s="101">
        <f t="shared" si="2"/>
        <v>0</v>
      </c>
      <c r="O61" s="101">
        <f t="shared" si="3"/>
        <v>3000</v>
      </c>
    </row>
    <row r="62" spans="1:15" ht="12.75" customHeight="1">
      <c r="A62" s="238"/>
      <c r="B62" s="238"/>
      <c r="C62" s="99" t="s">
        <v>333</v>
      </c>
      <c r="D62" s="499" t="s">
        <v>239</v>
      </c>
      <c r="E62" s="500"/>
      <c r="F62" s="501" t="s">
        <v>395</v>
      </c>
      <c r="G62" s="101">
        <v>2400</v>
      </c>
      <c r="H62" s="101">
        <v>0</v>
      </c>
      <c r="I62" s="101">
        <v>2400</v>
      </c>
      <c r="J62" s="101">
        <v>-2049</v>
      </c>
      <c r="K62" s="101"/>
      <c r="L62" s="101">
        <f t="shared" si="0"/>
        <v>-2049</v>
      </c>
      <c r="M62" s="101">
        <f t="shared" si="1"/>
        <v>351</v>
      </c>
      <c r="N62" s="101">
        <f t="shared" si="2"/>
        <v>0</v>
      </c>
      <c r="O62" s="101">
        <f t="shared" si="3"/>
        <v>351</v>
      </c>
    </row>
    <row r="63" spans="1:15" ht="12.75" customHeight="1">
      <c r="A63" s="238"/>
      <c r="B63" s="238"/>
      <c r="C63" s="99" t="s">
        <v>297</v>
      </c>
      <c r="D63" s="499" t="s">
        <v>1098</v>
      </c>
      <c r="E63" s="500"/>
      <c r="F63" s="501" t="s">
        <v>395</v>
      </c>
      <c r="G63" s="101">
        <v>3500</v>
      </c>
      <c r="H63" s="101">
        <v>0</v>
      </c>
      <c r="I63" s="101">
        <v>3500</v>
      </c>
      <c r="J63" s="101">
        <v>-1071</v>
      </c>
      <c r="K63" s="101"/>
      <c r="L63" s="101">
        <f t="shared" si="0"/>
        <v>-1071</v>
      </c>
      <c r="M63" s="101">
        <f t="shared" si="1"/>
        <v>2429</v>
      </c>
      <c r="N63" s="101">
        <f t="shared" si="2"/>
        <v>0</v>
      </c>
      <c r="O63" s="101">
        <f t="shared" si="3"/>
        <v>2429</v>
      </c>
    </row>
    <row r="64" spans="1:15" ht="12.75" customHeight="1">
      <c r="A64" s="238"/>
      <c r="B64" s="238"/>
      <c r="C64" s="99" t="s">
        <v>298</v>
      </c>
      <c r="D64" s="499" t="s">
        <v>1099</v>
      </c>
      <c r="E64" s="500"/>
      <c r="F64" s="501" t="s">
        <v>395</v>
      </c>
      <c r="G64" s="101">
        <v>46</v>
      </c>
      <c r="H64" s="101">
        <v>0</v>
      </c>
      <c r="I64" s="101">
        <v>46</v>
      </c>
      <c r="J64" s="101">
        <v>-46</v>
      </c>
      <c r="K64" s="101"/>
      <c r="L64" s="101">
        <f t="shared" si="0"/>
        <v>-46</v>
      </c>
      <c r="M64" s="101">
        <f t="shared" si="1"/>
        <v>0</v>
      </c>
      <c r="N64" s="101">
        <f t="shared" si="2"/>
        <v>0</v>
      </c>
      <c r="O64" s="101">
        <f t="shared" si="3"/>
        <v>0</v>
      </c>
    </row>
    <row r="65" spans="1:15" ht="15" customHeight="1">
      <c r="A65" s="238"/>
      <c r="B65" s="238"/>
      <c r="C65" s="99" t="s">
        <v>299</v>
      </c>
      <c r="D65" s="499" t="s">
        <v>942</v>
      </c>
      <c r="E65" s="493"/>
      <c r="F65" s="494"/>
      <c r="G65" s="101">
        <v>3000</v>
      </c>
      <c r="H65" s="101">
        <v>0</v>
      </c>
      <c r="I65" s="101">
        <v>3000</v>
      </c>
      <c r="J65" s="101"/>
      <c r="K65" s="101"/>
      <c r="L65" s="101">
        <f t="shared" si="0"/>
        <v>0</v>
      </c>
      <c r="M65" s="101">
        <f t="shared" si="1"/>
        <v>3000</v>
      </c>
      <c r="N65" s="101">
        <f t="shared" si="2"/>
        <v>0</v>
      </c>
      <c r="O65" s="101">
        <f t="shared" si="3"/>
        <v>3000</v>
      </c>
    </row>
    <row r="66" spans="1:15" ht="15" customHeight="1">
      <c r="A66" s="238"/>
      <c r="B66" s="238"/>
      <c r="C66" s="99" t="s">
        <v>300</v>
      </c>
      <c r="D66" s="499" t="s">
        <v>1100</v>
      </c>
      <c r="E66" s="493"/>
      <c r="F66" s="501" t="s">
        <v>395</v>
      </c>
      <c r="G66" s="101">
        <v>3000</v>
      </c>
      <c r="H66" s="101">
        <v>0</v>
      </c>
      <c r="I66" s="101">
        <v>3000</v>
      </c>
      <c r="J66" s="101">
        <v>925</v>
      </c>
      <c r="K66" s="101"/>
      <c r="L66" s="101">
        <f t="shared" si="0"/>
        <v>925</v>
      </c>
      <c r="M66" s="101">
        <f t="shared" si="1"/>
        <v>3925</v>
      </c>
      <c r="N66" s="101">
        <f t="shared" si="2"/>
        <v>0</v>
      </c>
      <c r="O66" s="101">
        <f t="shared" si="3"/>
        <v>3925</v>
      </c>
    </row>
    <row r="67" spans="1:15" ht="15" customHeight="1">
      <c r="A67" s="238"/>
      <c r="B67" s="238"/>
      <c r="C67" s="99" t="s">
        <v>301</v>
      </c>
      <c r="D67" s="499" t="s">
        <v>1101</v>
      </c>
      <c r="E67" s="493"/>
      <c r="F67" s="501" t="s">
        <v>395</v>
      </c>
      <c r="G67" s="101">
        <v>26</v>
      </c>
      <c r="H67" s="101">
        <v>0</v>
      </c>
      <c r="I67" s="101">
        <v>26</v>
      </c>
      <c r="J67" s="101">
        <v>-26</v>
      </c>
      <c r="K67" s="101"/>
      <c r="L67" s="101">
        <f t="shared" si="0"/>
        <v>-26</v>
      </c>
      <c r="M67" s="101">
        <f t="shared" si="1"/>
        <v>0</v>
      </c>
      <c r="N67" s="101">
        <f t="shared" si="2"/>
        <v>0</v>
      </c>
      <c r="O67" s="101">
        <f t="shared" si="3"/>
        <v>0</v>
      </c>
    </row>
    <row r="68" spans="1:15" ht="15" customHeight="1">
      <c r="A68" s="238"/>
      <c r="B68" s="238"/>
      <c r="C68" s="99" t="s">
        <v>302</v>
      </c>
      <c r="D68" s="499" t="s">
        <v>1102</v>
      </c>
      <c r="E68" s="493"/>
      <c r="F68" s="501" t="s">
        <v>395</v>
      </c>
      <c r="G68" s="101">
        <v>1800</v>
      </c>
      <c r="H68" s="101">
        <v>0</v>
      </c>
      <c r="I68" s="101">
        <v>1800</v>
      </c>
      <c r="J68" s="101">
        <v>1515</v>
      </c>
      <c r="K68" s="101"/>
      <c r="L68" s="101">
        <f t="shared" si="0"/>
        <v>1515</v>
      </c>
      <c r="M68" s="101">
        <f t="shared" si="1"/>
        <v>3315</v>
      </c>
      <c r="N68" s="101">
        <f t="shared" si="2"/>
        <v>0</v>
      </c>
      <c r="O68" s="101">
        <f t="shared" si="3"/>
        <v>3315</v>
      </c>
    </row>
    <row r="69" spans="1:15" ht="15" customHeight="1">
      <c r="A69" s="238"/>
      <c r="B69" s="238"/>
      <c r="C69" s="99" t="s">
        <v>303</v>
      </c>
      <c r="D69" s="499" t="s">
        <v>1103</v>
      </c>
      <c r="E69" s="493"/>
      <c r="F69" s="501"/>
      <c r="G69" s="101">
        <v>0</v>
      </c>
      <c r="H69" s="101">
        <v>0</v>
      </c>
      <c r="I69" s="101">
        <v>0</v>
      </c>
      <c r="J69" s="101"/>
      <c r="K69" s="101"/>
      <c r="L69" s="101">
        <f t="shared" si="0"/>
        <v>0</v>
      </c>
      <c r="M69" s="101">
        <f t="shared" si="1"/>
        <v>0</v>
      </c>
      <c r="N69" s="101">
        <f t="shared" si="2"/>
        <v>0</v>
      </c>
      <c r="O69" s="101">
        <f t="shared" si="3"/>
        <v>0</v>
      </c>
    </row>
    <row r="70" spans="1:15" ht="15" customHeight="1">
      <c r="A70" s="238"/>
      <c r="B70" s="238"/>
      <c r="C70" s="99" t="s">
        <v>304</v>
      </c>
      <c r="D70" s="499" t="s">
        <v>1104</v>
      </c>
      <c r="E70" s="493"/>
      <c r="F70" s="501"/>
      <c r="G70" s="101">
        <v>2817</v>
      </c>
      <c r="H70" s="101">
        <v>0</v>
      </c>
      <c r="I70" s="101">
        <v>2817</v>
      </c>
      <c r="J70" s="101"/>
      <c r="K70" s="101"/>
      <c r="L70" s="101">
        <f t="shared" si="0"/>
        <v>0</v>
      </c>
      <c r="M70" s="101">
        <f t="shared" si="1"/>
        <v>2817</v>
      </c>
      <c r="N70" s="101">
        <f t="shared" si="2"/>
        <v>0</v>
      </c>
      <c r="O70" s="101">
        <f t="shared" si="3"/>
        <v>2817</v>
      </c>
    </row>
    <row r="71" spans="1:15" ht="15" customHeight="1">
      <c r="A71" s="238"/>
      <c r="B71" s="238"/>
      <c r="C71" s="99" t="s">
        <v>305</v>
      </c>
      <c r="D71" s="484" t="s">
        <v>1105</v>
      </c>
      <c r="E71" s="133"/>
      <c r="F71" s="501"/>
      <c r="G71" s="101">
        <v>6044</v>
      </c>
      <c r="H71" s="101">
        <v>0</v>
      </c>
      <c r="I71" s="101">
        <v>6044</v>
      </c>
      <c r="J71" s="101"/>
      <c r="K71" s="101"/>
      <c r="L71" s="101">
        <f t="shared" si="0"/>
        <v>0</v>
      </c>
      <c r="M71" s="101">
        <f t="shared" si="1"/>
        <v>6044</v>
      </c>
      <c r="N71" s="101">
        <f t="shared" si="2"/>
        <v>0</v>
      </c>
      <c r="O71" s="101">
        <f t="shared" si="3"/>
        <v>6044</v>
      </c>
    </row>
    <row r="72" spans="1:15" ht="15" customHeight="1">
      <c r="A72" s="238"/>
      <c r="B72" s="238"/>
      <c r="C72" s="99" t="s">
        <v>240</v>
      </c>
      <c r="D72" s="503" t="s">
        <v>1106</v>
      </c>
      <c r="E72" s="493"/>
      <c r="F72" s="501"/>
      <c r="G72" s="101">
        <v>33349</v>
      </c>
      <c r="H72" s="101">
        <v>0</v>
      </c>
      <c r="I72" s="101">
        <v>33349</v>
      </c>
      <c r="J72" s="101"/>
      <c r="K72" s="101"/>
      <c r="L72" s="101">
        <f t="shared" si="0"/>
        <v>0</v>
      </c>
      <c r="M72" s="101">
        <f t="shared" si="1"/>
        <v>33349</v>
      </c>
      <c r="N72" s="101">
        <f t="shared" si="2"/>
        <v>0</v>
      </c>
      <c r="O72" s="101">
        <f t="shared" si="3"/>
        <v>33349</v>
      </c>
    </row>
    <row r="73" spans="1:15" ht="15" customHeight="1">
      <c r="A73" s="238"/>
      <c r="B73" s="238"/>
      <c r="C73" s="99" t="s">
        <v>241</v>
      </c>
      <c r="D73" s="504" t="s">
        <v>1107</v>
      </c>
      <c r="E73" s="493"/>
      <c r="F73" s="501" t="s">
        <v>395</v>
      </c>
      <c r="G73" s="101">
        <v>20274</v>
      </c>
      <c r="H73" s="101">
        <v>0</v>
      </c>
      <c r="I73" s="101">
        <v>20274</v>
      </c>
      <c r="J73" s="101">
        <v>2641</v>
      </c>
      <c r="K73" s="101"/>
      <c r="L73" s="101">
        <f t="shared" si="0"/>
        <v>2641</v>
      </c>
      <c r="M73" s="101">
        <f t="shared" si="1"/>
        <v>22915</v>
      </c>
      <c r="N73" s="101">
        <f t="shared" si="2"/>
        <v>0</v>
      </c>
      <c r="O73" s="101">
        <f t="shared" si="3"/>
        <v>22915</v>
      </c>
    </row>
    <row r="74" spans="1:15" ht="15" customHeight="1">
      <c r="A74" s="238"/>
      <c r="B74" s="238"/>
      <c r="C74" s="99" t="s">
        <v>242</v>
      </c>
      <c r="D74" s="499" t="s">
        <v>1108</v>
      </c>
      <c r="E74" s="493"/>
      <c r="F74" s="501" t="s">
        <v>72</v>
      </c>
      <c r="G74" s="101">
        <v>15697</v>
      </c>
      <c r="H74" s="101">
        <v>0</v>
      </c>
      <c r="I74" s="101">
        <v>15697</v>
      </c>
      <c r="J74" s="101">
        <v>-457</v>
      </c>
      <c r="K74" s="101"/>
      <c r="L74" s="101">
        <f t="shared" si="0"/>
        <v>-457</v>
      </c>
      <c r="M74" s="101">
        <f t="shared" si="1"/>
        <v>15240</v>
      </c>
      <c r="N74" s="101">
        <f t="shared" si="2"/>
        <v>0</v>
      </c>
      <c r="O74" s="101">
        <f t="shared" si="3"/>
        <v>15240</v>
      </c>
    </row>
    <row r="75" spans="1:15" ht="24.75" customHeight="1">
      <c r="A75" s="238"/>
      <c r="B75" s="238"/>
      <c r="C75" s="99" t="s">
        <v>243</v>
      </c>
      <c r="D75" s="505" t="s">
        <v>233</v>
      </c>
      <c r="E75" s="493"/>
      <c r="F75" s="501" t="s">
        <v>395</v>
      </c>
      <c r="G75" s="101">
        <v>4649</v>
      </c>
      <c r="H75" s="101">
        <v>0</v>
      </c>
      <c r="I75" s="101">
        <v>4649</v>
      </c>
      <c r="J75" s="101">
        <v>-212</v>
      </c>
      <c r="K75" s="101"/>
      <c r="L75" s="101">
        <f t="shared" si="0"/>
        <v>-212</v>
      </c>
      <c r="M75" s="101">
        <f t="shared" si="1"/>
        <v>4437</v>
      </c>
      <c r="N75" s="101">
        <f t="shared" si="2"/>
        <v>0</v>
      </c>
      <c r="O75" s="101">
        <f t="shared" si="3"/>
        <v>4437</v>
      </c>
    </row>
    <row r="76" spans="1:15" ht="15" customHeight="1">
      <c r="A76" s="238"/>
      <c r="B76" s="238"/>
      <c r="C76" s="99" t="s">
        <v>244</v>
      </c>
      <c r="D76" s="499" t="s">
        <v>1109</v>
      </c>
      <c r="E76" s="493"/>
      <c r="F76" s="501" t="s">
        <v>395</v>
      </c>
      <c r="G76" s="101">
        <v>5000</v>
      </c>
      <c r="H76" s="101">
        <v>0</v>
      </c>
      <c r="I76" s="101">
        <v>5000</v>
      </c>
      <c r="J76" s="101">
        <v>-801</v>
      </c>
      <c r="K76" s="101"/>
      <c r="L76" s="101">
        <f t="shared" si="0"/>
        <v>-801</v>
      </c>
      <c r="M76" s="101">
        <f t="shared" si="1"/>
        <v>4199</v>
      </c>
      <c r="N76" s="101">
        <f t="shared" si="2"/>
        <v>0</v>
      </c>
      <c r="O76" s="101">
        <f t="shared" si="3"/>
        <v>4199</v>
      </c>
    </row>
    <row r="77" spans="1:15" ht="15" customHeight="1">
      <c r="A77" s="238"/>
      <c r="B77" s="238"/>
      <c r="C77" s="99" t="s">
        <v>245</v>
      </c>
      <c r="D77" s="499" t="s">
        <v>1110</v>
      </c>
      <c r="E77" s="493"/>
      <c r="F77" s="501"/>
      <c r="G77" s="101">
        <v>4000</v>
      </c>
      <c r="H77" s="101">
        <v>0</v>
      </c>
      <c r="I77" s="101">
        <v>4000</v>
      </c>
      <c r="J77" s="101"/>
      <c r="K77" s="101"/>
      <c r="L77" s="101">
        <f t="shared" si="0"/>
        <v>0</v>
      </c>
      <c r="M77" s="101">
        <f t="shared" si="1"/>
        <v>4000</v>
      </c>
      <c r="N77" s="101">
        <f t="shared" si="2"/>
        <v>0</v>
      </c>
      <c r="O77" s="101">
        <f t="shared" si="3"/>
        <v>4000</v>
      </c>
    </row>
    <row r="78" spans="1:15" ht="15" customHeight="1">
      <c r="A78" s="238"/>
      <c r="B78" s="238"/>
      <c r="C78" s="99" t="s">
        <v>246</v>
      </c>
      <c r="D78" s="499" t="s">
        <v>1111</v>
      </c>
      <c r="E78" s="493"/>
      <c r="F78" s="501" t="s">
        <v>72</v>
      </c>
      <c r="G78" s="101">
        <v>5235</v>
      </c>
      <c r="H78" s="101">
        <v>0</v>
      </c>
      <c r="I78" s="101">
        <v>5235</v>
      </c>
      <c r="J78" s="101">
        <v>-840</v>
      </c>
      <c r="K78" s="101"/>
      <c r="L78" s="101">
        <f t="shared" si="0"/>
        <v>-840</v>
      </c>
      <c r="M78" s="101">
        <f t="shared" si="1"/>
        <v>4395</v>
      </c>
      <c r="N78" s="101">
        <f t="shared" si="2"/>
        <v>0</v>
      </c>
      <c r="O78" s="101">
        <f t="shared" si="3"/>
        <v>4395</v>
      </c>
    </row>
    <row r="79" spans="1:15" ht="15" customHeight="1">
      <c r="A79" s="238"/>
      <c r="B79" s="238"/>
      <c r="C79" s="99" t="s">
        <v>247</v>
      </c>
      <c r="D79" s="499" t="s">
        <v>1112</v>
      </c>
      <c r="E79" s="133"/>
      <c r="F79" s="502" t="s">
        <v>72</v>
      </c>
      <c r="G79" s="101">
        <v>5500</v>
      </c>
      <c r="H79" s="101">
        <v>0</v>
      </c>
      <c r="I79" s="101">
        <v>5500</v>
      </c>
      <c r="J79" s="101">
        <v>-5500</v>
      </c>
      <c r="K79" s="101"/>
      <c r="L79" s="101">
        <f t="shared" si="0"/>
        <v>-5500</v>
      </c>
      <c r="M79" s="101">
        <f t="shared" si="1"/>
        <v>0</v>
      </c>
      <c r="N79" s="101">
        <f t="shared" si="2"/>
        <v>0</v>
      </c>
      <c r="O79" s="101">
        <f t="shared" si="3"/>
        <v>0</v>
      </c>
    </row>
    <row r="80" spans="1:15" ht="15" customHeight="1">
      <c r="A80" s="238"/>
      <c r="B80" s="238"/>
      <c r="C80" s="99" t="s">
        <v>248</v>
      </c>
      <c r="D80" s="499" t="s">
        <v>1113</v>
      </c>
      <c r="E80" s="493"/>
      <c r="F80" s="501" t="s">
        <v>395</v>
      </c>
      <c r="G80" s="101">
        <v>2000</v>
      </c>
      <c r="H80" s="101">
        <v>0</v>
      </c>
      <c r="I80" s="101">
        <v>2000</v>
      </c>
      <c r="J80" s="101">
        <v>-2000</v>
      </c>
      <c r="K80" s="101"/>
      <c r="L80" s="101">
        <f aca="true" t="shared" si="5" ref="L80:L156">SUM(J80:K80)</f>
        <v>-2000</v>
      </c>
      <c r="M80" s="101">
        <f aca="true" t="shared" si="6" ref="M80:M156">SUM(G80+J80)</f>
        <v>0</v>
      </c>
      <c r="N80" s="101">
        <f aca="true" t="shared" si="7" ref="N80:N156">SUM(H80+K80)</f>
        <v>0</v>
      </c>
      <c r="O80" s="101">
        <f aca="true" t="shared" si="8" ref="O80:O156">SUM(M80:N80)</f>
        <v>0</v>
      </c>
    </row>
    <row r="81" spans="1:15" ht="15" customHeight="1">
      <c r="A81" s="238"/>
      <c r="B81" s="238"/>
      <c r="C81" s="99" t="s">
        <v>249</v>
      </c>
      <c r="D81" s="499" t="s">
        <v>1114</v>
      </c>
      <c r="E81" s="493"/>
      <c r="F81" s="501"/>
      <c r="G81" s="101">
        <v>7720</v>
      </c>
      <c r="H81" s="101">
        <v>0</v>
      </c>
      <c r="I81" s="101">
        <v>7720</v>
      </c>
      <c r="J81" s="101"/>
      <c r="K81" s="101"/>
      <c r="L81" s="101">
        <f t="shared" si="5"/>
        <v>0</v>
      </c>
      <c r="M81" s="101">
        <f t="shared" si="6"/>
        <v>7720</v>
      </c>
      <c r="N81" s="101">
        <f t="shared" si="7"/>
        <v>0</v>
      </c>
      <c r="O81" s="101">
        <f t="shared" si="8"/>
        <v>7720</v>
      </c>
    </row>
    <row r="82" spans="1:15" ht="15" customHeight="1">
      <c r="A82" s="238"/>
      <c r="B82" s="238"/>
      <c r="C82" s="99" t="s">
        <v>250</v>
      </c>
      <c r="D82" s="506" t="s">
        <v>1115</v>
      </c>
      <c r="E82" s="493"/>
      <c r="F82" s="494" t="s">
        <v>72</v>
      </c>
      <c r="G82" s="101">
        <v>12548</v>
      </c>
      <c r="H82" s="101">
        <v>0</v>
      </c>
      <c r="I82" s="101">
        <v>12548</v>
      </c>
      <c r="J82" s="101">
        <v>466</v>
      </c>
      <c r="K82" s="101"/>
      <c r="L82" s="101">
        <f t="shared" si="5"/>
        <v>466</v>
      </c>
      <c r="M82" s="101">
        <f t="shared" si="6"/>
        <v>13014</v>
      </c>
      <c r="N82" s="101">
        <f t="shared" si="7"/>
        <v>0</v>
      </c>
      <c r="O82" s="101">
        <f t="shared" si="8"/>
        <v>13014</v>
      </c>
    </row>
    <row r="83" spans="1:15" ht="15" customHeight="1">
      <c r="A83" s="238"/>
      <c r="B83" s="238"/>
      <c r="C83" s="99" t="s">
        <v>251</v>
      </c>
      <c r="D83" s="499" t="s">
        <v>379</v>
      </c>
      <c r="E83" s="493"/>
      <c r="F83" s="494" t="s">
        <v>395</v>
      </c>
      <c r="G83" s="101">
        <v>15000</v>
      </c>
      <c r="H83" s="101">
        <v>0</v>
      </c>
      <c r="I83" s="101">
        <v>15000</v>
      </c>
      <c r="J83" s="101">
        <v>2462</v>
      </c>
      <c r="K83" s="101"/>
      <c r="L83" s="101">
        <f t="shared" si="5"/>
        <v>2462</v>
      </c>
      <c r="M83" s="101">
        <f t="shared" si="6"/>
        <v>17462</v>
      </c>
      <c r="N83" s="101">
        <f t="shared" si="7"/>
        <v>0</v>
      </c>
      <c r="O83" s="101">
        <f t="shared" si="8"/>
        <v>17462</v>
      </c>
    </row>
    <row r="84" spans="1:15" ht="15" customHeight="1">
      <c r="A84" s="238"/>
      <c r="B84" s="238"/>
      <c r="C84" s="99" t="s">
        <v>252</v>
      </c>
      <c r="D84" s="499" t="s">
        <v>235</v>
      </c>
      <c r="E84" s="493"/>
      <c r="F84" s="494"/>
      <c r="G84" s="101">
        <v>7330</v>
      </c>
      <c r="H84" s="101">
        <v>0</v>
      </c>
      <c r="I84" s="101">
        <v>7330</v>
      </c>
      <c r="J84" s="101"/>
      <c r="K84" s="101"/>
      <c r="L84" s="101">
        <f t="shared" si="5"/>
        <v>0</v>
      </c>
      <c r="M84" s="101">
        <f t="shared" si="6"/>
        <v>7330</v>
      </c>
      <c r="N84" s="101">
        <f t="shared" si="7"/>
        <v>0</v>
      </c>
      <c r="O84" s="101">
        <f t="shared" si="8"/>
        <v>7330</v>
      </c>
    </row>
    <row r="85" spans="1:15" ht="15" customHeight="1">
      <c r="A85" s="238"/>
      <c r="B85" s="238"/>
      <c r="C85" s="99" t="s">
        <v>253</v>
      </c>
      <c r="D85" s="499" t="s">
        <v>1116</v>
      </c>
      <c r="E85" s="500"/>
      <c r="F85" s="501"/>
      <c r="G85" s="101">
        <v>5000</v>
      </c>
      <c r="H85" s="101">
        <v>0</v>
      </c>
      <c r="I85" s="101">
        <v>5000</v>
      </c>
      <c r="J85" s="101"/>
      <c r="K85" s="101"/>
      <c r="L85" s="101">
        <f t="shared" si="5"/>
        <v>0</v>
      </c>
      <c r="M85" s="101">
        <f t="shared" si="6"/>
        <v>5000</v>
      </c>
      <c r="N85" s="101">
        <f t="shared" si="7"/>
        <v>0</v>
      </c>
      <c r="O85" s="101">
        <f t="shared" si="8"/>
        <v>5000</v>
      </c>
    </row>
    <row r="86" spans="1:15" ht="15" customHeight="1">
      <c r="A86" s="238"/>
      <c r="B86" s="238"/>
      <c r="C86" s="99" t="s">
        <v>254</v>
      </c>
      <c r="D86" s="499" t="s">
        <v>1117</v>
      </c>
      <c r="E86" s="500"/>
      <c r="F86" s="501" t="s">
        <v>395</v>
      </c>
      <c r="G86" s="101">
        <v>1000</v>
      </c>
      <c r="H86" s="101">
        <v>0</v>
      </c>
      <c r="I86" s="101">
        <v>1000</v>
      </c>
      <c r="J86" s="101">
        <v>-200</v>
      </c>
      <c r="K86" s="101"/>
      <c r="L86" s="101">
        <f t="shared" si="5"/>
        <v>-200</v>
      </c>
      <c r="M86" s="101">
        <f t="shared" si="6"/>
        <v>800</v>
      </c>
      <c r="N86" s="101">
        <f t="shared" si="7"/>
        <v>0</v>
      </c>
      <c r="O86" s="101">
        <f t="shared" si="8"/>
        <v>800</v>
      </c>
    </row>
    <row r="87" spans="1:15" ht="15" customHeight="1">
      <c r="A87" s="238"/>
      <c r="B87" s="238"/>
      <c r="C87" s="99" t="s">
        <v>255</v>
      </c>
      <c r="D87" s="499" t="s">
        <v>1118</v>
      </c>
      <c r="E87" s="500"/>
      <c r="F87" s="501" t="s">
        <v>395</v>
      </c>
      <c r="G87" s="101">
        <v>10000</v>
      </c>
      <c r="H87" s="101">
        <v>0</v>
      </c>
      <c r="I87" s="101">
        <v>10000</v>
      </c>
      <c r="J87" s="101">
        <v>-3066</v>
      </c>
      <c r="K87" s="101"/>
      <c r="L87" s="101">
        <f t="shared" si="5"/>
        <v>-3066</v>
      </c>
      <c r="M87" s="101">
        <f t="shared" si="6"/>
        <v>6934</v>
      </c>
      <c r="N87" s="101">
        <f t="shared" si="7"/>
        <v>0</v>
      </c>
      <c r="O87" s="101">
        <f t="shared" si="8"/>
        <v>6934</v>
      </c>
    </row>
    <row r="88" spans="1:15" ht="15" customHeight="1">
      <c r="A88" s="238"/>
      <c r="B88" s="238"/>
      <c r="C88" s="99" t="s">
        <v>943</v>
      </c>
      <c r="D88" s="499" t="s">
        <v>964</v>
      </c>
      <c r="E88" s="500"/>
      <c r="F88" s="501"/>
      <c r="G88" s="101">
        <v>3965</v>
      </c>
      <c r="H88" s="101"/>
      <c r="I88" s="101">
        <v>3965</v>
      </c>
      <c r="J88" s="101"/>
      <c r="K88" s="101"/>
      <c r="L88" s="101">
        <f t="shared" si="5"/>
        <v>0</v>
      </c>
      <c r="M88" s="101">
        <f t="shared" si="6"/>
        <v>3965</v>
      </c>
      <c r="N88" s="101"/>
      <c r="O88" s="101">
        <f t="shared" si="8"/>
        <v>3965</v>
      </c>
    </row>
    <row r="89" spans="1:15" ht="15" customHeight="1">
      <c r="A89" s="238"/>
      <c r="B89" s="238"/>
      <c r="C89" s="99" t="s">
        <v>1032</v>
      </c>
      <c r="D89" s="715" t="s">
        <v>1033</v>
      </c>
      <c r="E89" s="500"/>
      <c r="F89" s="501" t="s">
        <v>72</v>
      </c>
      <c r="G89" s="101"/>
      <c r="H89" s="101"/>
      <c r="I89" s="101"/>
      <c r="J89" s="101">
        <v>1120</v>
      </c>
      <c r="K89" s="101"/>
      <c r="L89" s="101">
        <f t="shared" si="5"/>
        <v>1120</v>
      </c>
      <c r="M89" s="101">
        <f t="shared" si="6"/>
        <v>1120</v>
      </c>
      <c r="N89" s="101"/>
      <c r="O89" s="101">
        <f t="shared" si="8"/>
        <v>1120</v>
      </c>
    </row>
    <row r="90" spans="1:15" ht="15" customHeight="1">
      <c r="A90" s="238"/>
      <c r="B90" s="238"/>
      <c r="C90" s="99" t="s">
        <v>1034</v>
      </c>
      <c r="D90" s="716" t="s">
        <v>1035</v>
      </c>
      <c r="E90" s="500"/>
      <c r="F90" s="501" t="s">
        <v>72</v>
      </c>
      <c r="G90" s="101"/>
      <c r="H90" s="101"/>
      <c r="I90" s="101"/>
      <c r="J90" s="101">
        <v>1320</v>
      </c>
      <c r="K90" s="101"/>
      <c r="L90" s="101">
        <f t="shared" si="5"/>
        <v>1320</v>
      </c>
      <c r="M90" s="101">
        <f t="shared" si="6"/>
        <v>1320</v>
      </c>
      <c r="N90" s="101"/>
      <c r="O90" s="101">
        <f t="shared" si="8"/>
        <v>1320</v>
      </c>
    </row>
    <row r="91" spans="1:15" ht="15" customHeight="1">
      <c r="A91" s="238"/>
      <c r="B91" s="238"/>
      <c r="C91" s="99" t="s">
        <v>1036</v>
      </c>
      <c r="D91" s="158" t="s">
        <v>1037</v>
      </c>
      <c r="E91" s="500"/>
      <c r="F91" s="501" t="s">
        <v>72</v>
      </c>
      <c r="G91" s="101"/>
      <c r="H91" s="101"/>
      <c r="I91" s="101"/>
      <c r="J91" s="101">
        <v>1581</v>
      </c>
      <c r="K91" s="101"/>
      <c r="L91" s="101">
        <f t="shared" si="5"/>
        <v>1581</v>
      </c>
      <c r="M91" s="101">
        <f t="shared" si="6"/>
        <v>1581</v>
      </c>
      <c r="N91" s="101"/>
      <c r="O91" s="101">
        <f t="shared" si="8"/>
        <v>1581</v>
      </c>
    </row>
    <row r="92" spans="1:15" ht="12.75" customHeight="1">
      <c r="A92" s="238"/>
      <c r="B92" s="238"/>
      <c r="C92" s="238"/>
      <c r="D92" s="158" t="s">
        <v>856</v>
      </c>
      <c r="E92" s="493"/>
      <c r="F92" s="494"/>
      <c r="G92" s="101">
        <v>0</v>
      </c>
      <c r="H92" s="101">
        <v>0</v>
      </c>
      <c r="I92" s="101">
        <v>0</v>
      </c>
      <c r="J92" s="101"/>
      <c r="K92" s="101"/>
      <c r="L92" s="101">
        <f t="shared" si="5"/>
        <v>0</v>
      </c>
      <c r="M92" s="101">
        <f t="shared" si="6"/>
        <v>0</v>
      </c>
      <c r="N92" s="101">
        <f t="shared" si="7"/>
        <v>0</v>
      </c>
      <c r="O92" s="101">
        <f t="shared" si="8"/>
        <v>0</v>
      </c>
    </row>
    <row r="93" spans="1:15" ht="12.75" customHeight="1">
      <c r="A93" s="238"/>
      <c r="B93" s="238"/>
      <c r="C93" s="99" t="s">
        <v>257</v>
      </c>
      <c r="D93" s="499" t="s">
        <v>236</v>
      </c>
      <c r="E93" s="493"/>
      <c r="F93" s="494"/>
      <c r="G93" s="101">
        <v>2000</v>
      </c>
      <c r="H93" s="101">
        <v>0</v>
      </c>
      <c r="I93" s="101">
        <v>2000</v>
      </c>
      <c r="J93" s="101"/>
      <c r="K93" s="101"/>
      <c r="L93" s="101">
        <f t="shared" si="5"/>
        <v>0</v>
      </c>
      <c r="M93" s="101">
        <f t="shared" si="6"/>
        <v>2000</v>
      </c>
      <c r="N93" s="101">
        <f t="shared" si="7"/>
        <v>0</v>
      </c>
      <c r="O93" s="101">
        <f t="shared" si="8"/>
        <v>2000</v>
      </c>
    </row>
    <row r="94" spans="1:15" ht="12.75" customHeight="1">
      <c r="A94" s="238"/>
      <c r="B94" s="238"/>
      <c r="C94" s="99" t="s">
        <v>258</v>
      </c>
      <c r="D94" s="499" t="s">
        <v>1119</v>
      </c>
      <c r="E94" s="493"/>
      <c r="F94" s="494"/>
      <c r="G94" s="101">
        <v>0</v>
      </c>
      <c r="H94" s="101">
        <v>0</v>
      </c>
      <c r="I94" s="101">
        <v>0</v>
      </c>
      <c r="J94" s="101"/>
      <c r="K94" s="101"/>
      <c r="L94" s="101">
        <f t="shared" si="5"/>
        <v>0</v>
      </c>
      <c r="M94" s="101">
        <f t="shared" si="6"/>
        <v>0</v>
      </c>
      <c r="N94" s="101">
        <f t="shared" si="7"/>
        <v>0</v>
      </c>
      <c r="O94" s="101">
        <f t="shared" si="8"/>
        <v>0</v>
      </c>
    </row>
    <row r="95" spans="1:15" ht="24.75" customHeight="1">
      <c r="A95" s="238"/>
      <c r="B95" s="238"/>
      <c r="C95" s="99" t="s">
        <v>259</v>
      </c>
      <c r="D95" s="507" t="s">
        <v>232</v>
      </c>
      <c r="E95" s="493"/>
      <c r="F95" s="494" t="s">
        <v>395</v>
      </c>
      <c r="G95" s="101">
        <v>933</v>
      </c>
      <c r="H95" s="101">
        <v>0</v>
      </c>
      <c r="I95" s="101">
        <v>933</v>
      </c>
      <c r="J95" s="101">
        <v>-933</v>
      </c>
      <c r="K95" s="101"/>
      <c r="L95" s="101">
        <f t="shared" si="5"/>
        <v>-933</v>
      </c>
      <c r="M95" s="101">
        <f t="shared" si="6"/>
        <v>0</v>
      </c>
      <c r="N95" s="101">
        <f t="shared" si="7"/>
        <v>0</v>
      </c>
      <c r="O95" s="101">
        <f t="shared" si="8"/>
        <v>0</v>
      </c>
    </row>
    <row r="96" spans="1:15" ht="12.75" customHeight="1">
      <c r="A96" s="238"/>
      <c r="B96" s="238"/>
      <c r="C96" s="99" t="s">
        <v>260</v>
      </c>
      <c r="D96" s="508" t="s">
        <v>378</v>
      </c>
      <c r="E96" s="493"/>
      <c r="F96" s="494"/>
      <c r="G96" s="101">
        <v>4500</v>
      </c>
      <c r="H96" s="101">
        <v>0</v>
      </c>
      <c r="I96" s="101">
        <v>4500</v>
      </c>
      <c r="J96" s="101"/>
      <c r="K96" s="101"/>
      <c r="L96" s="101">
        <f t="shared" si="5"/>
        <v>0</v>
      </c>
      <c r="M96" s="101">
        <f t="shared" si="6"/>
        <v>4500</v>
      </c>
      <c r="N96" s="101">
        <f t="shared" si="7"/>
        <v>0</v>
      </c>
      <c r="O96" s="101">
        <f t="shared" si="8"/>
        <v>4500</v>
      </c>
    </row>
    <row r="97" spans="1:15" ht="24.75" customHeight="1">
      <c r="A97" s="238"/>
      <c r="B97" s="238"/>
      <c r="C97" s="99" t="s">
        <v>261</v>
      </c>
      <c r="D97" s="508" t="s">
        <v>237</v>
      </c>
      <c r="E97" s="493"/>
      <c r="F97" s="494"/>
      <c r="G97" s="101">
        <v>2000</v>
      </c>
      <c r="H97" s="101">
        <v>0</v>
      </c>
      <c r="I97" s="101">
        <v>2000</v>
      </c>
      <c r="J97" s="101"/>
      <c r="K97" s="101"/>
      <c r="L97" s="101">
        <f t="shared" si="5"/>
        <v>0</v>
      </c>
      <c r="M97" s="101">
        <f t="shared" si="6"/>
        <v>2000</v>
      </c>
      <c r="N97" s="101">
        <f t="shared" si="7"/>
        <v>0</v>
      </c>
      <c r="O97" s="101">
        <f t="shared" si="8"/>
        <v>2000</v>
      </c>
    </row>
    <row r="98" spans="1:15" ht="12.75" customHeight="1">
      <c r="A98" s="238"/>
      <c r="B98" s="238"/>
      <c r="C98" s="99" t="s">
        <v>262</v>
      </c>
      <c r="D98" s="508" t="s">
        <v>238</v>
      </c>
      <c r="E98" s="493"/>
      <c r="F98" s="501"/>
      <c r="G98" s="101">
        <v>273</v>
      </c>
      <c r="H98" s="101">
        <v>0</v>
      </c>
      <c r="I98" s="101">
        <v>273</v>
      </c>
      <c r="J98" s="101"/>
      <c r="K98" s="101"/>
      <c r="L98" s="101">
        <f t="shared" si="5"/>
        <v>0</v>
      </c>
      <c r="M98" s="101">
        <f t="shared" si="6"/>
        <v>273</v>
      </c>
      <c r="N98" s="101">
        <f t="shared" si="7"/>
        <v>0</v>
      </c>
      <c r="O98" s="101">
        <f t="shared" si="8"/>
        <v>273</v>
      </c>
    </row>
    <row r="99" spans="1:15" ht="12.75" customHeight="1">
      <c r="A99" s="238"/>
      <c r="B99" s="238"/>
      <c r="C99" s="99" t="s">
        <v>263</v>
      </c>
      <c r="D99" s="507" t="s">
        <v>256</v>
      </c>
      <c r="E99" s="493"/>
      <c r="F99" s="501"/>
      <c r="G99" s="101">
        <v>1000</v>
      </c>
      <c r="H99" s="101">
        <v>0</v>
      </c>
      <c r="I99" s="101">
        <v>1000</v>
      </c>
      <c r="J99" s="101"/>
      <c r="K99" s="101"/>
      <c r="L99" s="101">
        <f t="shared" si="5"/>
        <v>0</v>
      </c>
      <c r="M99" s="101">
        <f t="shared" si="6"/>
        <v>1000</v>
      </c>
      <c r="N99" s="101">
        <f t="shared" si="7"/>
        <v>0</v>
      </c>
      <c r="O99" s="101">
        <f t="shared" si="8"/>
        <v>1000</v>
      </c>
    </row>
    <row r="100" spans="1:15" ht="12.75" customHeight="1">
      <c r="A100" s="238"/>
      <c r="B100" s="238"/>
      <c r="C100" s="99" t="s">
        <v>264</v>
      </c>
      <c r="D100" s="509" t="s">
        <v>1120</v>
      </c>
      <c r="E100" s="493"/>
      <c r="F100" s="501"/>
      <c r="G100" s="101">
        <v>27597</v>
      </c>
      <c r="H100" s="101">
        <v>0</v>
      </c>
      <c r="I100" s="101">
        <v>27597</v>
      </c>
      <c r="J100" s="101"/>
      <c r="K100" s="101"/>
      <c r="L100" s="101">
        <f t="shared" si="5"/>
        <v>0</v>
      </c>
      <c r="M100" s="101">
        <f t="shared" si="6"/>
        <v>27597</v>
      </c>
      <c r="N100" s="101">
        <f t="shared" si="7"/>
        <v>0</v>
      </c>
      <c r="O100" s="101">
        <f t="shared" si="8"/>
        <v>27597</v>
      </c>
    </row>
    <row r="101" spans="1:15" ht="12.75" customHeight="1">
      <c r="A101" s="238"/>
      <c r="B101" s="238"/>
      <c r="C101" s="99" t="s">
        <v>265</v>
      </c>
      <c r="D101" s="509" t="s">
        <v>565</v>
      </c>
      <c r="E101" s="493"/>
      <c r="F101" s="501" t="s">
        <v>72</v>
      </c>
      <c r="G101" s="101">
        <v>1395</v>
      </c>
      <c r="H101" s="101">
        <v>0</v>
      </c>
      <c r="I101" s="101">
        <v>1395</v>
      </c>
      <c r="J101" s="101">
        <v>-1395</v>
      </c>
      <c r="K101" s="101"/>
      <c r="L101" s="101">
        <f t="shared" si="5"/>
        <v>-1395</v>
      </c>
      <c r="M101" s="101">
        <f t="shared" si="6"/>
        <v>0</v>
      </c>
      <c r="N101" s="101">
        <f t="shared" si="7"/>
        <v>0</v>
      </c>
      <c r="O101" s="101">
        <f t="shared" si="8"/>
        <v>0</v>
      </c>
    </row>
    <row r="102" spans="1:15" ht="24.75" customHeight="1">
      <c r="A102" s="238"/>
      <c r="B102" s="238"/>
      <c r="C102" s="99" t="s">
        <v>266</v>
      </c>
      <c r="D102" s="510" t="s">
        <v>383</v>
      </c>
      <c r="E102" s="493"/>
      <c r="F102" s="501" t="s">
        <v>395</v>
      </c>
      <c r="G102" s="101">
        <v>2336</v>
      </c>
      <c r="H102" s="101">
        <v>0</v>
      </c>
      <c r="I102" s="101">
        <v>2336</v>
      </c>
      <c r="J102" s="101">
        <v>-1800</v>
      </c>
      <c r="K102" s="101"/>
      <c r="L102" s="101">
        <f t="shared" si="5"/>
        <v>-1800</v>
      </c>
      <c r="M102" s="101">
        <f t="shared" si="6"/>
        <v>536</v>
      </c>
      <c r="N102" s="101">
        <f t="shared" si="7"/>
        <v>0</v>
      </c>
      <c r="O102" s="101">
        <f t="shared" si="8"/>
        <v>536</v>
      </c>
    </row>
    <row r="103" spans="1:15" ht="12.75" customHeight="1">
      <c r="A103" s="238"/>
      <c r="B103" s="238"/>
      <c r="C103" s="99" t="s">
        <v>267</v>
      </c>
      <c r="D103" s="510" t="s">
        <v>381</v>
      </c>
      <c r="E103" s="493"/>
      <c r="F103" s="501"/>
      <c r="G103" s="101">
        <v>2000</v>
      </c>
      <c r="H103" s="101">
        <v>0</v>
      </c>
      <c r="I103" s="101">
        <v>2000</v>
      </c>
      <c r="J103" s="101"/>
      <c r="K103" s="101"/>
      <c r="L103" s="101">
        <f t="shared" si="5"/>
        <v>0</v>
      </c>
      <c r="M103" s="101">
        <f t="shared" si="6"/>
        <v>2000</v>
      </c>
      <c r="N103" s="101">
        <f t="shared" si="7"/>
        <v>0</v>
      </c>
      <c r="O103" s="101">
        <f t="shared" si="8"/>
        <v>2000</v>
      </c>
    </row>
    <row r="104" spans="1:15" ht="12.75" customHeight="1">
      <c r="A104" s="238"/>
      <c r="B104" s="238"/>
      <c r="C104" s="99" t="s">
        <v>268</v>
      </c>
      <c r="D104" s="510" t="s">
        <v>382</v>
      </c>
      <c r="E104" s="493"/>
      <c r="F104" s="501" t="s">
        <v>395</v>
      </c>
      <c r="G104" s="101">
        <v>1000</v>
      </c>
      <c r="H104" s="101">
        <v>0</v>
      </c>
      <c r="I104" s="101">
        <v>1000</v>
      </c>
      <c r="J104" s="101">
        <v>-1000</v>
      </c>
      <c r="K104" s="101"/>
      <c r="L104" s="101">
        <f t="shared" si="5"/>
        <v>-1000</v>
      </c>
      <c r="M104" s="101">
        <f t="shared" si="6"/>
        <v>0</v>
      </c>
      <c r="N104" s="101">
        <f t="shared" si="7"/>
        <v>0</v>
      </c>
      <c r="O104" s="101">
        <f t="shared" si="8"/>
        <v>0</v>
      </c>
    </row>
    <row r="105" spans="1:15" ht="12.75" customHeight="1">
      <c r="A105" s="238"/>
      <c r="B105" s="238"/>
      <c r="C105" s="99" t="s">
        <v>396</v>
      </c>
      <c r="D105" s="529" t="s">
        <v>397</v>
      </c>
      <c r="E105" s="493"/>
      <c r="F105" s="501" t="s">
        <v>72</v>
      </c>
      <c r="G105" s="101">
        <v>404</v>
      </c>
      <c r="H105" s="101"/>
      <c r="I105" s="101">
        <v>404</v>
      </c>
      <c r="J105" s="101">
        <v>-404</v>
      </c>
      <c r="K105" s="101"/>
      <c r="L105" s="101">
        <f t="shared" si="5"/>
        <v>-404</v>
      </c>
      <c r="M105" s="101">
        <f t="shared" si="6"/>
        <v>0</v>
      </c>
      <c r="N105" s="101"/>
      <c r="O105" s="101">
        <f t="shared" si="8"/>
        <v>0</v>
      </c>
    </row>
    <row r="106" spans="1:15" ht="12.75" customHeight="1">
      <c r="A106" s="238"/>
      <c r="B106" s="238"/>
      <c r="C106" s="138" t="s">
        <v>314</v>
      </c>
      <c r="D106" s="167" t="s">
        <v>226</v>
      </c>
      <c r="E106" s="419"/>
      <c r="F106" s="624"/>
      <c r="G106" s="101">
        <v>0</v>
      </c>
      <c r="H106" s="101">
        <v>0</v>
      </c>
      <c r="I106" s="101">
        <v>0</v>
      </c>
      <c r="J106" s="101"/>
      <c r="K106" s="101"/>
      <c r="L106" s="101">
        <f t="shared" si="5"/>
        <v>0</v>
      </c>
      <c r="M106" s="101">
        <f t="shared" si="6"/>
        <v>0</v>
      </c>
      <c r="N106" s="101">
        <f t="shared" si="7"/>
        <v>0</v>
      </c>
      <c r="O106" s="101">
        <f t="shared" si="8"/>
        <v>0</v>
      </c>
    </row>
    <row r="107" spans="1:15" ht="15" customHeight="1">
      <c r="A107" s="238"/>
      <c r="B107" s="238"/>
      <c r="C107" s="143" t="s">
        <v>334</v>
      </c>
      <c r="D107" s="511" t="s">
        <v>269</v>
      </c>
      <c r="E107" s="419"/>
      <c r="F107" s="624" t="s">
        <v>395</v>
      </c>
      <c r="G107" s="101">
        <v>3000</v>
      </c>
      <c r="H107" s="101">
        <v>0</v>
      </c>
      <c r="I107" s="101">
        <v>3000</v>
      </c>
      <c r="J107" s="101">
        <v>-100</v>
      </c>
      <c r="K107" s="101"/>
      <c r="L107" s="101">
        <f t="shared" si="5"/>
        <v>-100</v>
      </c>
      <c r="M107" s="101">
        <f t="shared" si="6"/>
        <v>2900</v>
      </c>
      <c r="N107" s="101">
        <f t="shared" si="7"/>
        <v>0</v>
      </c>
      <c r="O107" s="101">
        <f t="shared" si="8"/>
        <v>2900</v>
      </c>
    </row>
    <row r="108" spans="1:15" ht="24.75" customHeight="1">
      <c r="A108" s="238"/>
      <c r="B108" s="238"/>
      <c r="C108" s="143" t="s">
        <v>335</v>
      </c>
      <c r="D108" s="480" t="s">
        <v>1121</v>
      </c>
      <c r="E108" s="634"/>
      <c r="F108" s="642"/>
      <c r="G108" s="101">
        <v>1000</v>
      </c>
      <c r="H108" s="101">
        <v>0</v>
      </c>
      <c r="I108" s="101">
        <v>1000</v>
      </c>
      <c r="J108" s="101"/>
      <c r="K108" s="101"/>
      <c r="L108" s="101">
        <f t="shared" si="5"/>
        <v>0</v>
      </c>
      <c r="M108" s="101">
        <f t="shared" si="6"/>
        <v>1000</v>
      </c>
      <c r="N108" s="101">
        <f t="shared" si="7"/>
        <v>0</v>
      </c>
      <c r="O108" s="101">
        <f t="shared" si="8"/>
        <v>1000</v>
      </c>
    </row>
    <row r="109" spans="1:15" ht="15" customHeight="1">
      <c r="A109" s="238"/>
      <c r="B109" s="238"/>
      <c r="C109" s="143" t="s">
        <v>336</v>
      </c>
      <c r="D109" s="480" t="s">
        <v>1122</v>
      </c>
      <c r="E109" s="419"/>
      <c r="F109" s="624"/>
      <c r="G109" s="101">
        <v>0</v>
      </c>
      <c r="H109" s="101">
        <v>0</v>
      </c>
      <c r="I109" s="101">
        <v>0</v>
      </c>
      <c r="J109" s="101"/>
      <c r="K109" s="101"/>
      <c r="L109" s="101">
        <f t="shared" si="5"/>
        <v>0</v>
      </c>
      <c r="M109" s="101">
        <f t="shared" si="6"/>
        <v>0</v>
      </c>
      <c r="N109" s="101">
        <f t="shared" si="7"/>
        <v>0</v>
      </c>
      <c r="O109" s="101">
        <f t="shared" si="8"/>
        <v>0</v>
      </c>
    </row>
    <row r="110" spans="1:15" ht="12.75" customHeight="1">
      <c r="A110" s="238"/>
      <c r="B110" s="238"/>
      <c r="C110" s="136" t="s">
        <v>345</v>
      </c>
      <c r="D110" s="512" t="s">
        <v>346</v>
      </c>
      <c r="E110" s="493"/>
      <c r="F110" s="501"/>
      <c r="G110" s="101">
        <v>0</v>
      </c>
      <c r="H110" s="101">
        <v>0</v>
      </c>
      <c r="I110" s="101">
        <v>0</v>
      </c>
      <c r="J110" s="101"/>
      <c r="K110" s="101"/>
      <c r="L110" s="101">
        <f t="shared" si="5"/>
        <v>0</v>
      </c>
      <c r="M110" s="101">
        <f t="shared" si="6"/>
        <v>0</v>
      </c>
      <c r="N110" s="101">
        <f t="shared" si="7"/>
        <v>0</v>
      </c>
      <c r="O110" s="101">
        <f t="shared" si="8"/>
        <v>0</v>
      </c>
    </row>
    <row r="111" spans="1:15" ht="12.75" customHeight="1">
      <c r="A111" s="238"/>
      <c r="B111" s="238"/>
      <c r="C111" s="135" t="s">
        <v>543</v>
      </c>
      <c r="D111" s="480" t="s">
        <v>1123</v>
      </c>
      <c r="E111" s="493"/>
      <c r="F111" s="501"/>
      <c r="G111" s="101">
        <v>1000</v>
      </c>
      <c r="H111" s="101">
        <v>0</v>
      </c>
      <c r="I111" s="101">
        <v>1000</v>
      </c>
      <c r="J111" s="101"/>
      <c r="K111" s="101"/>
      <c r="L111" s="101">
        <f t="shared" si="5"/>
        <v>0</v>
      </c>
      <c r="M111" s="101">
        <f t="shared" si="6"/>
        <v>1000</v>
      </c>
      <c r="N111" s="101">
        <f t="shared" si="7"/>
        <v>0</v>
      </c>
      <c r="O111" s="101">
        <f t="shared" si="8"/>
        <v>1000</v>
      </c>
    </row>
    <row r="112" spans="1:15" ht="12.75" customHeight="1">
      <c r="A112" s="238"/>
      <c r="B112" s="238"/>
      <c r="C112" s="135" t="s">
        <v>544</v>
      </c>
      <c r="D112" s="480" t="s">
        <v>1124</v>
      </c>
      <c r="E112" s="493"/>
      <c r="F112" s="501"/>
      <c r="G112" s="101">
        <v>300</v>
      </c>
      <c r="H112" s="101">
        <v>0</v>
      </c>
      <c r="I112" s="101">
        <v>300</v>
      </c>
      <c r="J112" s="101"/>
      <c r="K112" s="101"/>
      <c r="L112" s="101">
        <f t="shared" si="5"/>
        <v>0</v>
      </c>
      <c r="M112" s="101">
        <f t="shared" si="6"/>
        <v>300</v>
      </c>
      <c r="N112" s="101">
        <f t="shared" si="7"/>
        <v>0</v>
      </c>
      <c r="O112" s="101">
        <f t="shared" si="8"/>
        <v>300</v>
      </c>
    </row>
    <row r="113" spans="1:15" ht="12.75" customHeight="1">
      <c r="A113" s="238"/>
      <c r="B113" s="238"/>
      <c r="C113" s="135" t="s">
        <v>910</v>
      </c>
      <c r="D113" s="513" t="s">
        <v>1125</v>
      </c>
      <c r="E113" s="493"/>
      <c r="F113" s="501" t="s">
        <v>395</v>
      </c>
      <c r="G113" s="101">
        <v>2000</v>
      </c>
      <c r="H113" s="101">
        <v>0</v>
      </c>
      <c r="I113" s="101">
        <v>2000</v>
      </c>
      <c r="J113" s="101">
        <v>372</v>
      </c>
      <c r="K113" s="101"/>
      <c r="L113" s="101">
        <f t="shared" si="5"/>
        <v>372</v>
      </c>
      <c r="M113" s="101">
        <f t="shared" si="6"/>
        <v>2372</v>
      </c>
      <c r="N113" s="101">
        <f t="shared" si="7"/>
        <v>0</v>
      </c>
      <c r="O113" s="101">
        <f t="shared" si="8"/>
        <v>2372</v>
      </c>
    </row>
    <row r="114" spans="1:15" ht="12.75" customHeight="1">
      <c r="A114" s="238"/>
      <c r="B114" s="238"/>
      <c r="C114" s="138" t="s">
        <v>347</v>
      </c>
      <c r="D114" s="425" t="s">
        <v>348</v>
      </c>
      <c r="E114" s="493"/>
      <c r="F114" s="501"/>
      <c r="G114" s="101">
        <v>0</v>
      </c>
      <c r="H114" s="101">
        <v>0</v>
      </c>
      <c r="I114" s="101">
        <v>0</v>
      </c>
      <c r="J114" s="101"/>
      <c r="K114" s="101"/>
      <c r="L114" s="101">
        <f t="shared" si="5"/>
        <v>0</v>
      </c>
      <c r="M114" s="101">
        <f t="shared" si="6"/>
        <v>0</v>
      </c>
      <c r="N114" s="101">
        <f t="shared" si="7"/>
        <v>0</v>
      </c>
      <c r="O114" s="101">
        <f t="shared" si="8"/>
        <v>0</v>
      </c>
    </row>
    <row r="115" spans="1:15" ht="12.75" customHeight="1">
      <c r="A115" s="238"/>
      <c r="B115" s="238"/>
      <c r="C115" s="99" t="s">
        <v>349</v>
      </c>
      <c r="D115" s="480" t="s">
        <v>1126</v>
      </c>
      <c r="E115" s="493"/>
      <c r="F115" s="501"/>
      <c r="G115" s="101">
        <v>916</v>
      </c>
      <c r="H115" s="101">
        <v>0</v>
      </c>
      <c r="I115" s="101">
        <v>916</v>
      </c>
      <c r="J115" s="101"/>
      <c r="K115" s="101"/>
      <c r="L115" s="101">
        <f t="shared" si="5"/>
        <v>0</v>
      </c>
      <c r="M115" s="101">
        <f t="shared" si="6"/>
        <v>916</v>
      </c>
      <c r="N115" s="101">
        <f t="shared" si="7"/>
        <v>0</v>
      </c>
      <c r="O115" s="101">
        <f t="shared" si="8"/>
        <v>916</v>
      </c>
    </row>
    <row r="116" spans="1:15" ht="12.75" customHeight="1">
      <c r="A116" s="238"/>
      <c r="B116" s="238"/>
      <c r="C116" s="99" t="s">
        <v>350</v>
      </c>
      <c r="D116" s="480" t="s">
        <v>1127</v>
      </c>
      <c r="E116" s="493"/>
      <c r="F116" s="501" t="s">
        <v>395</v>
      </c>
      <c r="G116" s="101">
        <v>4900</v>
      </c>
      <c r="H116" s="101">
        <v>0</v>
      </c>
      <c r="I116" s="101">
        <v>4900</v>
      </c>
      <c r="J116" s="101">
        <v>394</v>
      </c>
      <c r="K116" s="101"/>
      <c r="L116" s="101">
        <f t="shared" si="5"/>
        <v>394</v>
      </c>
      <c r="M116" s="101">
        <f t="shared" si="6"/>
        <v>5294</v>
      </c>
      <c r="N116" s="101">
        <f t="shared" si="7"/>
        <v>0</v>
      </c>
      <c r="O116" s="101">
        <f t="shared" si="8"/>
        <v>5294</v>
      </c>
    </row>
    <row r="117" spans="1:15" ht="12.75" customHeight="1">
      <c r="A117" s="238"/>
      <c r="B117" s="238"/>
      <c r="C117" s="99" t="s">
        <v>351</v>
      </c>
      <c r="D117" s="480" t="s">
        <v>1128</v>
      </c>
      <c r="E117" s="493"/>
      <c r="F117" s="501"/>
      <c r="G117" s="101">
        <v>0</v>
      </c>
      <c r="H117" s="101">
        <v>0</v>
      </c>
      <c r="I117" s="101">
        <v>0</v>
      </c>
      <c r="J117" s="101"/>
      <c r="K117" s="101"/>
      <c r="L117" s="101">
        <f t="shared" si="5"/>
        <v>0</v>
      </c>
      <c r="M117" s="101">
        <f t="shared" si="6"/>
        <v>0</v>
      </c>
      <c r="N117" s="101">
        <f t="shared" si="7"/>
        <v>0</v>
      </c>
      <c r="O117" s="101">
        <f t="shared" si="8"/>
        <v>0</v>
      </c>
    </row>
    <row r="118" spans="1:15" ht="12.75" customHeight="1">
      <c r="A118" s="238"/>
      <c r="B118" s="238"/>
      <c r="C118" s="99" t="s">
        <v>352</v>
      </c>
      <c r="D118" s="514" t="s">
        <v>1129</v>
      </c>
      <c r="E118" s="493"/>
      <c r="F118" s="501"/>
      <c r="G118" s="101">
        <v>796</v>
      </c>
      <c r="H118" s="101">
        <v>0</v>
      </c>
      <c r="I118" s="101">
        <v>796</v>
      </c>
      <c r="J118" s="101"/>
      <c r="K118" s="101"/>
      <c r="L118" s="101">
        <f t="shared" si="5"/>
        <v>0</v>
      </c>
      <c r="M118" s="101">
        <f t="shared" si="6"/>
        <v>796</v>
      </c>
      <c r="N118" s="101">
        <f t="shared" si="7"/>
        <v>0</v>
      </c>
      <c r="O118" s="101">
        <f t="shared" si="8"/>
        <v>796</v>
      </c>
    </row>
    <row r="119" spans="1:15" ht="12.75" customHeight="1">
      <c r="A119" s="238"/>
      <c r="B119" s="238"/>
      <c r="C119" s="99" t="s">
        <v>399</v>
      </c>
      <c r="D119" s="530" t="s">
        <v>400</v>
      </c>
      <c r="E119" s="493"/>
      <c r="F119" s="501"/>
      <c r="G119" s="101">
        <v>432</v>
      </c>
      <c r="H119" s="101"/>
      <c r="I119" s="101">
        <v>432</v>
      </c>
      <c r="J119" s="101"/>
      <c r="K119" s="101"/>
      <c r="L119" s="101">
        <f t="shared" si="5"/>
        <v>0</v>
      </c>
      <c r="M119" s="101">
        <f t="shared" si="6"/>
        <v>432</v>
      </c>
      <c r="N119" s="101">
        <f t="shared" si="7"/>
        <v>0</v>
      </c>
      <c r="O119" s="101">
        <f t="shared" si="8"/>
        <v>432</v>
      </c>
    </row>
    <row r="120" spans="1:15" ht="12.75" customHeight="1">
      <c r="A120" s="238"/>
      <c r="B120" s="238"/>
      <c r="C120" s="99" t="s">
        <v>971</v>
      </c>
      <c r="D120" s="530" t="s">
        <v>678</v>
      </c>
      <c r="E120" s="493"/>
      <c r="F120" s="501" t="s">
        <v>72</v>
      </c>
      <c r="G120" s="101"/>
      <c r="H120" s="101"/>
      <c r="I120" s="101"/>
      <c r="J120" s="101"/>
      <c r="K120" s="101">
        <v>561</v>
      </c>
      <c r="L120" s="101">
        <f t="shared" si="5"/>
        <v>561</v>
      </c>
      <c r="M120" s="101">
        <f t="shared" si="6"/>
        <v>0</v>
      </c>
      <c r="N120" s="101">
        <f t="shared" si="7"/>
        <v>561</v>
      </c>
      <c r="O120" s="101">
        <f t="shared" si="8"/>
        <v>561</v>
      </c>
    </row>
    <row r="121" spans="1:15" ht="12.75" customHeight="1">
      <c r="A121" s="120"/>
      <c r="B121" s="120"/>
      <c r="C121" s="120"/>
      <c r="D121" s="433" t="s">
        <v>290</v>
      </c>
      <c r="E121" s="633"/>
      <c r="F121" s="643"/>
      <c r="G121" s="94">
        <f>SUM(G37:G120)</f>
        <v>303354</v>
      </c>
      <c r="H121" s="94">
        <f aca="true" t="shared" si="9" ref="H121:O121">SUM(H37:H120)</f>
        <v>0</v>
      </c>
      <c r="I121" s="94">
        <f t="shared" si="9"/>
        <v>303354</v>
      </c>
      <c r="J121" s="94">
        <f t="shared" si="9"/>
        <v>6240</v>
      </c>
      <c r="K121" s="94">
        <f t="shared" si="9"/>
        <v>561</v>
      </c>
      <c r="L121" s="94">
        <f t="shared" si="9"/>
        <v>6801</v>
      </c>
      <c r="M121" s="94">
        <f t="shared" si="9"/>
        <v>309594</v>
      </c>
      <c r="N121" s="94">
        <f t="shared" si="9"/>
        <v>561</v>
      </c>
      <c r="O121" s="94">
        <f t="shared" si="9"/>
        <v>310155</v>
      </c>
    </row>
    <row r="122" spans="1:15" ht="12.75" customHeight="1">
      <c r="A122" s="95">
        <v>1</v>
      </c>
      <c r="B122" s="95">
        <v>16</v>
      </c>
      <c r="C122" s="95"/>
      <c r="D122" s="159" t="s">
        <v>1130</v>
      </c>
      <c r="E122" s="634"/>
      <c r="F122" s="642"/>
      <c r="G122" s="101">
        <v>0</v>
      </c>
      <c r="H122" s="101">
        <v>0</v>
      </c>
      <c r="I122" s="101">
        <v>0</v>
      </c>
      <c r="J122" s="96"/>
      <c r="K122" s="96"/>
      <c r="L122" s="101">
        <f t="shared" si="5"/>
        <v>0</v>
      </c>
      <c r="M122" s="101">
        <f t="shared" si="6"/>
        <v>0</v>
      </c>
      <c r="N122" s="101">
        <f t="shared" si="7"/>
        <v>0</v>
      </c>
      <c r="O122" s="101">
        <f t="shared" si="8"/>
        <v>0</v>
      </c>
    </row>
    <row r="123" spans="1:15" ht="12.75" customHeight="1">
      <c r="A123" s="95"/>
      <c r="B123" s="95"/>
      <c r="C123" s="138" t="s">
        <v>313</v>
      </c>
      <c r="D123" s="167" t="s">
        <v>318</v>
      </c>
      <c r="E123" s="634"/>
      <c r="F123" s="642"/>
      <c r="G123" s="101">
        <v>0</v>
      </c>
      <c r="H123" s="101"/>
      <c r="I123" s="101">
        <v>0</v>
      </c>
      <c r="J123" s="96"/>
      <c r="K123" s="96"/>
      <c r="L123" s="101">
        <f t="shared" si="5"/>
        <v>0</v>
      </c>
      <c r="M123" s="101">
        <f t="shared" si="6"/>
        <v>0</v>
      </c>
      <c r="N123" s="101"/>
      <c r="O123" s="101">
        <f t="shared" si="8"/>
        <v>0</v>
      </c>
    </row>
    <row r="124" spans="1:15" ht="12.75" customHeight="1">
      <c r="A124" s="95"/>
      <c r="B124" s="95"/>
      <c r="C124" s="95" t="s">
        <v>319</v>
      </c>
      <c r="D124" s="484" t="s">
        <v>234</v>
      </c>
      <c r="E124" s="493"/>
      <c r="F124" s="501"/>
      <c r="G124" s="101">
        <v>22056</v>
      </c>
      <c r="H124" s="101"/>
      <c r="I124" s="101">
        <v>22056</v>
      </c>
      <c r="J124" s="101"/>
      <c r="K124" s="101"/>
      <c r="L124" s="101">
        <f t="shared" si="5"/>
        <v>0</v>
      </c>
      <c r="M124" s="101">
        <f t="shared" si="6"/>
        <v>22056</v>
      </c>
      <c r="N124" s="101"/>
      <c r="O124" s="101">
        <f t="shared" si="8"/>
        <v>22056</v>
      </c>
    </row>
    <row r="125" spans="1:15" ht="12.75" customHeight="1">
      <c r="A125" s="95"/>
      <c r="B125" s="95"/>
      <c r="C125" s="95" t="s">
        <v>320</v>
      </c>
      <c r="D125" s="499" t="s">
        <v>1131</v>
      </c>
      <c r="E125" s="493"/>
      <c r="F125" s="501" t="s">
        <v>395</v>
      </c>
      <c r="G125" s="101">
        <v>5000</v>
      </c>
      <c r="H125" s="101"/>
      <c r="I125" s="101">
        <v>5000</v>
      </c>
      <c r="J125" s="101">
        <v>-1399</v>
      </c>
      <c r="K125" s="101"/>
      <c r="L125" s="101">
        <f t="shared" si="5"/>
        <v>-1399</v>
      </c>
      <c r="M125" s="101">
        <f t="shared" si="6"/>
        <v>3601</v>
      </c>
      <c r="N125" s="101"/>
      <c r="O125" s="101">
        <f t="shared" si="8"/>
        <v>3601</v>
      </c>
    </row>
    <row r="126" spans="1:15" ht="12.75" customHeight="1">
      <c r="A126" s="95"/>
      <c r="B126" s="95"/>
      <c r="C126" s="138" t="s">
        <v>314</v>
      </c>
      <c r="D126" s="425" t="s">
        <v>226</v>
      </c>
      <c r="E126" s="634"/>
      <c r="F126" s="642"/>
      <c r="G126" s="101">
        <v>0</v>
      </c>
      <c r="H126" s="101"/>
      <c r="I126" s="101">
        <v>0</v>
      </c>
      <c r="J126" s="96"/>
      <c r="K126" s="96"/>
      <c r="L126" s="101">
        <f t="shared" si="5"/>
        <v>0</v>
      </c>
      <c r="M126" s="101">
        <f t="shared" si="6"/>
        <v>0</v>
      </c>
      <c r="N126" s="101"/>
      <c r="O126" s="101">
        <f t="shared" si="8"/>
        <v>0</v>
      </c>
    </row>
    <row r="127" spans="1:15" ht="12.75" customHeight="1">
      <c r="A127" s="95"/>
      <c r="B127" s="95"/>
      <c r="C127" s="95" t="s">
        <v>1132</v>
      </c>
      <c r="D127" s="480" t="s">
        <v>1133</v>
      </c>
      <c r="E127" s="634"/>
      <c r="F127" s="642"/>
      <c r="G127" s="101">
        <v>2000</v>
      </c>
      <c r="H127" s="101"/>
      <c r="I127" s="101">
        <v>2000</v>
      </c>
      <c r="J127" s="96"/>
      <c r="K127" s="96"/>
      <c r="L127" s="101">
        <f t="shared" si="5"/>
        <v>0</v>
      </c>
      <c r="M127" s="101">
        <f t="shared" si="6"/>
        <v>2000</v>
      </c>
      <c r="N127" s="101"/>
      <c r="O127" s="101">
        <f t="shared" si="8"/>
        <v>2000</v>
      </c>
    </row>
    <row r="128" spans="1:15" ht="12.75" customHeight="1">
      <c r="A128" s="95"/>
      <c r="B128" s="95"/>
      <c r="C128" s="138" t="s">
        <v>315</v>
      </c>
      <c r="D128" s="167" t="s">
        <v>227</v>
      </c>
      <c r="E128" s="634"/>
      <c r="F128" s="642"/>
      <c r="G128" s="101">
        <v>0</v>
      </c>
      <c r="H128" s="101"/>
      <c r="I128" s="101">
        <v>0</v>
      </c>
      <c r="J128" s="96"/>
      <c r="K128" s="96"/>
      <c r="L128" s="101">
        <f t="shared" si="5"/>
        <v>0</v>
      </c>
      <c r="M128" s="101">
        <f t="shared" si="6"/>
        <v>0</v>
      </c>
      <c r="N128" s="101"/>
      <c r="O128" s="101">
        <f t="shared" si="8"/>
        <v>0</v>
      </c>
    </row>
    <row r="129" spans="1:15" ht="12.75" customHeight="1">
      <c r="A129" s="95"/>
      <c r="B129" s="95"/>
      <c r="C129" s="138" t="s">
        <v>401</v>
      </c>
      <c r="D129" s="256" t="s">
        <v>1002</v>
      </c>
      <c r="E129" s="634"/>
      <c r="F129" s="642"/>
      <c r="G129" s="101">
        <v>4984</v>
      </c>
      <c r="H129" s="101"/>
      <c r="I129" s="101">
        <v>4984</v>
      </c>
      <c r="J129" s="96"/>
      <c r="K129" s="96"/>
      <c r="L129" s="101">
        <f t="shared" si="5"/>
        <v>0</v>
      </c>
      <c r="M129" s="101">
        <f t="shared" si="6"/>
        <v>4984</v>
      </c>
      <c r="N129" s="101"/>
      <c r="O129" s="101">
        <f t="shared" si="8"/>
        <v>4984</v>
      </c>
    </row>
    <row r="130" spans="1:15" ht="12.75" customHeight="1">
      <c r="A130" s="95"/>
      <c r="B130" s="95"/>
      <c r="C130" s="138"/>
      <c r="D130" s="158" t="s">
        <v>856</v>
      </c>
      <c r="E130" s="634"/>
      <c r="F130" s="642"/>
      <c r="G130" s="101"/>
      <c r="H130" s="101"/>
      <c r="I130" s="101"/>
      <c r="J130" s="96"/>
      <c r="K130" s="96"/>
      <c r="L130" s="101"/>
      <c r="M130" s="101"/>
      <c r="N130" s="101"/>
      <c r="O130" s="101"/>
    </row>
    <row r="131" spans="1:15" ht="12.75" customHeight="1">
      <c r="A131" s="95"/>
      <c r="B131" s="95"/>
      <c r="C131" s="95" t="s">
        <v>1134</v>
      </c>
      <c r="D131" s="515" t="s">
        <v>78</v>
      </c>
      <c r="E131" s="634"/>
      <c r="F131" s="642"/>
      <c r="G131" s="101">
        <v>0</v>
      </c>
      <c r="H131" s="101"/>
      <c r="I131" s="101">
        <v>0</v>
      </c>
      <c r="J131" s="96"/>
      <c r="K131" s="96"/>
      <c r="L131" s="101">
        <f t="shared" si="5"/>
        <v>0</v>
      </c>
      <c r="M131" s="101">
        <f t="shared" si="6"/>
        <v>0</v>
      </c>
      <c r="N131" s="101"/>
      <c r="O131" s="101">
        <f t="shared" si="8"/>
        <v>0</v>
      </c>
    </row>
    <row r="132" spans="1:15" ht="12.75" customHeight="1">
      <c r="A132" s="95"/>
      <c r="B132" s="95"/>
      <c r="C132" s="531" t="s">
        <v>347</v>
      </c>
      <c r="D132" s="425" t="s">
        <v>348</v>
      </c>
      <c r="E132" s="634"/>
      <c r="F132" s="642"/>
      <c r="G132" s="101"/>
      <c r="H132" s="101"/>
      <c r="I132" s="101"/>
      <c r="J132" s="96"/>
      <c r="K132" s="96"/>
      <c r="L132" s="101"/>
      <c r="M132" s="101"/>
      <c r="N132" s="101"/>
      <c r="O132" s="101"/>
    </row>
    <row r="133" spans="1:15" ht="12.75" customHeight="1">
      <c r="A133" s="95"/>
      <c r="B133" s="95"/>
      <c r="C133" s="99" t="s">
        <v>402</v>
      </c>
      <c r="D133" s="532" t="s">
        <v>403</v>
      </c>
      <c r="E133" s="634"/>
      <c r="F133" s="642"/>
      <c r="G133" s="101">
        <v>15153</v>
      </c>
      <c r="H133" s="101"/>
      <c r="I133" s="101">
        <v>15153</v>
      </c>
      <c r="J133" s="96"/>
      <c r="K133" s="96"/>
      <c r="L133" s="101">
        <f t="shared" si="5"/>
        <v>0</v>
      </c>
      <c r="M133" s="101">
        <f t="shared" si="6"/>
        <v>15153</v>
      </c>
      <c r="N133" s="101"/>
      <c r="O133" s="101">
        <f t="shared" si="8"/>
        <v>15153</v>
      </c>
    </row>
    <row r="134" spans="1:15" ht="12.75" customHeight="1">
      <c r="A134" s="95"/>
      <c r="B134" s="95"/>
      <c r="C134" s="99"/>
      <c r="D134" s="532" t="s">
        <v>856</v>
      </c>
      <c r="E134" s="634"/>
      <c r="F134" s="642"/>
      <c r="G134" s="101"/>
      <c r="H134" s="101"/>
      <c r="I134" s="101"/>
      <c r="J134" s="96"/>
      <c r="K134" s="96"/>
      <c r="L134" s="101"/>
      <c r="M134" s="101"/>
      <c r="N134" s="101"/>
      <c r="O134" s="101"/>
    </row>
    <row r="135" spans="1:15" ht="12.75" customHeight="1">
      <c r="A135" s="95"/>
      <c r="B135" s="95"/>
      <c r="C135" s="99" t="s">
        <v>404</v>
      </c>
      <c r="D135" s="239" t="s">
        <v>405</v>
      </c>
      <c r="E135" s="634"/>
      <c r="F135" s="642"/>
      <c r="G135" s="101">
        <v>3362</v>
      </c>
      <c r="H135" s="101">
        <v>1911</v>
      </c>
      <c r="I135" s="101">
        <v>5273</v>
      </c>
      <c r="J135" s="96">
        <v>90</v>
      </c>
      <c r="K135" s="96"/>
      <c r="L135" s="101">
        <f t="shared" si="5"/>
        <v>90</v>
      </c>
      <c r="M135" s="101">
        <f t="shared" si="6"/>
        <v>3452</v>
      </c>
      <c r="N135" s="101">
        <f t="shared" si="7"/>
        <v>1911</v>
      </c>
      <c r="O135" s="101">
        <f t="shared" si="8"/>
        <v>5363</v>
      </c>
    </row>
    <row r="136" spans="1:15" ht="12.75" customHeight="1">
      <c r="A136" s="120"/>
      <c r="B136" s="120"/>
      <c r="C136" s="322"/>
      <c r="D136" s="516" t="s">
        <v>3</v>
      </c>
      <c r="E136" s="635"/>
      <c r="F136" s="644"/>
      <c r="G136" s="517">
        <f>SUM(G123:G135)</f>
        <v>52555</v>
      </c>
      <c r="H136" s="517">
        <f aca="true" t="shared" si="10" ref="H136:O136">SUM(H123:H135)</f>
        <v>1911</v>
      </c>
      <c r="I136" s="517">
        <f t="shared" si="10"/>
        <v>54466</v>
      </c>
      <c r="J136" s="517">
        <f t="shared" si="10"/>
        <v>-1309</v>
      </c>
      <c r="K136" s="517">
        <f t="shared" si="10"/>
        <v>0</v>
      </c>
      <c r="L136" s="517">
        <f t="shared" si="10"/>
        <v>-1309</v>
      </c>
      <c r="M136" s="517">
        <f t="shared" si="10"/>
        <v>51246</v>
      </c>
      <c r="N136" s="517">
        <f t="shared" si="10"/>
        <v>1911</v>
      </c>
      <c r="O136" s="517">
        <f t="shared" si="10"/>
        <v>53157</v>
      </c>
    </row>
    <row r="137" spans="1:15" ht="12.75" customHeight="1">
      <c r="A137" s="238">
        <v>1</v>
      </c>
      <c r="B137" s="238">
        <v>17</v>
      </c>
      <c r="C137" s="233"/>
      <c r="D137" s="512" t="s">
        <v>367</v>
      </c>
      <c r="E137" s="636"/>
      <c r="F137" s="645"/>
      <c r="G137" s="101">
        <v>0</v>
      </c>
      <c r="H137" s="101">
        <v>0</v>
      </c>
      <c r="I137" s="101">
        <v>0</v>
      </c>
      <c r="J137" s="518"/>
      <c r="K137" s="518"/>
      <c r="L137" s="101">
        <f t="shared" si="5"/>
        <v>0</v>
      </c>
      <c r="M137" s="101">
        <f t="shared" si="6"/>
        <v>0</v>
      </c>
      <c r="N137" s="101">
        <f t="shared" si="7"/>
        <v>0</v>
      </c>
      <c r="O137" s="101">
        <f t="shared" si="8"/>
        <v>0</v>
      </c>
    </row>
    <row r="138" spans="1:15" ht="24.75" customHeight="1">
      <c r="A138" s="238"/>
      <c r="B138" s="238"/>
      <c r="C138" s="230" t="s">
        <v>224</v>
      </c>
      <c r="D138" s="179" t="s">
        <v>217</v>
      </c>
      <c r="E138" s="637"/>
      <c r="F138" s="645"/>
      <c r="G138" s="101">
        <v>27000</v>
      </c>
      <c r="H138" s="101">
        <v>0</v>
      </c>
      <c r="I138" s="101">
        <v>27000</v>
      </c>
      <c r="J138" s="519"/>
      <c r="K138" s="519"/>
      <c r="L138" s="101">
        <f t="shared" si="5"/>
        <v>0</v>
      </c>
      <c r="M138" s="101">
        <f t="shared" si="6"/>
        <v>27000</v>
      </c>
      <c r="N138" s="101">
        <f t="shared" si="7"/>
        <v>0</v>
      </c>
      <c r="O138" s="101">
        <f t="shared" si="8"/>
        <v>27000</v>
      </c>
    </row>
    <row r="139" spans="1:15" ht="36" customHeight="1">
      <c r="A139" s="238"/>
      <c r="B139" s="238"/>
      <c r="C139" s="230" t="s">
        <v>309</v>
      </c>
      <c r="D139" s="179" t="s">
        <v>219</v>
      </c>
      <c r="E139" s="637"/>
      <c r="F139" s="645"/>
      <c r="G139" s="101">
        <v>0</v>
      </c>
      <c r="H139" s="101">
        <v>53133</v>
      </c>
      <c r="I139" s="101">
        <v>53133</v>
      </c>
      <c r="J139" s="519"/>
      <c r="K139" s="519"/>
      <c r="L139" s="101">
        <f t="shared" si="5"/>
        <v>0</v>
      </c>
      <c r="M139" s="101">
        <f t="shared" si="6"/>
        <v>0</v>
      </c>
      <c r="N139" s="101">
        <f t="shared" si="7"/>
        <v>53133</v>
      </c>
      <c r="O139" s="101">
        <f t="shared" si="8"/>
        <v>53133</v>
      </c>
    </row>
    <row r="140" spans="1:15" ht="15" customHeight="1">
      <c r="A140" s="238"/>
      <c r="B140" s="238"/>
      <c r="C140" s="230" t="s">
        <v>311</v>
      </c>
      <c r="D140" s="179" t="s">
        <v>406</v>
      </c>
      <c r="E140" s="637"/>
      <c r="F140" s="645"/>
      <c r="G140" s="101">
        <v>3635</v>
      </c>
      <c r="H140" s="101">
        <v>0</v>
      </c>
      <c r="I140" s="101">
        <v>3635</v>
      </c>
      <c r="J140" s="519"/>
      <c r="K140" s="519"/>
      <c r="L140" s="101">
        <f t="shared" si="5"/>
        <v>0</v>
      </c>
      <c r="M140" s="101">
        <f t="shared" si="6"/>
        <v>3635</v>
      </c>
      <c r="N140" s="101">
        <f t="shared" si="7"/>
        <v>0</v>
      </c>
      <c r="O140" s="101">
        <f t="shared" si="8"/>
        <v>3635</v>
      </c>
    </row>
    <row r="141" spans="1:15" ht="15" customHeight="1">
      <c r="A141" s="238"/>
      <c r="B141" s="238"/>
      <c r="C141" s="230" t="s">
        <v>313</v>
      </c>
      <c r="D141" s="179" t="s">
        <v>601</v>
      </c>
      <c r="E141" s="637"/>
      <c r="F141" s="645" t="s">
        <v>72</v>
      </c>
      <c r="G141" s="101"/>
      <c r="H141" s="101">
        <v>15000</v>
      </c>
      <c r="I141" s="101">
        <v>15000</v>
      </c>
      <c r="J141" s="519"/>
      <c r="K141" s="519">
        <v>10000</v>
      </c>
      <c r="L141" s="101">
        <f t="shared" si="5"/>
        <v>10000</v>
      </c>
      <c r="M141" s="101"/>
      <c r="N141" s="101">
        <f t="shared" si="7"/>
        <v>25000</v>
      </c>
      <c r="O141" s="101">
        <f t="shared" si="8"/>
        <v>25000</v>
      </c>
    </row>
    <row r="142" spans="1:15" ht="24.75" customHeight="1">
      <c r="A142" s="238"/>
      <c r="B142" s="238"/>
      <c r="C142" s="230" t="s">
        <v>314</v>
      </c>
      <c r="D142" s="179" t="s">
        <v>679</v>
      </c>
      <c r="E142" s="637"/>
      <c r="F142" s="645" t="s">
        <v>72</v>
      </c>
      <c r="G142" s="101"/>
      <c r="H142" s="101"/>
      <c r="I142" s="101"/>
      <c r="J142" s="519"/>
      <c r="K142" s="519">
        <v>2413</v>
      </c>
      <c r="L142" s="101">
        <f t="shared" si="5"/>
        <v>2413</v>
      </c>
      <c r="M142" s="101"/>
      <c r="N142" s="101">
        <f t="shared" si="7"/>
        <v>2413</v>
      </c>
      <c r="O142" s="101">
        <f t="shared" si="8"/>
        <v>2413</v>
      </c>
    </row>
    <row r="143" spans="1:15" ht="15" customHeight="1">
      <c r="A143" s="238"/>
      <c r="B143" s="238"/>
      <c r="C143" s="230" t="s">
        <v>315</v>
      </c>
      <c r="D143" s="732" t="s">
        <v>1164</v>
      </c>
      <c r="E143" s="637"/>
      <c r="F143" s="645" t="s">
        <v>72</v>
      </c>
      <c r="G143" s="101"/>
      <c r="H143" s="101"/>
      <c r="I143" s="101"/>
      <c r="J143" s="519">
        <v>5292</v>
      </c>
      <c r="K143" s="519"/>
      <c r="L143" s="101">
        <f t="shared" si="5"/>
        <v>5292</v>
      </c>
      <c r="M143" s="101">
        <f t="shared" si="6"/>
        <v>5292</v>
      </c>
      <c r="N143" s="101"/>
      <c r="O143" s="101">
        <f t="shared" si="8"/>
        <v>5292</v>
      </c>
    </row>
    <row r="144" spans="1:15" ht="12.75" customHeight="1">
      <c r="A144" s="120"/>
      <c r="B144" s="120"/>
      <c r="C144" s="322"/>
      <c r="D144" s="516" t="s">
        <v>1152</v>
      </c>
      <c r="E144" s="635"/>
      <c r="F144" s="644"/>
      <c r="G144" s="517">
        <f>SUM(G138:G143)</f>
        <v>30635</v>
      </c>
      <c r="H144" s="517">
        <f aca="true" t="shared" si="11" ref="H144:O144">SUM(H138:H143)</f>
        <v>68133</v>
      </c>
      <c r="I144" s="517">
        <f t="shared" si="11"/>
        <v>98768</v>
      </c>
      <c r="J144" s="517">
        <f t="shared" si="11"/>
        <v>5292</v>
      </c>
      <c r="K144" s="517">
        <f t="shared" si="11"/>
        <v>12413</v>
      </c>
      <c r="L144" s="517">
        <f t="shared" si="11"/>
        <v>17705</v>
      </c>
      <c r="M144" s="517">
        <f t="shared" si="11"/>
        <v>35927</v>
      </c>
      <c r="N144" s="517">
        <f t="shared" si="11"/>
        <v>80546</v>
      </c>
      <c r="O144" s="517">
        <f t="shared" si="11"/>
        <v>116473</v>
      </c>
    </row>
    <row r="145" spans="1:15" ht="12.75" customHeight="1">
      <c r="A145" s="238">
        <v>1</v>
      </c>
      <c r="B145" s="238">
        <v>19</v>
      </c>
      <c r="C145" s="233"/>
      <c r="D145" s="520" t="s">
        <v>368</v>
      </c>
      <c r="E145" s="636"/>
      <c r="F145" s="645"/>
      <c r="G145" s="101">
        <v>0</v>
      </c>
      <c r="H145" s="101">
        <v>0</v>
      </c>
      <c r="I145" s="101">
        <v>0</v>
      </c>
      <c r="J145" s="518"/>
      <c r="K145" s="518"/>
      <c r="L145" s="101">
        <f t="shared" si="5"/>
        <v>0</v>
      </c>
      <c r="M145" s="101">
        <f t="shared" si="6"/>
        <v>0</v>
      </c>
      <c r="N145" s="101">
        <f t="shared" si="7"/>
        <v>0</v>
      </c>
      <c r="O145" s="101">
        <f t="shared" si="8"/>
        <v>0</v>
      </c>
    </row>
    <row r="146" spans="1:15" ht="12.75" customHeight="1">
      <c r="A146" s="238"/>
      <c r="B146" s="238"/>
      <c r="C146" s="233" t="s">
        <v>224</v>
      </c>
      <c r="D146" s="245" t="s">
        <v>1135</v>
      </c>
      <c r="E146" s="636"/>
      <c r="F146" s="645"/>
      <c r="G146" s="101">
        <v>0</v>
      </c>
      <c r="H146" s="101">
        <v>6000</v>
      </c>
      <c r="I146" s="101">
        <v>6000</v>
      </c>
      <c r="J146" s="521"/>
      <c r="K146" s="521"/>
      <c r="L146" s="101">
        <f t="shared" si="5"/>
        <v>0</v>
      </c>
      <c r="M146" s="101">
        <f t="shared" si="6"/>
        <v>0</v>
      </c>
      <c r="N146" s="101">
        <f t="shared" si="7"/>
        <v>6000</v>
      </c>
      <c r="O146" s="101">
        <f t="shared" si="8"/>
        <v>6000</v>
      </c>
    </row>
    <row r="147" spans="1:15" ht="12.75" customHeight="1">
      <c r="A147" s="238"/>
      <c r="B147" s="238"/>
      <c r="C147" s="233" t="s">
        <v>309</v>
      </c>
      <c r="D147" s="245" t="s">
        <v>1136</v>
      </c>
      <c r="E147" s="636"/>
      <c r="F147" s="645"/>
      <c r="G147" s="101">
        <v>0</v>
      </c>
      <c r="H147" s="101">
        <v>2000</v>
      </c>
      <c r="I147" s="101">
        <v>2000</v>
      </c>
      <c r="J147" s="521"/>
      <c r="K147" s="521"/>
      <c r="L147" s="101">
        <f t="shared" si="5"/>
        <v>0</v>
      </c>
      <c r="M147" s="101">
        <f t="shared" si="6"/>
        <v>0</v>
      </c>
      <c r="N147" s="101">
        <f t="shared" si="7"/>
        <v>2000</v>
      </c>
      <c r="O147" s="101">
        <f t="shared" si="8"/>
        <v>2000</v>
      </c>
    </row>
    <row r="148" spans="1:15" ht="12.75" customHeight="1">
      <c r="A148" s="238"/>
      <c r="B148" s="238"/>
      <c r="C148" s="233" t="s">
        <v>311</v>
      </c>
      <c r="D148" s="245" t="s">
        <v>680</v>
      </c>
      <c r="E148" s="636"/>
      <c r="F148" s="645" t="s">
        <v>72</v>
      </c>
      <c r="G148" s="101"/>
      <c r="H148" s="101"/>
      <c r="I148" s="101"/>
      <c r="J148" s="521"/>
      <c r="K148" s="521">
        <v>1000</v>
      </c>
      <c r="L148" s="101">
        <f t="shared" si="5"/>
        <v>1000</v>
      </c>
      <c r="M148" s="101"/>
      <c r="N148" s="101">
        <f t="shared" si="7"/>
        <v>1000</v>
      </c>
      <c r="O148" s="101">
        <f t="shared" si="8"/>
        <v>1000</v>
      </c>
    </row>
    <row r="149" spans="1:15" ht="12.75" customHeight="1">
      <c r="A149" s="120"/>
      <c r="B149" s="120"/>
      <c r="C149" s="322"/>
      <c r="D149" s="516" t="s">
        <v>369</v>
      </c>
      <c r="E149" s="635"/>
      <c r="F149" s="644"/>
      <c r="G149" s="517">
        <f>SUM(G146:G148)</f>
        <v>0</v>
      </c>
      <c r="H149" s="517">
        <f aca="true" t="shared" si="12" ref="H149:O149">SUM(H146:H148)</f>
        <v>8000</v>
      </c>
      <c r="I149" s="517">
        <f t="shared" si="12"/>
        <v>8000</v>
      </c>
      <c r="J149" s="517">
        <f t="shared" si="12"/>
        <v>0</v>
      </c>
      <c r="K149" s="517">
        <f t="shared" si="12"/>
        <v>1000</v>
      </c>
      <c r="L149" s="517">
        <f t="shared" si="12"/>
        <v>1000</v>
      </c>
      <c r="M149" s="517">
        <f t="shared" si="12"/>
        <v>0</v>
      </c>
      <c r="N149" s="517">
        <f t="shared" si="12"/>
        <v>9000</v>
      </c>
      <c r="O149" s="517">
        <f t="shared" si="12"/>
        <v>9000</v>
      </c>
    </row>
    <row r="150" spans="1:15" ht="12.75" customHeight="1">
      <c r="A150" s="90">
        <v>1</v>
      </c>
      <c r="B150" s="90">
        <v>30</v>
      </c>
      <c r="C150" s="90"/>
      <c r="D150" s="246" t="s">
        <v>1157</v>
      </c>
      <c r="E150" s="638"/>
      <c r="F150" s="646"/>
      <c r="G150" s="101">
        <v>0</v>
      </c>
      <c r="H150" s="101">
        <v>0</v>
      </c>
      <c r="I150" s="101">
        <v>0</v>
      </c>
      <c r="J150" s="91"/>
      <c r="K150" s="91"/>
      <c r="L150" s="101">
        <f t="shared" si="5"/>
        <v>0</v>
      </c>
      <c r="M150" s="101">
        <f t="shared" si="6"/>
        <v>0</v>
      </c>
      <c r="N150" s="101">
        <f t="shared" si="7"/>
        <v>0</v>
      </c>
      <c r="O150" s="101">
        <f t="shared" si="8"/>
        <v>0</v>
      </c>
    </row>
    <row r="151" spans="1:15" ht="12.75" customHeight="1">
      <c r="A151" s="90"/>
      <c r="B151" s="90"/>
      <c r="C151" s="90" t="s">
        <v>224</v>
      </c>
      <c r="D151" s="157" t="s">
        <v>270</v>
      </c>
      <c r="E151" s="639"/>
      <c r="F151" s="646" t="s">
        <v>450</v>
      </c>
      <c r="G151" s="101">
        <v>9138</v>
      </c>
      <c r="H151" s="101">
        <v>0</v>
      </c>
      <c r="I151" s="101">
        <v>9138</v>
      </c>
      <c r="J151" s="91">
        <v>-8272</v>
      </c>
      <c r="K151" s="91"/>
      <c r="L151" s="101">
        <f t="shared" si="5"/>
        <v>-8272</v>
      </c>
      <c r="M151" s="101">
        <f t="shared" si="6"/>
        <v>866</v>
      </c>
      <c r="N151" s="101">
        <f t="shared" si="7"/>
        <v>0</v>
      </c>
      <c r="O151" s="101">
        <f t="shared" si="8"/>
        <v>866</v>
      </c>
    </row>
    <row r="152" spans="1:15" ht="12.75" customHeight="1">
      <c r="A152" s="90"/>
      <c r="B152" s="90"/>
      <c r="C152" s="90" t="s">
        <v>309</v>
      </c>
      <c r="D152" s="157" t="s">
        <v>1137</v>
      </c>
      <c r="E152" s="639"/>
      <c r="F152" s="646"/>
      <c r="G152" s="101">
        <v>8190</v>
      </c>
      <c r="H152" s="101">
        <v>0</v>
      </c>
      <c r="I152" s="101">
        <v>8190</v>
      </c>
      <c r="J152" s="91"/>
      <c r="K152" s="91"/>
      <c r="L152" s="101">
        <f t="shared" si="5"/>
        <v>0</v>
      </c>
      <c r="M152" s="101">
        <f t="shared" si="6"/>
        <v>8190</v>
      </c>
      <c r="N152" s="101">
        <f t="shared" si="7"/>
        <v>0</v>
      </c>
      <c r="O152" s="101">
        <f t="shared" si="8"/>
        <v>8190</v>
      </c>
    </row>
    <row r="153" spans="1:15" ht="12.75" customHeight="1">
      <c r="A153" s="90"/>
      <c r="B153" s="90"/>
      <c r="C153" s="90" t="s">
        <v>311</v>
      </c>
      <c r="D153" s="157" t="s">
        <v>1139</v>
      </c>
      <c r="E153" s="639"/>
      <c r="F153" s="646"/>
      <c r="G153" s="101">
        <v>0</v>
      </c>
      <c r="H153" s="101">
        <v>0</v>
      </c>
      <c r="I153" s="101">
        <v>0</v>
      </c>
      <c r="J153" s="91"/>
      <c r="K153" s="91"/>
      <c r="L153" s="101">
        <f t="shared" si="5"/>
        <v>0</v>
      </c>
      <c r="M153" s="101">
        <f t="shared" si="6"/>
        <v>0</v>
      </c>
      <c r="N153" s="101">
        <f t="shared" si="7"/>
        <v>0</v>
      </c>
      <c r="O153" s="101">
        <f t="shared" si="8"/>
        <v>0</v>
      </c>
    </row>
    <row r="154" spans="1:15" ht="12.75" customHeight="1">
      <c r="A154" s="98"/>
      <c r="B154" s="98"/>
      <c r="C154" s="98"/>
      <c r="D154" s="174" t="s">
        <v>1158</v>
      </c>
      <c r="E154" s="640"/>
      <c r="F154" s="647"/>
      <c r="G154" s="522">
        <f>SUM(G151:G153)</f>
        <v>17328</v>
      </c>
      <c r="H154" s="522">
        <f aca="true" t="shared" si="13" ref="H154:O154">SUM(H151:H153)</f>
        <v>0</v>
      </c>
      <c r="I154" s="522">
        <f t="shared" si="13"/>
        <v>17328</v>
      </c>
      <c r="J154" s="522">
        <f t="shared" si="13"/>
        <v>-8272</v>
      </c>
      <c r="K154" s="522">
        <f t="shared" si="13"/>
        <v>0</v>
      </c>
      <c r="L154" s="522">
        <f t="shared" si="13"/>
        <v>-8272</v>
      </c>
      <c r="M154" s="522">
        <f t="shared" si="13"/>
        <v>9056</v>
      </c>
      <c r="N154" s="522">
        <f t="shared" si="13"/>
        <v>0</v>
      </c>
      <c r="O154" s="522">
        <f t="shared" si="13"/>
        <v>9056</v>
      </c>
    </row>
    <row r="155" spans="1:15" ht="12.75" customHeight="1">
      <c r="A155" s="98"/>
      <c r="B155" s="98"/>
      <c r="C155" s="98"/>
      <c r="D155" s="469" t="s">
        <v>1063</v>
      </c>
      <c r="E155" s="640"/>
      <c r="F155" s="647"/>
      <c r="G155" s="522">
        <f aca="true" t="shared" si="14" ref="G155:O155">SUM(G35+G121+G136+G144+G149+G154)</f>
        <v>543294</v>
      </c>
      <c r="H155" s="522">
        <f t="shared" si="14"/>
        <v>87572</v>
      </c>
      <c r="I155" s="522">
        <f t="shared" si="14"/>
        <v>630866</v>
      </c>
      <c r="J155" s="522">
        <f t="shared" si="14"/>
        <v>9133</v>
      </c>
      <c r="K155" s="522">
        <f t="shared" si="14"/>
        <v>15639</v>
      </c>
      <c r="L155" s="522">
        <f t="shared" si="14"/>
        <v>24772</v>
      </c>
      <c r="M155" s="522">
        <f t="shared" si="14"/>
        <v>552427</v>
      </c>
      <c r="N155" s="522">
        <f t="shared" si="14"/>
        <v>103211</v>
      </c>
      <c r="O155" s="522">
        <f t="shared" si="14"/>
        <v>655638</v>
      </c>
    </row>
    <row r="156" spans="1:15" ht="12.75" customHeight="1">
      <c r="A156" s="523">
        <v>2</v>
      </c>
      <c r="B156" s="97"/>
      <c r="C156" s="97"/>
      <c r="D156" s="363" t="s">
        <v>53</v>
      </c>
      <c r="E156" s="641"/>
      <c r="F156" s="648"/>
      <c r="G156" s="101">
        <v>87229</v>
      </c>
      <c r="H156" s="101">
        <v>0</v>
      </c>
      <c r="I156" s="101">
        <v>87229</v>
      </c>
      <c r="J156" s="564">
        <f>'táj.2.'!J32</f>
        <v>7633</v>
      </c>
      <c r="K156" s="564"/>
      <c r="L156" s="101">
        <f t="shared" si="5"/>
        <v>7633</v>
      </c>
      <c r="M156" s="101">
        <f t="shared" si="6"/>
        <v>94862</v>
      </c>
      <c r="N156" s="101">
        <f t="shared" si="7"/>
        <v>0</v>
      </c>
      <c r="O156" s="101">
        <f t="shared" si="8"/>
        <v>94862</v>
      </c>
    </row>
    <row r="157" spans="1:15" ht="12.75" customHeight="1">
      <c r="A157" s="93"/>
      <c r="B157" s="93"/>
      <c r="C157" s="93"/>
      <c r="D157" s="174" t="s">
        <v>1160</v>
      </c>
      <c r="E157" s="640"/>
      <c r="F157" s="647"/>
      <c r="G157" s="522">
        <f>SUM(G155+G156)</f>
        <v>630523</v>
      </c>
      <c r="H157" s="522">
        <f aca="true" t="shared" si="15" ref="H157:O157">SUM(H155+H156)</f>
        <v>87572</v>
      </c>
      <c r="I157" s="522">
        <f t="shared" si="15"/>
        <v>718095</v>
      </c>
      <c r="J157" s="522">
        <f t="shared" si="15"/>
        <v>16766</v>
      </c>
      <c r="K157" s="522">
        <f t="shared" si="15"/>
        <v>15639</v>
      </c>
      <c r="L157" s="522">
        <f t="shared" si="15"/>
        <v>32405</v>
      </c>
      <c r="M157" s="522">
        <f t="shared" si="15"/>
        <v>647289</v>
      </c>
      <c r="N157" s="522">
        <f t="shared" si="15"/>
        <v>103211</v>
      </c>
      <c r="O157" s="522">
        <f t="shared" si="15"/>
        <v>750500</v>
      </c>
    </row>
    <row r="158" spans="1:15" ht="13.5" customHeight="1">
      <c r="A158" s="117" t="s">
        <v>1140</v>
      </c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</row>
    <row r="159" spans="1:15" ht="13.5" customHeight="1">
      <c r="A159" s="69"/>
      <c r="B159" s="69"/>
      <c r="C159" s="69"/>
      <c r="D159" s="67"/>
      <c r="E159" s="67"/>
      <c r="F159" s="67"/>
      <c r="G159" s="68"/>
      <c r="H159" s="70"/>
      <c r="I159" s="70"/>
      <c r="J159" s="70"/>
      <c r="K159" s="70"/>
      <c r="L159" s="70"/>
      <c r="M159" s="69"/>
      <c r="N159" s="69"/>
      <c r="O159" s="69"/>
    </row>
    <row r="160" spans="1:3" ht="12">
      <c r="A160" s="71"/>
      <c r="B160" s="72"/>
      <c r="C160" s="72"/>
    </row>
    <row r="161" spans="1:3" ht="12">
      <c r="A161" s="72"/>
      <c r="B161" s="72"/>
      <c r="C161" s="72"/>
    </row>
    <row r="162" spans="1:3" ht="12">
      <c r="A162" s="72"/>
      <c r="B162" s="72"/>
      <c r="C162" s="72"/>
    </row>
  </sheetData>
  <sheetProtection/>
  <mergeCells count="5">
    <mergeCell ref="D29:E29"/>
    <mergeCell ref="G1:I1"/>
    <mergeCell ref="J1:L1"/>
    <mergeCell ref="M1:O1"/>
    <mergeCell ref="F1:F2"/>
  </mergeCells>
  <printOptions horizontalCentered="1" verticalCentered="1"/>
  <pageMargins left="0.03937007874015748" right="0.03937007874015748" top="0.8267716535433072" bottom="0.7874015748031497" header="0.31496062992125984" footer="0.2362204724409449"/>
  <pageSetup horizontalDpi="600" verticalDpi="600" orientation="landscape" paperSize="9" scale="86" r:id="rId1"/>
  <headerFooter alignWithMargins="0">
    <oddHeader>&amp;C&amp;"Times New Roman,Félkövér dőlt"Zalaegerszeg Megyei Jogú Város Önkormányzatának
2013.évi  felújítási kiadásai célonként&amp;R&amp;"Times New Roman,Félkövér dőlt"8. számú melléklet
Adatok  ezer Ft-ban</oddHeader>
    <oddFooter>&amp;L** kgy=közgyűlési hatáskör
      pm=polgármesteri hatáskör
      biz.=bizottsági hatáskör
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6.50390625" style="77" customWidth="1"/>
    <col min="2" max="2" width="7.875" style="77" customWidth="1"/>
    <col min="3" max="3" width="40.625" style="74" customWidth="1"/>
    <col min="4" max="5" width="12.50390625" style="74" customWidth="1"/>
    <col min="6" max="6" width="11.125" style="74" customWidth="1"/>
    <col min="7" max="7" width="10.625" style="74" customWidth="1"/>
    <col min="8" max="8" width="11.375" style="74" customWidth="1"/>
    <col min="9" max="9" width="10.00390625" style="74" customWidth="1"/>
    <col min="10" max="10" width="12.50390625" style="74" customWidth="1"/>
    <col min="11" max="11" width="11.375" style="74" customWidth="1"/>
    <col min="12" max="12" width="10.625" style="74" customWidth="1"/>
    <col min="13" max="13" width="9.50390625" style="74" customWidth="1"/>
    <col min="14" max="14" width="10.00390625" style="74" customWidth="1"/>
    <col min="15" max="15" width="11.875" style="74" customWidth="1"/>
    <col min="16" max="16" width="10.00390625" style="74" bestFit="1" customWidth="1"/>
    <col min="17" max="16384" width="9.375" style="74" customWidth="1"/>
  </cols>
  <sheetData>
    <row r="1" spans="1:15" ht="12.75" customHeight="1" thickBot="1">
      <c r="A1" s="821" t="s">
        <v>11</v>
      </c>
      <c r="B1" s="824" t="s">
        <v>12</v>
      </c>
      <c r="C1" s="827" t="s">
        <v>58</v>
      </c>
      <c r="D1" s="827" t="s">
        <v>98</v>
      </c>
      <c r="E1" s="827" t="s">
        <v>655</v>
      </c>
      <c r="F1" s="832" t="s">
        <v>81</v>
      </c>
      <c r="G1" s="833"/>
      <c r="H1" s="325"/>
      <c r="I1" s="845" t="s">
        <v>82</v>
      </c>
      <c r="J1" s="846"/>
      <c r="K1" s="847"/>
      <c r="L1" s="832" t="s">
        <v>83</v>
      </c>
      <c r="M1" s="833"/>
      <c r="N1" s="827" t="s">
        <v>84</v>
      </c>
      <c r="O1" s="827" t="s">
        <v>85</v>
      </c>
    </row>
    <row r="2" spans="1:18" ht="27.75" customHeight="1" thickBot="1">
      <c r="A2" s="822"/>
      <c r="B2" s="825"/>
      <c r="C2" s="828"/>
      <c r="D2" s="830"/>
      <c r="E2" s="838"/>
      <c r="F2" s="834"/>
      <c r="G2" s="835"/>
      <c r="H2" s="836" t="s">
        <v>86</v>
      </c>
      <c r="I2" s="841" t="s">
        <v>87</v>
      </c>
      <c r="J2" s="843" t="s">
        <v>372</v>
      </c>
      <c r="K2" s="824" t="s">
        <v>88</v>
      </c>
      <c r="L2" s="834"/>
      <c r="M2" s="835"/>
      <c r="N2" s="828"/>
      <c r="O2" s="828"/>
      <c r="P2" s="73"/>
      <c r="Q2" s="73"/>
      <c r="R2" s="73"/>
    </row>
    <row r="3" spans="1:18" ht="11.25" customHeight="1">
      <c r="A3" s="823"/>
      <c r="B3" s="826"/>
      <c r="C3" s="829"/>
      <c r="D3" s="831"/>
      <c r="E3" s="839"/>
      <c r="F3" s="251" t="s">
        <v>389</v>
      </c>
      <c r="G3" s="251" t="s">
        <v>390</v>
      </c>
      <c r="H3" s="837"/>
      <c r="I3" s="842"/>
      <c r="J3" s="844"/>
      <c r="K3" s="840"/>
      <c r="L3" s="251" t="s">
        <v>389</v>
      </c>
      <c r="M3" s="251" t="s">
        <v>390</v>
      </c>
      <c r="N3" s="828"/>
      <c r="O3" s="828"/>
      <c r="P3" s="73"/>
      <c r="Q3" s="73"/>
      <c r="R3" s="73"/>
    </row>
    <row r="4" spans="1:18" ht="15" customHeight="1">
      <c r="A4" s="277">
        <v>2</v>
      </c>
      <c r="B4" s="277">
        <v>1</v>
      </c>
      <c r="C4" s="738" t="s">
        <v>365</v>
      </c>
      <c r="D4" s="340">
        <v>1188163</v>
      </c>
      <c r="E4" s="340">
        <f>45345+'táj.1.'!M4</f>
        <v>52735</v>
      </c>
      <c r="F4" s="276">
        <f>11181+'táj.1.'!D4</f>
        <v>15515</v>
      </c>
      <c r="G4" s="276">
        <f>0+'táj.1.'!E4</f>
        <v>0</v>
      </c>
      <c r="H4" s="326">
        <f>1122804+'táj.1.'!F4</f>
        <v>1124909</v>
      </c>
      <c r="I4" s="326">
        <f>0+'táj.1.'!G4</f>
        <v>0</v>
      </c>
      <c r="J4" s="327">
        <f>3961+'táj.1.'!H4</f>
        <v>4912</v>
      </c>
      <c r="K4" s="326">
        <f>0+'táj.1.'!I4</f>
        <v>0</v>
      </c>
      <c r="L4" s="276">
        <f>2617+'táj.1.'!J4</f>
        <v>2617</v>
      </c>
      <c r="M4" s="276">
        <f>0+'táj.1.'!K4</f>
        <v>0</v>
      </c>
      <c r="N4" s="328">
        <f>92945+'táj.1.'!L4</f>
        <v>92945</v>
      </c>
      <c r="O4" s="328">
        <f aca="true" t="shared" si="0" ref="O4:O32">SUM(F4:N4)</f>
        <v>1240898</v>
      </c>
      <c r="P4" s="73"/>
      <c r="Q4" s="73"/>
      <c r="R4" s="73"/>
    </row>
    <row r="5" spans="1:15" s="75" customFormat="1" ht="14.25" customHeight="1">
      <c r="A5" s="329">
        <v>2</v>
      </c>
      <c r="B5" s="329">
        <v>2</v>
      </c>
      <c r="C5" s="738" t="s">
        <v>873</v>
      </c>
      <c r="D5" s="340">
        <v>497197</v>
      </c>
      <c r="E5" s="340">
        <f>-497197+'táj.1.'!M5</f>
        <v>-497197</v>
      </c>
      <c r="F5" s="276">
        <f>0+'táj.1.'!D5</f>
        <v>0</v>
      </c>
      <c r="G5" s="276">
        <f>0+'táj.1.'!E5</f>
        <v>0</v>
      </c>
      <c r="H5" s="326">
        <f>0+'táj.1.'!F5</f>
        <v>0</v>
      </c>
      <c r="I5" s="326">
        <f>0+'táj.1.'!G5</f>
        <v>0</v>
      </c>
      <c r="J5" s="327">
        <f>0+'táj.1.'!H5</f>
        <v>0</v>
      </c>
      <c r="K5" s="326">
        <f>0+'táj.1.'!I5</f>
        <v>0</v>
      </c>
      <c r="L5" s="276">
        <f>0+'táj.1.'!J5</f>
        <v>0</v>
      </c>
      <c r="M5" s="276">
        <f>0+'táj.1.'!K5</f>
        <v>0</v>
      </c>
      <c r="N5" s="328">
        <f>0+'táj.1.'!L5</f>
        <v>0</v>
      </c>
      <c r="O5" s="330">
        <f t="shared" si="0"/>
        <v>0</v>
      </c>
    </row>
    <row r="6" spans="1:15" s="75" customFormat="1" ht="16.5" customHeight="1">
      <c r="A6" s="329">
        <v>2</v>
      </c>
      <c r="B6" s="329">
        <v>3</v>
      </c>
      <c r="C6" s="738" t="s">
        <v>674</v>
      </c>
      <c r="D6" s="340">
        <f>SUM(D7:D14)</f>
        <v>2034364</v>
      </c>
      <c r="E6" s="340">
        <f aca="true" t="shared" si="1" ref="E6:O6">SUM(E7:E14)</f>
        <v>997109</v>
      </c>
      <c r="F6" s="340">
        <f t="shared" si="1"/>
        <v>624555</v>
      </c>
      <c r="G6" s="340">
        <f t="shared" si="1"/>
        <v>375</v>
      </c>
      <c r="H6" s="340">
        <f t="shared" si="1"/>
        <v>2057272</v>
      </c>
      <c r="I6" s="340">
        <f t="shared" si="1"/>
        <v>250745</v>
      </c>
      <c r="J6" s="340">
        <f t="shared" si="1"/>
        <v>34213</v>
      </c>
      <c r="K6" s="340">
        <f t="shared" si="1"/>
        <v>8131</v>
      </c>
      <c r="L6" s="340">
        <f t="shared" si="1"/>
        <v>0</v>
      </c>
      <c r="M6" s="340">
        <f t="shared" si="1"/>
        <v>0</v>
      </c>
      <c r="N6" s="340">
        <f t="shared" si="1"/>
        <v>56182</v>
      </c>
      <c r="O6" s="340">
        <f t="shared" si="1"/>
        <v>3031473</v>
      </c>
    </row>
    <row r="7" spans="1:15" s="75" customFormat="1" ht="15" customHeight="1">
      <c r="A7" s="329"/>
      <c r="B7" s="331" t="s">
        <v>316</v>
      </c>
      <c r="C7" s="739" t="s">
        <v>874</v>
      </c>
      <c r="D7" s="282">
        <v>339145</v>
      </c>
      <c r="E7" s="342">
        <f>16170+'táj.1.'!M7</f>
        <v>16930</v>
      </c>
      <c r="F7" s="343">
        <f>104824+'táj.1.'!D7</f>
        <v>99824</v>
      </c>
      <c r="G7" s="343">
        <f>0+'táj.1.'!E7</f>
        <v>0</v>
      </c>
      <c r="H7" s="344">
        <f>238620+'táj.1.'!F7</f>
        <v>246180</v>
      </c>
      <c r="I7" s="344">
        <f>0+'táj.1.'!G7</f>
        <v>0</v>
      </c>
      <c r="J7" s="342">
        <f>2989+'táj.1.'!H7</f>
        <v>1189</v>
      </c>
      <c r="K7" s="344">
        <f>6143+'táj.1.'!I7</f>
        <v>6143</v>
      </c>
      <c r="L7" s="343">
        <f>0+'táj.1.'!J7</f>
        <v>0</v>
      </c>
      <c r="M7" s="343">
        <f>0+'táj.1.'!K7</f>
        <v>0</v>
      </c>
      <c r="N7" s="332">
        <f>2739+'táj.1.'!L7</f>
        <v>2739</v>
      </c>
      <c r="O7" s="332">
        <f t="shared" si="0"/>
        <v>356075</v>
      </c>
    </row>
    <row r="8" spans="1:15" s="75" customFormat="1" ht="24">
      <c r="A8" s="329"/>
      <c r="B8" s="331" t="s">
        <v>317</v>
      </c>
      <c r="C8" s="740" t="s">
        <v>875</v>
      </c>
      <c r="D8" s="282">
        <v>96603</v>
      </c>
      <c r="E8" s="342">
        <f>-96603+'táj.1.'!M8</f>
        <v>-96603</v>
      </c>
      <c r="F8" s="343">
        <f>0+'táj.1.'!D8</f>
        <v>0</v>
      </c>
      <c r="G8" s="343">
        <f>0+'táj.1.'!E8</f>
        <v>0</v>
      </c>
      <c r="H8" s="344">
        <f>0+'táj.1.'!F8</f>
        <v>0</v>
      </c>
      <c r="I8" s="344">
        <f>0+'táj.1.'!G8</f>
        <v>0</v>
      </c>
      <c r="J8" s="342">
        <f>+'táj.1.'!H8</f>
        <v>0</v>
      </c>
      <c r="K8" s="344">
        <f>0+'táj.1.'!I8</f>
        <v>0</v>
      </c>
      <c r="L8" s="343">
        <f>0+'táj.1.'!J8</f>
        <v>0</v>
      </c>
      <c r="M8" s="343">
        <f>0+'táj.1.'!K8</f>
        <v>0</v>
      </c>
      <c r="N8" s="332">
        <f>0+'táj.1.'!L8</f>
        <v>0</v>
      </c>
      <c r="O8" s="332">
        <f t="shared" si="0"/>
        <v>0</v>
      </c>
    </row>
    <row r="9" spans="1:15" s="75" customFormat="1" ht="17.25" customHeight="1">
      <c r="A9" s="329"/>
      <c r="B9" s="331" t="s">
        <v>339</v>
      </c>
      <c r="C9" s="739" t="s">
        <v>876</v>
      </c>
      <c r="D9" s="282">
        <v>266362</v>
      </c>
      <c r="E9" s="342">
        <f>59899+'táj.1.'!M9</f>
        <v>80715</v>
      </c>
      <c r="F9" s="343">
        <f>3000+'táj.1.'!D9</f>
        <v>3000</v>
      </c>
      <c r="G9" s="343">
        <f>0+'táj.1.'!E9</f>
        <v>0</v>
      </c>
      <c r="H9" s="344">
        <f>50725+'táj.1.'!F9</f>
        <v>52488</v>
      </c>
      <c r="I9" s="344">
        <f>231745+'táj.1.'!G9</f>
        <v>250745</v>
      </c>
      <c r="J9" s="342">
        <f>0+'táj.1.'!H9</f>
        <v>53</v>
      </c>
      <c r="K9" s="344">
        <f>0+'táj.1.'!I9</f>
        <v>0</v>
      </c>
      <c r="L9" s="343">
        <f>0+'táj.1.'!J9</f>
        <v>0</v>
      </c>
      <c r="M9" s="343">
        <f>0+'táj.1.'!K9</f>
        <v>0</v>
      </c>
      <c r="N9" s="332">
        <f>40791+'táj.1.'!L9</f>
        <v>40791</v>
      </c>
      <c r="O9" s="332">
        <f t="shared" si="0"/>
        <v>347077</v>
      </c>
    </row>
    <row r="10" spans="1:15" s="75" customFormat="1" ht="15" customHeight="1">
      <c r="A10" s="329"/>
      <c r="B10" s="331" t="s">
        <v>48</v>
      </c>
      <c r="C10" s="739" t="s">
        <v>877</v>
      </c>
      <c r="D10" s="282">
        <v>0</v>
      </c>
      <c r="E10" s="342">
        <f>235203+'táj.1.'!M10</f>
        <v>259457</v>
      </c>
      <c r="F10" s="343">
        <f>34391+'táj.1.'!D10</f>
        <v>34391</v>
      </c>
      <c r="G10" s="343">
        <f>0+'táj.1.'!E10</f>
        <v>0</v>
      </c>
      <c r="H10" s="344">
        <f>197499+'táj.1.'!F10</f>
        <v>221753</v>
      </c>
      <c r="I10" s="344">
        <f>0+'táj.1.'!G10</f>
        <v>0</v>
      </c>
      <c r="J10" s="342">
        <f>1214+'táj.1.'!H10</f>
        <v>1214</v>
      </c>
      <c r="K10" s="344">
        <f>0+'táj.1.'!I10</f>
        <v>0</v>
      </c>
      <c r="L10" s="343">
        <f>0+'táj.1.'!J10</f>
        <v>0</v>
      </c>
      <c r="M10" s="343">
        <f>0+'táj.1.'!K10</f>
        <v>0</v>
      </c>
      <c r="N10" s="332">
        <f>2099+'táj.1.'!L10</f>
        <v>2099</v>
      </c>
      <c r="O10" s="332">
        <f t="shared" si="0"/>
        <v>259457</v>
      </c>
    </row>
    <row r="11" spans="1:15" s="75" customFormat="1" ht="15" customHeight="1">
      <c r="A11" s="329"/>
      <c r="B11" s="331" t="s">
        <v>622</v>
      </c>
      <c r="C11" s="739" t="s">
        <v>878</v>
      </c>
      <c r="D11" s="282">
        <v>0</v>
      </c>
      <c r="E11" s="342">
        <f>230286+'táj.1.'!M11</f>
        <v>253781</v>
      </c>
      <c r="F11" s="343">
        <f>27284+'táj.1.'!D11</f>
        <v>32284</v>
      </c>
      <c r="G11" s="343">
        <f>0+'táj.1.'!E11</f>
        <v>0</v>
      </c>
      <c r="H11" s="344">
        <f>198186+'táj.1.'!F11</f>
        <v>214881</v>
      </c>
      <c r="I11" s="344">
        <f>0+'táj.1.'!G11</f>
        <v>0</v>
      </c>
      <c r="J11" s="342">
        <f>92+'táj.1.'!H11</f>
        <v>1892</v>
      </c>
      <c r="K11" s="344">
        <f>1988+'táj.1.'!I11</f>
        <v>1988</v>
      </c>
      <c r="L11" s="343">
        <f>0+'táj.1.'!J11</f>
        <v>0</v>
      </c>
      <c r="M11" s="343">
        <f>0+'táj.1.'!K11</f>
        <v>0</v>
      </c>
      <c r="N11" s="332">
        <f>2736+'táj.1.'!L11</f>
        <v>2736</v>
      </c>
      <c r="O11" s="332">
        <f t="shared" si="0"/>
        <v>253781</v>
      </c>
    </row>
    <row r="12" spans="1:15" s="75" customFormat="1" ht="15" customHeight="1">
      <c r="A12" s="329"/>
      <c r="B12" s="331" t="s">
        <v>623</v>
      </c>
      <c r="C12" s="739" t="s">
        <v>879</v>
      </c>
      <c r="D12" s="282">
        <v>0</v>
      </c>
      <c r="E12" s="342">
        <f>206934+'táj.1.'!M12</f>
        <v>212463</v>
      </c>
      <c r="F12" s="343">
        <f>25452+'táj.1.'!D12</f>
        <v>25452</v>
      </c>
      <c r="G12" s="343">
        <f>0+'táj.1.'!E12</f>
        <v>0</v>
      </c>
      <c r="H12" s="344">
        <f>178632+'táj.1.'!F12</f>
        <v>183761</v>
      </c>
      <c r="I12" s="344">
        <f>0+'táj.1.'!G12</f>
        <v>0</v>
      </c>
      <c r="J12" s="342">
        <f>258+'táj.1.'!H12</f>
        <v>658</v>
      </c>
      <c r="K12" s="344">
        <f>0+'táj.1.'!I12</f>
        <v>0</v>
      </c>
      <c r="L12" s="343">
        <f>0+'táj.1.'!J12</f>
        <v>0</v>
      </c>
      <c r="M12" s="343">
        <f>0+'táj.1.'!K12</f>
        <v>0</v>
      </c>
      <c r="N12" s="332">
        <f>2592+'táj.1.'!L12</f>
        <v>2592</v>
      </c>
      <c r="O12" s="332">
        <f t="shared" si="0"/>
        <v>212463</v>
      </c>
    </row>
    <row r="13" spans="1:15" s="75" customFormat="1" ht="15" customHeight="1">
      <c r="A13" s="329"/>
      <c r="B13" s="331" t="s">
        <v>624</v>
      </c>
      <c r="C13" s="739" t="s">
        <v>880</v>
      </c>
      <c r="D13" s="282">
        <v>0</v>
      </c>
      <c r="E13" s="342">
        <f>225955+'táj.1.'!M13</f>
        <v>241152</v>
      </c>
      <c r="F13" s="343">
        <f>24908+'táj.1.'!D13</f>
        <v>27408</v>
      </c>
      <c r="G13" s="343">
        <f>0+'táj.1.'!E13</f>
        <v>0</v>
      </c>
      <c r="H13" s="344">
        <f>198641+'táj.1.'!F13</f>
        <v>211038</v>
      </c>
      <c r="I13" s="344">
        <f>0+'táj.1.'!G13</f>
        <v>0</v>
      </c>
      <c r="J13" s="342">
        <f>0+'táj.1.'!H13</f>
        <v>300</v>
      </c>
      <c r="K13" s="344">
        <f>0+'táj.1.'!I13</f>
        <v>0</v>
      </c>
      <c r="L13" s="343">
        <f>0+'táj.1.'!J13</f>
        <v>0</v>
      </c>
      <c r="M13" s="343">
        <f>0+'táj.1.'!K13</f>
        <v>0</v>
      </c>
      <c r="N13" s="332">
        <f>2406+'táj.1.'!L13</f>
        <v>2406</v>
      </c>
      <c r="O13" s="332">
        <f t="shared" si="0"/>
        <v>241152</v>
      </c>
    </row>
    <row r="14" spans="1:15" s="75" customFormat="1" ht="12" customHeight="1">
      <c r="A14" s="329"/>
      <c r="B14" s="331" t="s">
        <v>625</v>
      </c>
      <c r="C14" s="739" t="s">
        <v>881</v>
      </c>
      <c r="D14" s="282">
        <v>1332254</v>
      </c>
      <c r="E14" s="342">
        <f>61360+'táj.1.'!M14</f>
        <v>29214</v>
      </c>
      <c r="F14" s="343">
        <f>402196+'táj.1.'!D14</f>
        <v>402196</v>
      </c>
      <c r="G14" s="343">
        <f>375+'táj.1.'!E14</f>
        <v>375</v>
      </c>
      <c r="H14" s="344">
        <f>916162+'táj.1.'!F14</f>
        <v>927171</v>
      </c>
      <c r="I14" s="344">
        <f>0+'táj.1.'!G14</f>
        <v>0</v>
      </c>
      <c r="J14" s="342">
        <f>72062+'táj.1.'!H14</f>
        <v>28907</v>
      </c>
      <c r="K14" s="344">
        <f>0+'táj.1.'!I14</f>
        <v>0</v>
      </c>
      <c r="L14" s="343">
        <f>0+'táj.1.'!J14</f>
        <v>0</v>
      </c>
      <c r="M14" s="343">
        <f>0+'táj.1.'!K14</f>
        <v>0</v>
      </c>
      <c r="N14" s="332">
        <f>2819+'táj.1.'!L14</f>
        <v>2819</v>
      </c>
      <c r="O14" s="332">
        <f t="shared" si="0"/>
        <v>1361468</v>
      </c>
    </row>
    <row r="15" spans="1:15" s="75" customFormat="1" ht="15" customHeight="1">
      <c r="A15" s="329">
        <v>2</v>
      </c>
      <c r="B15" s="329">
        <v>4</v>
      </c>
      <c r="C15" s="741" t="s">
        <v>16</v>
      </c>
      <c r="D15" s="281">
        <f>SUM(D16:D20)</f>
        <v>850235</v>
      </c>
      <c r="E15" s="281">
        <f aca="true" t="shared" si="2" ref="E15:N15">SUM(E16:E20)</f>
        <v>-831933</v>
      </c>
      <c r="F15" s="281">
        <f t="shared" si="2"/>
        <v>352</v>
      </c>
      <c r="G15" s="281">
        <f t="shared" si="2"/>
        <v>0</v>
      </c>
      <c r="H15" s="281">
        <f t="shared" si="2"/>
        <v>9871</v>
      </c>
      <c r="I15" s="281">
        <f t="shared" si="2"/>
        <v>0</v>
      </c>
      <c r="J15" s="281">
        <f t="shared" si="2"/>
        <v>0</v>
      </c>
      <c r="K15" s="281">
        <f t="shared" si="2"/>
        <v>0</v>
      </c>
      <c r="L15" s="281">
        <f t="shared" si="2"/>
        <v>0</v>
      </c>
      <c r="M15" s="281">
        <f t="shared" si="2"/>
        <v>0</v>
      </c>
      <c r="N15" s="281">
        <f t="shared" si="2"/>
        <v>8079</v>
      </c>
      <c r="O15" s="281">
        <f>SUM(O16:O20)</f>
        <v>18302</v>
      </c>
    </row>
    <row r="16" spans="1:15" s="75" customFormat="1" ht="14.25" customHeight="1">
      <c r="A16" s="329"/>
      <c r="B16" s="331" t="s">
        <v>319</v>
      </c>
      <c r="C16" s="739" t="s">
        <v>882</v>
      </c>
      <c r="D16" s="282">
        <v>207494</v>
      </c>
      <c r="E16" s="342">
        <f>-207494+'táj.1.'!M16</f>
        <v>-207494</v>
      </c>
      <c r="F16" s="343">
        <f>0+'táj.1.'!D16</f>
        <v>0</v>
      </c>
      <c r="G16" s="343">
        <f>0+'táj.1.'!E16</f>
        <v>0</v>
      </c>
      <c r="H16" s="344">
        <f>0+'táj.1.'!F16</f>
        <v>0</v>
      </c>
      <c r="I16" s="344">
        <f>0+'táj.1.'!G16</f>
        <v>0</v>
      </c>
      <c r="J16" s="342">
        <f>0+'táj.1.'!H16</f>
        <v>0</v>
      </c>
      <c r="K16" s="344">
        <f>0+'táj.1.'!I16</f>
        <v>0</v>
      </c>
      <c r="L16" s="343">
        <f>0+'táj.1.'!J16</f>
        <v>0</v>
      </c>
      <c r="M16" s="343">
        <f>0+'táj.1.'!K16</f>
        <v>0</v>
      </c>
      <c r="N16" s="332">
        <f>0+'táj.1.'!L16</f>
        <v>0</v>
      </c>
      <c r="O16" s="332">
        <f t="shared" si="0"/>
        <v>0</v>
      </c>
    </row>
    <row r="17" spans="1:15" s="75" customFormat="1" ht="15" customHeight="1">
      <c r="A17" s="329"/>
      <c r="B17" s="331" t="s">
        <v>320</v>
      </c>
      <c r="C17" s="739" t="s">
        <v>883</v>
      </c>
      <c r="D17" s="282">
        <v>205632</v>
      </c>
      <c r="E17" s="342">
        <f>-205632+'táj.1.'!M17</f>
        <v>-205632</v>
      </c>
      <c r="F17" s="343">
        <f>0+'táj.1.'!D17</f>
        <v>0</v>
      </c>
      <c r="G17" s="343">
        <f>0+'táj.1.'!E17</f>
        <v>0</v>
      </c>
      <c r="H17" s="344">
        <f>0+'táj.1.'!F17</f>
        <v>0</v>
      </c>
      <c r="I17" s="344">
        <f>0+'táj.1.'!G17</f>
        <v>0</v>
      </c>
      <c r="J17" s="342">
        <f>0+'táj.1.'!H17</f>
        <v>0</v>
      </c>
      <c r="K17" s="344">
        <f>0+'táj.1.'!I17</f>
        <v>0</v>
      </c>
      <c r="L17" s="343">
        <f>0+'táj.1.'!J17</f>
        <v>0</v>
      </c>
      <c r="M17" s="343">
        <f>0+'táj.1.'!K17</f>
        <v>0</v>
      </c>
      <c r="N17" s="332">
        <f>0+'táj.1.'!L17</f>
        <v>0</v>
      </c>
      <c r="O17" s="332">
        <f t="shared" si="0"/>
        <v>0</v>
      </c>
    </row>
    <row r="18" spans="1:15" s="75" customFormat="1" ht="12.75" customHeight="1">
      <c r="A18" s="329"/>
      <c r="B18" s="331" t="s">
        <v>321</v>
      </c>
      <c r="C18" s="739" t="s">
        <v>884</v>
      </c>
      <c r="D18" s="282">
        <v>169219</v>
      </c>
      <c r="E18" s="342">
        <f>-169219+'táj.1.'!M18</f>
        <v>-169219</v>
      </c>
      <c r="F18" s="343">
        <f>0+'táj.1.'!D18</f>
        <v>0</v>
      </c>
      <c r="G18" s="343">
        <f>0+'táj.1.'!E18</f>
        <v>0</v>
      </c>
      <c r="H18" s="344">
        <f>+'táj.1.'!F18</f>
        <v>0</v>
      </c>
      <c r="I18" s="344">
        <f>0+'táj.1.'!G18</f>
        <v>0</v>
      </c>
      <c r="J18" s="342">
        <f>0+'táj.1.'!H18</f>
        <v>0</v>
      </c>
      <c r="K18" s="344">
        <f>0+'táj.1.'!I18</f>
        <v>0</v>
      </c>
      <c r="L18" s="343">
        <f>0+'táj.1.'!J18</f>
        <v>0</v>
      </c>
      <c r="M18" s="343">
        <f>0+'táj.1.'!K18</f>
        <v>0</v>
      </c>
      <c r="N18" s="332">
        <f>0+'táj.1.'!L18</f>
        <v>0</v>
      </c>
      <c r="O18" s="332">
        <f t="shared" si="0"/>
        <v>0</v>
      </c>
    </row>
    <row r="19" spans="1:15" s="75" customFormat="1" ht="12" customHeight="1">
      <c r="A19" s="329"/>
      <c r="B19" s="331" t="s">
        <v>322</v>
      </c>
      <c r="C19" s="739" t="s">
        <v>880</v>
      </c>
      <c r="D19" s="282">
        <v>207492</v>
      </c>
      <c r="E19" s="342">
        <f>-207492+'táj.1.'!M19</f>
        <v>-207492</v>
      </c>
      <c r="F19" s="343">
        <f>0+'táj.1.'!D19</f>
        <v>0</v>
      </c>
      <c r="G19" s="343">
        <f>0+'táj.1.'!E19</f>
        <v>0</v>
      </c>
      <c r="H19" s="344">
        <f>0+'táj.1.'!F19</f>
        <v>0</v>
      </c>
      <c r="I19" s="344">
        <f>0+'táj.1.'!G19</f>
        <v>0</v>
      </c>
      <c r="J19" s="342">
        <f>0+'táj.1.'!H19</f>
        <v>0</v>
      </c>
      <c r="K19" s="344">
        <f>0+'táj.1.'!I19</f>
        <v>0</v>
      </c>
      <c r="L19" s="343">
        <f>0+'táj.1.'!J19</f>
        <v>0</v>
      </c>
      <c r="M19" s="343">
        <f>0+'táj.1.'!K19</f>
        <v>0</v>
      </c>
      <c r="N19" s="332">
        <f>0+'táj.1.'!L19</f>
        <v>0</v>
      </c>
      <c r="O19" s="332">
        <f t="shared" si="0"/>
        <v>0</v>
      </c>
    </row>
    <row r="20" spans="1:15" s="75" customFormat="1" ht="13.5" customHeight="1">
      <c r="A20" s="329"/>
      <c r="B20" s="331" t="s">
        <v>323</v>
      </c>
      <c r="C20" s="739" t="s">
        <v>865</v>
      </c>
      <c r="D20" s="282">
        <v>60398</v>
      </c>
      <c r="E20" s="342">
        <f>-42096+'táj.1.'!M20</f>
        <v>-42096</v>
      </c>
      <c r="F20" s="343">
        <f>352+'táj.1.'!D20</f>
        <v>352</v>
      </c>
      <c r="G20" s="343">
        <f>0+'táj.1.'!E20</f>
        <v>0</v>
      </c>
      <c r="H20" s="344">
        <f>9871+'táj.1.'!F20</f>
        <v>9871</v>
      </c>
      <c r="I20" s="344">
        <f>0+'táj.1.'!G20</f>
        <v>0</v>
      </c>
      <c r="J20" s="342">
        <f>0+'táj.1.'!H20</f>
        <v>0</v>
      </c>
      <c r="K20" s="344">
        <f>0+'táj.1.'!I20</f>
        <v>0</v>
      </c>
      <c r="L20" s="343">
        <f>0+'táj.1.'!J20</f>
        <v>0</v>
      </c>
      <c r="M20" s="343">
        <f>0+'táj.1.'!K20</f>
        <v>0</v>
      </c>
      <c r="N20" s="332">
        <f>8079+'táj.1.'!L20</f>
        <v>8079</v>
      </c>
      <c r="O20" s="332">
        <f t="shared" si="0"/>
        <v>18302</v>
      </c>
    </row>
    <row r="21" spans="1:15" s="75" customFormat="1" ht="13.5" customHeight="1">
      <c r="A21" s="333">
        <v>2</v>
      </c>
      <c r="B21" s="333">
        <v>5</v>
      </c>
      <c r="C21" s="741" t="s">
        <v>89</v>
      </c>
      <c r="D21" s="281">
        <v>93058</v>
      </c>
      <c r="E21" s="340">
        <f>-35135+'táj.1.'!M21</f>
        <v>-35135</v>
      </c>
      <c r="F21" s="276">
        <f>12766+'táj.1.'!D21</f>
        <v>12766</v>
      </c>
      <c r="G21" s="276">
        <f>0+'táj.1.'!E21</f>
        <v>0</v>
      </c>
      <c r="H21" s="326">
        <f>21866+'táj.1.'!F21</f>
        <v>21866</v>
      </c>
      <c r="I21" s="326">
        <f>0+'táj.1.'!G21</f>
        <v>0</v>
      </c>
      <c r="J21" s="327">
        <f>18658+'táj.1.'!H21</f>
        <v>18658</v>
      </c>
      <c r="K21" s="326">
        <f>1926+'táj.1.'!I21</f>
        <v>1926</v>
      </c>
      <c r="L21" s="276">
        <f>0+'táj.1.'!J21</f>
        <v>0</v>
      </c>
      <c r="M21" s="276">
        <f>0+'táj.1.'!K21</f>
        <v>0</v>
      </c>
      <c r="N21" s="328">
        <f>2707+'táj.1.'!L21</f>
        <v>2707</v>
      </c>
      <c r="O21" s="330">
        <f t="shared" si="0"/>
        <v>57923</v>
      </c>
    </row>
    <row r="22" spans="1:15" s="75" customFormat="1" ht="13.5" customHeight="1">
      <c r="A22" s="333">
        <v>2</v>
      </c>
      <c r="B22" s="333">
        <v>6</v>
      </c>
      <c r="C22" s="741" t="s">
        <v>90</v>
      </c>
      <c r="D22" s="281">
        <v>77936</v>
      </c>
      <c r="E22" s="340">
        <f>-32012+'táj.1.'!M22</f>
        <v>-32012</v>
      </c>
      <c r="F22" s="276">
        <f>14072+'táj.1.'!D22</f>
        <v>14072</v>
      </c>
      <c r="G22" s="276">
        <f>0+'táj.1.'!E22</f>
        <v>0</v>
      </c>
      <c r="H22" s="326">
        <f>30676+'táj.1.'!F22</f>
        <v>30676</v>
      </c>
      <c r="I22" s="326">
        <f>0+'táj.1.'!G22</f>
        <v>0</v>
      </c>
      <c r="J22" s="327">
        <f>887+'táj.1.'!H22</f>
        <v>887</v>
      </c>
      <c r="K22" s="326">
        <f>0+'táj.1.'!I22</f>
        <v>0</v>
      </c>
      <c r="L22" s="276">
        <f>0+'táj.1.'!J22</f>
        <v>0</v>
      </c>
      <c r="M22" s="276">
        <f>0+'táj.1.'!K22</f>
        <v>0</v>
      </c>
      <c r="N22" s="328">
        <f>289+'táj.1.'!L22</f>
        <v>289</v>
      </c>
      <c r="O22" s="330">
        <f t="shared" si="0"/>
        <v>45924</v>
      </c>
    </row>
    <row r="23" spans="1:15" s="75" customFormat="1" ht="36.75" customHeight="1">
      <c r="A23" s="333">
        <v>2</v>
      </c>
      <c r="B23" s="333">
        <v>7</v>
      </c>
      <c r="C23" s="742" t="s">
        <v>828</v>
      </c>
      <c r="D23" s="281">
        <v>69724</v>
      </c>
      <c r="E23" s="340">
        <f>69498+'táj.1.'!M23</f>
        <v>73299</v>
      </c>
      <c r="F23" s="276">
        <f>38002+'táj.1.'!D23</f>
        <v>38002</v>
      </c>
      <c r="G23" s="276">
        <f>0+'táj.1.'!E23</f>
        <v>0</v>
      </c>
      <c r="H23" s="326">
        <f>58583+'táj.1.'!F23</f>
        <v>59484</v>
      </c>
      <c r="I23" s="326">
        <f>0+'táj.1.'!G23</f>
        <v>0</v>
      </c>
      <c r="J23" s="327">
        <f>33724+'táj.1.'!H23</f>
        <v>36624</v>
      </c>
      <c r="K23" s="326">
        <f>5453+'táj.1.'!I23</f>
        <v>5453</v>
      </c>
      <c r="L23" s="276">
        <f>0+'táj.1.'!J23</f>
        <v>0</v>
      </c>
      <c r="M23" s="276">
        <f>800+'táj.1.'!K23</f>
        <v>800</v>
      </c>
      <c r="N23" s="328">
        <f>2660+'táj.1.'!L23</f>
        <v>2660</v>
      </c>
      <c r="O23" s="330">
        <f t="shared" si="0"/>
        <v>143023</v>
      </c>
    </row>
    <row r="24" spans="1:15" s="75" customFormat="1" ht="15.75" customHeight="1">
      <c r="A24" s="265">
        <v>2</v>
      </c>
      <c r="B24" s="265">
        <v>8</v>
      </c>
      <c r="C24" s="743" t="s">
        <v>91</v>
      </c>
      <c r="D24" s="339">
        <f>SUM(D25:D26)</f>
        <v>204182</v>
      </c>
      <c r="E24" s="339">
        <f aca="true" t="shared" si="3" ref="E24:N24">SUM(E25:E26)</f>
        <v>65865</v>
      </c>
      <c r="F24" s="339">
        <f t="shared" si="3"/>
        <v>54067</v>
      </c>
      <c r="G24" s="339">
        <f t="shared" si="3"/>
        <v>7688</v>
      </c>
      <c r="H24" s="339">
        <f t="shared" si="3"/>
        <v>156398</v>
      </c>
      <c r="I24" s="339">
        <f t="shared" si="3"/>
        <v>0</v>
      </c>
      <c r="J24" s="339">
        <f t="shared" si="3"/>
        <v>40476</v>
      </c>
      <c r="K24" s="339">
        <f t="shared" si="3"/>
        <v>0</v>
      </c>
      <c r="L24" s="339">
        <f t="shared" si="3"/>
        <v>0</v>
      </c>
      <c r="M24" s="339">
        <f t="shared" si="3"/>
        <v>0</v>
      </c>
      <c r="N24" s="339">
        <f t="shared" si="3"/>
        <v>11418</v>
      </c>
      <c r="O24" s="339">
        <f>SUM(O25:O26)</f>
        <v>270047</v>
      </c>
    </row>
    <row r="25" spans="1:15" s="75" customFormat="1" ht="13.5" customHeight="1">
      <c r="A25" s="265"/>
      <c r="B25" s="264" t="s">
        <v>92</v>
      </c>
      <c r="C25" s="739" t="s">
        <v>885</v>
      </c>
      <c r="D25" s="282">
        <v>191427</v>
      </c>
      <c r="E25" s="342">
        <f>39025+'táj.1.'!M25</f>
        <v>59135</v>
      </c>
      <c r="F25" s="343">
        <f>53326+'táj.1.'!D25</f>
        <v>53326</v>
      </c>
      <c r="G25" s="343">
        <f>0+'táj.1.'!E25</f>
        <v>5588</v>
      </c>
      <c r="H25" s="344">
        <f>143122+'táj.1.'!F25</f>
        <v>144106</v>
      </c>
      <c r="I25" s="344">
        <f>0+'táj.1.'!G25</f>
        <v>0</v>
      </c>
      <c r="J25" s="342">
        <f>25138+'táj.1.'!H25</f>
        <v>38676</v>
      </c>
      <c r="K25" s="344">
        <f>0+'táj.1.'!I25</f>
        <v>0</v>
      </c>
      <c r="L25" s="343">
        <f>0+'táj.1.'!J25</f>
        <v>0</v>
      </c>
      <c r="M25" s="343">
        <f>0+'táj.1.'!K25</f>
        <v>0</v>
      </c>
      <c r="N25" s="332">
        <f>8866+'táj.1.'!L25</f>
        <v>8866</v>
      </c>
      <c r="O25" s="332">
        <f t="shared" si="0"/>
        <v>250562</v>
      </c>
    </row>
    <row r="26" spans="1:15" s="75" customFormat="1" ht="16.5" customHeight="1">
      <c r="A26" s="265"/>
      <c r="B26" s="264" t="s">
        <v>93</v>
      </c>
      <c r="C26" s="739" t="s">
        <v>886</v>
      </c>
      <c r="D26" s="282">
        <v>12755</v>
      </c>
      <c r="E26" s="342">
        <f>6660+'táj.1.'!M26</f>
        <v>6730</v>
      </c>
      <c r="F26" s="343">
        <f>691+'táj.1.'!D26</f>
        <v>741</v>
      </c>
      <c r="G26" s="343">
        <f>2100+'táj.1.'!E26</f>
        <v>2100</v>
      </c>
      <c r="H26" s="344">
        <f>12272+'táj.1.'!F26</f>
        <v>12292</v>
      </c>
      <c r="I26" s="344">
        <f>0+'táj.1.'!G26</f>
        <v>0</v>
      </c>
      <c r="J26" s="342">
        <f>1800+'táj.1.'!H26</f>
        <v>1800</v>
      </c>
      <c r="K26" s="344">
        <f>0+'táj.1.'!I26</f>
        <v>0</v>
      </c>
      <c r="L26" s="343">
        <f>0+'táj.1.'!J26</f>
        <v>0</v>
      </c>
      <c r="M26" s="343">
        <f>0+'táj.1.'!K26</f>
        <v>0</v>
      </c>
      <c r="N26" s="332">
        <f>2552+'táj.1.'!L26</f>
        <v>2552</v>
      </c>
      <c r="O26" s="332">
        <f t="shared" si="0"/>
        <v>19485</v>
      </c>
    </row>
    <row r="27" spans="1:15" s="75" customFormat="1" ht="13.5" customHeight="1">
      <c r="A27" s="265">
        <v>2</v>
      </c>
      <c r="B27" s="265">
        <v>9</v>
      </c>
      <c r="C27" s="744" t="s">
        <v>94</v>
      </c>
      <c r="D27" s="102">
        <v>163611</v>
      </c>
      <c r="E27" s="340">
        <f>181530+'táj.1.'!M27</f>
        <v>206958</v>
      </c>
      <c r="F27" s="276">
        <f>13027+'táj.1.'!D27</f>
        <v>16027</v>
      </c>
      <c r="G27" s="276">
        <f>150+'táj.1.'!E27</f>
        <v>615</v>
      </c>
      <c r="H27" s="326">
        <f>304046+'táj.1.'!F27</f>
        <v>305777</v>
      </c>
      <c r="I27" s="326">
        <f>0+'táj.1.'!G27</f>
        <v>0</v>
      </c>
      <c r="J27" s="327">
        <f>27109+'táj.1.'!H27</f>
        <v>47341</v>
      </c>
      <c r="K27" s="326">
        <f>0+'táj.1.'!I27</f>
        <v>0</v>
      </c>
      <c r="L27" s="276">
        <f>0+'táj.1.'!J27</f>
        <v>0</v>
      </c>
      <c r="M27" s="276">
        <f>0+'táj.1.'!K27</f>
        <v>0</v>
      </c>
      <c r="N27" s="328">
        <f>809+'táj.1.'!L27</f>
        <v>809</v>
      </c>
      <c r="O27" s="330">
        <f t="shared" si="0"/>
        <v>370569</v>
      </c>
    </row>
    <row r="28" spans="1:15" s="75" customFormat="1" ht="11.25" customHeight="1">
      <c r="A28" s="265">
        <v>2</v>
      </c>
      <c r="B28" s="265">
        <v>10</v>
      </c>
      <c r="C28" s="744" t="s">
        <v>95</v>
      </c>
      <c r="D28" s="102">
        <v>200000</v>
      </c>
      <c r="E28" s="340">
        <f>153545+'táj.1.'!M28</f>
        <v>233192</v>
      </c>
      <c r="F28" s="276">
        <f>98900+'táj.1.'!D28</f>
        <v>145410</v>
      </c>
      <c r="G28" s="276">
        <f>0+'táj.1.'!E28</f>
        <v>0</v>
      </c>
      <c r="H28" s="326">
        <f>101073+'táj.1.'!F28</f>
        <v>101397</v>
      </c>
      <c r="I28" s="326">
        <f>0+'táj.1.'!G28</f>
        <v>0</v>
      </c>
      <c r="J28" s="327">
        <f>82594+'táj.1.'!H28</f>
        <v>103251</v>
      </c>
      <c r="K28" s="326">
        <f>50067+'táj.1.'!I28</f>
        <v>62223</v>
      </c>
      <c r="L28" s="276">
        <f>14100+'táj.1.'!J28</f>
        <v>14100</v>
      </c>
      <c r="M28" s="276">
        <f>0+'táj.1.'!K28</f>
        <v>0</v>
      </c>
      <c r="N28" s="328">
        <f>6811+'táj.1.'!L28</f>
        <v>6811</v>
      </c>
      <c r="O28" s="330">
        <f t="shared" si="0"/>
        <v>433192</v>
      </c>
    </row>
    <row r="29" spans="1:15" s="75" customFormat="1" ht="12.75">
      <c r="A29" s="265">
        <v>2</v>
      </c>
      <c r="B29" s="265">
        <v>11</v>
      </c>
      <c r="C29" s="744" t="s">
        <v>100</v>
      </c>
      <c r="D29" s="102">
        <v>561466</v>
      </c>
      <c r="E29" s="340">
        <f>18931+'táj.1.'!M29</f>
        <v>31555</v>
      </c>
      <c r="F29" s="276">
        <f>169700+'táj.1.'!D29</f>
        <v>169700</v>
      </c>
      <c r="G29" s="276">
        <f>54200+'táj.1.'!E29</f>
        <v>54200</v>
      </c>
      <c r="H29" s="326">
        <f>301325+'táj.1.'!F29</f>
        <v>312349</v>
      </c>
      <c r="I29" s="326">
        <f>0+'táj.1.'!G29</f>
        <v>0</v>
      </c>
      <c r="J29" s="327">
        <f>3000+'táj.1.'!H29</f>
        <v>4600</v>
      </c>
      <c r="K29" s="326">
        <f>0+'táj.1.'!I29</f>
        <v>0</v>
      </c>
      <c r="L29" s="276">
        <f>0+'táj.1.'!J29</f>
        <v>0</v>
      </c>
      <c r="M29" s="276">
        <f>0+'táj.1.'!K29</f>
        <v>0</v>
      </c>
      <c r="N29" s="328">
        <f>52172+'táj.1.'!L29</f>
        <v>52172</v>
      </c>
      <c r="O29" s="341">
        <f t="shared" si="0"/>
        <v>593021</v>
      </c>
    </row>
    <row r="30" spans="1:15" s="75" customFormat="1" ht="12.75">
      <c r="A30" s="265">
        <v>2</v>
      </c>
      <c r="B30" s="265">
        <v>12</v>
      </c>
      <c r="C30" s="744" t="s">
        <v>99</v>
      </c>
      <c r="D30" s="102">
        <v>101364</v>
      </c>
      <c r="E30" s="340">
        <f>3645+'táj.1.'!M30</f>
        <v>6034</v>
      </c>
      <c r="F30" s="276">
        <f>16446+'táj.1.'!D30</f>
        <v>16446</v>
      </c>
      <c r="G30" s="276">
        <f>5600+'táj.1.'!E30</f>
        <v>5600</v>
      </c>
      <c r="H30" s="326">
        <f>67987+'táj.1.'!F30</f>
        <v>68926</v>
      </c>
      <c r="I30" s="326">
        <f>0+'táj.1.'!G30</f>
        <v>0</v>
      </c>
      <c r="J30" s="327">
        <f>3400+'táj.1.'!H30</f>
        <v>4850</v>
      </c>
      <c r="K30" s="326">
        <f>0+'táj.1.'!I30</f>
        <v>0</v>
      </c>
      <c r="L30" s="276">
        <f>0+'táj.1.'!J30</f>
        <v>0</v>
      </c>
      <c r="M30" s="276">
        <f>0+'táj.1.'!K30</f>
        <v>0</v>
      </c>
      <c r="N30" s="328">
        <f>11576+'táj.1.'!L30</f>
        <v>11576</v>
      </c>
      <c r="O30" s="341">
        <f t="shared" si="0"/>
        <v>107398</v>
      </c>
    </row>
    <row r="31" spans="1:15" s="75" customFormat="1" ht="12.75" customHeight="1">
      <c r="A31" s="265">
        <v>2</v>
      </c>
      <c r="B31" s="265">
        <v>13</v>
      </c>
      <c r="C31" s="744" t="s">
        <v>96</v>
      </c>
      <c r="D31" s="102">
        <v>101745</v>
      </c>
      <c r="E31" s="340">
        <f>7788+'táj.1.'!M31</f>
        <v>10793</v>
      </c>
      <c r="F31" s="276">
        <f>13374+'táj.1.'!D31</f>
        <v>15774</v>
      </c>
      <c r="G31" s="276">
        <f>0+'táj.1.'!E31</f>
        <v>0</v>
      </c>
      <c r="H31" s="326">
        <f>81483+'táj.1.'!F31</f>
        <v>81626</v>
      </c>
      <c r="I31" s="326">
        <f>0+'táj.1.'!G31</f>
        <v>0</v>
      </c>
      <c r="J31" s="327">
        <f>0+'táj.1.'!H31</f>
        <v>0</v>
      </c>
      <c r="K31" s="326">
        <f>0+'táj.1.'!I31</f>
        <v>462</v>
      </c>
      <c r="L31" s="276">
        <f>0+'táj.1.'!J31</f>
        <v>0</v>
      </c>
      <c r="M31" s="276">
        <f>0+'táj.1.'!K31</f>
        <v>0</v>
      </c>
      <c r="N31" s="328">
        <f>14676+'táj.1.'!L31</f>
        <v>14676</v>
      </c>
      <c r="O31" s="330">
        <f t="shared" si="0"/>
        <v>112538</v>
      </c>
    </row>
    <row r="32" spans="1:15" s="75" customFormat="1" ht="14.25" customHeight="1">
      <c r="A32" s="265">
        <v>2</v>
      </c>
      <c r="B32" s="265">
        <v>14</v>
      </c>
      <c r="C32" s="744" t="s">
        <v>17</v>
      </c>
      <c r="D32" s="102">
        <v>90900</v>
      </c>
      <c r="E32" s="340">
        <f>9112+'táj.1.'!M32</f>
        <v>17204</v>
      </c>
      <c r="F32" s="276">
        <f>90900+'táj.1.'!D32</f>
        <v>98700</v>
      </c>
      <c r="G32" s="276">
        <f>0+'táj.1.'!E32</f>
        <v>0</v>
      </c>
      <c r="H32" s="326">
        <f>349+'táj.1.'!F32</f>
        <v>569</v>
      </c>
      <c r="I32" s="326">
        <f>0+'táj.1.'!G32</f>
        <v>0</v>
      </c>
      <c r="J32" s="327">
        <f>300+'táj.1.'!H32</f>
        <v>300</v>
      </c>
      <c r="K32" s="326">
        <f>0+'táj.1.'!I32</f>
        <v>116</v>
      </c>
      <c r="L32" s="276">
        <f>0+'táj.1.'!J32</f>
        <v>0</v>
      </c>
      <c r="M32" s="276">
        <f>200+'táj.1.'!K32</f>
        <v>156</v>
      </c>
      <c r="N32" s="328">
        <f>8263+'táj.1.'!L32</f>
        <v>8263</v>
      </c>
      <c r="O32" s="330">
        <f t="shared" si="0"/>
        <v>108104</v>
      </c>
    </row>
    <row r="33" spans="1:15" s="75" customFormat="1" ht="12" customHeight="1">
      <c r="A33" s="103"/>
      <c r="B33" s="103"/>
      <c r="C33" s="104" t="s">
        <v>59</v>
      </c>
      <c r="D33" s="105">
        <f>SUM(D4+D5+D6+D15+D21+D22+D23+D24+D27+D28+D29+D30+D31+D32)</f>
        <v>6233945</v>
      </c>
      <c r="E33" s="105">
        <f aca="true" t="shared" si="4" ref="E33:O33">SUM(E4+E5+E6+E15+E21+E22+E23+E24+E27+E28+E29+E30+E31+E32)</f>
        <v>298467</v>
      </c>
      <c r="F33" s="105">
        <f t="shared" si="4"/>
        <v>1221386</v>
      </c>
      <c r="G33" s="105">
        <f t="shared" si="4"/>
        <v>68478</v>
      </c>
      <c r="H33" s="105">
        <f t="shared" si="4"/>
        <v>4331120</v>
      </c>
      <c r="I33" s="105">
        <f t="shared" si="4"/>
        <v>250745</v>
      </c>
      <c r="J33" s="105">
        <f t="shared" si="4"/>
        <v>296112</v>
      </c>
      <c r="K33" s="105">
        <f t="shared" si="4"/>
        <v>78311</v>
      </c>
      <c r="L33" s="105">
        <f t="shared" si="4"/>
        <v>16717</v>
      </c>
      <c r="M33" s="105">
        <f t="shared" si="4"/>
        <v>956</v>
      </c>
      <c r="N33" s="105">
        <f t="shared" si="4"/>
        <v>268587</v>
      </c>
      <c r="O33" s="105">
        <f t="shared" si="4"/>
        <v>6532412</v>
      </c>
    </row>
    <row r="34" spans="1:2" s="75" customFormat="1" ht="12.75">
      <c r="A34" s="76"/>
      <c r="B34" s="76"/>
    </row>
    <row r="35" spans="1:2" s="75" customFormat="1" ht="12.75">
      <c r="A35" s="76"/>
      <c r="B35" s="76"/>
    </row>
    <row r="36" spans="1:2" s="75" customFormat="1" ht="12.75">
      <c r="A36" s="76"/>
      <c r="B36" s="76"/>
    </row>
    <row r="37" spans="1:2" s="75" customFormat="1" ht="12.75">
      <c r="A37" s="76"/>
      <c r="B37" s="76"/>
    </row>
    <row r="38" spans="1:2" s="75" customFormat="1" ht="12.75">
      <c r="A38" s="76"/>
      <c r="B38" s="76"/>
    </row>
    <row r="39" spans="1:2" s="75" customFormat="1" ht="12.75">
      <c r="A39" s="76"/>
      <c r="B39" s="76"/>
    </row>
    <row r="40" spans="1:2" s="75" customFormat="1" ht="12.75">
      <c r="A40" s="76"/>
      <c r="B40" s="76"/>
    </row>
    <row r="41" spans="1:2" s="75" customFormat="1" ht="12.75">
      <c r="A41" s="76"/>
      <c r="B41" s="76"/>
    </row>
    <row r="42" spans="1:2" s="75" customFormat="1" ht="12.75">
      <c r="A42" s="76"/>
      <c r="B42" s="76"/>
    </row>
    <row r="43" spans="1:2" s="75" customFormat="1" ht="12.75">
      <c r="A43" s="76"/>
      <c r="B43" s="76"/>
    </row>
    <row r="44" spans="1:2" s="75" customFormat="1" ht="12.75">
      <c r="A44" s="76"/>
      <c r="B44" s="76"/>
    </row>
    <row r="45" spans="1:2" s="75" customFormat="1" ht="12.75">
      <c r="A45" s="76"/>
      <c r="B45" s="76"/>
    </row>
    <row r="46" spans="1:2" s="75" customFormat="1" ht="12.75">
      <c r="A46" s="76"/>
      <c r="B46" s="76"/>
    </row>
    <row r="47" spans="1:2" s="75" customFormat="1" ht="12.75">
      <c r="A47" s="76"/>
      <c r="B47" s="76"/>
    </row>
    <row r="48" spans="1:2" s="75" customFormat="1" ht="12.75">
      <c r="A48" s="76"/>
      <c r="B48" s="76"/>
    </row>
    <row r="49" spans="1:2" s="75" customFormat="1" ht="12.75">
      <c r="A49" s="76"/>
      <c r="B49" s="76"/>
    </row>
    <row r="50" spans="1:2" s="75" customFormat="1" ht="12.75">
      <c r="A50" s="76"/>
      <c r="B50" s="76"/>
    </row>
    <row r="51" spans="1:2" s="75" customFormat="1" ht="12.75">
      <c r="A51" s="76"/>
      <c r="B51" s="76"/>
    </row>
    <row r="52" spans="1:2" s="75" customFormat="1" ht="12.75">
      <c r="A52" s="76"/>
      <c r="B52" s="76"/>
    </row>
    <row r="53" spans="1:2" s="75" customFormat="1" ht="12.75">
      <c r="A53" s="76"/>
      <c r="B53" s="76"/>
    </row>
    <row r="54" spans="1:2" s="75" customFormat="1" ht="12.75">
      <c r="A54" s="76"/>
      <c r="B54" s="76"/>
    </row>
    <row r="55" spans="1:2" s="75" customFormat="1" ht="12.75">
      <c r="A55" s="76"/>
      <c r="B55" s="76"/>
    </row>
    <row r="56" spans="1:2" s="75" customFormat="1" ht="12.75">
      <c r="A56" s="76"/>
      <c r="B56" s="76"/>
    </row>
    <row r="57" spans="1:2" s="75" customFormat="1" ht="12.75">
      <c r="A57" s="76"/>
      <c r="B57" s="76"/>
    </row>
    <row r="58" spans="1:2" s="75" customFormat="1" ht="12.75">
      <c r="A58" s="76"/>
      <c r="B58" s="76"/>
    </row>
    <row r="59" spans="1:2" s="75" customFormat="1" ht="12.75">
      <c r="A59" s="76"/>
      <c r="B59" s="76"/>
    </row>
    <row r="60" spans="1:2" s="75" customFormat="1" ht="12.75">
      <c r="A60" s="76"/>
      <c r="B60" s="76"/>
    </row>
    <row r="61" spans="1:2" s="75" customFormat="1" ht="12.75">
      <c r="A61" s="76"/>
      <c r="B61" s="76"/>
    </row>
    <row r="62" spans="1:2" s="75" customFormat="1" ht="12.75">
      <c r="A62" s="76"/>
      <c r="B62" s="76"/>
    </row>
    <row r="63" spans="1:2" s="75" customFormat="1" ht="12.75">
      <c r="A63" s="76"/>
      <c r="B63" s="76"/>
    </row>
    <row r="64" spans="1:2" s="75" customFormat="1" ht="12.75">
      <c r="A64" s="76"/>
      <c r="B64" s="76"/>
    </row>
    <row r="65" spans="1:2" s="75" customFormat="1" ht="12.75">
      <c r="A65" s="76"/>
      <c r="B65" s="76"/>
    </row>
    <row r="66" spans="1:2" s="75" customFormat="1" ht="12.75">
      <c r="A66" s="76"/>
      <c r="B66" s="76"/>
    </row>
    <row r="67" spans="1:2" s="75" customFormat="1" ht="12.75">
      <c r="A67" s="76"/>
      <c r="B67" s="76"/>
    </row>
    <row r="68" spans="1:2" s="75" customFormat="1" ht="12.75">
      <c r="A68" s="76"/>
      <c r="B68" s="76"/>
    </row>
    <row r="69" spans="1:2" s="75" customFormat="1" ht="12.75">
      <c r="A69" s="76"/>
      <c r="B69" s="76"/>
    </row>
    <row r="70" spans="1:2" s="75" customFormat="1" ht="12.75">
      <c r="A70" s="76"/>
      <c r="B70" s="76"/>
    </row>
    <row r="71" spans="1:2" s="75" customFormat="1" ht="12.75">
      <c r="A71" s="76"/>
      <c r="B71" s="76"/>
    </row>
    <row r="72" spans="1:2" s="75" customFormat="1" ht="12.75">
      <c r="A72" s="76"/>
      <c r="B72" s="76"/>
    </row>
    <row r="73" spans="1:2" s="75" customFormat="1" ht="12.75">
      <c r="A73" s="76"/>
      <c r="B73" s="76"/>
    </row>
    <row r="74" spans="1:2" s="75" customFormat="1" ht="12.75">
      <c r="A74" s="76"/>
      <c r="B74" s="76"/>
    </row>
    <row r="75" spans="1:2" s="75" customFormat="1" ht="12.75">
      <c r="A75" s="76"/>
      <c r="B75" s="76"/>
    </row>
    <row r="76" spans="1:2" s="75" customFormat="1" ht="12.75">
      <c r="A76" s="76"/>
      <c r="B76" s="76"/>
    </row>
  </sheetData>
  <sheetProtection/>
  <mergeCells count="14">
    <mergeCell ref="K2:K3"/>
    <mergeCell ref="I2:I3"/>
    <mergeCell ref="J2:J3"/>
    <mergeCell ref="O1:O3"/>
    <mergeCell ref="L1:M2"/>
    <mergeCell ref="N1:N3"/>
    <mergeCell ref="I1:K1"/>
    <mergeCell ref="A1:A3"/>
    <mergeCell ref="B1:B3"/>
    <mergeCell ref="C1:C3"/>
    <mergeCell ref="D1:D3"/>
    <mergeCell ref="F1:G2"/>
    <mergeCell ref="H2:H3"/>
    <mergeCell ref="E1:E3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MEGYEI JOGÚ VÁROS &amp;"Times New Roman,Dőlt"ÖNKORMÁNYZATA ÁLTAL IRÁNYÍTOTT KÖLTSÉGVETÉSI SZERVEK
2013. ÉVI  BEVÉTELI ELŐIRÁNYZATAI&amp;R&amp;"Times New Roman,Dőlt"&amp;9 9.számú melléklet
Adatok: eFt-ban</oddHeader>
    <oddFooter>&amp;C 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Marti</cp:lastModifiedBy>
  <cp:lastPrinted>2013-12-19T14:36:28Z</cp:lastPrinted>
  <dcterms:created xsi:type="dcterms:W3CDTF">2002-12-30T13:12:46Z</dcterms:created>
  <dcterms:modified xsi:type="dcterms:W3CDTF">2014-01-22T14:27:03Z</dcterms:modified>
  <cp:category/>
  <cp:version/>
  <cp:contentType/>
  <cp:contentStatus/>
</cp:coreProperties>
</file>