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gyéb működési" sheetId="7" r:id="rId7"/>
    <sheet name="beruházás" sheetId="8" r:id="rId8"/>
    <sheet name="közgazd. mérleg" sheetId="9" r:id="rId9"/>
    <sheet name=".előirányzat felh.ü." sheetId="10" r:id="rId10"/>
    <sheet name="Munka1" sheetId="11" r:id="rId11"/>
  </sheets>
  <definedNames>
    <definedName name="_xlnm.Print_Area" localSheetId="3">'Köt.önként v. bevétel '!$A$1:$G$23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8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<sst xmlns="http://schemas.openxmlformats.org/spreadsheetml/2006/main" count="677" uniqueCount="411">
  <si>
    <t>tervezett</t>
  </si>
  <si>
    <t>%-a</t>
  </si>
  <si>
    <t>Porpác község Önkormányzata</t>
  </si>
  <si>
    <t>Megnevezés</t>
  </si>
  <si>
    <t>PORPÁC KÖZSÉG ÖNKORMÁNYZATA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</si>
  <si>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</si>
  <si>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</si>
  <si>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</si>
  <si>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</si>
  <si>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</si>
  <si>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</si>
  <si>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</si>
  <si>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</si>
  <si>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</si>
  <si>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</si>
  <si>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</si>
  <si>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</si>
  <si>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</si>
  <si>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</si>
  <si>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</si>
  <si>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</si>
  <si>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</si>
  <si>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</si>
  <si>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</si>
  <si>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</si>
  <si>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</si>
  <si>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</si>
  <si>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</si>
  <si>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</si>
  <si>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</si>
  <si>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</si>
  <si>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</si>
  <si>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</si>
  <si>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</si>
  <si>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</si>
  <si>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</si>
  <si>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</si>
  <si>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</si>
  <si>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</si>
  <si>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</si>
  <si>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</si>
  <si>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</si>
  <si>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</si>
  <si>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</si>
  <si>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</si>
  <si>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</si>
  <si>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</si>
  <si>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</si>
  <si>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</si>
  <si>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</si>
  <si>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</si>
  <si>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</si>
  <si>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</si>
  <si>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</si>
  <si>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</si>
  <si>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</si>
  <si>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</si>
  <si>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</si>
  <si>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</si>
  <si>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</si>
  <si>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</si>
  <si>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</si>
  <si>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</si>
  <si>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</si>
  <si>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</si>
  <si>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</si>
  <si>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</si>
  <si>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</si>
  <si>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</si>
  <si>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</si>
  <si>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</si>
  <si>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</si>
  <si>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</si>
  <si>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</si>
  <si>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</si>
  <si>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</si>
  <si>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</si>
  <si>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</si>
  <si>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</si>
  <si>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</si>
  <si>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</si>
  <si>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</si>
  <si>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</si>
  <si>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</si>
  <si>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</si>
  <si>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</si>
  <si>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</si>
  <si>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</si>
  <si>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</si>
  <si>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</si>
  <si>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</si>
  <si>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</si>
  <si>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</si>
  <si>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</si>
  <si>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</si>
  <si>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</si>
  <si>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</si>
  <si>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</si>
  <si>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</si>
  <si>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</si>
  <si>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</si>
  <si>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</si>
  <si>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</si>
  <si>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</si>
  <si>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</si>
  <si>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</si>
  <si>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</si>
  <si>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</si>
  <si>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</si>
  <si>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</si>
  <si>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</si>
  <si>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</si>
  <si>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</si>
  <si>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</si>
  <si>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</si>
  <si>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</si>
  <si>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</si>
  <si>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</si>
  <si>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</si>
  <si>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</si>
  <si>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</si>
  <si>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</si>
  <si>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</si>
  <si>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</si>
  <si>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</si>
  <si>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</si>
  <si>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</si>
  <si>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</si>
  <si>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</si>
  <si>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</si>
  <si>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</si>
  <si>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</si>
  <si>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</si>
  <si>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</si>
  <si>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</si>
  <si>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</si>
  <si>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</si>
  <si>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</si>
  <si>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</si>
  <si>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</si>
  <si>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</si>
  <si>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</si>
  <si>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</si>
  <si>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</si>
  <si>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</si>
  <si>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</si>
  <si>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</si>
  <si>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</si>
  <si>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</si>
  <si>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</si>
  <si>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</si>
  <si>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</si>
  <si>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</si>
  <si>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</si>
  <si>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</si>
  <si>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</si>
  <si>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</si>
  <si>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</si>
  <si>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</si>
  <si>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</si>
  <si>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</si>
  <si>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</si>
  <si>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</si>
  <si>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</si>
  <si>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</si>
  <si>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</si>
  <si>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</si>
  <si>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</si>
  <si>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</si>
  <si>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</si>
  <si>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</si>
  <si>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</si>
  <si>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</si>
  <si>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</si>
  <si>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</si>
  <si>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</si>
  <si>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</si>
  <si>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</si>
  <si>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</si>
  <si>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</si>
  <si>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</si>
  <si>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</si>
  <si>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</si>
  <si>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</si>
  <si>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</si>
  <si>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</si>
  <si>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</si>
  <si>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</si>
  <si>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</si>
  <si>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</si>
  <si>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</si>
  <si>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</si>
  <si>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</si>
  <si>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</si>
  <si>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</si>
  <si>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</si>
  <si>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</si>
  <si>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</si>
  <si>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</si>
  <si>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</si>
  <si>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</si>
  <si>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</si>
  <si>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</si>
  <si>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</si>
  <si>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</si>
  <si>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</si>
  <si>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</si>
  <si>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</si>
  <si>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</si>
  <si>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</si>
  <si>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</si>
  <si>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</si>
  <si>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</si>
  <si>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</si>
  <si>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</si>
  <si>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</si>
  <si>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</si>
  <si>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</si>
  <si>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</si>
  <si>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</si>
  <si>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</si>
  <si>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</si>
  <si>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</si>
  <si>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</si>
  <si>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</si>
  <si>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</si>
  <si>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</si>
  <si>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</si>
  <si>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</si>
  <si>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</si>
  <si>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</si>
  <si>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</si>
  <si>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</si>
  <si>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</si>
  <si>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</si>
  <si>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</si>
  <si>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</si>
  <si>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</si>
  <si>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</si>
  <si>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</si>
  <si>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</si>
  <si>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</si>
  <si>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</si>
  <si>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</si>
  <si>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</si>
  <si>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</si>
  <si>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</si>
  <si>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</si>
  <si>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</si>
  <si>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</si>
  <si>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</si>
  <si>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</si>
  <si>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</si>
  <si>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</si>
  <si>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</si>
  <si>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</si>
  <si>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</si>
  <si>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</si>
  <si>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</si>
  <si>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</si>
  <si>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</si>
  <si>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</si>
  <si>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</si>
  <si>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</si>
  <si>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</si>
  <si>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</si>
  <si>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</si>
  <si>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</si>
  <si>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</si>
  <si>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</si>
  <si>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</si>
  <si>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</si>
  <si>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</si>
  <si>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</si>
  <si>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</si>
  <si>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</si>
  <si>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</si>
  <si>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</si>
  <si>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</si>
  <si>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</si>
  <si>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</si>
  <si>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</si>
  <si>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</si>
  <si>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</si>
  <si>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</si>
  <si>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</si>
  <si>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 Ft </t>
  </si>
  <si>
    <t>adatok  Ft-ban</t>
  </si>
  <si>
    <t>(  Ft-ban)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</si>
  <si>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</si>
  <si>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</si>
  <si>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</si>
  <si>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</si>
  <si>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</si>
  <si>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</si>
  <si>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 xml:space="preserve">Összesen: </t>
  </si>
  <si>
    <t>1.1</t>
  </si>
  <si>
    <t>1.1.</t>
  </si>
  <si>
    <t>2.2.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</si>
  <si>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</si>
  <si>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</si>
  <si>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</si>
  <si>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</si>
  <si>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</si>
  <si>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</si>
  <si>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</si>
  <si>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</si>
  <si>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</si>
  <si>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</si>
  <si>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</si>
  <si>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</si>
  <si>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</si>
  <si>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</si>
  <si>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</si>
  <si>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</si>
  <si>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</si>
  <si>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</si>
  <si>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</si>
  <si>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</si>
  <si>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</si>
  <si>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</si>
  <si>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</si>
  <si>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</si>
  <si>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</si>
  <si>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</si>
  <si>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</si>
  <si>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</si>
  <si>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</si>
  <si>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</si>
  <si>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1.7.</t>
  </si>
  <si>
    <t>1.6.</t>
  </si>
  <si>
    <t>1.5.</t>
  </si>
  <si>
    <t>2018.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</si>
  <si>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</si>
  <si>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</si>
  <si>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</si>
  <si>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</si>
  <si>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</si>
  <si>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</si>
  <si>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1.sz módosítása</t>
  </si>
  <si>
    <t>1.2</t>
  </si>
  <si>
    <t>2.2</t>
  </si>
  <si>
    <t>2.1</t>
  </si>
  <si>
    <t>3</t>
  </si>
  <si>
    <t>2.1.6.</t>
  </si>
  <si>
    <t>Ft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</si>
  <si>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</si>
  <si>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</si>
  <si>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</si>
  <si>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</si>
  <si>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-3-</t>
  </si>
  <si>
    <t>tervezett  előirányzat              ( Ft)</t>
  </si>
  <si>
    <t xml:space="preserve">2019. évi </t>
  </si>
  <si>
    <t>1. sz. melléklet a 2/2019.(II.13.) önkormányzati rendelethez</t>
  </si>
  <si>
    <t>2019. évre</t>
  </si>
  <si>
    <t>2019. év</t>
  </si>
  <si>
    <t>2. sz. melléklet a 2/2019.(II.13.) önkormányzati rendelethez</t>
  </si>
  <si>
    <t>3. sz. melléklet a 2/2019.(II.13.) önkormányzati rendelethez</t>
  </si>
  <si>
    <t>4. sz. melléklet  a 2/2019.( II.13.) önkormányzati rendelethez</t>
  </si>
  <si>
    <t>5. sz. melléklet a 2/2019.(II.13.) sz. önkormányzati rendelethez</t>
  </si>
  <si>
    <t>10. melléklet a 2/2019.(II.13.) sz. önkormányzati rendelethez</t>
  </si>
  <si>
    <t>11. melléklet a 2/2019. (II.13.) önkormányzati rendelethez</t>
  </si>
  <si>
    <t xml:space="preserve"> 2019. évi előirányzat-felhasználási ütemterve</t>
  </si>
  <si>
    <t>Intézményen kívüli gyermekétkeztetés</t>
  </si>
  <si>
    <t>5</t>
  </si>
  <si>
    <t>063020 Víztermelés-,  kezelés-, ellátás</t>
  </si>
  <si>
    <t>Porpác,Bögöt ívóvízminőség-javtása pályázat építési munkák költségei</t>
  </si>
  <si>
    <t>Összesen: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</si>
  <si>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</si>
  <si>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</si>
  <si>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</si>
  <si>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</si>
  <si>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BERUHÁZÁSi KIADÁSOK</t>
  </si>
  <si>
    <t>8 sz. melléklet a 2/2019.(II.13.) sz. önkormányzati rendelethez</t>
  </si>
  <si>
    <t xml:space="preserve"> 066020 Város- és községgazdálkodási egyéb szolgáltatások</t>
  </si>
  <si>
    <t>3.1</t>
  </si>
  <si>
    <t>Kisértékű eszközbeszerzés ( fűnyíró )</t>
  </si>
  <si>
    <t>3.2.</t>
  </si>
  <si>
    <t xml:space="preserve"> - előző évi elszámolások kiadása államháztartáson belülre</t>
  </si>
  <si>
    <t>EGYÉB MŰKÖDÉSI ÉS FELHALMOZÁSI KIADÁSAI</t>
  </si>
  <si>
    <t>tervezett előirányzat</t>
  </si>
  <si>
    <t>EGYÉB MŰKÖDÉSI KIADÁSOK</t>
  </si>
  <si>
    <t>EGYÉB MŰKÖDÉSI CÉLÚ TÁMOGATÁSOK ÁLLAMHÁZTARTÁSON KÍVÜLRE</t>
  </si>
  <si>
    <t>Vasi Volán részére működési hozzájárulás</t>
  </si>
  <si>
    <t>Civil szervezetek támogatása</t>
  </si>
  <si>
    <t>1.1.2.2.</t>
  </si>
  <si>
    <t xml:space="preserve">  Kistérségi tagdíj</t>
  </si>
  <si>
    <t>1.1.2.3.</t>
  </si>
  <si>
    <t xml:space="preserve">  Sághegy LEADER tagdíj</t>
  </si>
  <si>
    <t>1.1.2.4</t>
  </si>
  <si>
    <t>TÖOSZ tagdíj</t>
  </si>
  <si>
    <t>BURSA Hungarica ösztöndíj pályázat támogatása</t>
  </si>
  <si>
    <t>EGYÉB MŰKÖDÉSI CÉLÚ TÁMOGATÁSOK ÁLLAMHÁZTARTÁSON KÍVÜLRE ÖSSZESEN:</t>
  </si>
  <si>
    <t>EGYÉB MŰKÖDÉSI  KIADÁSOK ÖSSZESEN:</t>
  </si>
  <si>
    <t>1.1.1</t>
  </si>
  <si>
    <t>1.1.2.</t>
  </si>
  <si>
    <t>1.1.3</t>
  </si>
  <si>
    <t>EGYÉB MŰKÖDÉSI CÉLÚ TÁMOGATÁSOK ÁLLAMHÁZTARTÁSON BELÜLRE</t>
  </si>
  <si>
    <t>2017. évi állami támogatások elszámolás utáni visszafizetési kötelezettség</t>
  </si>
  <si>
    <t>EGYÉB MŰKÖDÉSI CÉLÚ TÁMOGATÁSOK ÁLLAMHÁZTARTÁSON BELÜLRE ÖSSZESEN:</t>
  </si>
  <si>
    <t>TARTALÉK</t>
  </si>
  <si>
    <t>7. sz . melléklet a  2./2019.(II.13.) sz. önkormányzati rendelethez</t>
  </si>
  <si>
    <t>1. sz. melléklet a 7/2019.(V.29.) önkormányzati rendelethez</t>
  </si>
  <si>
    <t>2. sz. melléklet a 7/2019.(V.29.) önkormányzati rendelethez</t>
  </si>
  <si>
    <t>3. sz. melléklet a 7/2019.(V.29.) önkormányzati rendelethez</t>
  </si>
  <si>
    <t>4. sz. melléklet a 7/2019.(V.29.) önkormányzati rendelethez</t>
  </si>
  <si>
    <t>5. sz. melléklet a 7/2019.(V.29.) önkormányzati rendelethez</t>
  </si>
  <si>
    <t>6. sz. melléklet a 7/2019.(V.29.) önkormányzati rendelethez</t>
  </si>
  <si>
    <t>7. sz. melléklet a 7/2019.(V.29.) önkormányzati rendelethez</t>
  </si>
  <si>
    <t>8. sz. melléklet a 7/2019.(V.29.) önkormányzati rendelethez</t>
  </si>
  <si>
    <t>9. sz. melléklet a 7/2019.(V.29.)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</si>
</sst>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Bold Italic"/>
      <family val="1"/>
    </font>
    <font>
      <sz val="12"/>
      <color indexed="8"/>
      <name val="Times Bold Italic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61" applyFont="1">
      <alignment/>
      <protection/>
    </xf>
    <xf numFmtId="0" fontId="15" fillId="0" borderId="0" xfId="61" applyFont="1" applyBorder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6" applyFont="1">
      <alignment/>
      <protection/>
    </xf>
    <xf numFmtId="168" fontId="8" fillId="0" borderId="0" xfId="40" applyNumberFormat="1" applyFont="1" applyAlignment="1">
      <alignment/>
    </xf>
    <xf numFmtId="0" fontId="15" fillId="0" borderId="0" xfId="56" applyFont="1">
      <alignment/>
      <protection/>
    </xf>
    <xf numFmtId="168" fontId="15" fillId="0" borderId="0" xfId="40" applyNumberFormat="1" applyFont="1" applyAlignment="1">
      <alignment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22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24" fillId="0" borderId="0" xfId="40" applyNumberFormat="1" applyFont="1" applyAlignment="1">
      <alignment wrapText="1"/>
    </xf>
    <xf numFmtId="168" fontId="24" fillId="0" borderId="0" xfId="40" applyNumberFormat="1" applyFont="1" applyAlignment="1">
      <alignment/>
    </xf>
    <xf numFmtId="164" fontId="2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6" applyFont="1" applyBorder="1" applyAlignment="1">
      <alignment horizontal="center"/>
      <protection/>
    </xf>
    <xf numFmtId="0" fontId="9" fillId="0" borderId="0" xfId="59" applyFont="1" applyAlignment="1">
      <alignment horizontal="left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9" fillId="0" borderId="0" xfId="59" applyFont="1" applyAlignment="1">
      <alignment vertical="justify"/>
      <protection/>
    </xf>
    <xf numFmtId="0" fontId="11" fillId="0" borderId="0" xfId="59" applyFont="1" applyAlignment="1">
      <alignment horizontal="left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6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5" fillId="0" borderId="0" xfId="56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5" fillId="0" borderId="0" xfId="60" applyFont="1">
      <alignment/>
      <protection/>
    </xf>
    <xf numFmtId="0" fontId="15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61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5" fillId="0" borderId="0" xfId="61" applyFont="1" applyBorder="1" applyAlignment="1">
      <alignment/>
      <protection/>
    </xf>
    <xf numFmtId="0" fontId="16" fillId="0" borderId="0" xfId="61" applyFont="1" applyBorder="1" applyAlignment="1">
      <alignment horizontal="right"/>
      <protection/>
    </xf>
    <xf numFmtId="0" fontId="15" fillId="0" borderId="0" xfId="60" applyFont="1" applyBorder="1">
      <alignment/>
      <protection/>
    </xf>
    <xf numFmtId="0" fontId="15" fillId="0" borderId="0" xfId="60" applyFont="1" applyAlignment="1">
      <alignment horizontal="left" indent="14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168" fontId="25" fillId="0" borderId="0" xfId="40" applyNumberFormat="1" applyFont="1" applyAlignment="1">
      <alignment/>
    </xf>
    <xf numFmtId="168" fontId="25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8" fontId="25" fillId="0" borderId="10" xfId="40" applyNumberFormat="1" applyFont="1" applyBorder="1" applyAlignment="1">
      <alignment/>
    </xf>
    <xf numFmtId="168" fontId="25" fillId="0" borderId="14" xfId="40" applyNumberFormat="1" applyFont="1" applyBorder="1" applyAlignment="1">
      <alignment/>
    </xf>
    <xf numFmtId="168" fontId="25" fillId="0" borderId="15" xfId="40" applyNumberFormat="1" applyFont="1" applyBorder="1" applyAlignment="1">
      <alignment/>
    </xf>
    <xf numFmtId="168" fontId="25" fillId="0" borderId="16" xfId="40" applyNumberFormat="1" applyFont="1" applyBorder="1" applyAlignment="1">
      <alignment/>
    </xf>
    <xf numFmtId="168" fontId="5" fillId="0" borderId="16" xfId="40" applyNumberFormat="1" applyFont="1" applyBorder="1" applyAlignment="1">
      <alignment/>
    </xf>
    <xf numFmtId="168" fontId="5" fillId="0" borderId="15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18" xfId="40" applyNumberFormat="1" applyFont="1" applyBorder="1" applyAlignment="1">
      <alignment horizontal="center"/>
    </xf>
    <xf numFmtId="168" fontId="5" fillId="0" borderId="19" xfId="40" applyNumberFormat="1" applyFont="1" applyBorder="1" applyAlignment="1">
      <alignment horizontal="center"/>
    </xf>
    <xf numFmtId="168" fontId="5" fillId="0" borderId="20" xfId="40" applyNumberFormat="1" applyFont="1" applyBorder="1" applyAlignment="1">
      <alignment horizontal="center"/>
    </xf>
    <xf numFmtId="168" fontId="25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22" xfId="40" applyNumberFormat="1" applyFont="1" applyBorder="1" applyAlignment="1">
      <alignment/>
    </xf>
    <xf numFmtId="168" fontId="5" fillId="0" borderId="23" xfId="40" applyNumberFormat="1" applyFont="1" applyBorder="1" applyAlignment="1">
      <alignment/>
    </xf>
    <xf numFmtId="168" fontId="5" fillId="0" borderId="24" xfId="40" applyNumberFormat="1" applyFont="1" applyBorder="1" applyAlignment="1">
      <alignment/>
    </xf>
    <xf numFmtId="0" fontId="5" fillId="0" borderId="25" xfId="0" applyFont="1" applyBorder="1" applyAlignment="1">
      <alignment/>
    </xf>
    <xf numFmtId="0" fontId="25" fillId="0" borderId="0" xfId="0" applyFont="1" applyBorder="1" applyAlignment="1">
      <alignment/>
    </xf>
    <xf numFmtId="168" fontId="5" fillId="0" borderId="20" xfId="40" applyNumberFormat="1" applyFont="1" applyBorder="1" applyAlignment="1">
      <alignment/>
    </xf>
    <xf numFmtId="168" fontId="5" fillId="0" borderId="18" xfId="40" applyNumberFormat="1" applyFont="1" applyBorder="1" applyAlignment="1">
      <alignment/>
    </xf>
    <xf numFmtId="168" fontId="5" fillId="0" borderId="19" xfId="40" applyNumberFormat="1" applyFont="1" applyBorder="1" applyAlignment="1">
      <alignment/>
    </xf>
    <xf numFmtId="168" fontId="5" fillId="0" borderId="26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8" fontId="5" fillId="0" borderId="28" xfId="40" applyNumberFormat="1" applyFont="1" applyBorder="1" applyAlignment="1">
      <alignment/>
    </xf>
    <xf numFmtId="168" fontId="5" fillId="0" borderId="29" xfId="4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68" fontId="5" fillId="0" borderId="28" xfId="40" applyNumberFormat="1" applyFont="1" applyBorder="1" applyAlignment="1">
      <alignment/>
    </xf>
    <xf numFmtId="0" fontId="5" fillId="0" borderId="28" xfId="0" applyFont="1" applyBorder="1" applyAlignment="1">
      <alignment/>
    </xf>
    <xf numFmtId="168" fontId="0" fillId="0" borderId="28" xfId="40" applyNumberFormat="1" applyFont="1" applyFill="1" applyBorder="1" applyAlignment="1">
      <alignment/>
    </xf>
    <xf numFmtId="168" fontId="0" fillId="0" borderId="30" xfId="40" applyNumberFormat="1" applyFont="1" applyFill="1" applyBorder="1" applyAlignment="1">
      <alignment/>
    </xf>
    <xf numFmtId="168" fontId="5" fillId="0" borderId="28" xfId="40" applyNumberFormat="1" applyFont="1" applyFill="1" applyBorder="1" applyAlignment="1">
      <alignment/>
    </xf>
    <xf numFmtId="168" fontId="5" fillId="0" borderId="30" xfId="4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168" fontId="25" fillId="0" borderId="34" xfId="40" applyNumberFormat="1" applyFont="1" applyBorder="1" applyAlignment="1">
      <alignment/>
    </xf>
    <xf numFmtId="168" fontId="25" fillId="0" borderId="33" xfId="4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25" fillId="0" borderId="35" xfId="0" applyFont="1" applyBorder="1" applyAlignment="1">
      <alignment/>
    </xf>
    <xf numFmtId="168" fontId="5" fillId="0" borderId="36" xfId="40" applyNumberFormat="1" applyFont="1" applyBorder="1" applyAlignment="1">
      <alignment/>
    </xf>
    <xf numFmtId="168" fontId="5" fillId="0" borderId="30" xfId="40" applyNumberFormat="1" applyFont="1" applyBorder="1" applyAlignment="1">
      <alignment/>
    </xf>
    <xf numFmtId="0" fontId="5" fillId="0" borderId="33" xfId="0" applyFont="1" applyBorder="1" applyAlignment="1">
      <alignment/>
    </xf>
    <xf numFmtId="0" fontId="25" fillId="0" borderId="37" xfId="0" applyFont="1" applyBorder="1" applyAlignment="1">
      <alignment/>
    </xf>
    <xf numFmtId="168" fontId="5" fillId="0" borderId="38" xfId="40" applyNumberFormat="1" applyFont="1" applyBorder="1" applyAlignment="1">
      <alignment/>
    </xf>
    <xf numFmtId="168" fontId="5" fillId="0" borderId="39" xfId="4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0" xfId="61" applyFont="1" applyFill="1" applyBorder="1">
      <alignment/>
      <protection/>
    </xf>
    <xf numFmtId="0" fontId="15" fillId="0" borderId="0" xfId="61" applyFont="1" applyAlignment="1">
      <alignment horizontal="center" vertical="center"/>
      <protection/>
    </xf>
    <xf numFmtId="0" fontId="11" fillId="0" borderId="0" xfId="56" applyFont="1" applyAlignment="1">
      <alignment horizontal="left" wrapText="1"/>
      <protection/>
    </xf>
    <xf numFmtId="0" fontId="11" fillId="0" borderId="0" xfId="56" applyFont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0" fontId="29" fillId="0" borderId="0" xfId="58" applyFont="1">
      <alignment/>
      <protection/>
    </xf>
    <xf numFmtId="0" fontId="4" fillId="0" borderId="0" xfId="58" applyFont="1">
      <alignment/>
      <protection/>
    </xf>
    <xf numFmtId="0" fontId="8" fillId="0" borderId="0" xfId="58" applyFont="1" applyAlignment="1">
      <alignment wrapText="1"/>
      <protection/>
    </xf>
    <xf numFmtId="168" fontId="8" fillId="0" borderId="0" xfId="40" applyNumberFormat="1" applyFont="1" applyAlignment="1">
      <alignment wrapText="1"/>
    </xf>
    <xf numFmtId="0" fontId="8" fillId="0" borderId="0" xfId="58" applyFont="1" applyAlignment="1">
      <alignment horizontal="left"/>
      <protection/>
    </xf>
    <xf numFmtId="168" fontId="8" fillId="0" borderId="0" xfId="40" applyNumberFormat="1" applyFont="1" applyAlignment="1">
      <alignment horizontal="right"/>
    </xf>
    <xf numFmtId="0" fontId="4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61" applyFont="1">
      <alignment/>
      <protection/>
    </xf>
    <xf numFmtId="168" fontId="4" fillId="0" borderId="0" xfId="40" applyNumberFormat="1" applyFont="1" applyAlignment="1">
      <alignment horizontal="right"/>
    </xf>
    <xf numFmtId="0" fontId="4" fillId="0" borderId="0" xfId="58" applyFont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5" fillId="0" borderId="40" xfId="0" applyFont="1" applyBorder="1" applyAlignment="1">
      <alignment horizontal="center" vertical="center"/>
    </xf>
    <xf numFmtId="41" fontId="8" fillId="0" borderId="41" xfId="61" applyNumberFormat="1" applyFont="1" applyBorder="1" applyAlignment="1">
      <alignment horizontal="right" vertical="center"/>
      <protection/>
    </xf>
    <xf numFmtId="0" fontId="5" fillId="0" borderId="42" xfId="0" applyFont="1" applyBorder="1" applyAlignment="1">
      <alignment horizontal="center" vertical="center"/>
    </xf>
    <xf numFmtId="0" fontId="11" fillId="0" borderId="43" xfId="61" applyFont="1" applyBorder="1" applyAlignment="1" quotePrefix="1">
      <alignment horizontal="center" vertical="center" wrapText="1"/>
      <protection/>
    </xf>
    <xf numFmtId="0" fontId="11" fillId="0" borderId="44" xfId="61" applyFont="1" applyBorder="1" applyAlignment="1">
      <alignment horizontal="left" wrapText="1"/>
      <protection/>
    </xf>
    <xf numFmtId="41" fontId="8" fillId="0" borderId="44" xfId="61" applyNumberFormat="1" applyFont="1" applyBorder="1" applyAlignment="1">
      <alignment horizontal="right" vertical="center"/>
      <protection/>
    </xf>
    <xf numFmtId="41" fontId="8" fillId="0" borderId="45" xfId="61" applyNumberFormat="1" applyFont="1" applyBorder="1" applyAlignment="1">
      <alignment horizontal="right" vertical="center"/>
      <protection/>
    </xf>
    <xf numFmtId="0" fontId="8" fillId="0" borderId="46" xfId="61" applyFont="1" applyBorder="1" applyAlignment="1" quotePrefix="1">
      <alignment horizontal="center" vertical="center" wrapText="1"/>
      <protection/>
    </xf>
    <xf numFmtId="0" fontId="8" fillId="0" borderId="42" xfId="61" applyFont="1" applyBorder="1" applyAlignment="1">
      <alignment horizontal="left" wrapText="1"/>
      <protection/>
    </xf>
    <xf numFmtId="41" fontId="8" fillId="0" borderId="47" xfId="61" applyNumberFormat="1" applyFont="1" applyBorder="1" applyAlignment="1">
      <alignment horizontal="right" vertical="center"/>
      <protection/>
    </xf>
    <xf numFmtId="41" fontId="8" fillId="0" borderId="42" xfId="61" applyNumberFormat="1" applyFont="1" applyBorder="1" applyAlignment="1">
      <alignment horizontal="right" vertical="center"/>
      <protection/>
    </xf>
    <xf numFmtId="41" fontId="8" fillId="0" borderId="48" xfId="61" applyNumberFormat="1" applyFont="1" applyBorder="1" applyAlignment="1">
      <alignment horizontal="right" vertical="center"/>
      <protection/>
    </xf>
    <xf numFmtId="0" fontId="11" fillId="0" borderId="46" xfId="61" applyFont="1" applyBorder="1" applyAlignment="1" quotePrefix="1">
      <alignment horizontal="center" vertical="center" wrapText="1"/>
      <protection/>
    </xf>
    <xf numFmtId="0" fontId="11" fillId="0" borderId="42" xfId="61" applyFont="1" applyBorder="1">
      <alignment/>
      <protection/>
    </xf>
    <xf numFmtId="0" fontId="8" fillId="0" borderId="47" xfId="61" applyFont="1" applyBorder="1" applyAlignment="1" quotePrefix="1">
      <alignment horizontal="center" vertical="center" wrapText="1"/>
      <protection/>
    </xf>
    <xf numFmtId="41" fontId="8" fillId="0" borderId="49" xfId="61" applyNumberFormat="1" applyFont="1" applyBorder="1" applyAlignment="1">
      <alignment horizontal="right" vertical="center"/>
      <protection/>
    </xf>
    <xf numFmtId="41" fontId="8" fillId="0" borderId="50" xfId="61" applyNumberFormat="1" applyFont="1" applyBorder="1" applyAlignment="1">
      <alignment horizontal="right" vertical="center"/>
      <protection/>
    </xf>
    <xf numFmtId="0" fontId="5" fillId="0" borderId="33" xfId="0" applyFont="1" applyBorder="1" applyAlignment="1">
      <alignment horizontal="center" vertical="center"/>
    </xf>
    <xf numFmtId="0" fontId="8" fillId="0" borderId="37" xfId="61" applyFont="1" applyBorder="1">
      <alignment/>
      <protection/>
    </xf>
    <xf numFmtId="0" fontId="4" fillId="0" borderId="33" xfId="61" applyFont="1" applyBorder="1">
      <alignment/>
      <protection/>
    </xf>
    <xf numFmtId="41" fontId="4" fillId="0" borderId="51" xfId="61" applyNumberFormat="1" applyFont="1" applyBorder="1" applyAlignment="1">
      <alignment horizontal="right"/>
      <protection/>
    </xf>
    <xf numFmtId="41" fontId="4" fillId="0" borderId="52" xfId="61" applyNumberFormat="1" applyFont="1" applyBorder="1" applyAlignment="1">
      <alignment horizontal="right"/>
      <protection/>
    </xf>
    <xf numFmtId="41" fontId="4" fillId="0" borderId="33" xfId="61" applyNumberFormat="1" applyFont="1" applyBorder="1" applyAlignment="1">
      <alignment horizontal="right"/>
      <protection/>
    </xf>
    <xf numFmtId="0" fontId="11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53" xfId="61" applyFont="1" applyBorder="1" applyAlignment="1" quotePrefix="1">
      <alignment horizontal="center" vertical="center" wrapText="1"/>
      <protection/>
    </xf>
    <xf numFmtId="0" fontId="11" fillId="0" borderId="40" xfId="61" applyFont="1" applyBorder="1" applyAlignment="1">
      <alignment horizontal="left" wrapText="1"/>
      <protection/>
    </xf>
    <xf numFmtId="3" fontId="9" fillId="0" borderId="54" xfId="61" applyNumberFormat="1" applyFont="1" applyBorder="1" applyAlignment="1">
      <alignment horizontal="right"/>
      <protection/>
    </xf>
    <xf numFmtId="3" fontId="11" fillId="0" borderId="27" xfId="61" applyNumberFormat="1" applyFont="1" applyBorder="1" applyAlignment="1">
      <alignment horizontal="right"/>
      <protection/>
    </xf>
    <xf numFmtId="3" fontId="11" fillId="0" borderId="28" xfId="61" applyNumberFormat="1" applyFont="1" applyBorder="1" applyAlignment="1">
      <alignment horizontal="right"/>
      <protection/>
    </xf>
    <xf numFmtId="3" fontId="24" fillId="0" borderId="29" xfId="61" applyNumberFormat="1" applyFont="1" applyBorder="1">
      <alignment/>
      <protection/>
    </xf>
    <xf numFmtId="3" fontId="11" fillId="0" borderId="27" xfId="61" applyNumberFormat="1" applyFont="1" applyBorder="1">
      <alignment/>
      <protection/>
    </xf>
    <xf numFmtId="3" fontId="11" fillId="0" borderId="28" xfId="61" applyNumberFormat="1" applyFont="1" applyBorder="1">
      <alignment/>
      <protection/>
    </xf>
    <xf numFmtId="3" fontId="22" fillId="0" borderId="47" xfId="61" applyNumberFormat="1" applyFont="1" applyBorder="1">
      <alignment/>
      <protection/>
    </xf>
    <xf numFmtId="3" fontId="11" fillId="0" borderId="30" xfId="61" applyNumberFormat="1" applyFont="1" applyBorder="1">
      <alignment/>
      <protection/>
    </xf>
    <xf numFmtId="3" fontId="11" fillId="0" borderId="53" xfId="61" applyNumberFormat="1" applyFont="1" applyBorder="1">
      <alignment/>
      <protection/>
    </xf>
    <xf numFmtId="3" fontId="5" fillId="0" borderId="42" xfId="0" applyNumberFormat="1" applyFont="1" applyBorder="1" applyAlignment="1">
      <alignment/>
    </xf>
    <xf numFmtId="0" fontId="11" fillId="0" borderId="42" xfId="61" applyFont="1" applyBorder="1" applyAlignment="1">
      <alignment horizontal="left" wrapText="1"/>
      <protection/>
    </xf>
    <xf numFmtId="3" fontId="9" fillId="0" borderId="47" xfId="61" applyNumberFormat="1" applyFont="1" applyBorder="1" applyAlignment="1">
      <alignment horizontal="right"/>
      <protection/>
    </xf>
    <xf numFmtId="3" fontId="11" fillId="0" borderId="43" xfId="61" applyNumberFormat="1" applyFont="1" applyBorder="1">
      <alignment/>
      <protection/>
    </xf>
    <xf numFmtId="0" fontId="73" fillId="0" borderId="42" xfId="0" applyFont="1" applyBorder="1" applyAlignment="1">
      <alignment horizontal="center" vertical="center"/>
    </xf>
    <xf numFmtId="0" fontId="11" fillId="0" borderId="42" xfId="61" applyFont="1" applyBorder="1" applyAlignment="1">
      <alignment horizontal="left" vertical="center" wrapText="1"/>
      <protection/>
    </xf>
    <xf numFmtId="3" fontId="9" fillId="0" borderId="47" xfId="61" applyNumberFormat="1" applyFont="1" applyBorder="1" applyAlignment="1">
      <alignment horizontal="right" vertical="center"/>
      <protection/>
    </xf>
    <xf numFmtId="3" fontId="11" fillId="0" borderId="27" xfId="61" applyNumberFormat="1" applyFont="1" applyBorder="1" applyAlignment="1">
      <alignment horizontal="right" vertical="center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24" fillId="0" borderId="29" xfId="61" applyNumberFormat="1" applyFont="1" applyBorder="1" applyAlignment="1">
      <alignment vertical="center"/>
      <protection/>
    </xf>
    <xf numFmtId="3" fontId="11" fillId="0" borderId="27" xfId="61" applyNumberFormat="1" applyFont="1" applyBorder="1" applyAlignment="1">
      <alignment vertical="center"/>
      <protection/>
    </xf>
    <xf numFmtId="3" fontId="11" fillId="0" borderId="28" xfId="61" applyNumberFormat="1" applyFont="1" applyBorder="1" applyAlignment="1">
      <alignment vertical="center"/>
      <protection/>
    </xf>
    <xf numFmtId="3" fontId="22" fillId="0" borderId="47" xfId="61" applyNumberFormat="1" applyFont="1" applyBorder="1" applyAlignment="1">
      <alignment vertical="center"/>
      <protection/>
    </xf>
    <xf numFmtId="3" fontId="11" fillId="0" borderId="30" xfId="61" applyNumberFormat="1" applyFont="1" applyBorder="1" applyAlignment="1">
      <alignment vertical="center"/>
      <protection/>
    </xf>
    <xf numFmtId="3" fontId="11" fillId="0" borderId="46" xfId="61" applyNumberFormat="1" applyFont="1" applyBorder="1" applyAlignment="1">
      <alignment vertical="center"/>
      <protection/>
    </xf>
    <xf numFmtId="3" fontId="5" fillId="0" borderId="42" xfId="0" applyNumberFormat="1" applyFont="1" applyBorder="1" applyAlignment="1">
      <alignment vertical="center"/>
    </xf>
    <xf numFmtId="3" fontId="11" fillId="0" borderId="46" xfId="61" applyNumberFormat="1" applyFont="1" applyBorder="1">
      <alignment/>
      <protection/>
    </xf>
    <xf numFmtId="0" fontId="11" fillId="0" borderId="42" xfId="61" applyFont="1" applyBorder="1" applyAlignment="1">
      <alignment wrapText="1"/>
      <protection/>
    </xf>
    <xf numFmtId="3" fontId="22" fillId="0" borderId="55" xfId="61" applyNumberFormat="1" applyFont="1" applyBorder="1">
      <alignment/>
      <protection/>
    </xf>
    <xf numFmtId="3" fontId="11" fillId="0" borderId="31" xfId="61" applyNumberFormat="1" applyFont="1" applyBorder="1" applyAlignment="1">
      <alignment horizontal="right"/>
      <protection/>
    </xf>
    <xf numFmtId="3" fontId="11" fillId="0" borderId="32" xfId="61" applyNumberFormat="1" applyFont="1" applyBorder="1" applyAlignment="1">
      <alignment horizontal="right"/>
      <protection/>
    </xf>
    <xf numFmtId="3" fontId="11" fillId="0" borderId="31" xfId="61" applyNumberFormat="1" applyFont="1" applyBorder="1">
      <alignment/>
      <protection/>
    </xf>
    <xf numFmtId="3" fontId="11" fillId="0" borderId="32" xfId="61" applyNumberFormat="1" applyFont="1" applyBorder="1">
      <alignment/>
      <protection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11" fillId="0" borderId="56" xfId="61" applyFont="1" applyBorder="1" applyAlignment="1" quotePrefix="1">
      <alignment horizontal="center" vertical="center" wrapText="1"/>
      <protection/>
    </xf>
    <xf numFmtId="0" fontId="11" fillId="0" borderId="50" xfId="61" applyFont="1" applyBorder="1" applyAlignment="1">
      <alignment wrapText="1"/>
      <protection/>
    </xf>
    <xf numFmtId="3" fontId="9" fillId="0" borderId="57" xfId="61" applyNumberFormat="1" applyFont="1" applyBorder="1" applyAlignment="1">
      <alignment horizontal="right"/>
      <protection/>
    </xf>
    <xf numFmtId="3" fontId="11" fillId="0" borderId="58" xfId="61" applyNumberFormat="1" applyFont="1" applyBorder="1" applyAlignment="1">
      <alignment horizontal="right"/>
      <protection/>
    </xf>
    <xf numFmtId="3" fontId="11" fillId="0" borderId="59" xfId="61" applyNumberFormat="1" applyFont="1" applyBorder="1" applyAlignment="1">
      <alignment horizontal="right"/>
      <protection/>
    </xf>
    <xf numFmtId="3" fontId="24" fillId="0" borderId="60" xfId="61" applyNumberFormat="1" applyFont="1" applyBorder="1">
      <alignment/>
      <protection/>
    </xf>
    <xf numFmtId="3" fontId="11" fillId="0" borderId="58" xfId="61" applyNumberFormat="1" applyFont="1" applyBorder="1">
      <alignment/>
      <protection/>
    </xf>
    <xf numFmtId="3" fontId="11" fillId="0" borderId="59" xfId="61" applyNumberFormat="1" applyFont="1" applyBorder="1">
      <alignment/>
      <protection/>
    </xf>
    <xf numFmtId="0" fontId="8" fillId="0" borderId="21" xfId="61" applyFont="1" applyBorder="1">
      <alignment/>
      <protection/>
    </xf>
    <xf numFmtId="0" fontId="4" fillId="0" borderId="12" xfId="61" applyFont="1" applyBorder="1">
      <alignment/>
      <protection/>
    </xf>
    <xf numFmtId="3" fontId="4" fillId="0" borderId="51" xfId="61" applyNumberFormat="1" applyFont="1" applyBorder="1" applyAlignment="1">
      <alignment horizontal="right"/>
      <protection/>
    </xf>
    <xf numFmtId="3" fontId="4" fillId="0" borderId="37" xfId="61" applyNumberFormat="1" applyFont="1" applyBorder="1" applyAlignment="1">
      <alignment horizontal="right"/>
      <protection/>
    </xf>
    <xf numFmtId="3" fontId="34" fillId="0" borderId="33" xfId="61" applyNumberFormat="1" applyFont="1" applyBorder="1">
      <alignment/>
      <protection/>
    </xf>
    <xf numFmtId="3" fontId="4" fillId="0" borderId="33" xfId="0" applyNumberFormat="1" applyFont="1" applyBorder="1" applyAlignment="1">
      <alignment/>
    </xf>
    <xf numFmtId="0" fontId="8" fillId="0" borderId="40" xfId="61" applyFont="1" applyBorder="1" applyAlignment="1" quotePrefix="1">
      <alignment horizontal="center" vertical="center" wrapText="1"/>
      <protection/>
    </xf>
    <xf numFmtId="0" fontId="8" fillId="0" borderId="61" xfId="61" applyFont="1" applyBorder="1" applyAlignment="1">
      <alignment horizontal="left" wrapText="1"/>
      <protection/>
    </xf>
    <xf numFmtId="41" fontId="8" fillId="0" borderId="40" xfId="61" applyNumberFormat="1" applyFont="1" applyBorder="1" applyAlignment="1">
      <alignment horizontal="right"/>
      <protection/>
    </xf>
    <xf numFmtId="41" fontId="8" fillId="0" borderId="62" xfId="61" applyNumberFormat="1" applyFont="1" applyBorder="1" applyAlignment="1">
      <alignment horizontal="right"/>
      <protection/>
    </xf>
    <xf numFmtId="41" fontId="8" fillId="0" borderId="35" xfId="61" applyNumberFormat="1" applyFont="1" applyBorder="1" applyAlignment="1">
      <alignment horizontal="right"/>
      <protection/>
    </xf>
    <xf numFmtId="41" fontId="8" fillId="0" borderId="63" xfId="61" applyNumberFormat="1" applyFont="1" applyBorder="1" applyAlignment="1">
      <alignment horizontal="right"/>
      <protection/>
    </xf>
    <xf numFmtId="0" fontId="8" fillId="0" borderId="42" xfId="61" applyFont="1" applyBorder="1" applyAlignment="1" quotePrefix="1">
      <alignment horizontal="center" vertical="center" wrapText="1"/>
      <protection/>
    </xf>
    <xf numFmtId="41" fontId="8" fillId="0" borderId="42" xfId="61" applyNumberFormat="1" applyFont="1" applyBorder="1" applyAlignment="1">
      <alignment horizontal="right"/>
      <protection/>
    </xf>
    <xf numFmtId="41" fontId="8" fillId="0" borderId="55" xfId="61" applyNumberFormat="1" applyFont="1" applyBorder="1" applyAlignment="1">
      <alignment horizontal="right"/>
      <protection/>
    </xf>
    <xf numFmtId="41" fontId="8" fillId="0" borderId="28" xfId="61" applyNumberFormat="1" applyFont="1" applyBorder="1" applyAlignment="1">
      <alignment horizontal="right"/>
      <protection/>
    </xf>
    <xf numFmtId="41" fontId="8" fillId="0" borderId="29" xfId="61" applyNumberFormat="1" applyFont="1" applyBorder="1" applyAlignment="1">
      <alignment horizontal="right"/>
      <protection/>
    </xf>
    <xf numFmtId="0" fontId="8" fillId="0" borderId="46" xfId="61" applyFont="1" applyBorder="1" applyAlignment="1">
      <alignment wrapText="1"/>
      <protection/>
    </xf>
    <xf numFmtId="41" fontId="8" fillId="0" borderId="64" xfId="61" applyNumberFormat="1" applyFont="1" applyBorder="1" applyAlignment="1">
      <alignment horizontal="right"/>
      <protection/>
    </xf>
    <xf numFmtId="41" fontId="8" fillId="0" borderId="32" xfId="61" applyNumberFormat="1" applyFont="1" applyBorder="1" applyAlignment="1">
      <alignment horizontal="right"/>
      <protection/>
    </xf>
    <xf numFmtId="41" fontId="8" fillId="0" borderId="65" xfId="61" applyNumberFormat="1" applyFont="1" applyBorder="1" applyAlignment="1">
      <alignment horizontal="right"/>
      <protection/>
    </xf>
    <xf numFmtId="41" fontId="8" fillId="0" borderId="50" xfId="61" applyNumberFormat="1" applyFont="1" applyBorder="1" applyAlignment="1">
      <alignment horizontal="right"/>
      <protection/>
    </xf>
    <xf numFmtId="0" fontId="4" fillId="0" borderId="37" xfId="61" applyFont="1" applyBorder="1">
      <alignment/>
      <protection/>
    </xf>
    <xf numFmtId="41" fontId="4" fillId="0" borderId="37" xfId="61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1" fillId="0" borderId="0" xfId="56" applyFont="1">
      <alignment/>
      <protection/>
    </xf>
    <xf numFmtId="168" fontId="31" fillId="0" borderId="0" xfId="40" applyNumberFormat="1" applyFont="1" applyAlignment="1">
      <alignment/>
    </xf>
    <xf numFmtId="0" fontId="31" fillId="0" borderId="0" xfId="56" applyFont="1" applyAlignment="1">
      <alignment horizontal="right"/>
      <protection/>
    </xf>
    <xf numFmtId="0" fontId="35" fillId="0" borderId="0" xfId="0" applyFont="1" applyAlignment="1">
      <alignment/>
    </xf>
    <xf numFmtId="0" fontId="32" fillId="0" borderId="0" xfId="56" applyFont="1" applyAlignment="1">
      <alignment/>
      <protection/>
    </xf>
    <xf numFmtId="0" fontId="32" fillId="0" borderId="10" xfId="56" applyFont="1" applyBorder="1" applyAlignment="1">
      <alignment/>
      <protection/>
    </xf>
    <xf numFmtId="0" fontId="32" fillId="0" borderId="10" xfId="56" applyFont="1" applyBorder="1" applyAlignment="1">
      <alignment horizontal="center"/>
      <protection/>
    </xf>
    <xf numFmtId="168" fontId="32" fillId="0" borderId="10" xfId="40" applyNumberFormat="1" applyFont="1" applyBorder="1" applyAlignment="1">
      <alignment horizontal="center"/>
    </xf>
    <xf numFmtId="0" fontId="32" fillId="0" borderId="11" xfId="56" applyFont="1" applyBorder="1">
      <alignment/>
      <protection/>
    </xf>
    <xf numFmtId="0" fontId="32" fillId="0" borderId="11" xfId="56" applyFont="1" applyBorder="1" applyAlignment="1">
      <alignment horizontal="center"/>
      <protection/>
    </xf>
    <xf numFmtId="168" fontId="32" fillId="0" borderId="11" xfId="40" applyNumberFormat="1" applyFont="1" applyBorder="1" applyAlignment="1">
      <alignment horizontal="center"/>
    </xf>
    <xf numFmtId="0" fontId="32" fillId="0" borderId="12" xfId="56" applyFont="1" applyBorder="1">
      <alignment/>
      <protection/>
    </xf>
    <xf numFmtId="0" fontId="32" fillId="0" borderId="12" xfId="56" applyFont="1" applyBorder="1" applyAlignment="1">
      <alignment horizontal="center"/>
      <protection/>
    </xf>
    <xf numFmtId="168" fontId="32" fillId="0" borderId="12" xfId="40" applyNumberFormat="1" applyFont="1" applyBorder="1" applyAlignment="1">
      <alignment horizontal="center"/>
    </xf>
    <xf numFmtId="0" fontId="31" fillId="0" borderId="0" xfId="56" applyFont="1" applyBorder="1" applyAlignment="1">
      <alignment horizontal="right"/>
      <protection/>
    </xf>
    <xf numFmtId="0" fontId="31" fillId="0" borderId="0" xfId="56" applyFont="1" applyBorder="1" applyAlignment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56" applyFont="1" applyBorder="1" applyAlignment="1">
      <alignment wrapText="1"/>
      <protection/>
    </xf>
    <xf numFmtId="0" fontId="32" fillId="0" borderId="28" xfId="56" applyFont="1" applyBorder="1" applyAlignment="1">
      <alignment horizontal="right"/>
      <protection/>
    </xf>
    <xf numFmtId="0" fontId="32" fillId="0" borderId="28" xfId="56" applyFont="1" applyBorder="1" applyAlignment="1">
      <alignment/>
      <protection/>
    </xf>
    <xf numFmtId="168" fontId="32" fillId="0" borderId="28" xfId="40" applyNumberFormat="1" applyFont="1" applyBorder="1" applyAlignment="1">
      <alignment/>
    </xf>
    <xf numFmtId="168" fontId="31" fillId="0" borderId="0" xfId="40" applyNumberFormat="1" applyFont="1" applyAlignment="1">
      <alignment/>
    </xf>
    <xf numFmtId="0" fontId="36" fillId="0" borderId="0" xfId="0" applyFont="1" applyAlignment="1">
      <alignment/>
    </xf>
    <xf numFmtId="168" fontId="31" fillId="0" borderId="0" xfId="40" applyNumberFormat="1" applyFont="1" applyAlignment="1">
      <alignment horizontal="right"/>
    </xf>
    <xf numFmtId="0" fontId="31" fillId="0" borderId="0" xfId="56" applyFont="1" applyAlignment="1">
      <alignment/>
      <protection/>
    </xf>
    <xf numFmtId="0" fontId="36" fillId="0" borderId="0" xfId="0" applyFont="1" applyAlignment="1" quotePrefix="1">
      <alignment/>
    </xf>
    <xf numFmtId="0" fontId="31" fillId="0" borderId="28" xfId="56" applyFont="1" applyBorder="1" applyAlignment="1">
      <alignment horizontal="right"/>
      <protection/>
    </xf>
    <xf numFmtId="0" fontId="32" fillId="0" borderId="33" xfId="56" applyFont="1" applyBorder="1" applyAlignment="1">
      <alignment horizontal="right"/>
      <protection/>
    </xf>
    <xf numFmtId="0" fontId="32" fillId="0" borderId="33" xfId="56" applyFont="1" applyBorder="1">
      <alignment/>
      <protection/>
    </xf>
    <xf numFmtId="168" fontId="32" fillId="0" borderId="33" xfId="40" applyNumberFormat="1" applyFont="1" applyBorder="1" applyAlignment="1">
      <alignment/>
    </xf>
    <xf numFmtId="0" fontId="32" fillId="0" borderId="0" xfId="56" applyFont="1" applyBorder="1" applyAlignment="1">
      <alignment horizontal="right"/>
      <protection/>
    </xf>
    <xf numFmtId="0" fontId="32" fillId="0" borderId="0" xfId="56" applyFont="1" applyBorder="1">
      <alignment/>
      <protection/>
    </xf>
    <xf numFmtId="168" fontId="32" fillId="0" borderId="0" xfId="40" applyNumberFormat="1" applyFont="1" applyBorder="1" applyAlignment="1">
      <alignment/>
    </xf>
    <xf numFmtId="0" fontId="32" fillId="0" borderId="0" xfId="57" applyFont="1" applyBorder="1" applyAlignment="1">
      <alignment horizontal="center"/>
      <protection/>
    </xf>
    <xf numFmtId="0" fontId="36" fillId="0" borderId="28" xfId="0" applyFont="1" applyBorder="1" applyAlignment="1">
      <alignment/>
    </xf>
    <xf numFmtId="168" fontId="31" fillId="0" borderId="28" xfId="40" applyNumberFormat="1" applyFont="1" applyBorder="1" applyAlignment="1">
      <alignment/>
    </xf>
    <xf numFmtId="0" fontId="32" fillId="0" borderId="33" xfId="57" applyFont="1" applyBorder="1" applyAlignment="1">
      <alignment horizontal="right"/>
      <protection/>
    </xf>
    <xf numFmtId="0" fontId="32" fillId="0" borderId="33" xfId="57" applyFont="1" applyBorder="1">
      <alignment/>
      <protection/>
    </xf>
    <xf numFmtId="168" fontId="32" fillId="0" borderId="33" xfId="57" applyNumberFormat="1" applyFont="1" applyBorder="1" applyAlignment="1">
      <alignment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16" fontId="0" fillId="0" borderId="0" xfId="0" applyNumberFormat="1" applyAlignment="1" quotePrefix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 quotePrefix="1">
      <alignment/>
    </xf>
    <xf numFmtId="0" fontId="9" fillId="0" borderId="0" xfId="6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quotePrefix="1">
      <alignment/>
    </xf>
    <xf numFmtId="0" fontId="37" fillId="0" borderId="0" xfId="0" applyFont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8" fillId="0" borderId="0" xfId="60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8" fillId="0" borderId="0" xfId="60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9" fillId="0" borderId="0" xfId="59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59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1" fillId="0" borderId="0" xfId="56" applyFont="1" applyBorder="1" applyAlignment="1">
      <alignment horizontal="left" vertical="center"/>
      <protection/>
    </xf>
    <xf numFmtId="0" fontId="11" fillId="0" borderId="66" xfId="0" applyFont="1" applyBorder="1" applyAlignment="1" quotePrefix="1">
      <alignment horizontal="center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/>
    </xf>
    <xf numFmtId="0" fontId="11" fillId="0" borderId="13" xfId="56" applyFont="1" applyBorder="1" applyAlignment="1">
      <alignment horizontal="center" vertical="center"/>
      <protection/>
    </xf>
    <xf numFmtId="0" fontId="11" fillId="0" borderId="67" xfId="56" applyFont="1" applyBorder="1" applyAlignment="1">
      <alignment horizontal="center" vertical="center"/>
      <protection/>
    </xf>
    <xf numFmtId="0" fontId="11" fillId="0" borderId="68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69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11" fillId="0" borderId="66" xfId="56" applyFont="1" applyBorder="1" applyAlignment="1">
      <alignment horizontal="center" vertical="center"/>
      <protection/>
    </xf>
    <xf numFmtId="0" fontId="11" fillId="0" borderId="70" xfId="56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6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9" fillId="0" borderId="0" xfId="56" applyFont="1" applyAlignment="1">
      <alignment horizontal="center"/>
      <protection/>
    </xf>
    <xf numFmtId="0" fontId="11" fillId="0" borderId="66" xfId="56" applyFont="1" applyBorder="1" applyAlignment="1">
      <alignment horizontal="right"/>
      <protection/>
    </xf>
    <xf numFmtId="0" fontId="22" fillId="0" borderId="0" xfId="0" applyFont="1" applyAlignment="1">
      <alignment horizontal="left" wrapText="1"/>
    </xf>
    <xf numFmtId="0" fontId="11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0" fontId="11" fillId="0" borderId="0" xfId="56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0" xfId="60" applyFont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60" applyFont="1" applyAlignment="1">
      <alignment horizontal="left"/>
      <protection/>
    </xf>
    <xf numFmtId="0" fontId="30" fillId="0" borderId="10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37" xfId="56" applyFont="1" applyBorder="1" applyAlignment="1">
      <alignment horizontal="center"/>
      <protection/>
    </xf>
    <xf numFmtId="0" fontId="8" fillId="0" borderId="52" xfId="56" applyFont="1" applyBorder="1" applyAlignment="1">
      <alignment horizontal="center"/>
      <protection/>
    </xf>
    <xf numFmtId="0" fontId="8" fillId="0" borderId="51" xfId="56" applyFont="1" applyBorder="1" applyAlignment="1">
      <alignment horizont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3" fillId="0" borderId="0" xfId="61" applyFont="1" applyAlignment="1">
      <alignment horizontal="center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21" xfId="56" applyFont="1" applyBorder="1" applyAlignment="1">
      <alignment horizontal="center" vertical="center" wrapText="1"/>
      <protection/>
    </xf>
    <xf numFmtId="0" fontId="11" fillId="0" borderId="37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51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center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11" fillId="0" borderId="68" xfId="56" applyFont="1" applyBorder="1" applyAlignment="1">
      <alignment horizontal="center" vertical="center" wrapText="1"/>
      <protection/>
    </xf>
    <xf numFmtId="0" fontId="11" fillId="0" borderId="69" xfId="56" applyFont="1" applyBorder="1" applyAlignment="1">
      <alignment horizontal="center" vertical="center" wrapText="1"/>
      <protection/>
    </xf>
    <xf numFmtId="0" fontId="11" fillId="0" borderId="70" xfId="56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11" fillId="0" borderId="0" xfId="61" applyFont="1" applyAlignment="1">
      <alignment horizontal="left"/>
      <protection/>
    </xf>
    <xf numFmtId="0" fontId="11" fillId="0" borderId="0" xfId="61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6" fillId="0" borderId="13" xfId="56" applyFont="1" applyBorder="1" applyAlignment="1">
      <alignment horizontal="center" vertical="center" wrapText="1"/>
      <protection/>
    </xf>
    <xf numFmtId="0" fontId="26" fillId="0" borderId="17" xfId="56" applyFont="1" applyBorder="1" applyAlignment="1">
      <alignment horizontal="center" vertical="center" wrapText="1"/>
      <protection/>
    </xf>
    <xf numFmtId="0" fontId="26" fillId="0" borderId="21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37" xfId="63" applyFont="1" applyBorder="1" applyAlignment="1">
      <alignment horizontal="center"/>
    </xf>
    <xf numFmtId="44" fontId="11" fillId="0" borderId="52" xfId="63" applyFont="1" applyBorder="1" applyAlignment="1">
      <alignment horizontal="center"/>
    </xf>
    <xf numFmtId="44" fontId="11" fillId="0" borderId="51" xfId="63" applyFont="1" applyBorder="1" applyAlignment="1">
      <alignment horizontal="center"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2" fillId="0" borderId="0" xfId="56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32" fillId="0" borderId="0" xfId="56" applyFont="1" applyAlignment="1">
      <alignment horizontal="center"/>
      <protection/>
    </xf>
    <xf numFmtId="0" fontId="35" fillId="0" borderId="0" xfId="56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56" applyFont="1" applyAlignment="1">
      <alignment horizontal="right"/>
      <protection/>
    </xf>
    <xf numFmtId="0" fontId="35" fillId="0" borderId="0" xfId="56" applyFont="1" applyAlignment="1">
      <alignment horizontal="left"/>
      <protection/>
    </xf>
    <xf numFmtId="0" fontId="31" fillId="0" borderId="0" xfId="0" applyFont="1" applyAlignment="1">
      <alignment horizontal="left"/>
    </xf>
    <xf numFmtId="0" fontId="32" fillId="0" borderId="67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Munka1" xfId="58"/>
    <cellStyle name="Normál_Munka2" xfId="59"/>
    <cellStyle name="Normál_Munka3" xfId="60"/>
    <cellStyle name="Normál_PHKV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4"/>
  <sheetViews>
    <sheetView tabSelected="1" workbookViewId="0" topLeftCell="H20">
      <selection activeCell="O36" sqref="O36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15"/>
      <c r="O38" s="15"/>
      <c r="P38" s="15"/>
      <c r="Q38" s="15"/>
      <c r="R38" s="15"/>
      <c r="S38" s="15"/>
      <c r="T38" s="15"/>
      <c r="U38" s="15"/>
    </row>
    <row r="39" spans="9:21" ht="27.75">
      <c r="I39" s="5"/>
      <c r="J39" s="2"/>
      <c r="N39" s="323" t="s">
        <v>2</v>
      </c>
      <c r="O39" s="323"/>
      <c r="P39" s="323"/>
      <c r="Q39" s="323"/>
      <c r="R39" s="323"/>
      <c r="S39" s="323"/>
      <c r="T39" s="323"/>
      <c r="U39" s="323"/>
    </row>
    <row r="40" spans="9:21" ht="2.25" customHeight="1">
      <c r="I40" s="3"/>
      <c r="J40" s="2"/>
      <c r="N40" s="15"/>
      <c r="O40" s="16"/>
      <c r="P40" s="17"/>
      <c r="Q40" s="17"/>
      <c r="R40" s="17"/>
      <c r="S40" s="17"/>
      <c r="T40" s="17"/>
      <c r="U40" s="17"/>
    </row>
    <row r="41" spans="9:21" ht="27.75">
      <c r="I41" s="4"/>
      <c r="J41" s="2"/>
      <c r="N41" s="323" t="s">
        <v>352</v>
      </c>
      <c r="O41" s="323"/>
      <c r="P41" s="323"/>
      <c r="Q41" s="323"/>
      <c r="R41" s="323"/>
      <c r="S41" s="323"/>
      <c r="T41" s="323"/>
      <c r="U41" s="323"/>
    </row>
    <row r="42" spans="9:21" ht="12.75" customHeight="1" hidden="1">
      <c r="I42" s="3"/>
      <c r="J42" s="2"/>
      <c r="N42" s="15"/>
      <c r="O42" s="16"/>
      <c r="P42" s="17"/>
      <c r="Q42" s="17"/>
      <c r="R42" s="17"/>
      <c r="S42" s="17"/>
      <c r="T42" s="17"/>
      <c r="U42" s="17"/>
    </row>
    <row r="43" spans="9:21" ht="27.75">
      <c r="I43" s="4"/>
      <c r="J43" s="2"/>
      <c r="N43" s="323" t="s">
        <v>269</v>
      </c>
      <c r="O43" s="323"/>
      <c r="P43" s="323"/>
      <c r="Q43" s="323"/>
      <c r="R43" s="323"/>
      <c r="S43" s="323"/>
      <c r="T43" s="323"/>
      <c r="U43" s="323"/>
    </row>
    <row r="44" spans="9:21" ht="27.75">
      <c r="I44" s="4"/>
      <c r="J44" s="2"/>
      <c r="N44" s="146"/>
      <c r="O44" s="146"/>
      <c r="P44" s="146"/>
      <c r="Q44" s="146"/>
      <c r="R44" s="146"/>
      <c r="S44" s="146"/>
      <c r="T44" s="146"/>
      <c r="U44" s="146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14"/>
      <c r="O45" s="324" t="s">
        <v>339</v>
      </c>
      <c r="P45" s="325"/>
      <c r="Q45" s="325"/>
      <c r="R45" s="325"/>
      <c r="S45" s="325"/>
      <c r="T45" s="325"/>
      <c r="U45" s="14"/>
    </row>
    <row r="46" spans="2:21" ht="27.75">
      <c r="B46" s="2"/>
      <c r="C46" s="3"/>
      <c r="D46" s="3"/>
      <c r="E46" s="3"/>
      <c r="F46" s="3"/>
      <c r="G46" s="3"/>
      <c r="H46" s="3"/>
      <c r="I46" s="3"/>
      <c r="J46" s="2"/>
      <c r="N46" s="14"/>
      <c r="O46" s="326"/>
      <c r="P46" s="326"/>
      <c r="Q46" s="326"/>
      <c r="R46" s="326"/>
      <c r="S46" s="326"/>
      <c r="T46" s="326"/>
      <c r="U46" s="14"/>
    </row>
    <row r="47" spans="2:10" ht="27.75">
      <c r="B47" s="2"/>
      <c r="C47" s="2"/>
      <c r="D47" s="2"/>
      <c r="E47" s="2"/>
      <c r="F47" s="2"/>
      <c r="G47" s="2"/>
      <c r="H47" s="2"/>
      <c r="I47" s="2"/>
      <c r="J47" s="2"/>
    </row>
    <row r="48" spans="1:10" ht="27.75">
      <c r="A48" s="6"/>
      <c r="B48" s="7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  <row r="64" spans="2:10" ht="27.75"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5">
    <mergeCell ref="N39:U39"/>
    <mergeCell ref="N41:U41"/>
    <mergeCell ref="N43:U43"/>
    <mergeCell ref="O46:T46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4.875" style="0" customWidth="1"/>
  </cols>
  <sheetData>
    <row r="1" spans="1:15" ht="21" customHeight="1">
      <c r="A1" s="366" t="s">
        <v>410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3" spans="1:15" ht="12.75">
      <c r="A3" s="459" t="s">
        <v>361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5" ht="6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ht="12.75" customHeight="1" hidden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</row>
    <row r="6" spans="1:15" ht="12.75">
      <c r="A6" s="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</row>
    <row r="7" spans="1:15" ht="12.75">
      <c r="A7" s="1"/>
      <c r="B7" s="461" t="s">
        <v>4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</row>
    <row r="8" spans="1:15" ht="12.75">
      <c r="A8" s="1"/>
      <c r="B8" s="461" t="s">
        <v>362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</row>
    <row r="9" spans="1:15" ht="13.5" thickBot="1">
      <c r="A9" s="1"/>
      <c r="B9" s="1"/>
      <c r="C9" s="79"/>
      <c r="D9" s="79"/>
      <c r="E9" s="79"/>
      <c r="F9" s="80"/>
      <c r="G9" s="79"/>
      <c r="H9" s="79"/>
      <c r="I9" s="79"/>
      <c r="J9" s="79"/>
      <c r="K9" s="81"/>
      <c r="L9" s="81"/>
      <c r="M9" s="81"/>
      <c r="N9" s="81"/>
      <c r="O9" s="65" t="s">
        <v>289</v>
      </c>
    </row>
    <row r="10" spans="1:15" ht="12.75">
      <c r="A10" s="82" t="s">
        <v>5</v>
      </c>
      <c r="B10" s="83"/>
      <c r="C10" s="84"/>
      <c r="D10" s="85"/>
      <c r="E10" s="86"/>
      <c r="F10" s="87"/>
      <c r="G10" s="87"/>
      <c r="H10" s="87"/>
      <c r="I10" s="87"/>
      <c r="J10" s="87"/>
      <c r="K10" s="88"/>
      <c r="L10" s="88"/>
      <c r="M10" s="88"/>
      <c r="N10" s="89"/>
      <c r="O10" s="90"/>
    </row>
    <row r="11" spans="1:15" ht="12.75">
      <c r="A11" s="91"/>
      <c r="B11" s="92" t="s">
        <v>3</v>
      </c>
      <c r="C11" s="93" t="s">
        <v>213</v>
      </c>
      <c r="D11" s="94" t="s">
        <v>214</v>
      </c>
      <c r="E11" s="95" t="s">
        <v>215</v>
      </c>
      <c r="F11" s="96" t="s">
        <v>216</v>
      </c>
      <c r="G11" s="96" t="s">
        <v>217</v>
      </c>
      <c r="H11" s="96" t="s">
        <v>218</v>
      </c>
      <c r="I11" s="96" t="s">
        <v>219</v>
      </c>
      <c r="J11" s="96" t="s">
        <v>220</v>
      </c>
      <c r="K11" s="96" t="s">
        <v>221</v>
      </c>
      <c r="L11" s="96" t="s">
        <v>222</v>
      </c>
      <c r="M11" s="96" t="s">
        <v>223</v>
      </c>
      <c r="N11" s="95" t="s">
        <v>224</v>
      </c>
      <c r="O11" s="97" t="s">
        <v>225</v>
      </c>
    </row>
    <row r="12" spans="1:15" ht="13.5" thickBot="1">
      <c r="A12" s="98" t="s">
        <v>6</v>
      </c>
      <c r="B12" s="99"/>
      <c r="C12" s="100"/>
      <c r="D12" s="101"/>
      <c r="E12" s="102"/>
      <c r="F12" s="103"/>
      <c r="G12" s="103"/>
      <c r="H12" s="103"/>
      <c r="I12" s="103"/>
      <c r="J12" s="103"/>
      <c r="K12" s="103"/>
      <c r="L12" s="103"/>
      <c r="M12" s="103"/>
      <c r="N12" s="102"/>
      <c r="O12" s="100"/>
    </row>
    <row r="13" spans="1:15" ht="12.75">
      <c r="A13" s="104"/>
      <c r="B13" s="105" t="s">
        <v>226</v>
      </c>
      <c r="C13" s="106"/>
      <c r="D13" s="107"/>
      <c r="E13" s="108"/>
      <c r="F13" s="106"/>
      <c r="G13" s="106"/>
      <c r="H13" s="106"/>
      <c r="I13" s="106"/>
      <c r="J13" s="106"/>
      <c r="K13" s="106"/>
      <c r="L13" s="106"/>
      <c r="M13" s="106"/>
      <c r="N13" s="108"/>
      <c r="O13" s="109"/>
    </row>
    <row r="14" spans="1:15" ht="25.5">
      <c r="A14" s="110" t="s">
        <v>7</v>
      </c>
      <c r="B14" s="111" t="s">
        <v>227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</row>
    <row r="15" spans="1:15" ht="25.5">
      <c r="A15" s="110"/>
      <c r="B15" s="111" t="s">
        <v>228</v>
      </c>
      <c r="C15" s="112">
        <f>1275410+15999</f>
        <v>1291409</v>
      </c>
      <c r="D15" s="112">
        <f>1275400+15998</f>
        <v>1291398</v>
      </c>
      <c r="E15" s="112">
        <f>1275400+15999</f>
        <v>1291399</v>
      </c>
      <c r="F15" s="112">
        <f>1275400+15999</f>
        <v>1291399</v>
      </c>
      <c r="G15" s="112">
        <v>1275400</v>
      </c>
      <c r="H15" s="112">
        <v>1275400</v>
      </c>
      <c r="I15" s="112">
        <v>1275400</v>
      </c>
      <c r="J15" s="112">
        <v>1275400</v>
      </c>
      <c r="K15" s="112">
        <v>1275400</v>
      </c>
      <c r="L15" s="112">
        <v>1275400</v>
      </c>
      <c r="M15" s="112">
        <v>1275400</v>
      </c>
      <c r="N15" s="112">
        <v>1275400</v>
      </c>
      <c r="O15" s="113">
        <f>SUM(C15:N15)</f>
        <v>15368805</v>
      </c>
    </row>
    <row r="16" spans="1:15" ht="25.5">
      <c r="A16" s="110"/>
      <c r="B16" s="114" t="s">
        <v>229</v>
      </c>
      <c r="C16" s="112"/>
      <c r="D16" s="112"/>
      <c r="E16" s="112"/>
      <c r="F16" s="112">
        <v>505557</v>
      </c>
      <c r="G16" s="112"/>
      <c r="H16" s="112"/>
      <c r="I16" s="112"/>
      <c r="J16" s="112">
        <v>65000</v>
      </c>
      <c r="K16" s="112"/>
      <c r="L16" s="112"/>
      <c r="M16" s="112"/>
      <c r="N16" s="112"/>
      <c r="O16" s="113">
        <f>SUM(C16:N16)</f>
        <v>570557</v>
      </c>
    </row>
    <row r="17" spans="1:15" ht="25.5">
      <c r="A17" s="110" t="s">
        <v>8</v>
      </c>
      <c r="B17" s="114" t="s">
        <v>230</v>
      </c>
      <c r="C17" s="112">
        <f>15697553-1126372-1268000-555490</f>
        <v>12747691</v>
      </c>
      <c r="D17" s="112"/>
      <c r="E17" s="112"/>
      <c r="F17" s="112"/>
      <c r="G17" s="112"/>
      <c r="H17" s="112">
        <f>13735678+9556400</f>
        <v>23292078</v>
      </c>
      <c r="I17" s="112"/>
      <c r="J17" s="112"/>
      <c r="K17" s="112"/>
      <c r="L17" s="112"/>
      <c r="M17" s="112"/>
      <c r="N17" s="112">
        <f>24532111</f>
        <v>24532111</v>
      </c>
      <c r="O17" s="113">
        <f aca="true" t="shared" si="0" ref="O17:O27">SUM(C17:N17)</f>
        <v>60571880</v>
      </c>
    </row>
    <row r="18" spans="1:15" ht="12.75">
      <c r="A18" s="110" t="s">
        <v>9</v>
      </c>
      <c r="B18" s="114" t="s">
        <v>231</v>
      </c>
      <c r="C18" s="115"/>
      <c r="D18" s="115">
        <v>30000</v>
      </c>
      <c r="E18" s="115">
        <v>300000</v>
      </c>
      <c r="F18" s="115">
        <v>100000</v>
      </c>
      <c r="G18" s="115">
        <v>40000</v>
      </c>
      <c r="H18" s="115">
        <v>30000</v>
      </c>
      <c r="I18" s="115">
        <v>40000</v>
      </c>
      <c r="J18" s="115">
        <v>80000</v>
      </c>
      <c r="K18" s="115">
        <v>420000</v>
      </c>
      <c r="L18" s="115">
        <v>90000</v>
      </c>
      <c r="M18" s="115">
        <v>140000</v>
      </c>
      <c r="N18" s="115">
        <v>50000</v>
      </c>
      <c r="O18" s="113">
        <f t="shared" si="0"/>
        <v>1320000</v>
      </c>
    </row>
    <row r="19" spans="1:15" ht="12.75">
      <c r="A19" s="110" t="s">
        <v>10</v>
      </c>
      <c r="B19" s="116" t="s">
        <v>232</v>
      </c>
      <c r="C19" s="115">
        <v>75630</v>
      </c>
      <c r="D19" s="115">
        <v>75630</v>
      </c>
      <c r="E19" s="115">
        <v>75630</v>
      </c>
      <c r="F19" s="115">
        <v>75630</v>
      </c>
      <c r="G19" s="115">
        <f>630000+263418-54531</f>
        <v>838887</v>
      </c>
      <c r="H19" s="115">
        <f>75630+3708633+3438548</f>
        <v>7222811</v>
      </c>
      <c r="I19" s="115">
        <v>75630</v>
      </c>
      <c r="J19" s="115">
        <f>75630+46991</f>
        <v>122621</v>
      </c>
      <c r="K19" s="115">
        <v>75630</v>
      </c>
      <c r="L19" s="115">
        <v>75630</v>
      </c>
      <c r="M19" s="115">
        <v>75630</v>
      </c>
      <c r="N19" s="115">
        <f>77630+5689255-1982+3438547</f>
        <v>9203450</v>
      </c>
      <c r="O19" s="113">
        <f>SUM(C19:N19)</f>
        <v>17992809</v>
      </c>
    </row>
    <row r="20" spans="1:15" ht="12.75">
      <c r="A20" s="110" t="s">
        <v>11</v>
      </c>
      <c r="B20" s="116" t="s">
        <v>233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3">
        <f t="shared" si="0"/>
        <v>0</v>
      </c>
    </row>
    <row r="21" spans="1:15" ht="12.75">
      <c r="A21" s="110" t="s">
        <v>12</v>
      </c>
      <c r="B21" s="116" t="s">
        <v>13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8"/>
      <c r="O21" s="113">
        <f t="shared" si="0"/>
        <v>0</v>
      </c>
    </row>
    <row r="22" spans="1:15" ht="25.5">
      <c r="A22" s="110"/>
      <c r="B22" s="114" t="s">
        <v>234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3">
        <f t="shared" si="0"/>
        <v>0</v>
      </c>
    </row>
    <row r="23" spans="1:15" ht="12.75">
      <c r="A23" s="110"/>
      <c r="B23" s="114" t="s">
        <v>235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13">
        <f t="shared" si="0"/>
        <v>0</v>
      </c>
    </row>
    <row r="24" spans="1:15" ht="12.75">
      <c r="A24" s="110" t="s">
        <v>14</v>
      </c>
      <c r="B24" s="116" t="s">
        <v>236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13">
        <f t="shared" si="0"/>
        <v>0</v>
      </c>
    </row>
    <row r="25" spans="1:15" ht="25.5">
      <c r="A25" s="110"/>
      <c r="B25" s="114" t="s">
        <v>237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13"/>
    </row>
    <row r="26" spans="1:15" ht="12.75">
      <c r="A26" s="110"/>
      <c r="B26" s="114" t="s">
        <v>238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13">
        <f t="shared" si="0"/>
        <v>0</v>
      </c>
    </row>
    <row r="27" spans="1:15" ht="12.75">
      <c r="A27" s="110" t="s">
        <v>15</v>
      </c>
      <c r="B27" s="116" t="s">
        <v>239</v>
      </c>
      <c r="C27" s="119">
        <v>498541</v>
      </c>
      <c r="D27" s="119">
        <f>2950000-1162090</f>
        <v>1787910</v>
      </c>
      <c r="E27" s="119">
        <v>812190</v>
      </c>
      <c r="F27" s="119"/>
      <c r="G27" s="119">
        <f>335151+300000+11935438-1367256</f>
        <v>11203333</v>
      </c>
      <c r="H27" s="119"/>
      <c r="I27" s="119"/>
      <c r="J27" s="119"/>
      <c r="K27" s="119"/>
      <c r="L27" s="119"/>
      <c r="M27" s="119"/>
      <c r="N27" s="120"/>
      <c r="O27" s="113">
        <f t="shared" si="0"/>
        <v>14301974</v>
      </c>
    </row>
    <row r="28" spans="1:15" ht="13.5" thickBot="1">
      <c r="A28" s="121" t="s">
        <v>16</v>
      </c>
      <c r="B28" s="122" t="s">
        <v>240</v>
      </c>
      <c r="C28" s="119"/>
      <c r="D28" s="119">
        <f>C49</f>
        <v>12887014</v>
      </c>
      <c r="E28" s="119">
        <f aca="true" t="shared" si="1" ref="E28:N28">D49</f>
        <v>14656393</v>
      </c>
      <c r="F28" s="119">
        <f t="shared" si="1"/>
        <v>15514730</v>
      </c>
      <c r="G28" s="119">
        <f t="shared" si="1"/>
        <v>15874553</v>
      </c>
      <c r="H28" s="119">
        <f t="shared" si="1"/>
        <v>13232853</v>
      </c>
      <c r="I28" s="119">
        <f t="shared" si="1"/>
        <v>11900596</v>
      </c>
      <c r="J28" s="119">
        <f t="shared" si="1"/>
        <v>10269157</v>
      </c>
      <c r="K28" s="119">
        <f t="shared" si="1"/>
        <v>9581209</v>
      </c>
      <c r="L28" s="119">
        <f t="shared" si="1"/>
        <v>9468270</v>
      </c>
      <c r="M28" s="119">
        <f t="shared" si="1"/>
        <v>9159606</v>
      </c>
      <c r="N28" s="119">
        <f t="shared" si="1"/>
        <v>8793873</v>
      </c>
      <c r="O28" s="113"/>
    </row>
    <row r="29" spans="1:15" ht="13.5" thickBot="1">
      <c r="A29" s="123"/>
      <c r="B29" s="123" t="s">
        <v>241</v>
      </c>
      <c r="C29" s="124">
        <f>SUM(C15:C28)</f>
        <v>14613271</v>
      </c>
      <c r="D29" s="124">
        <f aca="true" t="shared" si="2" ref="D29:N29">SUM(D15:D28)</f>
        <v>16071952</v>
      </c>
      <c r="E29" s="124">
        <f t="shared" si="2"/>
        <v>17135612</v>
      </c>
      <c r="F29" s="124">
        <f t="shared" si="2"/>
        <v>17487316</v>
      </c>
      <c r="G29" s="124">
        <f t="shared" si="2"/>
        <v>29232173</v>
      </c>
      <c r="H29" s="124">
        <f t="shared" si="2"/>
        <v>45053142</v>
      </c>
      <c r="I29" s="124">
        <f t="shared" si="2"/>
        <v>13291626</v>
      </c>
      <c r="J29" s="124">
        <f t="shared" si="2"/>
        <v>11812178</v>
      </c>
      <c r="K29" s="124">
        <f t="shared" si="2"/>
        <v>11352239</v>
      </c>
      <c r="L29" s="124">
        <f t="shared" si="2"/>
        <v>10909300</v>
      </c>
      <c r="M29" s="124">
        <f t="shared" si="2"/>
        <v>10650636</v>
      </c>
      <c r="N29" s="124">
        <f t="shared" si="2"/>
        <v>43854834</v>
      </c>
      <c r="O29" s="125">
        <f>SUM(O15:O28)</f>
        <v>110126025</v>
      </c>
    </row>
    <row r="30" spans="1:15" ht="12.75">
      <c r="A30" s="126"/>
      <c r="B30" s="127" t="s">
        <v>242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28"/>
    </row>
    <row r="31" spans="1:15" ht="12.75">
      <c r="A31" s="110" t="s">
        <v>17</v>
      </c>
      <c r="B31" s="116" t="s">
        <v>18</v>
      </c>
      <c r="C31" s="112">
        <f>533178+10+12559+20000+111083</f>
        <v>676830</v>
      </c>
      <c r="D31" s="112">
        <f>533178+41457+12559+163061+111084</f>
        <v>861339</v>
      </c>
      <c r="E31" s="112">
        <f>533178+41457+12559+163062+111083</f>
        <v>861339</v>
      </c>
      <c r="F31" s="112">
        <f>533178+41459+12560+163061+111085</f>
        <v>861343</v>
      </c>
      <c r="G31" s="112">
        <f aca="true" t="shared" si="3" ref="G31:N31">533178+41457</f>
        <v>574635</v>
      </c>
      <c r="H31" s="112">
        <f t="shared" si="3"/>
        <v>574635</v>
      </c>
      <c r="I31" s="112">
        <f t="shared" si="3"/>
        <v>574635</v>
      </c>
      <c r="J31" s="112">
        <f t="shared" si="3"/>
        <v>574635</v>
      </c>
      <c r="K31" s="112">
        <f t="shared" si="3"/>
        <v>574635</v>
      </c>
      <c r="L31" s="112">
        <f t="shared" si="3"/>
        <v>574635</v>
      </c>
      <c r="M31" s="112">
        <f t="shared" si="3"/>
        <v>574635</v>
      </c>
      <c r="N31" s="112">
        <f t="shared" si="3"/>
        <v>574635</v>
      </c>
      <c r="O31" s="113">
        <f aca="true" t="shared" si="4" ref="O31:O46">SUM(C31:N31)</f>
        <v>7857931</v>
      </c>
    </row>
    <row r="32" spans="1:15" ht="25.5">
      <c r="A32" s="110" t="s">
        <v>19</v>
      </c>
      <c r="B32" s="114" t="s">
        <v>243</v>
      </c>
      <c r="C32" s="112">
        <f>130703+2449+6844+16239</f>
        <v>156235</v>
      </c>
      <c r="D32" s="112">
        <f>130703-10869+2449+15897+16240</f>
        <v>154420</v>
      </c>
      <c r="E32" s="112">
        <f>130703-10869+2449+15898+16240</f>
        <v>154421</v>
      </c>
      <c r="F32" s="112">
        <f>130703-10869+2449+15897+16240</f>
        <v>154420</v>
      </c>
      <c r="G32" s="112">
        <f aca="true" t="shared" si="5" ref="G32:M32">130703-10869</f>
        <v>119834</v>
      </c>
      <c r="H32" s="112">
        <f t="shared" si="5"/>
        <v>119834</v>
      </c>
      <c r="I32" s="112">
        <f t="shared" si="5"/>
        <v>119834</v>
      </c>
      <c r="J32" s="112">
        <f t="shared" si="5"/>
        <v>119834</v>
      </c>
      <c r="K32" s="112">
        <f t="shared" si="5"/>
        <v>119834</v>
      </c>
      <c r="L32" s="112">
        <f t="shared" si="5"/>
        <v>119834</v>
      </c>
      <c r="M32" s="112">
        <f t="shared" si="5"/>
        <v>119834</v>
      </c>
      <c r="N32" s="112">
        <f>130703-10870</f>
        <v>119833</v>
      </c>
      <c r="O32" s="113">
        <f t="shared" si="4"/>
        <v>1578167</v>
      </c>
    </row>
    <row r="33" spans="1:15" ht="12.75">
      <c r="A33" s="110" t="s">
        <v>20</v>
      </c>
      <c r="B33" s="116" t="s">
        <v>21</v>
      </c>
      <c r="C33" s="112">
        <v>210000</v>
      </c>
      <c r="D33" s="112">
        <v>337000</v>
      </c>
      <c r="E33" s="112">
        <f>547000-34478</f>
        <v>512522</v>
      </c>
      <c r="F33" s="112">
        <v>547000</v>
      </c>
      <c r="G33" s="112">
        <f>757000+154775</f>
        <v>911775</v>
      </c>
      <c r="H33" s="112">
        <f>547000+3708633-1154920-104993+3670341</f>
        <v>6666061</v>
      </c>
      <c r="I33" s="112">
        <f>447000+561000</f>
        <v>1008000</v>
      </c>
      <c r="J33" s="112">
        <v>839000</v>
      </c>
      <c r="K33" s="112">
        <f>547000+250000</f>
        <v>797000</v>
      </c>
      <c r="L33" s="112">
        <f>720000+88900</f>
        <v>808900</v>
      </c>
      <c r="M33" s="112">
        <f>519000+414094</f>
        <v>933094</v>
      </c>
      <c r="N33" s="112">
        <f>547000+5882171+3670341</f>
        <v>10099512</v>
      </c>
      <c r="O33" s="113">
        <f t="shared" si="4"/>
        <v>23669864</v>
      </c>
    </row>
    <row r="34" spans="1:15" ht="12.75">
      <c r="A34" s="110" t="s">
        <v>22</v>
      </c>
      <c r="B34" s="116" t="s">
        <v>23</v>
      </c>
      <c r="C34" s="112">
        <v>50000</v>
      </c>
      <c r="D34" s="112">
        <f>50000+12800</f>
        <v>62800</v>
      </c>
      <c r="E34" s="112">
        <v>50000</v>
      </c>
      <c r="F34" s="112">
        <v>50000</v>
      </c>
      <c r="G34" s="112">
        <v>50000</v>
      </c>
      <c r="H34" s="112">
        <v>50000</v>
      </c>
      <c r="I34" s="112">
        <v>50000</v>
      </c>
      <c r="J34" s="112">
        <f>220000-50000</f>
        <v>170000</v>
      </c>
      <c r="K34" s="112">
        <v>50000</v>
      </c>
      <c r="L34" s="112">
        <v>200000</v>
      </c>
      <c r="M34" s="112">
        <f>300000-70800</f>
        <v>229200</v>
      </c>
      <c r="N34" s="112">
        <v>473000</v>
      </c>
      <c r="O34" s="113">
        <f t="shared" si="4"/>
        <v>1485000</v>
      </c>
    </row>
    <row r="35" spans="1:15" ht="12.75">
      <c r="A35" s="110" t="s">
        <v>24</v>
      </c>
      <c r="B35" s="116" t="s">
        <v>244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29"/>
      <c r="O35" s="113"/>
    </row>
    <row r="36" spans="1:15" ht="12.75">
      <c r="A36" s="110"/>
      <c r="B36" s="116" t="s">
        <v>245</v>
      </c>
      <c r="C36" s="112"/>
      <c r="D36" s="112"/>
      <c r="E36" s="112"/>
      <c r="F36" s="112"/>
      <c r="G36" s="112">
        <v>34478</v>
      </c>
      <c r="H36" s="112"/>
      <c r="I36" s="112">
        <v>0</v>
      </c>
      <c r="J36" s="112">
        <v>0</v>
      </c>
      <c r="K36" s="112"/>
      <c r="L36" s="112">
        <v>0</v>
      </c>
      <c r="M36" s="112">
        <v>0</v>
      </c>
      <c r="N36" s="112">
        <v>0</v>
      </c>
      <c r="O36" s="113">
        <f t="shared" si="4"/>
        <v>34478</v>
      </c>
    </row>
    <row r="37" spans="1:15" ht="12.75">
      <c r="A37" s="110"/>
      <c r="B37" s="116" t="s">
        <v>246</v>
      </c>
      <c r="C37" s="112">
        <f>12500+8500</f>
        <v>21000</v>
      </c>
      <c r="D37" s="112"/>
      <c r="E37" s="112">
        <f>43000-400</f>
        <v>42600</v>
      </c>
      <c r="F37" s="112"/>
      <c r="G37" s="112"/>
      <c r="H37" s="112">
        <v>22000</v>
      </c>
      <c r="I37" s="112"/>
      <c r="J37" s="112">
        <f>15000+12500</f>
        <v>27500</v>
      </c>
      <c r="K37" s="112">
        <v>25000</v>
      </c>
      <c r="L37" s="112">
        <v>46325</v>
      </c>
      <c r="M37" s="112"/>
      <c r="N37" s="112"/>
      <c r="O37" s="113">
        <f t="shared" si="4"/>
        <v>184425</v>
      </c>
    </row>
    <row r="38" spans="1:15" ht="12.75">
      <c r="A38" s="110" t="s">
        <v>25</v>
      </c>
      <c r="B38" s="116" t="s">
        <v>26</v>
      </c>
      <c r="C38" s="112"/>
      <c r="D38" s="112"/>
      <c r="E38" s="112"/>
      <c r="F38" s="112"/>
      <c r="G38" s="112">
        <v>2000000</v>
      </c>
      <c r="H38" s="112">
        <f>13735678+11984338</f>
        <v>25720016</v>
      </c>
      <c r="I38" s="112"/>
      <c r="J38" s="112">
        <v>500000</v>
      </c>
      <c r="K38" s="112">
        <v>317500</v>
      </c>
      <c r="L38" s="112"/>
      <c r="M38" s="112"/>
      <c r="N38" s="112">
        <f>20796433-192916+11984337</f>
        <v>32587854</v>
      </c>
      <c r="O38" s="113">
        <f t="shared" si="4"/>
        <v>61125370</v>
      </c>
    </row>
    <row r="39" spans="1:15" ht="12.75">
      <c r="A39" s="110" t="s">
        <v>27</v>
      </c>
      <c r="B39" s="116" t="s">
        <v>28</v>
      </c>
      <c r="C39" s="112"/>
      <c r="D39" s="112"/>
      <c r="E39" s="112"/>
      <c r="F39" s="112"/>
      <c r="G39" s="112"/>
      <c r="H39" s="112"/>
      <c r="I39" s="112">
        <v>1270000</v>
      </c>
      <c r="J39" s="112"/>
      <c r="K39" s="112"/>
      <c r="L39" s="112"/>
      <c r="M39" s="112"/>
      <c r="N39" s="112"/>
      <c r="O39" s="113">
        <f t="shared" si="4"/>
        <v>1270000</v>
      </c>
    </row>
    <row r="40" spans="1:15" ht="12.75">
      <c r="A40" s="110" t="s">
        <v>29</v>
      </c>
      <c r="B40" s="116" t="s">
        <v>30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>
        <f t="shared" si="4"/>
        <v>0</v>
      </c>
    </row>
    <row r="41" spans="1:15" ht="12.75">
      <c r="A41" s="110"/>
      <c r="B41" s="116" t="s">
        <v>245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</row>
    <row r="42" spans="1:15" ht="12.75">
      <c r="A42" s="110"/>
      <c r="B42" s="116" t="s">
        <v>246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12.75">
      <c r="A43" s="110" t="s">
        <v>31</v>
      </c>
      <c r="B43" s="116" t="s">
        <v>32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3">
        <f t="shared" si="4"/>
        <v>0</v>
      </c>
    </row>
    <row r="44" spans="1:15" ht="12.75">
      <c r="A44" s="110"/>
      <c r="B44" s="116" t="s">
        <v>284</v>
      </c>
      <c r="C44" s="112">
        <v>612192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>
        <f t="shared" si="4"/>
        <v>612192</v>
      </c>
    </row>
    <row r="45" spans="1:15" ht="12.75">
      <c r="A45" s="110"/>
      <c r="B45" s="116" t="s">
        <v>247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3">
        <f t="shared" si="4"/>
        <v>0</v>
      </c>
    </row>
    <row r="46" spans="1:15" ht="12.75">
      <c r="A46" s="110" t="s">
        <v>248</v>
      </c>
      <c r="B46" s="116" t="s">
        <v>249</v>
      </c>
      <c r="C46" s="112"/>
      <c r="D46" s="112"/>
      <c r="E46" s="112"/>
      <c r="F46" s="112"/>
      <c r="G46" s="112">
        <v>12308598</v>
      </c>
      <c r="H46" s="112"/>
      <c r="I46" s="112"/>
      <c r="J46" s="112"/>
      <c r="K46" s="112"/>
      <c r="L46" s="112"/>
      <c r="M46" s="112"/>
      <c r="N46" s="112"/>
      <c r="O46" s="113">
        <f t="shared" si="4"/>
        <v>12308598</v>
      </c>
    </row>
    <row r="47" spans="1:15" ht="13.5" thickBot="1">
      <c r="A47" s="121" t="s">
        <v>250</v>
      </c>
      <c r="B47" s="122" t="s">
        <v>251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3"/>
    </row>
    <row r="48" spans="1:15" ht="13.5" thickBot="1">
      <c r="A48" s="123"/>
      <c r="B48" s="123" t="s">
        <v>252</v>
      </c>
      <c r="C48" s="124">
        <f>SUM(C31:C47)</f>
        <v>1726257</v>
      </c>
      <c r="D48" s="124">
        <f aca="true" t="shared" si="6" ref="D48:N48">SUM(D31:D47)</f>
        <v>1415559</v>
      </c>
      <c r="E48" s="124">
        <f t="shared" si="6"/>
        <v>1620882</v>
      </c>
      <c r="F48" s="124">
        <f t="shared" si="6"/>
        <v>1612763</v>
      </c>
      <c r="G48" s="124">
        <f t="shared" si="6"/>
        <v>15999320</v>
      </c>
      <c r="H48" s="124">
        <f t="shared" si="6"/>
        <v>33152546</v>
      </c>
      <c r="I48" s="124">
        <f t="shared" si="6"/>
        <v>3022469</v>
      </c>
      <c r="J48" s="124">
        <f t="shared" si="6"/>
        <v>2230969</v>
      </c>
      <c r="K48" s="124">
        <f t="shared" si="6"/>
        <v>1883969</v>
      </c>
      <c r="L48" s="124">
        <f t="shared" si="6"/>
        <v>1749694</v>
      </c>
      <c r="M48" s="124">
        <f t="shared" si="6"/>
        <v>1856763</v>
      </c>
      <c r="N48" s="124">
        <f t="shared" si="6"/>
        <v>43854834</v>
      </c>
      <c r="O48" s="125">
        <f>SUM(O31:O47)</f>
        <v>110126025</v>
      </c>
    </row>
    <row r="49" spans="1:15" ht="13.5" thickBot="1">
      <c r="A49" s="130"/>
      <c r="B49" s="131" t="s">
        <v>253</v>
      </c>
      <c r="C49" s="132">
        <f>C29-C48</f>
        <v>12887014</v>
      </c>
      <c r="D49" s="132">
        <f aca="true" t="shared" si="7" ref="D49:N49">D29-D48</f>
        <v>14656393</v>
      </c>
      <c r="E49" s="132">
        <f t="shared" si="7"/>
        <v>15514730</v>
      </c>
      <c r="F49" s="132">
        <f t="shared" si="7"/>
        <v>15874553</v>
      </c>
      <c r="G49" s="132">
        <f t="shared" si="7"/>
        <v>13232853</v>
      </c>
      <c r="H49" s="132">
        <f t="shared" si="7"/>
        <v>11900596</v>
      </c>
      <c r="I49" s="132">
        <f t="shared" si="7"/>
        <v>10269157</v>
      </c>
      <c r="J49" s="132">
        <f t="shared" si="7"/>
        <v>9581209</v>
      </c>
      <c r="K49" s="132">
        <f t="shared" si="7"/>
        <v>9468270</v>
      </c>
      <c r="L49" s="132">
        <f t="shared" si="7"/>
        <v>9159606</v>
      </c>
      <c r="M49" s="132">
        <f t="shared" si="7"/>
        <v>8793873</v>
      </c>
      <c r="N49" s="132">
        <f t="shared" si="7"/>
        <v>0</v>
      </c>
      <c r="O49" s="133"/>
    </row>
    <row r="50" spans="1:15" ht="12.75">
      <c r="A50" s="1"/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5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1:15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1:15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</sheetData>
  <sheetProtection/>
  <mergeCells count="5">
    <mergeCell ref="A3:O5"/>
    <mergeCell ref="B6:O6"/>
    <mergeCell ref="B7:O7"/>
    <mergeCell ref="B8:O8"/>
    <mergeCell ref="A1:O1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12.75390625" style="0" customWidth="1"/>
    <col min="3" max="3" width="13.875" style="0" customWidth="1"/>
    <col min="4" max="4" width="15.625" style="0" customWidth="1"/>
  </cols>
  <sheetData>
    <row r="1" ht="12.75">
      <c r="D1" s="140">
        <v>96911258</v>
      </c>
    </row>
    <row r="2" spans="1:4" ht="12.75">
      <c r="A2" s="142" t="s">
        <v>296</v>
      </c>
      <c r="B2" s="140">
        <v>63994</v>
      </c>
      <c r="C2" s="140">
        <v>63994</v>
      </c>
      <c r="D2" s="140">
        <f>D1+C2</f>
        <v>96975252</v>
      </c>
    </row>
    <row r="3" spans="1:4" ht="12.75">
      <c r="A3" s="142" t="s">
        <v>340</v>
      </c>
      <c r="B3" s="140">
        <v>78740</v>
      </c>
      <c r="C3" s="140">
        <v>78740</v>
      </c>
      <c r="D3" s="140">
        <f aca="true" t="shared" si="0" ref="D3:D12">D2+C3</f>
        <v>97053992</v>
      </c>
    </row>
    <row r="4" spans="1:4" ht="12.75">
      <c r="A4" s="142" t="s">
        <v>342</v>
      </c>
      <c r="B4" s="140">
        <v>40000</v>
      </c>
      <c r="C4" s="140">
        <v>40000</v>
      </c>
      <c r="D4" s="140">
        <f t="shared" si="0"/>
        <v>97093992</v>
      </c>
    </row>
    <row r="5" spans="1:4" ht="12.75">
      <c r="A5" s="142" t="s">
        <v>341</v>
      </c>
      <c r="B5" s="140">
        <v>183400</v>
      </c>
      <c r="C5" s="140">
        <v>183400</v>
      </c>
      <c r="D5" s="140">
        <f t="shared" si="0"/>
        <v>97277392</v>
      </c>
    </row>
    <row r="6" spans="1:4" ht="12.75">
      <c r="A6" s="142" t="s">
        <v>343</v>
      </c>
      <c r="B6" s="140">
        <v>34478</v>
      </c>
      <c r="C6" s="140">
        <v>34478</v>
      </c>
      <c r="D6" s="140">
        <f t="shared" si="0"/>
        <v>97311870</v>
      </c>
    </row>
    <row r="7" spans="1:4" ht="12.75">
      <c r="A7" s="35" t="s">
        <v>10</v>
      </c>
      <c r="B7" s="140">
        <v>12308598</v>
      </c>
      <c r="C7" s="140">
        <v>12308598</v>
      </c>
      <c r="D7" s="140">
        <f t="shared" si="0"/>
        <v>109620468</v>
      </c>
    </row>
    <row r="8" spans="1:4" ht="12.75">
      <c r="A8" s="142" t="s">
        <v>364</v>
      </c>
      <c r="B8" s="140">
        <v>505557</v>
      </c>
      <c r="C8" s="140">
        <v>505557</v>
      </c>
      <c r="D8" s="140">
        <f t="shared" si="0"/>
        <v>110126025</v>
      </c>
    </row>
    <row r="9" spans="2:4" ht="12.75">
      <c r="B9" s="140"/>
      <c r="C9" s="140"/>
      <c r="D9" s="140"/>
    </row>
    <row r="10" spans="2:4" ht="12.75">
      <c r="B10" s="140"/>
      <c r="C10" s="140"/>
      <c r="D10" s="140">
        <f t="shared" si="0"/>
        <v>0</v>
      </c>
    </row>
    <row r="11" spans="2:4" ht="12.75">
      <c r="B11" s="140"/>
      <c r="C11" s="140"/>
      <c r="D11" s="140">
        <f t="shared" si="0"/>
        <v>0</v>
      </c>
    </row>
    <row r="12" spans="2:4" ht="12.75">
      <c r="B12" s="140"/>
      <c r="C12" s="140"/>
      <c r="D12" s="140">
        <f t="shared" si="0"/>
        <v>0</v>
      </c>
    </row>
    <row r="13" spans="2:4" ht="12.75">
      <c r="B13" s="140"/>
      <c r="C13" s="140"/>
      <c r="D13" s="140"/>
    </row>
    <row r="14" spans="2:4" ht="12.75">
      <c r="B14" s="140"/>
      <c r="C14" s="140"/>
      <c r="D14" s="140"/>
    </row>
    <row r="15" ht="12.75">
      <c r="D15" s="140"/>
    </row>
    <row r="16" ht="12.75">
      <c r="D16" s="140"/>
    </row>
    <row r="17" ht="12.75">
      <c r="D17" s="140"/>
    </row>
    <row r="18" ht="12.75">
      <c r="D18" s="140"/>
    </row>
    <row r="19" ht="12.75">
      <c r="D19" s="140"/>
    </row>
    <row r="20" ht="12.75">
      <c r="D20" s="1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7"/>
  <sheetViews>
    <sheetView zoomScalePageLayoutView="0" workbookViewId="0" topLeftCell="A1">
      <selection activeCell="B6" sqref="B6:F6"/>
    </sheetView>
  </sheetViews>
  <sheetFormatPr defaultColWidth="9.00390625" defaultRowHeight="12.75"/>
  <cols>
    <col min="1" max="1" width="9.125" style="143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7" ht="15.75">
      <c r="A1" s="327" t="s">
        <v>402</v>
      </c>
      <c r="B1" s="328"/>
      <c r="C1" s="328"/>
      <c r="D1" s="328"/>
      <c r="E1" s="328"/>
      <c r="F1" s="328"/>
      <c r="G1" s="147"/>
    </row>
    <row r="2" spans="1:6" ht="12.75">
      <c r="A2" s="149"/>
      <c r="B2" s="150"/>
      <c r="C2" s="150"/>
      <c r="D2" s="150"/>
      <c r="E2" s="150"/>
      <c r="F2" s="150"/>
    </row>
    <row r="3" spans="1:7" ht="15.75">
      <c r="A3" s="331" t="s">
        <v>353</v>
      </c>
      <c r="B3" s="332"/>
      <c r="C3" s="332"/>
      <c r="D3" s="332"/>
      <c r="E3" s="332"/>
      <c r="F3" s="332"/>
      <c r="G3" s="139"/>
    </row>
    <row r="4" spans="1:6" ht="14.25">
      <c r="A4" s="149"/>
      <c r="B4" s="330"/>
      <c r="C4" s="330"/>
      <c r="D4" s="330"/>
      <c r="E4" s="330"/>
      <c r="F4" s="330"/>
    </row>
    <row r="5" spans="1:6" ht="15.75">
      <c r="A5" s="149"/>
      <c r="B5" s="329" t="s">
        <v>4</v>
      </c>
      <c r="C5" s="329"/>
      <c r="D5" s="329"/>
      <c r="E5" s="329"/>
      <c r="F5" s="329"/>
    </row>
    <row r="6" spans="1:6" ht="15.75">
      <c r="A6" s="149"/>
      <c r="B6" s="329" t="s">
        <v>74</v>
      </c>
      <c r="C6" s="329"/>
      <c r="D6" s="329"/>
      <c r="E6" s="329"/>
      <c r="F6" s="329"/>
    </row>
    <row r="7" spans="1:6" ht="15.75">
      <c r="A7" s="149"/>
      <c r="B7" s="329" t="s">
        <v>354</v>
      </c>
      <c r="C7" s="329"/>
      <c r="D7" s="329"/>
      <c r="E7" s="329"/>
      <c r="F7" s="329"/>
    </row>
    <row r="8" spans="1:6" ht="7.5" customHeight="1">
      <c r="A8" s="149"/>
      <c r="B8" s="151"/>
      <c r="C8" s="152"/>
      <c r="D8" s="151"/>
      <c r="E8" s="153"/>
      <c r="F8" s="151"/>
    </row>
    <row r="9" spans="1:6" ht="15.75">
      <c r="A9" s="149" t="s">
        <v>7</v>
      </c>
      <c r="B9" s="154" t="s">
        <v>75</v>
      </c>
      <c r="C9" s="152"/>
      <c r="D9" s="151"/>
      <c r="E9" s="153"/>
      <c r="F9" s="151"/>
    </row>
    <row r="10" spans="1:6" ht="15.75">
      <c r="A10" s="149" t="s">
        <v>297</v>
      </c>
      <c r="B10" s="155" t="s">
        <v>76</v>
      </c>
      <c r="C10" s="152"/>
      <c r="D10" s="151"/>
      <c r="E10" s="153">
        <f>C11+C12</f>
        <v>15939362</v>
      </c>
      <c r="F10" s="151" t="s">
        <v>212</v>
      </c>
    </row>
    <row r="11" spans="1:6" ht="31.5">
      <c r="A11" s="149"/>
      <c r="B11" s="156" t="s">
        <v>77</v>
      </c>
      <c r="C11" s="157">
        <f>Bevételek!$H$44</f>
        <v>15368805</v>
      </c>
      <c r="D11" s="156" t="s">
        <v>212</v>
      </c>
      <c r="E11" s="153"/>
      <c r="F11" s="151"/>
    </row>
    <row r="12" spans="1:6" ht="31.5">
      <c r="A12" s="149"/>
      <c r="B12" s="156" t="s">
        <v>78</v>
      </c>
      <c r="C12" s="157">
        <f>Bevételek!$H$54</f>
        <v>570557</v>
      </c>
      <c r="D12" s="156" t="s">
        <v>212</v>
      </c>
      <c r="E12" s="153"/>
      <c r="F12" s="151"/>
    </row>
    <row r="13" spans="1:6" ht="15.75">
      <c r="A13" s="149" t="s">
        <v>301</v>
      </c>
      <c r="B13" s="155" t="s">
        <v>79</v>
      </c>
      <c r="C13" s="152"/>
      <c r="D13" s="151"/>
      <c r="E13" s="153">
        <f>Bevételek!$H$59+Bevételek!H63</f>
        <v>60571880</v>
      </c>
      <c r="F13" s="151" t="s">
        <v>212</v>
      </c>
    </row>
    <row r="14" spans="1:6" ht="15.75">
      <c r="A14" s="149" t="s">
        <v>302</v>
      </c>
      <c r="B14" s="155" t="s">
        <v>80</v>
      </c>
      <c r="C14" s="152"/>
      <c r="D14" s="151"/>
      <c r="E14" s="153">
        <f>Bevételek!$H$75</f>
        <v>1320000</v>
      </c>
      <c r="F14" s="151" t="s">
        <v>212</v>
      </c>
    </row>
    <row r="15" spans="1:6" ht="15.75">
      <c r="A15" s="149" t="s">
        <v>303</v>
      </c>
      <c r="B15" s="155" t="s">
        <v>81</v>
      </c>
      <c r="C15" s="152"/>
      <c r="D15" s="151"/>
      <c r="E15" s="153">
        <f>Bevételek!$H$84</f>
        <v>17992809</v>
      </c>
      <c r="F15" s="151" t="s">
        <v>212</v>
      </c>
    </row>
    <row r="16" spans="1:6" ht="3" customHeight="1">
      <c r="A16" s="149"/>
      <c r="B16" s="155"/>
      <c r="C16" s="153"/>
      <c r="D16" s="155"/>
      <c r="E16" s="153">
        <v>0</v>
      </c>
      <c r="F16" s="151" t="s">
        <v>212</v>
      </c>
    </row>
    <row r="17" spans="1:6" ht="15.75">
      <c r="A17" s="149" t="s">
        <v>331</v>
      </c>
      <c r="B17" s="155" t="s">
        <v>82</v>
      </c>
      <c r="C17" s="152"/>
      <c r="D17" s="151"/>
      <c r="E17" s="153">
        <v>0</v>
      </c>
      <c r="F17" s="151" t="s">
        <v>212</v>
      </c>
    </row>
    <row r="18" spans="1:6" ht="31.5">
      <c r="A18" s="149"/>
      <c r="B18" s="156" t="s">
        <v>83</v>
      </c>
      <c r="C18" s="157">
        <v>0</v>
      </c>
      <c r="D18" s="156" t="s">
        <v>212</v>
      </c>
      <c r="E18" s="156"/>
      <c r="F18" s="151"/>
    </row>
    <row r="19" spans="1:6" ht="15.75">
      <c r="A19" s="149"/>
      <c r="B19" s="158" t="s">
        <v>84</v>
      </c>
      <c r="C19" s="157">
        <v>0</v>
      </c>
      <c r="D19" s="151" t="s">
        <v>212</v>
      </c>
      <c r="E19" s="153"/>
      <c r="F19" s="151"/>
    </row>
    <row r="20" spans="1:6" ht="15.75">
      <c r="A20" s="149" t="s">
        <v>330</v>
      </c>
      <c r="B20" s="155" t="s">
        <v>85</v>
      </c>
      <c r="C20" s="152"/>
      <c r="D20" s="151"/>
      <c r="E20" s="153">
        <f>C21+C22</f>
        <v>0</v>
      </c>
      <c r="F20" s="151" t="s">
        <v>212</v>
      </c>
    </row>
    <row r="21" spans="1:6" ht="31.5">
      <c r="A21" s="149"/>
      <c r="B21" s="156" t="s">
        <v>86</v>
      </c>
      <c r="C21" s="152">
        <f>Bevételek!H88</f>
        <v>0</v>
      </c>
      <c r="D21" s="151" t="s">
        <v>212</v>
      </c>
      <c r="E21" s="153"/>
      <c r="F21" s="151"/>
    </row>
    <row r="22" spans="1:6" ht="15.75">
      <c r="A22" s="149"/>
      <c r="B22" s="151" t="s">
        <v>87</v>
      </c>
      <c r="C22" s="159"/>
      <c r="D22" s="151" t="s">
        <v>212</v>
      </c>
      <c r="E22" s="153"/>
      <c r="F22" s="151"/>
    </row>
    <row r="23" spans="1:6" ht="15.75">
      <c r="A23" s="149" t="s">
        <v>329</v>
      </c>
      <c r="B23" s="155" t="s">
        <v>88</v>
      </c>
      <c r="C23" s="153"/>
      <c r="D23" s="155"/>
      <c r="E23" s="153">
        <f>E10+E14+E15+E13+E20</f>
        <v>95824051</v>
      </c>
      <c r="F23" s="155" t="s">
        <v>286</v>
      </c>
    </row>
    <row r="24" spans="1:6" ht="15.75">
      <c r="A24" s="149"/>
      <c r="B24" s="155"/>
      <c r="C24" s="153"/>
      <c r="D24" s="155"/>
      <c r="E24" s="153"/>
      <c r="F24" s="155"/>
    </row>
    <row r="25" spans="1:6" ht="15.75">
      <c r="A25" s="149" t="s">
        <v>8</v>
      </c>
      <c r="B25" s="154" t="s">
        <v>89</v>
      </c>
      <c r="C25" s="152"/>
      <c r="D25" s="151"/>
      <c r="E25" s="153"/>
      <c r="F25" s="151"/>
    </row>
    <row r="26" spans="1:6" ht="15.75">
      <c r="A26" s="149" t="s">
        <v>304</v>
      </c>
      <c r="B26" s="160" t="s">
        <v>90</v>
      </c>
      <c r="C26" s="152"/>
      <c r="D26" s="151"/>
      <c r="E26" s="153">
        <f>C28+C29+C30+C31+C32+C33</f>
        <v>47118463</v>
      </c>
      <c r="F26" s="151" t="s">
        <v>212</v>
      </c>
    </row>
    <row r="27" spans="1:6" ht="15.75">
      <c r="A27" s="149"/>
      <c r="B27" s="161" t="s">
        <v>91</v>
      </c>
      <c r="C27" s="152"/>
      <c r="D27" s="151"/>
      <c r="E27" s="153"/>
      <c r="F27" s="151"/>
    </row>
    <row r="28" spans="1:6" ht="15.75">
      <c r="A28" s="149" t="s">
        <v>305</v>
      </c>
      <c r="B28" s="151" t="s">
        <v>310</v>
      </c>
      <c r="C28" s="152">
        <f>'Korm.funkciók'!E33</f>
        <v>7857931</v>
      </c>
      <c r="D28" s="151" t="s">
        <v>212</v>
      </c>
      <c r="E28" s="153"/>
      <c r="F28" s="151"/>
    </row>
    <row r="29" spans="1:6" ht="15.75">
      <c r="A29" s="149" t="s">
        <v>306</v>
      </c>
      <c r="B29" s="151" t="s">
        <v>311</v>
      </c>
      <c r="C29" s="152">
        <f>'Korm.funkciók'!F33</f>
        <v>1578167</v>
      </c>
      <c r="D29" s="151" t="s">
        <v>212</v>
      </c>
      <c r="E29" s="153"/>
      <c r="F29" s="151"/>
    </row>
    <row r="30" spans="1:6" ht="15.75">
      <c r="A30" s="149" t="s">
        <v>307</v>
      </c>
      <c r="B30" s="151" t="s">
        <v>312</v>
      </c>
      <c r="C30" s="152">
        <f>'Korm.funkciók'!G33</f>
        <v>23669864</v>
      </c>
      <c r="D30" s="151" t="s">
        <v>212</v>
      </c>
      <c r="E30" s="153"/>
      <c r="F30" s="151"/>
    </row>
    <row r="31" spans="1:6" ht="15.75">
      <c r="A31" s="149" t="s">
        <v>308</v>
      </c>
      <c r="B31" s="162" t="s">
        <v>313</v>
      </c>
      <c r="C31" s="152">
        <f>'Korm.funkciók'!H33</f>
        <v>1485000</v>
      </c>
      <c r="D31" s="151" t="s">
        <v>212</v>
      </c>
      <c r="E31" s="153"/>
      <c r="F31" s="151"/>
    </row>
    <row r="32" spans="1:6" ht="15.75">
      <c r="A32" s="149" t="s">
        <v>309</v>
      </c>
      <c r="B32" s="151" t="s">
        <v>314</v>
      </c>
      <c r="C32" s="152">
        <f>'Korm.funkciók'!I33-C33</f>
        <v>218903</v>
      </c>
      <c r="D32" s="151" t="s">
        <v>212</v>
      </c>
      <c r="E32" s="153"/>
      <c r="F32" s="151"/>
    </row>
    <row r="33" spans="1:6" ht="15.75">
      <c r="A33" s="149" t="s">
        <v>344</v>
      </c>
      <c r="B33" s="151" t="s">
        <v>322</v>
      </c>
      <c r="C33" s="152">
        <v>12308598</v>
      </c>
      <c r="D33" s="151" t="s">
        <v>345</v>
      </c>
      <c r="E33" s="153"/>
      <c r="F33" s="151"/>
    </row>
    <row r="34" spans="1:6" ht="15.75">
      <c r="A34" s="149" t="s">
        <v>298</v>
      </c>
      <c r="B34" s="160" t="s">
        <v>92</v>
      </c>
      <c r="C34" s="153"/>
      <c r="D34" s="155"/>
      <c r="E34" s="163">
        <f>C36+C37</f>
        <v>62395370</v>
      </c>
      <c r="F34" s="155" t="s">
        <v>212</v>
      </c>
    </row>
    <row r="35" spans="1:6" ht="15.75">
      <c r="A35" s="149"/>
      <c r="B35" s="161" t="s">
        <v>91</v>
      </c>
      <c r="C35" s="152"/>
      <c r="D35" s="151"/>
      <c r="E35" s="153"/>
      <c r="F35" s="151"/>
    </row>
    <row r="36" spans="1:6" ht="15.75">
      <c r="A36" s="149" t="s">
        <v>315</v>
      </c>
      <c r="B36" s="151" t="s">
        <v>319</v>
      </c>
      <c r="C36" s="159">
        <f>'Korm.funkciók'!K33</f>
        <v>61125370</v>
      </c>
      <c r="D36" s="151" t="s">
        <v>212</v>
      </c>
      <c r="E36" s="153"/>
      <c r="F36" s="151"/>
    </row>
    <row r="37" spans="1:6" ht="15.75">
      <c r="A37" s="149" t="s">
        <v>316</v>
      </c>
      <c r="B37" s="151" t="s">
        <v>320</v>
      </c>
      <c r="C37" s="159">
        <f>'Korm.funkciók'!L33</f>
        <v>1270000</v>
      </c>
      <c r="D37" s="151" t="s">
        <v>212</v>
      </c>
      <c r="E37" s="153"/>
      <c r="F37" s="151"/>
    </row>
    <row r="38" spans="1:6" ht="15.75">
      <c r="A38" s="149" t="s">
        <v>317</v>
      </c>
      <c r="B38" s="151" t="s">
        <v>321</v>
      </c>
      <c r="C38" s="159"/>
      <c r="D38" s="151" t="s">
        <v>212</v>
      </c>
      <c r="E38" s="153"/>
      <c r="F38" s="151"/>
    </row>
    <row r="39" spans="1:6" ht="15.75">
      <c r="A39" s="149" t="s">
        <v>318</v>
      </c>
      <c r="B39" s="151" t="s">
        <v>322</v>
      </c>
      <c r="C39" s="159"/>
      <c r="D39" s="151" t="s">
        <v>212</v>
      </c>
      <c r="E39" s="153"/>
      <c r="F39" s="151"/>
    </row>
    <row r="40" spans="1:6" ht="15.75">
      <c r="A40" s="149" t="s">
        <v>323</v>
      </c>
      <c r="B40" s="155" t="s">
        <v>93</v>
      </c>
      <c r="C40" s="159"/>
      <c r="D40" s="151"/>
      <c r="E40" s="153">
        <f>C41+C42</f>
        <v>612192</v>
      </c>
      <c r="F40" s="151" t="s">
        <v>212</v>
      </c>
    </row>
    <row r="41" spans="1:6" ht="15.75">
      <c r="A41" s="149"/>
      <c r="B41" s="151" t="s">
        <v>285</v>
      </c>
      <c r="C41" s="152">
        <f>'Korm.funkciók'!O33</f>
        <v>612192</v>
      </c>
      <c r="D41" s="151" t="s">
        <v>212</v>
      </c>
      <c r="E41" s="153"/>
      <c r="F41" s="151"/>
    </row>
    <row r="42" spans="1:6" ht="15.75">
      <c r="A42" s="149"/>
      <c r="B42" s="151" t="s">
        <v>94</v>
      </c>
      <c r="C42" s="152"/>
      <c r="D42" s="151" t="s">
        <v>212</v>
      </c>
      <c r="E42" s="153"/>
      <c r="F42" s="151"/>
    </row>
    <row r="43" spans="1:6" ht="23.25" customHeight="1">
      <c r="A43" s="149" t="s">
        <v>324</v>
      </c>
      <c r="B43" s="155" t="s">
        <v>95</v>
      </c>
      <c r="C43" s="153"/>
      <c r="D43" s="155"/>
      <c r="E43" s="153">
        <f>E26+E34+E40</f>
        <v>110126025</v>
      </c>
      <c r="F43" s="155" t="s">
        <v>286</v>
      </c>
    </row>
    <row r="44" spans="1:6" ht="23.25" customHeight="1">
      <c r="A44" s="149" t="s">
        <v>9</v>
      </c>
      <c r="B44" s="155" t="s">
        <v>96</v>
      </c>
      <c r="C44" s="153"/>
      <c r="D44" s="155"/>
      <c r="E44" s="153">
        <f>E23-E43</f>
        <v>-14301974</v>
      </c>
      <c r="F44" s="155" t="s">
        <v>212</v>
      </c>
    </row>
    <row r="45" spans="1:6" ht="23.25" customHeight="1">
      <c r="A45" s="149"/>
      <c r="B45" s="155"/>
      <c r="C45" s="153"/>
      <c r="D45" s="155"/>
      <c r="E45" s="153"/>
      <c r="F45" s="155"/>
    </row>
    <row r="46" spans="1:6" ht="31.5">
      <c r="A46" s="149" t="s">
        <v>10</v>
      </c>
      <c r="B46" s="164" t="s">
        <v>97</v>
      </c>
      <c r="C46" s="153"/>
      <c r="D46" s="155"/>
      <c r="E46" s="153">
        <f>Bevételek!H101</f>
        <v>14301974</v>
      </c>
      <c r="F46" s="165" t="s">
        <v>212</v>
      </c>
    </row>
    <row r="47" spans="1:6" ht="25.5" customHeight="1">
      <c r="A47" s="149" t="s">
        <v>11</v>
      </c>
      <c r="B47" s="155" t="s">
        <v>98</v>
      </c>
      <c r="C47" s="153"/>
      <c r="D47" s="155"/>
      <c r="E47" s="153">
        <f>E44+E46</f>
        <v>0</v>
      </c>
      <c r="F47" s="155" t="s">
        <v>212</v>
      </c>
    </row>
  </sheetData>
  <sheetProtection/>
  <mergeCells count="6">
    <mergeCell ref="A1:F1"/>
    <mergeCell ref="B5:F5"/>
    <mergeCell ref="B6:F6"/>
    <mergeCell ref="B7:F7"/>
    <mergeCell ref="B4:F4"/>
    <mergeCell ref="A3:F3"/>
  </mergeCells>
  <printOptions/>
  <pageMargins left="0.5511811023622047" right="0.35433070866141736" top="0.7086614173228347" bottom="0.472440944881889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365" t="s">
        <v>403</v>
      </c>
      <c r="B1" s="366"/>
      <c r="C1" s="366"/>
      <c r="D1" s="366"/>
      <c r="E1" s="366"/>
      <c r="F1" s="366"/>
      <c r="G1" s="366"/>
      <c r="H1" s="366"/>
      <c r="I1" s="366"/>
    </row>
    <row r="3" spans="1:9" ht="15">
      <c r="A3" s="363" t="s">
        <v>356</v>
      </c>
      <c r="B3" s="364"/>
      <c r="C3" s="364"/>
      <c r="D3" s="364"/>
      <c r="E3" s="364"/>
      <c r="F3" s="364"/>
      <c r="G3" s="364"/>
      <c r="H3" s="364"/>
      <c r="I3" s="364"/>
    </row>
    <row r="4" spans="1:9" ht="14.25">
      <c r="A4" s="360"/>
      <c r="B4" s="360"/>
      <c r="C4" s="360"/>
      <c r="D4" s="360"/>
      <c r="E4" s="360"/>
      <c r="F4" s="360"/>
      <c r="G4" s="360"/>
      <c r="H4" s="360"/>
      <c r="I4" s="360"/>
    </row>
    <row r="5" spans="1:9" ht="14.25">
      <c r="A5" s="360" t="s">
        <v>185</v>
      </c>
      <c r="B5" s="360"/>
      <c r="C5" s="360"/>
      <c r="D5" s="360"/>
      <c r="E5" s="360"/>
      <c r="F5" s="360"/>
      <c r="G5" s="360"/>
      <c r="H5" s="360"/>
      <c r="I5" s="360"/>
    </row>
    <row r="6" spans="1:9" ht="14.25">
      <c r="A6" s="360" t="s">
        <v>99</v>
      </c>
      <c r="B6" s="360"/>
      <c r="C6" s="360"/>
      <c r="D6" s="360"/>
      <c r="E6" s="360"/>
      <c r="F6" s="360"/>
      <c r="G6" s="360"/>
      <c r="H6" s="360"/>
      <c r="I6" s="360"/>
    </row>
    <row r="7" spans="1:9" ht="12.75" customHeight="1">
      <c r="A7" s="360" t="s">
        <v>355</v>
      </c>
      <c r="B7" s="360"/>
      <c r="C7" s="360"/>
      <c r="D7" s="360"/>
      <c r="E7" s="360"/>
      <c r="F7" s="360"/>
      <c r="G7" s="360"/>
      <c r="H7" s="360"/>
      <c r="I7" s="360"/>
    </row>
    <row r="8" spans="1:9" ht="15.75" thickBot="1">
      <c r="A8" s="50"/>
      <c r="B8" s="50"/>
      <c r="C8" s="49"/>
      <c r="D8" s="49"/>
      <c r="E8" s="49"/>
      <c r="F8" s="44"/>
      <c r="G8" s="26"/>
      <c r="H8" s="361" t="s">
        <v>288</v>
      </c>
      <c r="I8" s="361"/>
    </row>
    <row r="9" spans="1:9" ht="15">
      <c r="A9" s="342" t="s">
        <v>100</v>
      </c>
      <c r="B9" s="343"/>
      <c r="C9" s="343"/>
      <c r="D9" s="343"/>
      <c r="E9" s="343"/>
      <c r="F9" s="344"/>
      <c r="G9" s="51" t="s">
        <v>0</v>
      </c>
      <c r="H9" s="51" t="s">
        <v>0</v>
      </c>
      <c r="I9" s="41" t="s">
        <v>186</v>
      </c>
    </row>
    <row r="10" spans="1:9" ht="15">
      <c r="A10" s="345"/>
      <c r="B10" s="346"/>
      <c r="C10" s="346"/>
      <c r="D10" s="346"/>
      <c r="E10" s="346"/>
      <c r="F10" s="347"/>
      <c r="G10" s="52" t="s">
        <v>35</v>
      </c>
      <c r="H10" s="52" t="s">
        <v>35</v>
      </c>
      <c r="I10" s="53"/>
    </row>
    <row r="11" spans="1:9" ht="15.75" thickBot="1">
      <c r="A11" s="348"/>
      <c r="B11" s="349"/>
      <c r="C11" s="349"/>
      <c r="D11" s="349"/>
      <c r="E11" s="349"/>
      <c r="F11" s="350"/>
      <c r="G11" s="54" t="s">
        <v>332</v>
      </c>
      <c r="H11" s="54" t="s">
        <v>355</v>
      </c>
      <c r="I11" s="55" t="s">
        <v>1</v>
      </c>
    </row>
    <row r="12" spans="1:9" ht="33" customHeight="1">
      <c r="A12" s="56" t="s">
        <v>101</v>
      </c>
      <c r="B12" s="337" t="s">
        <v>102</v>
      </c>
      <c r="C12" s="337"/>
      <c r="D12" s="337"/>
      <c r="E12" s="337"/>
      <c r="F12" s="337"/>
      <c r="G12" s="23"/>
      <c r="H12" s="22"/>
      <c r="I12" s="23"/>
    </row>
    <row r="13" spans="1:9" ht="15.75" customHeight="1">
      <c r="A13" s="9"/>
      <c r="B13" s="9" t="s">
        <v>101</v>
      </c>
      <c r="C13" s="9" t="s">
        <v>103</v>
      </c>
      <c r="D13" s="9"/>
      <c r="E13" s="9"/>
      <c r="F13" s="9"/>
      <c r="G13" s="31"/>
      <c r="H13" s="31"/>
      <c r="I13" s="9"/>
    </row>
    <row r="14" spans="1:9" ht="29.25" customHeight="1">
      <c r="A14" s="9"/>
      <c r="B14" s="9"/>
      <c r="C14" s="56" t="s">
        <v>7</v>
      </c>
      <c r="D14" s="337" t="s">
        <v>104</v>
      </c>
      <c r="E14" s="337"/>
      <c r="F14" s="337"/>
      <c r="G14" s="22"/>
      <c r="H14" s="22"/>
      <c r="I14" s="23"/>
    </row>
    <row r="15" spans="1:9" ht="28.5" customHeight="1">
      <c r="A15" s="9"/>
      <c r="B15" s="9"/>
      <c r="C15" s="9"/>
      <c r="D15" s="56" t="s">
        <v>7</v>
      </c>
      <c r="E15" s="337" t="s">
        <v>105</v>
      </c>
      <c r="F15" s="337"/>
      <c r="G15" s="22"/>
      <c r="H15" s="22"/>
      <c r="I15" s="23"/>
    </row>
    <row r="16" spans="1:9" ht="30.75" customHeight="1">
      <c r="A16" s="8"/>
      <c r="B16" s="8"/>
      <c r="C16" s="8"/>
      <c r="D16" s="57" t="s">
        <v>106</v>
      </c>
      <c r="E16" s="351" t="s">
        <v>107</v>
      </c>
      <c r="F16" s="353"/>
      <c r="G16" s="24"/>
      <c r="H16" s="24"/>
      <c r="I16" s="25"/>
    </row>
    <row r="17" spans="1:9" ht="29.25" customHeight="1">
      <c r="A17" s="8"/>
      <c r="B17" s="8"/>
      <c r="C17" s="8"/>
      <c r="D17" s="8"/>
      <c r="E17" s="57" t="s">
        <v>108</v>
      </c>
      <c r="F17" s="33" t="s">
        <v>109</v>
      </c>
      <c r="G17" s="26">
        <v>863010</v>
      </c>
      <c r="H17" s="26">
        <v>863010</v>
      </c>
      <c r="I17" s="25">
        <f aca="true" t="shared" si="0" ref="I17:I24">(H17/G17)*100</f>
        <v>100</v>
      </c>
    </row>
    <row r="18" spans="1:9" ht="19.5" customHeight="1">
      <c r="A18" s="8"/>
      <c r="B18" s="8"/>
      <c r="C18" s="8"/>
      <c r="D18" s="8"/>
      <c r="E18" s="8" t="s">
        <v>110</v>
      </c>
      <c r="F18" s="33" t="s">
        <v>111</v>
      </c>
      <c r="G18" s="26">
        <v>576000</v>
      </c>
      <c r="H18" s="26">
        <v>576000</v>
      </c>
      <c r="I18" s="25">
        <f t="shared" si="0"/>
        <v>100</v>
      </c>
    </row>
    <row r="19" spans="1:9" ht="27.75" customHeight="1">
      <c r="A19" s="8"/>
      <c r="B19" s="8"/>
      <c r="C19" s="8"/>
      <c r="D19" s="8"/>
      <c r="E19" s="57" t="s">
        <v>112</v>
      </c>
      <c r="F19" s="33" t="s">
        <v>113</v>
      </c>
      <c r="G19" s="26"/>
      <c r="H19" s="26">
        <v>107041</v>
      </c>
      <c r="I19" s="25"/>
    </row>
    <row r="20" spans="1:9" ht="17.25" customHeight="1">
      <c r="A20" s="8"/>
      <c r="B20" s="8"/>
      <c r="C20" s="8"/>
      <c r="D20" s="8"/>
      <c r="E20" s="8" t="s">
        <v>114</v>
      </c>
      <c r="F20" s="33" t="s">
        <v>115</v>
      </c>
      <c r="G20" s="26">
        <v>808120</v>
      </c>
      <c r="H20" s="26">
        <v>808120</v>
      </c>
      <c r="I20" s="25">
        <f t="shared" si="0"/>
        <v>100</v>
      </c>
    </row>
    <row r="21" spans="1:9" ht="18" customHeight="1">
      <c r="A21" s="8"/>
      <c r="B21" s="8"/>
      <c r="C21" s="8"/>
      <c r="D21" s="8" t="s">
        <v>116</v>
      </c>
      <c r="E21" s="8" t="s">
        <v>187</v>
      </c>
      <c r="F21" s="8"/>
      <c r="G21" s="26">
        <v>5000000</v>
      </c>
      <c r="H21" s="26">
        <v>5000000</v>
      </c>
      <c r="I21" s="25">
        <f t="shared" si="0"/>
        <v>100</v>
      </c>
    </row>
    <row r="22" spans="1:9" ht="14.25" customHeight="1">
      <c r="A22" s="8"/>
      <c r="B22" s="8"/>
      <c r="C22" s="8"/>
      <c r="D22" s="8"/>
      <c r="E22" s="8"/>
      <c r="F22" s="58" t="s">
        <v>202</v>
      </c>
      <c r="G22" s="26"/>
      <c r="H22" s="26"/>
      <c r="I22" s="25"/>
    </row>
    <row r="23" spans="1:9" ht="18" customHeight="1">
      <c r="A23" s="8"/>
      <c r="B23" s="8"/>
      <c r="C23" s="8"/>
      <c r="D23" s="8" t="s">
        <v>188</v>
      </c>
      <c r="E23" s="8"/>
      <c r="F23" s="8"/>
      <c r="G23" s="27">
        <v>43350</v>
      </c>
      <c r="H23" s="26">
        <v>45900</v>
      </c>
      <c r="I23" s="25">
        <f t="shared" si="0"/>
        <v>105.88235294117648</v>
      </c>
    </row>
    <row r="24" spans="1:9" ht="18" customHeight="1">
      <c r="A24" s="8"/>
      <c r="B24" s="8"/>
      <c r="C24" s="9" t="s">
        <v>12</v>
      </c>
      <c r="D24" s="9" t="s">
        <v>333</v>
      </c>
      <c r="E24" s="9"/>
      <c r="F24" s="9"/>
      <c r="G24" s="27">
        <v>1009100</v>
      </c>
      <c r="H24" s="26">
        <v>990400</v>
      </c>
      <c r="I24" s="25">
        <f t="shared" si="0"/>
        <v>98.14686354176989</v>
      </c>
    </row>
    <row r="25" spans="1:9" ht="8.25" customHeight="1" hidden="1">
      <c r="A25" s="340" t="s">
        <v>117</v>
      </c>
      <c r="B25" s="340"/>
      <c r="C25" s="340"/>
      <c r="D25" s="340"/>
      <c r="E25" s="340"/>
      <c r="F25" s="340"/>
      <c r="G25" s="26"/>
      <c r="H25" s="26"/>
      <c r="I25" s="25"/>
    </row>
    <row r="26" spans="1:9" ht="15.75" customHeight="1">
      <c r="A26" s="340"/>
      <c r="B26" s="340"/>
      <c r="C26" s="340"/>
      <c r="D26" s="340"/>
      <c r="E26" s="340"/>
      <c r="F26" s="340"/>
      <c r="G26" s="36">
        <f>SUM(G16:G25)</f>
        <v>8299580</v>
      </c>
      <c r="H26" s="36">
        <f>SUM(H16:H25)</f>
        <v>8390471</v>
      </c>
      <c r="I26" s="30">
        <f>(H26/G26)*100</f>
        <v>101.09512770525737</v>
      </c>
    </row>
    <row r="27" spans="1:9" ht="32.25" customHeight="1">
      <c r="A27" s="56"/>
      <c r="B27" s="337" t="s">
        <v>200</v>
      </c>
      <c r="C27" s="337"/>
      <c r="D27" s="337"/>
      <c r="E27" s="337"/>
      <c r="F27" s="337"/>
      <c r="G27" s="22"/>
      <c r="H27" s="22"/>
      <c r="I27" s="25"/>
    </row>
    <row r="28" spans="1:9" ht="29.25" customHeight="1">
      <c r="A28" s="8"/>
      <c r="B28" s="8"/>
      <c r="C28" s="8"/>
      <c r="D28" s="57" t="s">
        <v>8</v>
      </c>
      <c r="E28" s="351" t="s">
        <v>189</v>
      </c>
      <c r="F28" s="351"/>
      <c r="G28" s="26">
        <v>1120000</v>
      </c>
      <c r="H28" s="26">
        <v>1583000</v>
      </c>
      <c r="I28" s="25">
        <f>(H28/G28)*100</f>
        <v>141.33928571428572</v>
      </c>
    </row>
    <row r="29" spans="1:9" ht="29.25" customHeight="1">
      <c r="A29" s="8"/>
      <c r="B29" s="8"/>
      <c r="C29" s="8"/>
      <c r="D29" s="57" t="s">
        <v>9</v>
      </c>
      <c r="E29" s="351" t="s">
        <v>274</v>
      </c>
      <c r="F29" s="351"/>
      <c r="G29" s="26">
        <v>387520</v>
      </c>
      <c r="H29" s="26">
        <v>332160</v>
      </c>
      <c r="I29" s="25">
        <f>(H29/G29)*100</f>
        <v>85.71428571428571</v>
      </c>
    </row>
    <row r="30" spans="1:9" ht="15" customHeight="1">
      <c r="A30" s="8"/>
      <c r="B30" s="8"/>
      <c r="C30" s="8"/>
      <c r="D30" s="57"/>
      <c r="E30" s="351" t="s">
        <v>275</v>
      </c>
      <c r="F30" s="351"/>
      <c r="G30" s="26">
        <v>3100000</v>
      </c>
      <c r="H30" s="26">
        <v>3100000</v>
      </c>
      <c r="I30" s="25">
        <f>(H30/G30)*100</f>
        <v>100</v>
      </c>
    </row>
    <row r="31" spans="1:9" ht="15" customHeight="1">
      <c r="A31" s="8"/>
      <c r="B31" s="8"/>
      <c r="C31" s="8"/>
      <c r="D31" s="57" t="s">
        <v>10</v>
      </c>
      <c r="E31" s="351" t="s">
        <v>346</v>
      </c>
      <c r="F31" s="352"/>
      <c r="G31" s="26"/>
      <c r="H31" s="26">
        <v>63994</v>
      </c>
      <c r="I31" s="25"/>
    </row>
    <row r="32" spans="1:9" ht="15" customHeight="1">
      <c r="A32" s="8"/>
      <c r="B32" s="8"/>
      <c r="C32" s="8"/>
      <c r="D32" s="57" t="s">
        <v>11</v>
      </c>
      <c r="E32" s="351" t="s">
        <v>276</v>
      </c>
      <c r="F32" s="351"/>
      <c r="G32" s="26"/>
      <c r="H32" s="26"/>
      <c r="I32" s="25"/>
    </row>
    <row r="33" spans="1:9" ht="30" customHeight="1">
      <c r="A33" s="8"/>
      <c r="B33" s="8"/>
      <c r="C33" s="8"/>
      <c r="D33" s="57"/>
      <c r="E33" s="351" t="s">
        <v>277</v>
      </c>
      <c r="F33" s="351"/>
      <c r="G33" s="26"/>
      <c r="H33" s="26">
        <v>99180</v>
      </c>
      <c r="I33" s="25"/>
    </row>
    <row r="34" spans="1:9" ht="28.5" customHeight="1">
      <c r="A34" s="59"/>
      <c r="B34" s="59"/>
      <c r="C34" s="362" t="s">
        <v>118</v>
      </c>
      <c r="D34" s="362"/>
      <c r="E34" s="362"/>
      <c r="F34" s="362"/>
      <c r="G34" s="37">
        <f>SUM(G28:G33)</f>
        <v>4607520</v>
      </c>
      <c r="H34" s="37">
        <f>SUM(H28:H33)</f>
        <v>5178334</v>
      </c>
      <c r="I34" s="38">
        <f>(H34/G34)*100</f>
        <v>112.38874709171094</v>
      </c>
    </row>
    <row r="35" spans="1:9" ht="6" customHeight="1" hidden="1">
      <c r="A35" s="8"/>
      <c r="B35" s="8"/>
      <c r="C35" s="8"/>
      <c r="D35" s="8"/>
      <c r="E35" s="8"/>
      <c r="F35" s="8"/>
      <c r="G35" s="26"/>
      <c r="H35" s="26"/>
      <c r="I35" s="25"/>
    </row>
    <row r="36" spans="1:9" ht="26.25" customHeight="1">
      <c r="A36" s="56"/>
      <c r="B36" s="337" t="s">
        <v>201</v>
      </c>
      <c r="C36" s="337"/>
      <c r="D36" s="337"/>
      <c r="E36" s="337"/>
      <c r="F36" s="337"/>
      <c r="G36" s="22"/>
      <c r="H36" s="22"/>
      <c r="I36" s="25"/>
    </row>
    <row r="37" spans="1:9" ht="27" customHeight="1">
      <c r="A37" s="8"/>
      <c r="B37" s="8"/>
      <c r="C37" s="8"/>
      <c r="D37" s="8" t="s">
        <v>7</v>
      </c>
      <c r="E37" s="333" t="s">
        <v>119</v>
      </c>
      <c r="F37" s="333"/>
      <c r="G37" s="24"/>
      <c r="H37" s="24"/>
      <c r="I37" s="25"/>
    </row>
    <row r="38" spans="1:9" ht="33.75" customHeight="1">
      <c r="A38" s="8"/>
      <c r="B38" s="8"/>
      <c r="C38" s="8"/>
      <c r="D38" s="8"/>
      <c r="E38" s="57" t="s">
        <v>120</v>
      </c>
      <c r="F38" s="61" t="s">
        <v>199</v>
      </c>
      <c r="G38" s="24">
        <v>1800000</v>
      </c>
      <c r="H38" s="24">
        <v>1800000</v>
      </c>
      <c r="I38" s="25">
        <f>(H38/G38)*100</f>
        <v>100</v>
      </c>
    </row>
    <row r="39" spans="1:9" ht="27.75" customHeight="1">
      <c r="A39" s="8"/>
      <c r="B39" s="340" t="s">
        <v>203</v>
      </c>
      <c r="C39" s="340"/>
      <c r="D39" s="340"/>
      <c r="E39" s="340"/>
      <c r="F39" s="340"/>
      <c r="G39" s="31">
        <f>SUM(G38:G38)</f>
        <v>1800000</v>
      </c>
      <c r="H39" s="31">
        <f>SUM(H38:H38)</f>
        <v>1800000</v>
      </c>
      <c r="I39" s="30">
        <f>(H39/G39)*100</f>
        <v>100</v>
      </c>
    </row>
    <row r="40" spans="1:9" ht="13.5" customHeight="1">
      <c r="A40" s="8"/>
      <c r="B40" s="148" t="s">
        <v>145</v>
      </c>
      <c r="C40" s="340" t="s">
        <v>347</v>
      </c>
      <c r="D40" s="341"/>
      <c r="E40" s="341"/>
      <c r="F40" s="341"/>
      <c r="G40" s="28"/>
      <c r="H40" s="28"/>
      <c r="I40" s="25"/>
    </row>
    <row r="41" spans="1:9" ht="15" customHeight="1">
      <c r="A41" s="8"/>
      <c r="B41" s="9"/>
      <c r="C41" s="9"/>
      <c r="D41" s="33" t="s">
        <v>8</v>
      </c>
      <c r="E41" s="351" t="s">
        <v>348</v>
      </c>
      <c r="F41" s="354"/>
      <c r="G41" s="24"/>
      <c r="H41" s="24"/>
      <c r="I41" s="25"/>
    </row>
    <row r="42" spans="1:9" ht="15" customHeight="1">
      <c r="A42" s="8"/>
      <c r="B42" s="9" t="s">
        <v>349</v>
      </c>
      <c r="C42" s="23"/>
      <c r="D42" s="23"/>
      <c r="E42" s="24"/>
      <c r="G42" s="22">
        <f>G41</f>
        <v>0</v>
      </c>
      <c r="H42" s="22">
        <f>H41</f>
        <v>0</v>
      </c>
      <c r="I42" s="25"/>
    </row>
    <row r="43" spans="1:9" ht="4.5" customHeight="1">
      <c r="A43" s="8"/>
      <c r="B43" s="8"/>
      <c r="C43" s="8"/>
      <c r="D43" s="8"/>
      <c r="E43" s="8"/>
      <c r="F43" s="33"/>
      <c r="G43" s="24"/>
      <c r="H43" s="24"/>
      <c r="I43" s="25"/>
    </row>
    <row r="44" spans="1:9" ht="28.5" customHeight="1">
      <c r="A44" s="358" t="s">
        <v>190</v>
      </c>
      <c r="B44" s="359"/>
      <c r="C44" s="359"/>
      <c r="D44" s="359"/>
      <c r="E44" s="359"/>
      <c r="F44" s="359"/>
      <c r="G44" s="29">
        <f>G26+G34+G39+G43+G40+G42</f>
        <v>14707100</v>
      </c>
      <c r="H44" s="29">
        <f>H26+H34+H39+H40+H42</f>
        <v>15368805</v>
      </c>
      <c r="I44" s="30">
        <f>(H44/G44)*100</f>
        <v>104.49922146446274</v>
      </c>
    </row>
    <row r="45" spans="1:9" ht="28.5" customHeight="1">
      <c r="A45" s="144"/>
      <c r="B45" s="145"/>
      <c r="C45" s="145"/>
      <c r="D45" s="145"/>
      <c r="E45" s="145"/>
      <c r="F45" s="145"/>
      <c r="G45" s="29"/>
      <c r="H45" s="29"/>
      <c r="I45" s="30"/>
    </row>
    <row r="46" spans="1:9" ht="24.75" customHeight="1" thickBot="1">
      <c r="A46" s="339" t="s">
        <v>198</v>
      </c>
      <c r="B46" s="339"/>
      <c r="C46" s="339"/>
      <c r="D46" s="339"/>
      <c r="E46" s="339"/>
      <c r="F46" s="339"/>
      <c r="G46" s="339"/>
      <c r="H46" s="339"/>
      <c r="I46" s="339"/>
    </row>
    <row r="47" spans="1:9" ht="17.25" customHeight="1">
      <c r="A47" s="342" t="s">
        <v>100</v>
      </c>
      <c r="B47" s="343"/>
      <c r="C47" s="343"/>
      <c r="D47" s="343"/>
      <c r="E47" s="343"/>
      <c r="F47" s="344"/>
      <c r="G47" s="51" t="s">
        <v>0</v>
      </c>
      <c r="H47" s="51" t="s">
        <v>0</v>
      </c>
      <c r="I47" s="41" t="s">
        <v>186</v>
      </c>
    </row>
    <row r="48" spans="1:9" ht="14.25" customHeight="1">
      <c r="A48" s="345"/>
      <c r="B48" s="346"/>
      <c r="C48" s="346"/>
      <c r="D48" s="346"/>
      <c r="E48" s="346"/>
      <c r="F48" s="347"/>
      <c r="G48" s="52" t="s">
        <v>35</v>
      </c>
      <c r="H48" s="52" t="s">
        <v>35</v>
      </c>
      <c r="I48" s="53"/>
    </row>
    <row r="49" spans="1:9" ht="16.5" customHeight="1" thickBot="1">
      <c r="A49" s="348"/>
      <c r="B49" s="349"/>
      <c r="C49" s="349"/>
      <c r="D49" s="349"/>
      <c r="E49" s="349"/>
      <c r="F49" s="350"/>
      <c r="G49" s="54" t="s">
        <v>332</v>
      </c>
      <c r="H49" s="54" t="s">
        <v>355</v>
      </c>
      <c r="I49" s="55" t="s">
        <v>1</v>
      </c>
    </row>
    <row r="50" spans="1:9" ht="33" customHeight="1">
      <c r="A50" s="46"/>
      <c r="B50" s="334" t="s">
        <v>204</v>
      </c>
      <c r="C50" s="353"/>
      <c r="D50" s="353"/>
      <c r="E50" s="353"/>
      <c r="F50" s="353"/>
      <c r="G50" s="27"/>
      <c r="H50" s="27"/>
      <c r="I50" s="30"/>
    </row>
    <row r="51" spans="1:9" ht="15">
      <c r="A51" s="43"/>
      <c r="B51" s="43"/>
      <c r="C51" s="138" t="s">
        <v>7</v>
      </c>
      <c r="D51" s="45" t="s">
        <v>122</v>
      </c>
      <c r="E51" s="43"/>
      <c r="F51" s="43"/>
      <c r="G51" s="27">
        <v>52200</v>
      </c>
      <c r="H51" s="27">
        <v>65000</v>
      </c>
      <c r="I51" s="25">
        <f>(H51/G51)*100</f>
        <v>124.52107279693487</v>
      </c>
    </row>
    <row r="52" spans="1:9" ht="15">
      <c r="A52" s="43"/>
      <c r="B52" s="43"/>
      <c r="C52" s="43" t="s">
        <v>8</v>
      </c>
      <c r="D52" s="357" t="s">
        <v>123</v>
      </c>
      <c r="E52" s="357"/>
      <c r="F52" s="357"/>
      <c r="G52" s="29"/>
      <c r="H52" s="27">
        <v>505557</v>
      </c>
      <c r="I52" s="30"/>
    </row>
    <row r="53" spans="1:9" ht="2.25" customHeight="1">
      <c r="A53" s="43"/>
      <c r="B53" s="43"/>
      <c r="C53" s="43"/>
      <c r="D53" s="137"/>
      <c r="E53" s="137"/>
      <c r="F53" s="137"/>
      <c r="G53" s="29"/>
      <c r="H53" s="29"/>
      <c r="I53" s="30"/>
    </row>
    <row r="54" spans="1:9" ht="29.25" customHeight="1">
      <c r="A54" s="43"/>
      <c r="B54" s="334" t="s">
        <v>124</v>
      </c>
      <c r="C54" s="334"/>
      <c r="D54" s="334"/>
      <c r="E54" s="334"/>
      <c r="F54" s="334"/>
      <c r="G54" s="29">
        <f>G51</f>
        <v>52200</v>
      </c>
      <c r="H54" s="29">
        <f>H51+H52</f>
        <v>570557</v>
      </c>
      <c r="I54" s="25">
        <f>(H54/G54)*100</f>
        <v>1093.021072796935</v>
      </c>
    </row>
    <row r="55" spans="1:9" ht="33.75" customHeight="1">
      <c r="A55" s="334" t="s">
        <v>125</v>
      </c>
      <c r="B55" s="334"/>
      <c r="C55" s="334"/>
      <c r="D55" s="334"/>
      <c r="E55" s="334"/>
      <c r="F55" s="334"/>
      <c r="G55" s="34">
        <f>G44+G54</f>
        <v>14759300</v>
      </c>
      <c r="H55" s="34">
        <f>H44+H54</f>
        <v>15939362</v>
      </c>
      <c r="I55" s="30">
        <f>(H55/G55)*100</f>
        <v>107.99537918464968</v>
      </c>
    </row>
    <row r="56" spans="1:9" ht="30.75" customHeight="1">
      <c r="A56" s="46" t="s">
        <v>121</v>
      </c>
      <c r="B56" s="334" t="s">
        <v>126</v>
      </c>
      <c r="C56" s="334"/>
      <c r="D56" s="334"/>
      <c r="E56" s="334"/>
      <c r="F56" s="334"/>
      <c r="G56" s="34"/>
      <c r="H56" s="29"/>
      <c r="I56" s="30"/>
    </row>
    <row r="57" spans="1:9" ht="15">
      <c r="A57" s="46"/>
      <c r="B57" s="42" t="s">
        <v>7</v>
      </c>
      <c r="C57" s="334" t="s">
        <v>191</v>
      </c>
      <c r="D57" s="334"/>
      <c r="E57" s="334"/>
      <c r="F57" s="334"/>
      <c r="G57" s="27"/>
      <c r="H57" s="27"/>
      <c r="I57" s="25"/>
    </row>
    <row r="58" spans="1:9" ht="30.75" customHeight="1">
      <c r="A58" s="46"/>
      <c r="B58" s="42"/>
      <c r="C58" s="42" t="s">
        <v>7</v>
      </c>
      <c r="D58" s="336" t="s">
        <v>336</v>
      </c>
      <c r="E58" s="335"/>
      <c r="F58" s="335"/>
      <c r="G58" s="27">
        <v>5697553</v>
      </c>
      <c r="H58" s="27"/>
      <c r="I58" s="25"/>
    </row>
    <row r="59" spans="1:9" ht="30.75" customHeight="1">
      <c r="A59" s="46"/>
      <c r="B59" s="42"/>
      <c r="C59" s="334" t="s">
        <v>192</v>
      </c>
      <c r="D59" s="334"/>
      <c r="E59" s="334"/>
      <c r="F59" s="334"/>
      <c r="G59" s="34">
        <f>G58</f>
        <v>5697553</v>
      </c>
      <c r="H59" s="34">
        <f>H58</f>
        <v>0</v>
      </c>
      <c r="I59" s="8"/>
    </row>
    <row r="60" spans="1:9" ht="15" customHeight="1">
      <c r="A60" s="46"/>
      <c r="B60" s="42" t="s">
        <v>8</v>
      </c>
      <c r="C60" s="334" t="s">
        <v>335</v>
      </c>
      <c r="D60" s="335"/>
      <c r="E60" s="335"/>
      <c r="F60" s="335"/>
      <c r="G60" s="34"/>
      <c r="H60" s="34"/>
      <c r="I60" s="8"/>
    </row>
    <row r="61" spans="1:9" ht="18.75" customHeight="1">
      <c r="A61" s="46"/>
      <c r="B61" s="42"/>
      <c r="C61" s="42" t="s">
        <v>7</v>
      </c>
      <c r="D61" s="47" t="s">
        <v>299</v>
      </c>
      <c r="E61" s="42"/>
      <c r="F61" s="42"/>
      <c r="G61" s="27">
        <v>31078900</v>
      </c>
      <c r="H61" s="27">
        <v>57502275</v>
      </c>
      <c r="I61" s="8"/>
    </row>
    <row r="62" spans="1:9" ht="18.75" customHeight="1">
      <c r="A62" s="46"/>
      <c r="B62" s="42"/>
      <c r="C62" s="42" t="s">
        <v>8</v>
      </c>
      <c r="D62" s="47" t="s">
        <v>300</v>
      </c>
      <c r="E62" s="42"/>
      <c r="F62" s="42"/>
      <c r="G62" s="27">
        <v>3453211</v>
      </c>
      <c r="H62" s="27">
        <v>3069605</v>
      </c>
      <c r="I62" s="8"/>
    </row>
    <row r="63" spans="1:9" ht="28.5" customHeight="1">
      <c r="A63" s="46"/>
      <c r="B63" s="42"/>
      <c r="C63" s="334" t="s">
        <v>334</v>
      </c>
      <c r="D63" s="334"/>
      <c r="E63" s="334"/>
      <c r="F63" s="334"/>
      <c r="G63" s="34">
        <f>G61+G62</f>
        <v>34532111</v>
      </c>
      <c r="H63" s="34">
        <f>H61+H62</f>
        <v>60571880</v>
      </c>
      <c r="I63" s="8"/>
    </row>
    <row r="64" spans="1:9" ht="30" customHeight="1">
      <c r="A64" s="334" t="s">
        <v>126</v>
      </c>
      <c r="B64" s="334"/>
      <c r="C64" s="334"/>
      <c r="D64" s="334"/>
      <c r="E64" s="334"/>
      <c r="F64" s="335"/>
      <c r="G64" s="34">
        <f>G59+G63</f>
        <v>40229664</v>
      </c>
      <c r="H64" s="34">
        <f>H59+H63</f>
        <v>60571880</v>
      </c>
      <c r="I64" s="8"/>
    </row>
    <row r="65" spans="1:19" ht="15">
      <c r="A65" s="9" t="s">
        <v>127</v>
      </c>
      <c r="B65" s="9" t="s">
        <v>80</v>
      </c>
      <c r="C65" s="9"/>
      <c r="D65" s="9"/>
      <c r="E65" s="9"/>
      <c r="F65" s="9"/>
      <c r="G65" s="9"/>
      <c r="H65" s="31"/>
      <c r="I65" s="25"/>
      <c r="L65" s="355"/>
      <c r="M65" s="356"/>
      <c r="N65" s="356"/>
      <c r="O65" s="356"/>
      <c r="P65" s="356"/>
      <c r="Q65" s="356"/>
      <c r="R65" s="356"/>
      <c r="S65" s="356"/>
    </row>
    <row r="66" spans="1:9" ht="15">
      <c r="A66" s="8"/>
      <c r="B66" s="8" t="s">
        <v>135</v>
      </c>
      <c r="C66" s="8" t="s">
        <v>128</v>
      </c>
      <c r="D66" s="8"/>
      <c r="E66" s="8"/>
      <c r="F66" s="8"/>
      <c r="G66" s="8"/>
      <c r="H66" s="26"/>
      <c r="I66" s="25"/>
    </row>
    <row r="67" spans="1:9" ht="15">
      <c r="A67" s="8"/>
      <c r="B67" s="8"/>
      <c r="C67" s="8" t="s">
        <v>7</v>
      </c>
      <c r="D67" s="8" t="s">
        <v>129</v>
      </c>
      <c r="E67" s="8"/>
      <c r="F67" s="8"/>
      <c r="G67" s="26">
        <v>110000</v>
      </c>
      <c r="H67" s="26">
        <v>110000</v>
      </c>
      <c r="I67" s="25">
        <f>H67/G67*100</f>
        <v>100</v>
      </c>
    </row>
    <row r="68" spans="1:9" ht="15">
      <c r="A68" s="9"/>
      <c r="B68" s="9" t="s">
        <v>7</v>
      </c>
      <c r="C68" s="9" t="s">
        <v>130</v>
      </c>
      <c r="D68" s="9"/>
      <c r="E68" s="9"/>
      <c r="F68" s="9"/>
      <c r="G68" s="9"/>
      <c r="H68" s="31"/>
      <c r="I68" s="25"/>
    </row>
    <row r="69" spans="1:9" ht="15">
      <c r="A69" s="8"/>
      <c r="B69" s="8"/>
      <c r="C69" s="8" t="s">
        <v>7</v>
      </c>
      <c r="D69" s="8" t="s">
        <v>131</v>
      </c>
      <c r="E69" s="8"/>
      <c r="F69" s="8"/>
      <c r="G69" s="26">
        <v>1000000</v>
      </c>
      <c r="H69" s="26">
        <v>1000000</v>
      </c>
      <c r="I69" s="25">
        <f>H69/G69*100</f>
        <v>100</v>
      </c>
    </row>
    <row r="70" spans="1:9" ht="15">
      <c r="A70" s="9"/>
      <c r="B70" s="9" t="s">
        <v>8</v>
      </c>
      <c r="C70" s="9" t="s">
        <v>132</v>
      </c>
      <c r="D70" s="9"/>
      <c r="E70" s="9"/>
      <c r="F70" s="9"/>
      <c r="G70" s="31"/>
      <c r="H70" s="31"/>
      <c r="I70" s="25"/>
    </row>
    <row r="71" spans="1:9" ht="15">
      <c r="A71" s="8"/>
      <c r="B71" s="8"/>
      <c r="C71" s="8" t="s">
        <v>7</v>
      </c>
      <c r="D71" s="8" t="s">
        <v>133</v>
      </c>
      <c r="E71" s="8"/>
      <c r="F71" s="8"/>
      <c r="G71" s="26">
        <v>200000</v>
      </c>
      <c r="H71" s="26">
        <v>200000</v>
      </c>
      <c r="I71" s="25">
        <f>H71/G71*100</f>
        <v>100</v>
      </c>
    </row>
    <row r="72" spans="1:9" ht="15">
      <c r="A72" s="9"/>
      <c r="B72" s="9" t="s">
        <v>10</v>
      </c>
      <c r="C72" s="9" t="s">
        <v>134</v>
      </c>
      <c r="D72" s="9"/>
      <c r="E72" s="9"/>
      <c r="F72" s="9"/>
      <c r="G72" s="31"/>
      <c r="H72" s="31"/>
      <c r="I72" s="25"/>
    </row>
    <row r="73" spans="1:9" ht="15">
      <c r="A73" s="8"/>
      <c r="B73" s="8"/>
      <c r="C73" s="9" t="s">
        <v>7</v>
      </c>
      <c r="D73" s="8" t="s">
        <v>136</v>
      </c>
      <c r="E73" s="8"/>
      <c r="F73" s="8"/>
      <c r="G73" s="26">
        <v>5000</v>
      </c>
      <c r="H73" s="26">
        <v>5000</v>
      </c>
      <c r="I73" s="25">
        <f>H73/G73*100</f>
        <v>100</v>
      </c>
    </row>
    <row r="74" spans="1:9" ht="15">
      <c r="A74" s="8"/>
      <c r="B74" s="8"/>
      <c r="C74" s="9" t="s">
        <v>9</v>
      </c>
      <c r="D74" s="8" t="s">
        <v>137</v>
      </c>
      <c r="E74" s="8"/>
      <c r="F74" s="8"/>
      <c r="G74" s="26">
        <v>5000</v>
      </c>
      <c r="H74" s="26">
        <v>5000</v>
      </c>
      <c r="I74" s="25">
        <f>H74/G74*100</f>
        <v>100</v>
      </c>
    </row>
    <row r="75" spans="1:9" ht="15">
      <c r="A75" s="9" t="s">
        <v>138</v>
      </c>
      <c r="B75" s="43"/>
      <c r="C75" s="43"/>
      <c r="D75" s="43"/>
      <c r="E75" s="43"/>
      <c r="F75" s="43"/>
      <c r="G75" s="29">
        <f>SUM(G67:G74)</f>
        <v>1320000</v>
      </c>
      <c r="H75" s="29">
        <f>SUM(H67:H74)</f>
        <v>1320000</v>
      </c>
      <c r="I75" s="30">
        <f>H75/G75*100</f>
        <v>100</v>
      </c>
    </row>
    <row r="76" spans="1:9" ht="15">
      <c r="A76" s="9" t="s">
        <v>139</v>
      </c>
      <c r="B76" s="9" t="s">
        <v>81</v>
      </c>
      <c r="C76" s="9"/>
      <c r="D76" s="9"/>
      <c r="E76" s="9"/>
      <c r="F76" s="9"/>
      <c r="G76" s="9"/>
      <c r="H76" s="31"/>
      <c r="I76" s="25"/>
    </row>
    <row r="77" spans="1:9" ht="6" customHeight="1">
      <c r="A77" s="43"/>
      <c r="B77" s="43"/>
      <c r="C77" s="43"/>
      <c r="D77" s="43"/>
      <c r="E77" s="43"/>
      <c r="F77" s="43"/>
      <c r="G77" s="27"/>
      <c r="H77" s="27"/>
      <c r="I77" s="25"/>
    </row>
    <row r="78" spans="1:9" ht="15">
      <c r="A78" s="43"/>
      <c r="B78" s="43" t="s">
        <v>7</v>
      </c>
      <c r="C78" s="338" t="s">
        <v>140</v>
      </c>
      <c r="D78" s="338"/>
      <c r="E78" s="338"/>
      <c r="F78" s="338"/>
      <c r="G78" s="27"/>
      <c r="H78" s="27"/>
      <c r="I78" s="25"/>
    </row>
    <row r="79" spans="1:9" ht="15">
      <c r="A79" s="43"/>
      <c r="B79" s="43"/>
      <c r="C79" s="48" t="s">
        <v>7</v>
      </c>
      <c r="D79" s="48" t="s">
        <v>141</v>
      </c>
      <c r="E79" s="48"/>
      <c r="F79" s="48"/>
      <c r="G79" s="27">
        <v>596046</v>
      </c>
      <c r="H79" s="27">
        <f>562424+23622+10000</f>
        <v>596046</v>
      </c>
      <c r="I79" s="25">
        <f>H79/G79*100</f>
        <v>100</v>
      </c>
    </row>
    <row r="80" spans="1:9" ht="15">
      <c r="A80" s="43"/>
      <c r="B80" s="43"/>
      <c r="C80" s="48" t="s">
        <v>8</v>
      </c>
      <c r="D80" s="48" t="s">
        <v>142</v>
      </c>
      <c r="E80" s="48"/>
      <c r="F80" s="48"/>
      <c r="G80" s="27">
        <v>578690</v>
      </c>
      <c r="H80" s="27">
        <v>448788</v>
      </c>
      <c r="I80" s="25">
        <f>H80/G80*100</f>
        <v>77.55240284089928</v>
      </c>
    </row>
    <row r="81" spans="1:9" ht="15">
      <c r="A81" s="43"/>
      <c r="B81" s="43"/>
      <c r="C81" s="48" t="s">
        <v>9</v>
      </c>
      <c r="D81" s="48" t="s">
        <v>143</v>
      </c>
      <c r="E81" s="43"/>
      <c r="F81" s="43"/>
      <c r="G81" s="27">
        <v>2000</v>
      </c>
      <c r="H81" s="27"/>
      <c r="I81" s="25">
        <f>H81/G81*100</f>
        <v>0</v>
      </c>
    </row>
    <row r="82" spans="1:9" ht="15">
      <c r="A82" s="43"/>
      <c r="B82" s="43"/>
      <c r="C82" s="48" t="s">
        <v>10</v>
      </c>
      <c r="D82" s="48" t="s">
        <v>290</v>
      </c>
      <c r="E82" s="43"/>
      <c r="F82" s="43"/>
      <c r="G82" s="27">
        <v>391396</v>
      </c>
      <c r="H82" s="27">
        <v>365592</v>
      </c>
      <c r="I82" s="25"/>
    </row>
    <row r="83" spans="1:9" ht="15">
      <c r="A83" s="43"/>
      <c r="B83" s="43"/>
      <c r="C83" s="48" t="s">
        <v>11</v>
      </c>
      <c r="D83" s="48" t="s">
        <v>293</v>
      </c>
      <c r="E83" s="43"/>
      <c r="F83" s="43"/>
      <c r="G83" s="27">
        <v>9547582</v>
      </c>
      <c r="H83" s="27">
        <v>16582383</v>
      </c>
      <c r="I83" s="25"/>
    </row>
    <row r="84" spans="1:9" ht="15.75" customHeight="1">
      <c r="A84" s="9" t="s">
        <v>144</v>
      </c>
      <c r="B84" s="43"/>
      <c r="C84" s="43"/>
      <c r="D84" s="43"/>
      <c r="E84" s="43"/>
      <c r="F84" s="43"/>
      <c r="G84" s="29">
        <f>G79+G80+G81+G82+G83</f>
        <v>11115714</v>
      </c>
      <c r="H84" s="29">
        <f>H79+H80+H81+H82+H83</f>
        <v>17992809</v>
      </c>
      <c r="I84" s="30">
        <f>H84/G84*100</f>
        <v>161.86822546891725</v>
      </c>
    </row>
    <row r="85" spans="1:9" ht="6" customHeight="1" hidden="1">
      <c r="A85" s="9"/>
      <c r="B85" s="43"/>
      <c r="C85" s="43"/>
      <c r="D85" s="43"/>
      <c r="E85" s="43"/>
      <c r="F85" s="43"/>
      <c r="G85" s="29"/>
      <c r="H85" s="29"/>
      <c r="I85" s="30"/>
    </row>
    <row r="86" spans="1:9" ht="15">
      <c r="A86" s="9" t="s">
        <v>145</v>
      </c>
      <c r="B86" s="9" t="s">
        <v>85</v>
      </c>
      <c r="C86" s="9"/>
      <c r="D86" s="9"/>
      <c r="E86" s="9"/>
      <c r="F86" s="9"/>
      <c r="G86" s="9"/>
      <c r="H86" s="31"/>
      <c r="I86" s="25"/>
    </row>
    <row r="87" spans="1:9" ht="27.75" customHeight="1">
      <c r="A87" s="8"/>
      <c r="B87" s="57" t="s">
        <v>7</v>
      </c>
      <c r="C87" s="333" t="s">
        <v>197</v>
      </c>
      <c r="D87" s="333"/>
      <c r="E87" s="333"/>
      <c r="F87" s="333"/>
      <c r="G87" s="33"/>
      <c r="H87" s="24"/>
      <c r="I87" s="25"/>
    </row>
    <row r="88" spans="1:9" ht="30" customHeight="1">
      <c r="A88" s="8"/>
      <c r="B88" s="8"/>
      <c r="C88" s="57" t="s">
        <v>7</v>
      </c>
      <c r="D88" s="333" t="s">
        <v>193</v>
      </c>
      <c r="E88" s="333"/>
      <c r="F88" s="333"/>
      <c r="G88" s="27"/>
      <c r="H88" s="39"/>
      <c r="I88" s="25"/>
    </row>
    <row r="89" spans="1:9" ht="0.75" customHeight="1">
      <c r="A89" s="8"/>
      <c r="B89" s="8"/>
      <c r="C89" s="8"/>
      <c r="D89" s="8"/>
      <c r="E89" s="8"/>
      <c r="F89" s="8"/>
      <c r="G89" s="8"/>
      <c r="H89" s="26"/>
      <c r="I89" s="25"/>
    </row>
    <row r="90" spans="1:9" ht="27.75" customHeight="1">
      <c r="A90" s="337" t="s">
        <v>194</v>
      </c>
      <c r="B90" s="337"/>
      <c r="C90" s="337"/>
      <c r="D90" s="337"/>
      <c r="E90" s="337"/>
      <c r="F90" s="337"/>
      <c r="G90" s="34">
        <f>SUM(G88:G89)</f>
        <v>0</v>
      </c>
      <c r="H90" s="34">
        <f>SUM(H88:H89)</f>
        <v>0</v>
      </c>
      <c r="I90" s="30"/>
    </row>
    <row r="91" spans="1:9" ht="17.25" customHeight="1">
      <c r="A91" s="9" t="s">
        <v>146</v>
      </c>
      <c r="B91" s="9"/>
      <c r="C91" s="9"/>
      <c r="D91" s="9"/>
      <c r="E91" s="9"/>
      <c r="F91" s="9"/>
      <c r="G91" s="34">
        <f>G55+G75+G84+G90+G64</f>
        <v>67424678</v>
      </c>
      <c r="H91" s="34">
        <f>H55+H75+H84+H90+H64</f>
        <v>95824051</v>
      </c>
      <c r="I91" s="30">
        <f>H91/G91*100</f>
        <v>142.12014627641233</v>
      </c>
    </row>
    <row r="92" spans="1:9" ht="26.25" customHeight="1" thickBot="1">
      <c r="A92" s="339" t="s">
        <v>350</v>
      </c>
      <c r="B92" s="339"/>
      <c r="C92" s="339"/>
      <c r="D92" s="339"/>
      <c r="E92" s="339"/>
      <c r="F92" s="339"/>
      <c r="G92" s="339"/>
      <c r="H92" s="339"/>
      <c r="I92" s="339"/>
    </row>
    <row r="93" spans="1:9" ht="17.25" customHeight="1">
      <c r="A93" s="342" t="s">
        <v>100</v>
      </c>
      <c r="B93" s="343"/>
      <c r="C93" s="343"/>
      <c r="D93" s="343"/>
      <c r="E93" s="343"/>
      <c r="F93" s="344"/>
      <c r="G93" s="51" t="s">
        <v>0</v>
      </c>
      <c r="H93" s="51" t="s">
        <v>0</v>
      </c>
      <c r="I93" s="41" t="s">
        <v>186</v>
      </c>
    </row>
    <row r="94" spans="1:9" ht="17.25" customHeight="1">
      <c r="A94" s="345"/>
      <c r="B94" s="346"/>
      <c r="C94" s="346"/>
      <c r="D94" s="346"/>
      <c r="E94" s="346"/>
      <c r="F94" s="347"/>
      <c r="G94" s="52" t="s">
        <v>35</v>
      </c>
      <c r="H94" s="52" t="s">
        <v>35</v>
      </c>
      <c r="I94" s="53"/>
    </row>
    <row r="95" spans="1:9" ht="17.25" customHeight="1" thickBot="1">
      <c r="A95" s="348"/>
      <c r="B95" s="349"/>
      <c r="C95" s="349"/>
      <c r="D95" s="349"/>
      <c r="E95" s="349"/>
      <c r="F95" s="350"/>
      <c r="G95" s="54" t="s">
        <v>332</v>
      </c>
      <c r="H95" s="54" t="s">
        <v>355</v>
      </c>
      <c r="I95" s="55" t="s">
        <v>1</v>
      </c>
    </row>
    <row r="96" spans="1:9" ht="17.25" customHeight="1">
      <c r="A96" s="9"/>
      <c r="B96" s="9"/>
      <c r="C96" s="9"/>
      <c r="D96" s="9"/>
      <c r="E96" s="9"/>
      <c r="F96" s="9"/>
      <c r="G96" s="34"/>
      <c r="H96" s="34"/>
      <c r="I96" s="30"/>
    </row>
    <row r="97" spans="1:9" ht="15">
      <c r="A97" s="9" t="s">
        <v>147</v>
      </c>
      <c r="B97" s="337" t="s">
        <v>148</v>
      </c>
      <c r="C97" s="337"/>
      <c r="D97" s="337"/>
      <c r="E97" s="337"/>
      <c r="F97" s="337"/>
      <c r="G97" s="9"/>
      <c r="H97" s="24"/>
      <c r="I97" s="25"/>
    </row>
    <row r="98" spans="1:9" ht="15">
      <c r="A98" s="9"/>
      <c r="B98" s="40" t="s">
        <v>7</v>
      </c>
      <c r="C98" s="337" t="s">
        <v>195</v>
      </c>
      <c r="D98" s="337"/>
      <c r="E98" s="337"/>
      <c r="F98" s="337"/>
      <c r="G98" s="27"/>
      <c r="H98" s="24"/>
      <c r="I98" s="25"/>
    </row>
    <row r="99" spans="1:9" ht="15">
      <c r="A99" s="9"/>
      <c r="B99" s="40"/>
      <c r="C99" s="60" t="s">
        <v>7</v>
      </c>
      <c r="D99" s="333" t="s">
        <v>205</v>
      </c>
      <c r="E99" s="333"/>
      <c r="F99" s="333"/>
      <c r="G99" s="24">
        <v>3098641</v>
      </c>
      <c r="H99" s="24">
        <f>1656758+78740+40000+183400+34478+12308598</f>
        <v>14301974</v>
      </c>
      <c r="I99" s="25"/>
    </row>
    <row r="100" spans="1:9" ht="15" customHeight="1">
      <c r="A100" s="9"/>
      <c r="B100" s="40"/>
      <c r="C100" s="60" t="s">
        <v>8</v>
      </c>
      <c r="D100" s="333" t="s">
        <v>196</v>
      </c>
      <c r="E100" s="333"/>
      <c r="F100" s="333"/>
      <c r="G100" s="24"/>
      <c r="H100" s="8"/>
      <c r="I100" s="25"/>
    </row>
    <row r="101" spans="1:9" ht="14.25">
      <c r="A101" s="9" t="s">
        <v>148</v>
      </c>
      <c r="B101" s="9"/>
      <c r="C101" s="9"/>
      <c r="D101" s="9"/>
      <c r="E101" s="9"/>
      <c r="F101" s="9"/>
      <c r="G101" s="34">
        <f>G99+G100</f>
        <v>3098641</v>
      </c>
      <c r="H101" s="34">
        <f>H99+H100</f>
        <v>14301974</v>
      </c>
      <c r="I101" s="30"/>
    </row>
    <row r="102" spans="1:9" ht="6" customHeight="1">
      <c r="A102" s="9"/>
      <c r="B102" s="9"/>
      <c r="C102" s="9"/>
      <c r="D102" s="9"/>
      <c r="E102" s="9"/>
      <c r="F102" s="9"/>
      <c r="G102" s="34"/>
      <c r="H102" s="34"/>
      <c r="I102" s="30"/>
    </row>
    <row r="103" spans="1:9" ht="15.75">
      <c r="A103" s="10" t="s">
        <v>149</v>
      </c>
      <c r="B103" s="10"/>
      <c r="C103" s="10"/>
      <c r="D103" s="10"/>
      <c r="E103" s="10"/>
      <c r="F103" s="10"/>
      <c r="G103" s="62">
        <f>G91+G101</f>
        <v>70523319</v>
      </c>
      <c r="H103" s="62">
        <f>H91+H101</f>
        <v>110126025</v>
      </c>
      <c r="I103" s="32">
        <f>H103/G103*100</f>
        <v>156.15547674379874</v>
      </c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8"/>
      <c r="C194" s="8"/>
      <c r="D194" s="8"/>
      <c r="E194" s="8"/>
      <c r="F194" s="8"/>
      <c r="G194" s="8"/>
      <c r="H194" s="8"/>
      <c r="I194" s="8"/>
    </row>
  </sheetData>
  <sheetProtection/>
  <mergeCells count="51">
    <mergeCell ref="A3:I3"/>
    <mergeCell ref="A1:I1"/>
    <mergeCell ref="E15:F15"/>
    <mergeCell ref="E16:F16"/>
    <mergeCell ref="A25:F26"/>
    <mergeCell ref="B27:F27"/>
    <mergeCell ref="A4:I4"/>
    <mergeCell ref="A5:I5"/>
    <mergeCell ref="A6:I6"/>
    <mergeCell ref="D14:F14"/>
    <mergeCell ref="A7:I7"/>
    <mergeCell ref="H8:I8"/>
    <mergeCell ref="A9:F11"/>
    <mergeCell ref="B12:F12"/>
    <mergeCell ref="A47:F49"/>
    <mergeCell ref="E28:F28"/>
    <mergeCell ref="C34:F34"/>
    <mergeCell ref="E29:F29"/>
    <mergeCell ref="E30:F30"/>
    <mergeCell ref="E32:F32"/>
    <mergeCell ref="L65:S65"/>
    <mergeCell ref="D52:F52"/>
    <mergeCell ref="B54:F54"/>
    <mergeCell ref="A55:F55"/>
    <mergeCell ref="C63:F63"/>
    <mergeCell ref="A44:F44"/>
    <mergeCell ref="A46:I46"/>
    <mergeCell ref="C57:F57"/>
    <mergeCell ref="C59:F59"/>
    <mergeCell ref="E33:F33"/>
    <mergeCell ref="E31:F31"/>
    <mergeCell ref="B56:F56"/>
    <mergeCell ref="B50:F50"/>
    <mergeCell ref="B39:F39"/>
    <mergeCell ref="E41:F41"/>
    <mergeCell ref="C78:F78"/>
    <mergeCell ref="A92:I92"/>
    <mergeCell ref="C40:F40"/>
    <mergeCell ref="A93:F95"/>
    <mergeCell ref="B36:F36"/>
    <mergeCell ref="E37:F37"/>
    <mergeCell ref="D99:F99"/>
    <mergeCell ref="C60:F60"/>
    <mergeCell ref="D58:F58"/>
    <mergeCell ref="A64:F64"/>
    <mergeCell ref="D100:F100"/>
    <mergeCell ref="D88:F88"/>
    <mergeCell ref="A90:F90"/>
    <mergeCell ref="B97:F97"/>
    <mergeCell ref="C98:F98"/>
    <mergeCell ref="C87:F87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P29"/>
  <sheetViews>
    <sheetView zoomScalePageLayoutView="0" workbookViewId="0" topLeftCell="A1">
      <selection activeCell="A2" sqref="A2:G2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367" t="s">
        <v>404</v>
      </c>
      <c r="B2" s="368"/>
      <c r="C2" s="368"/>
      <c r="D2" s="368"/>
      <c r="E2" s="368"/>
      <c r="F2" s="368"/>
      <c r="G2" s="368"/>
      <c r="H2" s="64"/>
      <c r="I2" s="66"/>
      <c r="J2" s="66"/>
      <c r="K2" s="66"/>
      <c r="L2" s="66"/>
      <c r="M2" s="66"/>
      <c r="N2" s="66"/>
      <c r="O2" s="66"/>
      <c r="P2" s="66"/>
    </row>
    <row r="3" spans="1:16" ht="15.75">
      <c r="A3" s="150"/>
      <c r="B3" s="166"/>
      <c r="C3" s="166"/>
      <c r="D3" s="166"/>
      <c r="E3" s="166"/>
      <c r="F3" s="166"/>
      <c r="G3" s="166"/>
      <c r="H3" s="67"/>
      <c r="I3" s="67"/>
      <c r="J3" s="67"/>
      <c r="K3" s="67"/>
      <c r="L3" s="67"/>
      <c r="M3" s="67"/>
      <c r="N3" s="67"/>
      <c r="O3" s="67"/>
      <c r="P3" s="67"/>
    </row>
    <row r="4" spans="1:16" ht="15.75">
      <c r="A4" s="369" t="s">
        <v>357</v>
      </c>
      <c r="B4" s="332"/>
      <c r="C4" s="332"/>
      <c r="D4" s="332"/>
      <c r="E4" s="332"/>
      <c r="F4" s="332"/>
      <c r="G4" s="332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5.75">
      <c r="A5" s="150"/>
      <c r="B5" s="374"/>
      <c r="C5" s="375"/>
      <c r="D5" s="375"/>
      <c r="E5" s="375"/>
      <c r="F5" s="375"/>
      <c r="G5" s="375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15.75">
      <c r="A6" s="150"/>
      <c r="B6" s="373" t="s">
        <v>254</v>
      </c>
      <c r="C6" s="373"/>
      <c r="D6" s="373"/>
      <c r="E6" s="373"/>
      <c r="F6" s="373"/>
      <c r="G6" s="373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150"/>
      <c r="B7" s="373" t="s">
        <v>255</v>
      </c>
      <c r="C7" s="373"/>
      <c r="D7" s="373"/>
      <c r="E7" s="373"/>
      <c r="F7" s="373"/>
      <c r="G7" s="373"/>
      <c r="H7" s="68"/>
      <c r="I7" s="68"/>
      <c r="J7" s="68"/>
      <c r="K7" s="68"/>
      <c r="L7" s="68"/>
      <c r="M7" s="68"/>
      <c r="N7" s="68"/>
      <c r="O7" s="68"/>
      <c r="P7" s="68"/>
    </row>
    <row r="8" spans="1:16" ht="15.75">
      <c r="A8" s="150"/>
      <c r="B8" s="373" t="s">
        <v>355</v>
      </c>
      <c r="C8" s="373"/>
      <c r="D8" s="373"/>
      <c r="E8" s="373"/>
      <c r="F8" s="373"/>
      <c r="G8" s="373"/>
      <c r="H8" s="68"/>
      <c r="I8" s="68"/>
      <c r="J8" s="68"/>
      <c r="K8" s="68"/>
      <c r="L8" s="68"/>
      <c r="M8" s="68"/>
      <c r="N8" s="68"/>
      <c r="O8" s="68"/>
      <c r="P8" s="68"/>
    </row>
    <row r="9" spans="1:16" ht="16.5" thickBot="1">
      <c r="A9" s="150"/>
      <c r="B9" s="166"/>
      <c r="C9" s="166"/>
      <c r="D9" s="166"/>
      <c r="E9" s="166"/>
      <c r="F9" s="166"/>
      <c r="G9" s="167" t="s">
        <v>287</v>
      </c>
      <c r="H9" s="67"/>
      <c r="I9" s="67"/>
      <c r="J9" s="69"/>
      <c r="K9" s="67"/>
      <c r="L9" s="67"/>
      <c r="M9" s="67"/>
      <c r="N9" s="69"/>
      <c r="O9" s="69"/>
      <c r="P9" s="67"/>
    </row>
    <row r="10" spans="1:16" ht="16.5" thickBot="1">
      <c r="A10" s="370" t="s">
        <v>294</v>
      </c>
      <c r="B10" s="376" t="s">
        <v>256</v>
      </c>
      <c r="C10" s="379" t="s">
        <v>152</v>
      </c>
      <c r="D10" s="382" t="s">
        <v>257</v>
      </c>
      <c r="E10" s="385" t="s">
        <v>258</v>
      </c>
      <c r="F10" s="386"/>
      <c r="G10" s="387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>
      <c r="A11" s="371"/>
      <c r="B11" s="377"/>
      <c r="C11" s="380"/>
      <c r="D11" s="383"/>
      <c r="E11" s="388" t="s">
        <v>259</v>
      </c>
      <c r="F11" s="388" t="s">
        <v>260</v>
      </c>
      <c r="G11" s="389" t="s">
        <v>261</v>
      </c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6.5" thickBot="1">
      <c r="A12" s="371"/>
      <c r="B12" s="377"/>
      <c r="C12" s="380"/>
      <c r="D12" s="383"/>
      <c r="E12" s="388"/>
      <c r="F12" s="388"/>
      <c r="G12" s="389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5.75">
      <c r="A13" s="371"/>
      <c r="B13" s="377"/>
      <c r="C13" s="380"/>
      <c r="D13" s="383"/>
      <c r="E13" s="390" t="s">
        <v>262</v>
      </c>
      <c r="F13" s="391"/>
      <c r="G13" s="392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9.5" customHeight="1" thickBot="1">
      <c r="A14" s="372"/>
      <c r="B14" s="378"/>
      <c r="C14" s="381"/>
      <c r="D14" s="384"/>
      <c r="E14" s="393"/>
      <c r="F14" s="394"/>
      <c r="G14" s="395"/>
      <c r="H14" s="70"/>
      <c r="I14" s="70"/>
      <c r="J14" s="70"/>
      <c r="K14" s="70"/>
      <c r="L14" s="70"/>
      <c r="M14" s="70"/>
      <c r="N14" s="70"/>
      <c r="O14" s="70"/>
      <c r="P14" s="70"/>
    </row>
    <row r="15" spans="1:16" ht="15.75">
      <c r="A15" s="308" t="s">
        <v>7</v>
      </c>
      <c r="B15" s="171" t="s">
        <v>337</v>
      </c>
      <c r="C15" s="172" t="s">
        <v>338</v>
      </c>
      <c r="D15" s="169">
        <f aca="true" t="shared" si="0" ref="D15:D22">E15+F15+G15</f>
        <v>505557</v>
      </c>
      <c r="E15" s="173">
        <v>505557</v>
      </c>
      <c r="F15" s="173"/>
      <c r="G15" s="174"/>
      <c r="H15" s="71"/>
      <c r="I15" s="71"/>
      <c r="J15" s="72"/>
      <c r="K15" s="73"/>
      <c r="L15" s="13"/>
      <c r="M15" s="13"/>
      <c r="N15" s="72"/>
      <c r="O15" s="72"/>
      <c r="P15" s="13"/>
    </row>
    <row r="16" spans="1:16" ht="15.75">
      <c r="A16" s="170" t="s">
        <v>8</v>
      </c>
      <c r="B16" s="175" t="s">
        <v>263</v>
      </c>
      <c r="C16" s="176" t="s">
        <v>264</v>
      </c>
      <c r="D16" s="177">
        <f t="shared" si="0"/>
        <v>15368805</v>
      </c>
      <c r="E16" s="178">
        <f>15304811+63994</f>
        <v>15368805</v>
      </c>
      <c r="F16" s="178"/>
      <c r="G16" s="179"/>
      <c r="H16" s="71"/>
      <c r="I16" s="71"/>
      <c r="J16" s="72"/>
      <c r="K16" s="13"/>
      <c r="L16" s="13"/>
      <c r="M16" s="13"/>
      <c r="N16" s="72"/>
      <c r="O16" s="72"/>
      <c r="P16" s="13"/>
    </row>
    <row r="17" spans="1:16" ht="15.75">
      <c r="A17" s="170" t="s">
        <v>9</v>
      </c>
      <c r="B17" s="175" t="s">
        <v>291</v>
      </c>
      <c r="C17" s="176" t="s">
        <v>292</v>
      </c>
      <c r="D17" s="177">
        <f t="shared" si="0"/>
        <v>14301974</v>
      </c>
      <c r="E17" s="178">
        <f>14301974</f>
        <v>14301974</v>
      </c>
      <c r="F17" s="178"/>
      <c r="G17" s="179"/>
      <c r="H17" s="71"/>
      <c r="I17" s="71"/>
      <c r="J17" s="72"/>
      <c r="K17" s="13"/>
      <c r="L17" s="13"/>
      <c r="M17" s="13"/>
      <c r="N17" s="72"/>
      <c r="O17" s="72"/>
      <c r="P17" s="13"/>
    </row>
    <row r="18" spans="1:16" ht="15.75">
      <c r="A18" s="170" t="s">
        <v>10</v>
      </c>
      <c r="B18" s="180" t="s">
        <v>170</v>
      </c>
      <c r="C18" s="181" t="s">
        <v>171</v>
      </c>
      <c r="D18" s="177">
        <f t="shared" si="0"/>
        <v>77009776</v>
      </c>
      <c r="E18" s="178">
        <v>77009776</v>
      </c>
      <c r="F18" s="178"/>
      <c r="G18" s="179"/>
      <c r="H18" s="71"/>
      <c r="I18" s="71"/>
      <c r="J18" s="72"/>
      <c r="K18" s="13"/>
      <c r="L18" s="13"/>
      <c r="M18" s="13"/>
      <c r="N18" s="72"/>
      <c r="O18" s="72"/>
      <c r="P18" s="13"/>
    </row>
    <row r="19" spans="1:16" ht="15.75">
      <c r="A19" s="170" t="s">
        <v>11</v>
      </c>
      <c r="B19" s="175" t="s">
        <v>174</v>
      </c>
      <c r="C19" s="176" t="s">
        <v>175</v>
      </c>
      <c r="D19" s="177">
        <f t="shared" si="0"/>
        <v>756978</v>
      </c>
      <c r="E19" s="178"/>
      <c r="F19" s="178">
        <v>756978</v>
      </c>
      <c r="G19" s="179"/>
      <c r="H19" s="71"/>
      <c r="I19" s="71"/>
      <c r="J19" s="72"/>
      <c r="K19" s="13"/>
      <c r="L19" s="13"/>
      <c r="M19" s="13"/>
      <c r="N19" s="72"/>
      <c r="O19" s="72"/>
      <c r="P19" s="13"/>
    </row>
    <row r="20" spans="1:16" ht="15.75">
      <c r="A20" s="170" t="s">
        <v>12</v>
      </c>
      <c r="B20" s="175">
        <v>104051</v>
      </c>
      <c r="C20" s="176" t="s">
        <v>270</v>
      </c>
      <c r="D20" s="177">
        <f t="shared" si="0"/>
        <v>65000</v>
      </c>
      <c r="E20" s="178"/>
      <c r="F20" s="178"/>
      <c r="G20" s="179">
        <v>65000</v>
      </c>
      <c r="H20" s="71"/>
      <c r="I20" s="71"/>
      <c r="J20" s="72"/>
      <c r="K20" s="13"/>
      <c r="L20" s="13"/>
      <c r="M20" s="13"/>
      <c r="N20" s="72"/>
      <c r="O20" s="72"/>
      <c r="P20" s="13"/>
    </row>
    <row r="21" spans="1:16" ht="15.75">
      <c r="A21" s="170" t="s">
        <v>14</v>
      </c>
      <c r="B21" s="182">
        <v>107051</v>
      </c>
      <c r="C21" s="176" t="s">
        <v>181</v>
      </c>
      <c r="D21" s="177">
        <f t="shared" si="0"/>
        <v>797935</v>
      </c>
      <c r="E21" s="183">
        <v>797935</v>
      </c>
      <c r="F21" s="178"/>
      <c r="G21" s="179"/>
      <c r="H21" s="71"/>
      <c r="I21" s="71"/>
      <c r="J21" s="72"/>
      <c r="K21" s="13"/>
      <c r="L21" s="13"/>
      <c r="M21" s="13"/>
      <c r="N21" s="72"/>
      <c r="O21" s="72"/>
      <c r="P21" s="13"/>
    </row>
    <row r="22" spans="1:16" ht="32.25" thickBot="1">
      <c r="A22" s="170" t="s">
        <v>15</v>
      </c>
      <c r="B22" s="175">
        <v>900020</v>
      </c>
      <c r="C22" s="176" t="s">
        <v>271</v>
      </c>
      <c r="D22" s="177">
        <f t="shared" si="0"/>
        <v>1320000</v>
      </c>
      <c r="E22" s="184">
        <v>1320000</v>
      </c>
      <c r="F22" s="178"/>
      <c r="G22" s="179"/>
      <c r="H22" s="71"/>
      <c r="I22" s="71"/>
      <c r="J22" s="72"/>
      <c r="K22" s="13"/>
      <c r="L22" s="13"/>
      <c r="M22" s="13"/>
      <c r="N22" s="72"/>
      <c r="O22" s="72"/>
      <c r="P22" s="13"/>
    </row>
    <row r="23" spans="1:16" ht="16.5" thickBot="1">
      <c r="A23" s="229" t="s">
        <v>16</v>
      </c>
      <c r="B23" s="186"/>
      <c r="C23" s="187" t="s">
        <v>225</v>
      </c>
      <c r="D23" s="188">
        <f>SUM(D15:D22)</f>
        <v>110126025</v>
      </c>
      <c r="E23" s="189">
        <f>SUM(E15:E22)</f>
        <v>109304047</v>
      </c>
      <c r="F23" s="190">
        <f>SUM(F15:F22)</f>
        <v>756978</v>
      </c>
      <c r="G23" s="188">
        <f>SUM(G15:G22)</f>
        <v>65000</v>
      </c>
      <c r="H23" s="71"/>
      <c r="I23" s="71"/>
      <c r="J23" s="74"/>
      <c r="K23" s="71"/>
      <c r="L23" s="71"/>
      <c r="M23" s="71"/>
      <c r="N23" s="74"/>
      <c r="O23" s="71"/>
      <c r="P23" s="71"/>
    </row>
    <row r="24" spans="1:16" ht="15.75">
      <c r="A24" s="307"/>
      <c r="B24" s="66"/>
      <c r="C24" s="66"/>
      <c r="D24" s="6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 ht="15.75">
      <c r="B25" s="66"/>
      <c r="C25" s="66"/>
      <c r="D25" s="6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5.75">
      <c r="B26" s="12"/>
      <c r="C26" s="76"/>
      <c r="D26" s="12"/>
      <c r="E26" s="13"/>
      <c r="F26" s="13"/>
      <c r="G26" s="13"/>
      <c r="H26" s="13"/>
      <c r="I26" s="13"/>
      <c r="J26" s="72"/>
      <c r="K26" s="13"/>
      <c r="L26" s="13"/>
      <c r="M26" s="13"/>
      <c r="N26" s="72"/>
      <c r="O26" s="72"/>
      <c r="P26" s="13"/>
    </row>
    <row r="27" spans="2:16" ht="15.75">
      <c r="B27" s="66"/>
      <c r="C27" s="66"/>
      <c r="D27" s="66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5.75">
      <c r="B28" s="66"/>
      <c r="C28" s="66"/>
      <c r="D28" s="66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 ht="12.75">
      <c r="B29" s="77"/>
      <c r="C29" s="77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</sheetData>
  <sheetProtection/>
  <mergeCells count="15">
    <mergeCell ref="E10:G10"/>
    <mergeCell ref="E11:E12"/>
    <mergeCell ref="F11:F12"/>
    <mergeCell ref="G11:G12"/>
    <mergeCell ref="E13:G14"/>
    <mergeCell ref="A2:G2"/>
    <mergeCell ref="A4:G4"/>
    <mergeCell ref="A10:A14"/>
    <mergeCell ref="B6:G6"/>
    <mergeCell ref="B7:G7"/>
    <mergeCell ref="B8:G8"/>
    <mergeCell ref="B5:G5"/>
    <mergeCell ref="B10:B14"/>
    <mergeCell ref="C10:C14"/>
    <mergeCell ref="D10:D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0"/>
  <sheetViews>
    <sheetView zoomScale="90" zoomScaleNormal="90" zoomScalePageLayoutView="0" workbookViewId="0" topLeftCell="A1">
      <selection activeCell="B6" sqref="B6:S6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0.2539062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425" t="s">
        <v>405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19" ht="15">
      <c r="A3" s="424" t="s">
        <v>358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4" spans="1:19" ht="16.5" customHeight="1">
      <c r="A4" s="150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</row>
    <row r="5" spans="1:19" ht="18.75">
      <c r="A5" s="150"/>
      <c r="B5" s="396" t="s">
        <v>150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</row>
    <row r="6" spans="1:19" ht="18.75">
      <c r="A6" s="150"/>
      <c r="B6" s="396" t="s">
        <v>184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</row>
    <row r="7" spans="1:19" ht="18.75">
      <c r="A7" s="150"/>
      <c r="B7" s="396" t="s">
        <v>355</v>
      </c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</row>
    <row r="8" spans="1:19" ht="15.75" thickBot="1">
      <c r="A8" s="150"/>
      <c r="B8" s="191"/>
      <c r="C8" s="191"/>
      <c r="D8" s="191"/>
      <c r="E8" s="191"/>
      <c r="F8" s="191"/>
      <c r="G8" s="191"/>
      <c r="H8" s="191"/>
      <c r="I8" s="191"/>
      <c r="J8" s="192"/>
      <c r="K8" s="191"/>
      <c r="L8" s="191"/>
      <c r="M8" s="191"/>
      <c r="N8" s="192"/>
      <c r="O8" s="192"/>
      <c r="P8" s="191"/>
      <c r="Q8" s="193"/>
      <c r="R8" s="193" t="s">
        <v>287</v>
      </c>
      <c r="S8" s="150"/>
    </row>
    <row r="9" spans="1:19" ht="15.75" thickBot="1">
      <c r="A9" s="426" t="s">
        <v>294</v>
      </c>
      <c r="B9" s="397" t="s">
        <v>151</v>
      </c>
      <c r="C9" s="399" t="s">
        <v>152</v>
      </c>
      <c r="D9" s="401" t="s">
        <v>153</v>
      </c>
      <c r="E9" s="405" t="s">
        <v>154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32" t="s">
        <v>328</v>
      </c>
    </row>
    <row r="10" spans="1:19" ht="15.75" thickBot="1">
      <c r="A10" s="427"/>
      <c r="B10" s="398"/>
      <c r="C10" s="400"/>
      <c r="D10" s="402"/>
      <c r="E10" s="434" t="s">
        <v>155</v>
      </c>
      <c r="F10" s="435"/>
      <c r="G10" s="435"/>
      <c r="H10" s="435"/>
      <c r="I10" s="435"/>
      <c r="J10" s="436"/>
      <c r="K10" s="405" t="s">
        <v>156</v>
      </c>
      <c r="L10" s="406"/>
      <c r="M10" s="406"/>
      <c r="N10" s="413"/>
      <c r="O10" s="414" t="s">
        <v>32</v>
      </c>
      <c r="P10" s="414"/>
      <c r="Q10" s="414"/>
      <c r="R10" s="414"/>
      <c r="S10" s="433"/>
    </row>
    <row r="11" spans="1:19" ht="12.75">
      <c r="A11" s="427"/>
      <c r="B11" s="398"/>
      <c r="C11" s="400"/>
      <c r="D11" s="403"/>
      <c r="E11" s="401" t="s">
        <v>18</v>
      </c>
      <c r="F11" s="401" t="s">
        <v>157</v>
      </c>
      <c r="G11" s="401" t="s">
        <v>21</v>
      </c>
      <c r="H11" s="401" t="s">
        <v>23</v>
      </c>
      <c r="I11" s="401" t="s">
        <v>158</v>
      </c>
      <c r="J11" s="421" t="s">
        <v>159</v>
      </c>
      <c r="K11" s="407" t="s">
        <v>26</v>
      </c>
      <c r="L11" s="407" t="s">
        <v>28</v>
      </c>
      <c r="M11" s="401" t="s">
        <v>160</v>
      </c>
      <c r="N11" s="415" t="s">
        <v>161</v>
      </c>
      <c r="O11" s="418" t="s">
        <v>282</v>
      </c>
      <c r="P11" s="401" t="s">
        <v>325</v>
      </c>
      <c r="Q11" s="401" t="s">
        <v>326</v>
      </c>
      <c r="R11" s="429" t="s">
        <v>327</v>
      </c>
      <c r="S11" s="433"/>
    </row>
    <row r="12" spans="1:19" ht="12.75">
      <c r="A12" s="427"/>
      <c r="B12" s="398"/>
      <c r="C12" s="400"/>
      <c r="D12" s="403"/>
      <c r="E12" s="402"/>
      <c r="F12" s="402"/>
      <c r="G12" s="402"/>
      <c r="H12" s="402"/>
      <c r="I12" s="402"/>
      <c r="J12" s="422"/>
      <c r="K12" s="408"/>
      <c r="L12" s="410"/>
      <c r="M12" s="402"/>
      <c r="N12" s="416"/>
      <c r="O12" s="419"/>
      <c r="P12" s="402"/>
      <c r="Q12" s="402"/>
      <c r="R12" s="430"/>
      <c r="S12" s="433"/>
    </row>
    <row r="13" spans="1:19" ht="41.25" customHeight="1" thickBot="1">
      <c r="A13" s="428"/>
      <c r="B13" s="398"/>
      <c r="C13" s="400"/>
      <c r="D13" s="404"/>
      <c r="E13" s="412"/>
      <c r="F13" s="412"/>
      <c r="G13" s="412"/>
      <c r="H13" s="412"/>
      <c r="I13" s="412"/>
      <c r="J13" s="423"/>
      <c r="K13" s="409"/>
      <c r="L13" s="411"/>
      <c r="M13" s="412"/>
      <c r="N13" s="417"/>
      <c r="O13" s="420"/>
      <c r="P13" s="412"/>
      <c r="Q13" s="412"/>
      <c r="R13" s="431"/>
      <c r="S13" s="433"/>
    </row>
    <row r="14" spans="1:19" ht="34.5" customHeight="1">
      <c r="A14" s="168" t="s">
        <v>7</v>
      </c>
      <c r="B14" s="194" t="s">
        <v>162</v>
      </c>
      <c r="C14" s="195" t="s">
        <v>163</v>
      </c>
      <c r="D14" s="196">
        <f>J14+N14</f>
        <v>19074111</v>
      </c>
      <c r="E14" s="197">
        <v>4249616</v>
      </c>
      <c r="F14" s="198">
        <v>846490</v>
      </c>
      <c r="G14" s="198">
        <f>1469982+40000</f>
        <v>1509982</v>
      </c>
      <c r="H14" s="198"/>
      <c r="I14" s="198">
        <f>159425+12308598</f>
        <v>12468023</v>
      </c>
      <c r="J14" s="199">
        <f>E14+F14+G14+H14+I14</f>
        <v>19074111</v>
      </c>
      <c r="K14" s="200"/>
      <c r="L14" s="201"/>
      <c r="M14" s="201"/>
      <c r="N14" s="199">
        <f>M14</f>
        <v>0</v>
      </c>
      <c r="O14" s="202"/>
      <c r="P14" s="203"/>
      <c r="Q14" s="203"/>
      <c r="R14" s="204"/>
      <c r="S14" s="205"/>
    </row>
    <row r="15" spans="1:19" ht="19.5" customHeight="1">
      <c r="A15" s="170" t="s">
        <v>8</v>
      </c>
      <c r="B15" s="180" t="s">
        <v>164</v>
      </c>
      <c r="C15" s="206" t="s">
        <v>165</v>
      </c>
      <c r="D15" s="207">
        <f aca="true" t="shared" si="0" ref="D15:D32">J15+N15</f>
        <v>172720</v>
      </c>
      <c r="E15" s="197"/>
      <c r="F15" s="198"/>
      <c r="G15" s="198">
        <v>172720</v>
      </c>
      <c r="H15" s="198"/>
      <c r="I15" s="198"/>
      <c r="J15" s="199">
        <f aca="true" t="shared" si="1" ref="J15:J33">E15+F15+G15+H15+I15</f>
        <v>172720</v>
      </c>
      <c r="K15" s="200"/>
      <c r="L15" s="201"/>
      <c r="M15" s="201"/>
      <c r="N15" s="199"/>
      <c r="O15" s="202"/>
      <c r="P15" s="203"/>
      <c r="Q15" s="203"/>
      <c r="R15" s="208"/>
      <c r="S15" s="205"/>
    </row>
    <row r="16" spans="1:19" ht="27.75" customHeight="1">
      <c r="A16" s="170" t="s">
        <v>9</v>
      </c>
      <c r="B16" s="171" t="s">
        <v>263</v>
      </c>
      <c r="C16" s="172" t="s">
        <v>273</v>
      </c>
      <c r="D16" s="207">
        <f>J16+N16+R16</f>
        <v>646670</v>
      </c>
      <c r="E16" s="197"/>
      <c r="F16" s="198"/>
      <c r="G16" s="198"/>
      <c r="H16" s="198"/>
      <c r="I16" s="198">
        <v>34478</v>
      </c>
      <c r="J16" s="199">
        <f t="shared" si="1"/>
        <v>34478</v>
      </c>
      <c r="K16" s="200"/>
      <c r="L16" s="201"/>
      <c r="M16" s="201"/>
      <c r="N16" s="199"/>
      <c r="O16" s="202">
        <v>612192</v>
      </c>
      <c r="P16" s="203"/>
      <c r="Q16" s="203"/>
      <c r="R16" s="208">
        <f>O16+P16+Q16</f>
        <v>612192</v>
      </c>
      <c r="S16" s="205"/>
    </row>
    <row r="17" spans="1:19" ht="31.5" customHeight="1">
      <c r="A17" s="170" t="s">
        <v>10</v>
      </c>
      <c r="B17" s="171" t="s">
        <v>166</v>
      </c>
      <c r="C17" s="172" t="s">
        <v>167</v>
      </c>
      <c r="D17" s="207">
        <f t="shared" si="0"/>
        <v>127000</v>
      </c>
      <c r="E17" s="197"/>
      <c r="F17" s="198"/>
      <c r="G17" s="198">
        <v>127000</v>
      </c>
      <c r="H17" s="198"/>
      <c r="I17" s="198"/>
      <c r="J17" s="199">
        <f t="shared" si="1"/>
        <v>127000</v>
      </c>
      <c r="K17" s="200"/>
      <c r="L17" s="201"/>
      <c r="M17" s="201"/>
      <c r="N17" s="199">
        <f>K17+L17+M17</f>
        <v>0</v>
      </c>
      <c r="O17" s="202"/>
      <c r="P17" s="203"/>
      <c r="Q17" s="203"/>
      <c r="R17" s="208"/>
      <c r="S17" s="205"/>
    </row>
    <row r="18" spans="1:19" ht="24" customHeight="1">
      <c r="A18" s="170" t="s">
        <v>11</v>
      </c>
      <c r="B18" s="171" t="s">
        <v>337</v>
      </c>
      <c r="C18" s="172" t="s">
        <v>338</v>
      </c>
      <c r="D18" s="207">
        <f t="shared" si="0"/>
        <v>863473</v>
      </c>
      <c r="E18" s="197">
        <f>326119+460644</f>
        <v>786763</v>
      </c>
      <c r="F18" s="198">
        <f>31797+44913</f>
        <v>76710</v>
      </c>
      <c r="G18" s="198"/>
      <c r="H18" s="198"/>
      <c r="I18" s="198"/>
      <c r="J18" s="199">
        <f t="shared" si="1"/>
        <v>863473</v>
      </c>
      <c r="K18" s="200"/>
      <c r="L18" s="201"/>
      <c r="M18" s="201"/>
      <c r="N18" s="199"/>
      <c r="O18" s="202"/>
      <c r="P18" s="203"/>
      <c r="Q18" s="203"/>
      <c r="R18" s="208"/>
      <c r="S18" s="205"/>
    </row>
    <row r="19" spans="1:19" s="141" customFormat="1" ht="33.75" customHeight="1">
      <c r="A19" s="209" t="s">
        <v>12</v>
      </c>
      <c r="B19" s="180" t="s">
        <v>168</v>
      </c>
      <c r="C19" s="210" t="s">
        <v>169</v>
      </c>
      <c r="D19" s="211">
        <f t="shared" si="0"/>
        <v>15240</v>
      </c>
      <c r="E19" s="212"/>
      <c r="F19" s="213"/>
      <c r="G19" s="213">
        <v>15240</v>
      </c>
      <c r="H19" s="213"/>
      <c r="I19" s="213"/>
      <c r="J19" s="214">
        <f t="shared" si="1"/>
        <v>15240</v>
      </c>
      <c r="K19" s="215"/>
      <c r="L19" s="216"/>
      <c r="M19" s="216"/>
      <c r="N19" s="214"/>
      <c r="O19" s="217"/>
      <c r="P19" s="218"/>
      <c r="Q19" s="218"/>
      <c r="R19" s="219"/>
      <c r="S19" s="220"/>
    </row>
    <row r="20" spans="1:19" s="141" customFormat="1" ht="30.75" customHeight="1">
      <c r="A20" s="170" t="s">
        <v>14</v>
      </c>
      <c r="B20" s="180" t="s">
        <v>206</v>
      </c>
      <c r="C20" s="210" t="s">
        <v>207</v>
      </c>
      <c r="D20" s="211">
        <f t="shared" si="0"/>
        <v>137160</v>
      </c>
      <c r="E20" s="212"/>
      <c r="F20" s="213"/>
      <c r="G20" s="213">
        <v>137160</v>
      </c>
      <c r="H20" s="213"/>
      <c r="I20" s="213"/>
      <c r="J20" s="214">
        <f t="shared" si="1"/>
        <v>137160</v>
      </c>
      <c r="K20" s="215"/>
      <c r="L20" s="216"/>
      <c r="M20" s="216"/>
      <c r="N20" s="214"/>
      <c r="O20" s="217"/>
      <c r="P20" s="218"/>
      <c r="Q20" s="218"/>
      <c r="R20" s="219"/>
      <c r="S20" s="220"/>
    </row>
    <row r="21" spans="1:19" ht="18.75" customHeight="1">
      <c r="A21" s="170" t="s">
        <v>15</v>
      </c>
      <c r="B21" s="180" t="s">
        <v>170</v>
      </c>
      <c r="C21" s="181" t="s">
        <v>171</v>
      </c>
      <c r="D21" s="207">
        <f t="shared" si="0"/>
        <v>77009776</v>
      </c>
      <c r="E21" s="197"/>
      <c r="F21" s="198"/>
      <c r="G21" s="198">
        <v>16385306</v>
      </c>
      <c r="H21" s="201"/>
      <c r="I21" s="198"/>
      <c r="J21" s="199">
        <f t="shared" si="1"/>
        <v>16385306</v>
      </c>
      <c r="K21" s="200">
        <v>60624470</v>
      </c>
      <c r="L21" s="201"/>
      <c r="M21" s="201"/>
      <c r="N21" s="199">
        <f>K21+L21+M21</f>
        <v>60624470</v>
      </c>
      <c r="O21" s="202"/>
      <c r="P21" s="203"/>
      <c r="Q21" s="203"/>
      <c r="R21" s="221"/>
      <c r="S21" s="205"/>
    </row>
    <row r="22" spans="1:19" ht="18" customHeight="1">
      <c r="A22" s="170" t="s">
        <v>16</v>
      </c>
      <c r="B22" s="180" t="s">
        <v>172</v>
      </c>
      <c r="C22" s="206" t="s">
        <v>173</v>
      </c>
      <c r="D22" s="207">
        <f t="shared" si="0"/>
        <v>749300</v>
      </c>
      <c r="E22" s="197"/>
      <c r="F22" s="198"/>
      <c r="G22" s="198">
        <v>749300</v>
      </c>
      <c r="H22" s="201"/>
      <c r="I22" s="198"/>
      <c r="J22" s="199">
        <f t="shared" si="1"/>
        <v>749300</v>
      </c>
      <c r="K22" s="200"/>
      <c r="L22" s="201"/>
      <c r="M22" s="201"/>
      <c r="N22" s="199"/>
      <c r="O22" s="202"/>
      <c r="P22" s="203"/>
      <c r="Q22" s="203"/>
      <c r="R22" s="221"/>
      <c r="S22" s="205"/>
    </row>
    <row r="23" spans="1:19" s="141" customFormat="1" ht="30">
      <c r="A23" s="170" t="s">
        <v>16</v>
      </c>
      <c r="B23" s="180" t="s">
        <v>174</v>
      </c>
      <c r="C23" s="210" t="s">
        <v>175</v>
      </c>
      <c r="D23" s="211">
        <f t="shared" si="0"/>
        <v>2860320</v>
      </c>
      <c r="E23" s="212">
        <v>200000</v>
      </c>
      <c r="F23" s="213">
        <v>35100</v>
      </c>
      <c r="G23" s="213">
        <f>1093080+78740</f>
        <v>1171820</v>
      </c>
      <c r="H23" s="216"/>
      <c r="I23" s="213"/>
      <c r="J23" s="214">
        <f t="shared" si="1"/>
        <v>1406920</v>
      </c>
      <c r="K23" s="215">
        <v>183400</v>
      </c>
      <c r="L23" s="216">
        <v>1270000</v>
      </c>
      <c r="M23" s="216"/>
      <c r="N23" s="214">
        <f>K23+L23+M23</f>
        <v>1453400</v>
      </c>
      <c r="O23" s="217"/>
      <c r="P23" s="218"/>
      <c r="Q23" s="218"/>
      <c r="R23" s="219"/>
      <c r="S23" s="220"/>
    </row>
    <row r="24" spans="1:19" ht="21" customHeight="1">
      <c r="A24" s="170" t="s">
        <v>17</v>
      </c>
      <c r="B24" s="180" t="s">
        <v>176</v>
      </c>
      <c r="C24" s="206" t="s">
        <v>177</v>
      </c>
      <c r="D24" s="207">
        <f t="shared" si="0"/>
        <v>124460</v>
      </c>
      <c r="E24" s="197"/>
      <c r="F24" s="198"/>
      <c r="G24" s="198">
        <v>124460</v>
      </c>
      <c r="H24" s="201"/>
      <c r="I24" s="198"/>
      <c r="J24" s="199">
        <f t="shared" si="1"/>
        <v>124460</v>
      </c>
      <c r="K24" s="200"/>
      <c r="L24" s="201"/>
      <c r="M24" s="201"/>
      <c r="N24" s="199"/>
      <c r="O24" s="202"/>
      <c r="P24" s="203"/>
      <c r="Q24" s="203"/>
      <c r="R24" s="221"/>
      <c r="S24" s="205"/>
    </row>
    <row r="25" spans="1:19" ht="19.5" customHeight="1">
      <c r="A25" s="170" t="s">
        <v>19</v>
      </c>
      <c r="B25" s="180" t="s">
        <v>178</v>
      </c>
      <c r="C25" s="206" t="s">
        <v>179</v>
      </c>
      <c r="D25" s="207">
        <f t="shared" si="0"/>
        <v>793337</v>
      </c>
      <c r="E25" s="197">
        <v>120000</v>
      </c>
      <c r="F25" s="198">
        <v>21060</v>
      </c>
      <c r="G25" s="198">
        <v>334777</v>
      </c>
      <c r="H25" s="198"/>
      <c r="I25" s="198"/>
      <c r="J25" s="199">
        <f t="shared" si="1"/>
        <v>475837</v>
      </c>
      <c r="K25" s="200">
        <v>317500</v>
      </c>
      <c r="L25" s="201"/>
      <c r="M25" s="201"/>
      <c r="N25" s="199">
        <f>K25+L25+M25</f>
        <v>317500</v>
      </c>
      <c r="O25" s="202"/>
      <c r="P25" s="203"/>
      <c r="Q25" s="203"/>
      <c r="R25" s="221"/>
      <c r="S25" s="205"/>
    </row>
    <row r="26" spans="1:19" ht="31.5" customHeight="1">
      <c r="A26" s="170" t="s">
        <v>20</v>
      </c>
      <c r="B26" s="180" t="s">
        <v>208</v>
      </c>
      <c r="C26" s="206" t="s">
        <v>209</v>
      </c>
      <c r="D26" s="207">
        <f t="shared" si="0"/>
        <v>1251206</v>
      </c>
      <c r="E26" s="197">
        <v>300000</v>
      </c>
      <c r="F26" s="198">
        <v>155105</v>
      </c>
      <c r="G26" s="198">
        <v>796101</v>
      </c>
      <c r="H26" s="198"/>
      <c r="I26" s="198"/>
      <c r="J26" s="199">
        <f t="shared" si="1"/>
        <v>1251206</v>
      </c>
      <c r="K26" s="200"/>
      <c r="L26" s="201"/>
      <c r="M26" s="201"/>
      <c r="N26" s="199"/>
      <c r="O26" s="202"/>
      <c r="P26" s="203"/>
      <c r="Q26" s="203"/>
      <c r="R26" s="221"/>
      <c r="S26" s="205"/>
    </row>
    <row r="27" spans="1:19" ht="31.5" customHeight="1">
      <c r="A27" s="170" t="s">
        <v>22</v>
      </c>
      <c r="B27" s="180" t="s">
        <v>210</v>
      </c>
      <c r="C27" s="206" t="s">
        <v>211</v>
      </c>
      <c r="D27" s="207">
        <f t="shared" si="0"/>
        <v>25000</v>
      </c>
      <c r="E27" s="197"/>
      <c r="F27" s="198"/>
      <c r="G27" s="198"/>
      <c r="H27" s="198"/>
      <c r="I27" s="198">
        <v>25000</v>
      </c>
      <c r="J27" s="199">
        <f t="shared" si="1"/>
        <v>25000</v>
      </c>
      <c r="K27" s="200"/>
      <c r="L27" s="201"/>
      <c r="M27" s="201"/>
      <c r="N27" s="199"/>
      <c r="O27" s="202"/>
      <c r="P27" s="203"/>
      <c r="Q27" s="203"/>
      <c r="R27" s="221"/>
      <c r="S27" s="205"/>
    </row>
    <row r="28" spans="1:19" ht="31.5" customHeight="1">
      <c r="A28" s="170" t="s">
        <v>24</v>
      </c>
      <c r="B28" s="180">
        <v>104037</v>
      </c>
      <c r="C28" s="210" t="s">
        <v>363</v>
      </c>
      <c r="D28" s="207">
        <f t="shared" si="0"/>
        <v>99180</v>
      </c>
      <c r="E28" s="197"/>
      <c r="F28" s="198"/>
      <c r="G28" s="198">
        <v>99180</v>
      </c>
      <c r="H28" s="198"/>
      <c r="I28" s="198"/>
      <c r="J28" s="199">
        <f t="shared" si="1"/>
        <v>99180</v>
      </c>
      <c r="K28" s="200"/>
      <c r="L28" s="201"/>
      <c r="M28" s="201"/>
      <c r="N28" s="199"/>
      <c r="O28" s="202"/>
      <c r="P28" s="203"/>
      <c r="Q28" s="203"/>
      <c r="R28" s="221"/>
      <c r="S28" s="205"/>
    </row>
    <row r="29" spans="1:19" ht="34.5" customHeight="1">
      <c r="A29" s="170" t="s">
        <v>25</v>
      </c>
      <c r="B29" s="180">
        <v>104051</v>
      </c>
      <c r="C29" s="206" t="s">
        <v>180</v>
      </c>
      <c r="D29" s="207">
        <f>J29+N29</f>
        <v>65000</v>
      </c>
      <c r="E29" s="197"/>
      <c r="F29" s="198"/>
      <c r="G29" s="198"/>
      <c r="H29" s="198">
        <v>65000</v>
      </c>
      <c r="I29" s="198"/>
      <c r="J29" s="199">
        <f>E29+F29+G29+H29+I29</f>
        <v>65000</v>
      </c>
      <c r="K29" s="200"/>
      <c r="L29" s="201"/>
      <c r="M29" s="201"/>
      <c r="N29" s="199"/>
      <c r="O29" s="202"/>
      <c r="P29" s="203"/>
      <c r="Q29" s="203"/>
      <c r="R29" s="221"/>
      <c r="S29" s="205"/>
    </row>
    <row r="30" spans="1:19" ht="21" customHeight="1">
      <c r="A30" s="170" t="s">
        <v>27</v>
      </c>
      <c r="B30" s="180">
        <v>107051</v>
      </c>
      <c r="C30" s="222" t="s">
        <v>181</v>
      </c>
      <c r="D30" s="207">
        <f t="shared" si="0"/>
        <v>1193497</v>
      </c>
      <c r="E30" s="197"/>
      <c r="F30" s="198"/>
      <c r="G30" s="198">
        <v>1193497</v>
      </c>
      <c r="H30" s="198"/>
      <c r="I30" s="198"/>
      <c r="J30" s="199">
        <f t="shared" si="1"/>
        <v>1193497</v>
      </c>
      <c r="K30" s="200"/>
      <c r="L30" s="201"/>
      <c r="M30" s="201"/>
      <c r="N30" s="199"/>
      <c r="O30" s="223"/>
      <c r="P30" s="201"/>
      <c r="Q30" s="203"/>
      <c r="R30" s="221"/>
      <c r="S30" s="205"/>
    </row>
    <row r="31" spans="1:19" ht="21" customHeight="1">
      <c r="A31" s="170" t="s">
        <v>29</v>
      </c>
      <c r="B31" s="180">
        <v>107055</v>
      </c>
      <c r="C31" s="222" t="s">
        <v>272</v>
      </c>
      <c r="D31" s="207">
        <f t="shared" si="0"/>
        <v>3165575</v>
      </c>
      <c r="E31" s="224">
        <f>2148000+53552</f>
        <v>2201552</v>
      </c>
      <c r="F31" s="225">
        <f>433260+10442</f>
        <v>443702</v>
      </c>
      <c r="G31" s="225">
        <v>520321</v>
      </c>
      <c r="H31" s="225"/>
      <c r="I31" s="225"/>
      <c r="J31" s="199">
        <f t="shared" si="1"/>
        <v>3165575</v>
      </c>
      <c r="K31" s="226"/>
      <c r="L31" s="227"/>
      <c r="M31" s="227"/>
      <c r="N31" s="199">
        <f>K31+L31+M31</f>
        <v>0</v>
      </c>
      <c r="O31" s="223"/>
      <c r="P31" s="201"/>
      <c r="Q31" s="203"/>
      <c r="R31" s="221"/>
      <c r="S31" s="228">
        <v>1</v>
      </c>
    </row>
    <row r="32" spans="1:19" ht="21.75" customHeight="1" thickBot="1">
      <c r="A32" s="229" t="s">
        <v>31</v>
      </c>
      <c r="B32" s="230">
        <v>107060</v>
      </c>
      <c r="C32" s="231" t="s">
        <v>182</v>
      </c>
      <c r="D32" s="232">
        <f t="shared" si="0"/>
        <v>1753000</v>
      </c>
      <c r="E32" s="233"/>
      <c r="F32" s="234"/>
      <c r="G32" s="234">
        <v>333000</v>
      </c>
      <c r="H32" s="234">
        <v>1420000</v>
      </c>
      <c r="I32" s="234"/>
      <c r="J32" s="235">
        <f t="shared" si="1"/>
        <v>1753000</v>
      </c>
      <c r="K32" s="236"/>
      <c r="L32" s="237"/>
      <c r="M32" s="237"/>
      <c r="N32" s="235"/>
      <c r="O32" s="223"/>
      <c r="P32" s="201"/>
      <c r="Q32" s="203"/>
      <c r="R32" s="221"/>
      <c r="S32" s="228"/>
    </row>
    <row r="33" spans="1:19" ht="16.5" thickBot="1">
      <c r="A33" s="185" t="s">
        <v>248</v>
      </c>
      <c r="B33" s="238"/>
      <c r="C33" s="239" t="s">
        <v>183</v>
      </c>
      <c r="D33" s="240">
        <f>J33+N33+R33</f>
        <v>110126025</v>
      </c>
      <c r="E33" s="241">
        <f>SUM(E14:E32)</f>
        <v>7857931</v>
      </c>
      <c r="F33" s="241">
        <f>SUM(F14:F32)</f>
        <v>1578167</v>
      </c>
      <c r="G33" s="241">
        <f>SUM(G14:G32)</f>
        <v>23669864</v>
      </c>
      <c r="H33" s="241">
        <f>SUM(H14:H32)</f>
        <v>1485000</v>
      </c>
      <c r="I33" s="241">
        <f>SUM(I14:I32)</f>
        <v>12527501</v>
      </c>
      <c r="J33" s="242">
        <f t="shared" si="1"/>
        <v>47118463</v>
      </c>
      <c r="K33" s="241">
        <f>SUM(K14:K32)</f>
        <v>61125370</v>
      </c>
      <c r="L33" s="241">
        <f>SUM(L14:L32)</f>
        <v>1270000</v>
      </c>
      <c r="M33" s="241">
        <f>SUM(M14:M32)</f>
        <v>0</v>
      </c>
      <c r="N33" s="241">
        <f>SUM(N14:N32)</f>
        <v>62395370</v>
      </c>
      <c r="O33" s="241">
        <f>SUM(O14:O32)</f>
        <v>612192</v>
      </c>
      <c r="P33" s="241"/>
      <c r="Q33" s="241"/>
      <c r="R33" s="241">
        <f>SUM(R14:R32)</f>
        <v>612192</v>
      </c>
      <c r="S33" s="243">
        <f>SUM(S14:S32)</f>
        <v>1</v>
      </c>
    </row>
    <row r="35" ht="16.5">
      <c r="J35" s="135"/>
    </row>
    <row r="40" ht="12.75">
      <c r="D40" s="35"/>
    </row>
  </sheetData>
  <sheetProtection/>
  <mergeCells count="29">
    <mergeCell ref="A3:S3"/>
    <mergeCell ref="A1:S1"/>
    <mergeCell ref="A9:A13"/>
    <mergeCell ref="B4:S4"/>
    <mergeCell ref="Q11:Q13"/>
    <mergeCell ref="R11:R13"/>
    <mergeCell ref="B6:S6"/>
    <mergeCell ref="B7:S7"/>
    <mergeCell ref="S9:S13"/>
    <mergeCell ref="E10:J10"/>
    <mergeCell ref="O10:R10"/>
    <mergeCell ref="E11:E13"/>
    <mergeCell ref="N11:N13"/>
    <mergeCell ref="O11:O13"/>
    <mergeCell ref="P11:P13"/>
    <mergeCell ref="G11:G13"/>
    <mergeCell ref="H11:H13"/>
    <mergeCell ref="I11:I13"/>
    <mergeCell ref="J11:J13"/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1">
      <selection activeCell="C6" sqref="C6:C10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367" t="s">
        <v>406</v>
      </c>
      <c r="B1" s="328"/>
      <c r="C1" s="328"/>
      <c r="D1" s="328"/>
      <c r="E1" s="328"/>
      <c r="F1" s="328"/>
      <c r="G1" s="328"/>
    </row>
    <row r="2" spans="1:15" ht="15.75">
      <c r="A2" s="369" t="s">
        <v>359</v>
      </c>
      <c r="B2" s="332"/>
      <c r="C2" s="332"/>
      <c r="D2" s="332"/>
      <c r="E2" s="332"/>
      <c r="F2" s="332"/>
      <c r="G2" s="332"/>
      <c r="H2" s="66"/>
      <c r="I2" s="66"/>
      <c r="J2" s="66"/>
      <c r="K2" s="66"/>
      <c r="L2" s="66"/>
      <c r="M2" s="66"/>
      <c r="N2" s="66"/>
      <c r="O2" s="66"/>
    </row>
    <row r="3" spans="1:15" ht="15.75">
      <c r="A3" s="150"/>
      <c r="B3" s="373" t="s">
        <v>4</v>
      </c>
      <c r="C3" s="373"/>
      <c r="D3" s="373"/>
      <c r="E3" s="373"/>
      <c r="F3" s="373"/>
      <c r="G3" s="373"/>
      <c r="H3" s="68"/>
      <c r="I3" s="68"/>
      <c r="J3" s="68"/>
      <c r="K3" s="68"/>
      <c r="L3" s="68"/>
      <c r="M3" s="68"/>
      <c r="N3" s="68"/>
      <c r="O3" s="68"/>
    </row>
    <row r="4" spans="1:15" ht="15.75">
      <c r="A4" s="150"/>
      <c r="B4" s="373" t="s">
        <v>265</v>
      </c>
      <c r="C4" s="373"/>
      <c r="D4" s="373"/>
      <c r="E4" s="373"/>
      <c r="F4" s="373"/>
      <c r="G4" s="373"/>
      <c r="H4" s="68"/>
      <c r="I4" s="68"/>
      <c r="J4" s="68"/>
      <c r="K4" s="68"/>
      <c r="L4" s="68"/>
      <c r="M4" s="68"/>
      <c r="N4" s="68"/>
      <c r="O4" s="68"/>
    </row>
    <row r="5" spans="1:15" ht="16.5" thickBot="1">
      <c r="A5" s="150"/>
      <c r="B5" s="373" t="s">
        <v>355</v>
      </c>
      <c r="C5" s="373"/>
      <c r="D5" s="373"/>
      <c r="E5" s="373"/>
      <c r="F5" s="373"/>
      <c r="G5" s="373"/>
      <c r="H5" s="68"/>
      <c r="I5" s="68"/>
      <c r="J5" s="68"/>
      <c r="K5" s="68"/>
      <c r="L5" s="68"/>
      <c r="M5" s="68"/>
      <c r="N5" s="68"/>
      <c r="O5" s="68"/>
    </row>
    <row r="6" spans="1:15" ht="16.5" thickBot="1">
      <c r="A6" s="437" t="s">
        <v>294</v>
      </c>
      <c r="B6" s="376" t="s">
        <v>256</v>
      </c>
      <c r="C6" s="379" t="s">
        <v>152</v>
      </c>
      <c r="D6" s="382" t="s">
        <v>153</v>
      </c>
      <c r="E6" s="385" t="s">
        <v>258</v>
      </c>
      <c r="F6" s="386"/>
      <c r="G6" s="387"/>
      <c r="H6" s="63"/>
      <c r="I6" s="63"/>
      <c r="J6" s="63"/>
      <c r="K6" s="63"/>
      <c r="L6" s="63"/>
      <c r="M6" s="63"/>
      <c r="N6" s="63"/>
      <c r="O6" s="63"/>
    </row>
    <row r="7" spans="1:15" ht="15.75">
      <c r="A7" s="438"/>
      <c r="B7" s="377"/>
      <c r="C7" s="380"/>
      <c r="D7" s="383"/>
      <c r="E7" s="388" t="s">
        <v>259</v>
      </c>
      <c r="F7" s="388" t="s">
        <v>260</v>
      </c>
      <c r="G7" s="440" t="s">
        <v>267</v>
      </c>
      <c r="H7" s="70"/>
      <c r="I7" s="70"/>
      <c r="J7" s="70"/>
      <c r="K7" s="70"/>
      <c r="L7" s="70"/>
      <c r="M7" s="70"/>
      <c r="N7" s="70"/>
      <c r="O7" s="70"/>
    </row>
    <row r="8" spans="1:15" ht="16.5" thickBot="1">
      <c r="A8" s="438"/>
      <c r="B8" s="377"/>
      <c r="C8" s="380"/>
      <c r="D8" s="383"/>
      <c r="E8" s="388"/>
      <c r="F8" s="388"/>
      <c r="G8" s="441"/>
      <c r="H8" s="70"/>
      <c r="I8" s="70"/>
      <c r="J8" s="70"/>
      <c r="K8" s="70"/>
      <c r="L8" s="70"/>
      <c r="M8" s="70"/>
      <c r="N8" s="70"/>
      <c r="O8" s="70"/>
    </row>
    <row r="9" spans="1:15" ht="15.75">
      <c r="A9" s="438"/>
      <c r="B9" s="377"/>
      <c r="C9" s="380"/>
      <c r="D9" s="383"/>
      <c r="E9" s="390" t="s">
        <v>262</v>
      </c>
      <c r="F9" s="391"/>
      <c r="G9" s="392"/>
      <c r="H9" s="70"/>
      <c r="I9" s="70"/>
      <c r="J9" s="70"/>
      <c r="K9" s="70"/>
      <c r="L9" s="70"/>
      <c r="M9" s="70"/>
      <c r="N9" s="70"/>
      <c r="O9" s="70"/>
    </row>
    <row r="10" spans="1:15" ht="24.75" customHeight="1" thickBot="1">
      <c r="A10" s="439"/>
      <c r="B10" s="378"/>
      <c r="C10" s="381"/>
      <c r="D10" s="384"/>
      <c r="E10" s="393"/>
      <c r="F10" s="394"/>
      <c r="G10" s="395"/>
      <c r="H10" s="70"/>
      <c r="I10" s="70"/>
      <c r="J10" s="70"/>
      <c r="K10" s="70"/>
      <c r="L10" s="70"/>
      <c r="M10" s="70"/>
      <c r="N10" s="70"/>
      <c r="O10" s="70"/>
    </row>
    <row r="11" spans="1:15" ht="31.5">
      <c r="A11" s="168" t="s">
        <v>7</v>
      </c>
      <c r="B11" s="244" t="s">
        <v>162</v>
      </c>
      <c r="C11" s="245" t="s">
        <v>163</v>
      </c>
      <c r="D11" s="246">
        <f>E11+F11+G11</f>
        <v>19074111</v>
      </c>
      <c r="E11" s="247">
        <v>18877916</v>
      </c>
      <c r="F11" s="248">
        <v>196195</v>
      </c>
      <c r="G11" s="249"/>
      <c r="H11" s="71"/>
      <c r="I11" s="72"/>
      <c r="J11" s="13"/>
      <c r="K11" s="13"/>
      <c r="L11" s="13"/>
      <c r="M11" s="72"/>
      <c r="N11" s="72"/>
      <c r="O11" s="13"/>
    </row>
    <row r="12" spans="1:15" ht="15.75">
      <c r="A12" s="170" t="s">
        <v>8</v>
      </c>
      <c r="B12" s="250" t="s">
        <v>164</v>
      </c>
      <c r="C12" s="245" t="s">
        <v>165</v>
      </c>
      <c r="D12" s="251">
        <f aca="true" t="shared" si="0" ref="D12:D29">E12+F12+G12</f>
        <v>172720</v>
      </c>
      <c r="E12" s="252">
        <v>172720</v>
      </c>
      <c r="F12" s="253"/>
      <c r="G12" s="254"/>
      <c r="H12" s="71"/>
      <c r="I12" s="72"/>
      <c r="J12" s="13"/>
      <c r="K12" s="13"/>
      <c r="L12" s="13"/>
      <c r="M12" s="72"/>
      <c r="N12" s="72"/>
      <c r="O12" s="13"/>
    </row>
    <row r="13" spans="1:15" ht="15.75">
      <c r="A13" s="170" t="s">
        <v>9</v>
      </c>
      <c r="B13" s="250" t="s">
        <v>263</v>
      </c>
      <c r="C13" s="245" t="s">
        <v>278</v>
      </c>
      <c r="D13" s="251">
        <f t="shared" si="0"/>
        <v>646670</v>
      </c>
      <c r="E13" s="252">
        <v>646670</v>
      </c>
      <c r="F13" s="253"/>
      <c r="G13" s="254"/>
      <c r="H13" s="71"/>
      <c r="I13" s="72"/>
      <c r="J13" s="13"/>
      <c r="K13" s="13"/>
      <c r="L13" s="13"/>
      <c r="M13" s="72"/>
      <c r="N13" s="72"/>
      <c r="O13" s="13"/>
    </row>
    <row r="14" spans="1:15" ht="15.75">
      <c r="A14" s="170" t="s">
        <v>10</v>
      </c>
      <c r="B14" s="250" t="s">
        <v>166</v>
      </c>
      <c r="C14" s="255" t="s">
        <v>167</v>
      </c>
      <c r="D14" s="251">
        <f t="shared" si="0"/>
        <v>127000</v>
      </c>
      <c r="E14" s="252">
        <v>127000</v>
      </c>
      <c r="F14" s="253"/>
      <c r="G14" s="254"/>
      <c r="H14" s="71"/>
      <c r="I14" s="72"/>
      <c r="J14" s="13"/>
      <c r="K14" s="13"/>
      <c r="L14" s="13"/>
      <c r="M14" s="72"/>
      <c r="N14" s="72"/>
      <c r="O14" s="13"/>
    </row>
    <row r="15" spans="1:15" ht="15.75">
      <c r="A15" s="170"/>
      <c r="B15" s="171" t="s">
        <v>337</v>
      </c>
      <c r="C15" s="172" t="s">
        <v>338</v>
      </c>
      <c r="D15" s="251">
        <f t="shared" si="0"/>
        <v>863473</v>
      </c>
      <c r="E15" s="252">
        <v>863473</v>
      </c>
      <c r="F15" s="253"/>
      <c r="G15" s="254"/>
      <c r="H15" s="71"/>
      <c r="I15" s="72"/>
      <c r="J15" s="13"/>
      <c r="K15" s="13"/>
      <c r="L15" s="13"/>
      <c r="M15" s="72"/>
      <c r="N15" s="72"/>
      <c r="O15" s="13"/>
    </row>
    <row r="16" spans="1:15" ht="31.5">
      <c r="A16" s="170" t="s">
        <v>11</v>
      </c>
      <c r="B16" s="250" t="s">
        <v>168</v>
      </c>
      <c r="C16" s="245" t="s">
        <v>169</v>
      </c>
      <c r="D16" s="251">
        <f t="shared" si="0"/>
        <v>15240</v>
      </c>
      <c r="E16" s="252">
        <v>15240</v>
      </c>
      <c r="F16" s="253"/>
      <c r="G16" s="254"/>
      <c r="H16" s="71"/>
      <c r="I16" s="72"/>
      <c r="J16" s="13"/>
      <c r="K16" s="13"/>
      <c r="L16" s="13"/>
      <c r="M16" s="72"/>
      <c r="N16" s="72"/>
      <c r="O16" s="13"/>
    </row>
    <row r="17" spans="1:15" ht="15.75">
      <c r="A17" s="170" t="s">
        <v>12</v>
      </c>
      <c r="B17" s="250" t="s">
        <v>206</v>
      </c>
      <c r="C17" s="245" t="s">
        <v>279</v>
      </c>
      <c r="D17" s="251">
        <f t="shared" si="0"/>
        <v>137160</v>
      </c>
      <c r="E17" s="252">
        <v>137160</v>
      </c>
      <c r="F17" s="253"/>
      <c r="G17" s="254"/>
      <c r="H17" s="71"/>
      <c r="I17" s="72"/>
      <c r="J17" s="13"/>
      <c r="K17" s="13"/>
      <c r="L17" s="13"/>
      <c r="M17" s="72"/>
      <c r="N17" s="72"/>
      <c r="O17" s="13"/>
    </row>
    <row r="18" spans="1:15" ht="15.75">
      <c r="A18" s="170" t="s">
        <v>14</v>
      </c>
      <c r="B18" s="180" t="s">
        <v>170</v>
      </c>
      <c r="C18" s="181" t="s">
        <v>171</v>
      </c>
      <c r="D18" s="251">
        <f t="shared" si="0"/>
        <v>77009776</v>
      </c>
      <c r="E18" s="252">
        <v>77009776</v>
      </c>
      <c r="F18" s="253"/>
      <c r="G18" s="254"/>
      <c r="H18" s="71"/>
      <c r="I18" s="72"/>
      <c r="J18" s="13"/>
      <c r="K18" s="13"/>
      <c r="L18" s="13"/>
      <c r="M18" s="72"/>
      <c r="N18" s="72"/>
      <c r="O18" s="13"/>
    </row>
    <row r="19" spans="1:15" ht="15.75">
      <c r="A19" s="170" t="s">
        <v>15</v>
      </c>
      <c r="B19" s="250" t="s">
        <v>172</v>
      </c>
      <c r="C19" s="245" t="s">
        <v>173</v>
      </c>
      <c r="D19" s="251">
        <f t="shared" si="0"/>
        <v>749300</v>
      </c>
      <c r="E19" s="252">
        <v>749300</v>
      </c>
      <c r="F19" s="253"/>
      <c r="G19" s="254"/>
      <c r="H19" s="71"/>
      <c r="I19" s="72"/>
      <c r="J19" s="13"/>
      <c r="K19" s="13"/>
      <c r="L19" s="13"/>
      <c r="M19" s="72"/>
      <c r="N19" s="72"/>
      <c r="O19" s="13"/>
    </row>
    <row r="20" spans="1:15" ht="15.75">
      <c r="A20" s="170" t="s">
        <v>16</v>
      </c>
      <c r="B20" s="250" t="s">
        <v>174</v>
      </c>
      <c r="C20" s="245" t="s">
        <v>175</v>
      </c>
      <c r="D20" s="251">
        <f t="shared" si="0"/>
        <v>2860320</v>
      </c>
      <c r="E20" s="252">
        <v>2860320</v>
      </c>
      <c r="F20" s="253"/>
      <c r="G20" s="254"/>
      <c r="H20" s="71"/>
      <c r="I20" s="72"/>
      <c r="J20" s="13"/>
      <c r="K20" s="13"/>
      <c r="L20" s="13"/>
      <c r="M20" s="72"/>
      <c r="N20" s="72"/>
      <c r="O20" s="13"/>
    </row>
    <row r="21" spans="1:15" ht="15.75">
      <c r="A21" s="170" t="s">
        <v>17</v>
      </c>
      <c r="B21" s="250" t="s">
        <v>176</v>
      </c>
      <c r="C21" s="245" t="s">
        <v>177</v>
      </c>
      <c r="D21" s="251">
        <f t="shared" si="0"/>
        <v>124460</v>
      </c>
      <c r="E21" s="252">
        <v>124460</v>
      </c>
      <c r="F21" s="253"/>
      <c r="G21" s="254"/>
      <c r="H21" s="71"/>
      <c r="I21" s="72"/>
      <c r="J21" s="13"/>
      <c r="K21" s="13"/>
      <c r="L21" s="13"/>
      <c r="M21" s="72"/>
      <c r="N21" s="72"/>
      <c r="O21" s="13"/>
    </row>
    <row r="22" spans="1:15" ht="15.75">
      <c r="A22" s="170" t="s">
        <v>19</v>
      </c>
      <c r="B22" s="250" t="s">
        <v>178</v>
      </c>
      <c r="C22" s="245" t="s">
        <v>179</v>
      </c>
      <c r="D22" s="251">
        <f t="shared" si="0"/>
        <v>793337</v>
      </c>
      <c r="E22" s="252">
        <v>793337</v>
      </c>
      <c r="F22" s="253"/>
      <c r="G22" s="254"/>
      <c r="H22" s="71"/>
      <c r="I22" s="72"/>
      <c r="J22" s="13"/>
      <c r="K22" s="13"/>
      <c r="L22" s="13"/>
      <c r="M22" s="72"/>
      <c r="N22" s="72"/>
      <c r="O22" s="13"/>
    </row>
    <row r="23" spans="1:15" ht="28.5" customHeight="1">
      <c r="A23" s="170" t="s">
        <v>20</v>
      </c>
      <c r="B23" s="250" t="s">
        <v>208</v>
      </c>
      <c r="C23" s="245" t="s">
        <v>280</v>
      </c>
      <c r="D23" s="251">
        <f t="shared" si="0"/>
        <v>1251206</v>
      </c>
      <c r="E23" s="252">
        <v>795801</v>
      </c>
      <c r="F23" s="253">
        <v>455405</v>
      </c>
      <c r="G23" s="254"/>
      <c r="H23" s="71"/>
      <c r="I23" s="72"/>
      <c r="J23" s="13"/>
      <c r="K23" s="13"/>
      <c r="L23" s="13"/>
      <c r="M23" s="72"/>
      <c r="N23" s="72"/>
      <c r="O23" s="13"/>
    </row>
    <row r="24" spans="1:15" ht="15.75">
      <c r="A24" s="170" t="s">
        <v>22</v>
      </c>
      <c r="B24" s="250" t="s">
        <v>210</v>
      </c>
      <c r="C24" s="245" t="s">
        <v>211</v>
      </c>
      <c r="D24" s="251">
        <f t="shared" si="0"/>
        <v>25000</v>
      </c>
      <c r="E24" s="252">
        <v>25000</v>
      </c>
      <c r="F24" s="253"/>
      <c r="G24" s="254"/>
      <c r="H24" s="71"/>
      <c r="I24" s="72"/>
      <c r="J24" s="13"/>
      <c r="K24" s="13"/>
      <c r="L24" s="13"/>
      <c r="M24" s="72"/>
      <c r="N24" s="72"/>
      <c r="O24" s="13"/>
    </row>
    <row r="25" spans="1:15" ht="15.75">
      <c r="A25" s="170" t="s">
        <v>24</v>
      </c>
      <c r="B25" s="180">
        <v>104037</v>
      </c>
      <c r="C25" s="210" t="s">
        <v>363</v>
      </c>
      <c r="D25" s="251">
        <f t="shared" si="0"/>
        <v>99180</v>
      </c>
      <c r="E25" s="252">
        <v>99180</v>
      </c>
      <c r="F25" s="253"/>
      <c r="G25" s="254"/>
      <c r="H25" s="71"/>
      <c r="I25" s="72"/>
      <c r="J25" s="13"/>
      <c r="K25" s="13"/>
      <c r="L25" s="13"/>
      <c r="M25" s="72"/>
      <c r="N25" s="72"/>
      <c r="O25" s="13"/>
    </row>
    <row r="26" spans="1:15" ht="15.75">
      <c r="A26" s="170" t="s">
        <v>25</v>
      </c>
      <c r="B26" s="250">
        <v>104051</v>
      </c>
      <c r="C26" s="245" t="s">
        <v>180</v>
      </c>
      <c r="D26" s="251">
        <f>E26+F26+G26</f>
        <v>65000</v>
      </c>
      <c r="E26" s="252"/>
      <c r="F26" s="253"/>
      <c r="G26" s="254">
        <v>65000</v>
      </c>
      <c r="H26" s="71"/>
      <c r="I26" s="72"/>
      <c r="J26" s="13"/>
      <c r="K26" s="13"/>
      <c r="L26" s="13"/>
      <c r="M26" s="72"/>
      <c r="N26" s="72"/>
      <c r="O26" s="13"/>
    </row>
    <row r="27" spans="1:15" ht="15.75">
      <c r="A27" s="170" t="s">
        <v>27</v>
      </c>
      <c r="B27" s="250">
        <v>107051</v>
      </c>
      <c r="C27" s="245" t="s">
        <v>181</v>
      </c>
      <c r="D27" s="251">
        <f t="shared" si="0"/>
        <v>1193497</v>
      </c>
      <c r="E27" s="252">
        <v>1193497</v>
      </c>
      <c r="F27" s="253"/>
      <c r="G27" s="254"/>
      <c r="H27" s="71"/>
      <c r="I27" s="72"/>
      <c r="J27" s="13"/>
      <c r="K27" s="13"/>
      <c r="L27" s="13"/>
      <c r="M27" s="72"/>
      <c r="N27" s="72"/>
      <c r="O27" s="13"/>
    </row>
    <row r="28" spans="1:15" ht="15.75">
      <c r="A28" s="170" t="s">
        <v>29</v>
      </c>
      <c r="B28" s="250">
        <v>107055</v>
      </c>
      <c r="C28" s="245" t="s">
        <v>281</v>
      </c>
      <c r="D28" s="251">
        <f t="shared" si="0"/>
        <v>3165575</v>
      </c>
      <c r="E28" s="256">
        <v>3036455</v>
      </c>
      <c r="F28" s="257">
        <v>129120</v>
      </c>
      <c r="G28" s="258"/>
      <c r="H28" s="71"/>
      <c r="I28" s="72"/>
      <c r="J28" s="13"/>
      <c r="K28" s="13"/>
      <c r="L28" s="13"/>
      <c r="M28" s="72"/>
      <c r="N28" s="72"/>
      <c r="O28" s="13"/>
    </row>
    <row r="29" spans="1:15" ht="16.5" thickBot="1">
      <c r="A29" s="229" t="s">
        <v>31</v>
      </c>
      <c r="B29" s="250">
        <v>107060</v>
      </c>
      <c r="C29" s="245" t="s">
        <v>266</v>
      </c>
      <c r="D29" s="259">
        <f t="shared" si="0"/>
        <v>1753000</v>
      </c>
      <c r="E29" s="256">
        <v>1753000</v>
      </c>
      <c r="F29" s="257"/>
      <c r="G29" s="258"/>
      <c r="H29" s="71"/>
      <c r="I29" s="72"/>
      <c r="J29" s="13"/>
      <c r="K29" s="13"/>
      <c r="L29" s="13"/>
      <c r="M29" s="72"/>
      <c r="N29" s="72"/>
      <c r="O29" s="13"/>
    </row>
    <row r="30" spans="1:15" ht="16.5" thickBot="1">
      <c r="A30" s="185" t="s">
        <v>248</v>
      </c>
      <c r="B30" s="186"/>
      <c r="C30" s="260" t="s">
        <v>225</v>
      </c>
      <c r="D30" s="190">
        <f>SUM(D11:D29)</f>
        <v>110126025</v>
      </c>
      <c r="E30" s="189">
        <f>SUM(E11:E29)</f>
        <v>109280305</v>
      </c>
      <c r="F30" s="261">
        <f>SUM(F11:F29)</f>
        <v>780720</v>
      </c>
      <c r="G30" s="190">
        <f>SUM(G11:G29)</f>
        <v>65000</v>
      </c>
      <c r="H30" s="71"/>
      <c r="I30" s="74"/>
      <c r="J30" s="71"/>
      <c r="K30" s="71"/>
      <c r="L30" s="71"/>
      <c r="M30" s="74"/>
      <c r="N30" s="71"/>
      <c r="O30" s="71"/>
    </row>
    <row r="31" spans="2:15" ht="15.75">
      <c r="B31" s="66"/>
      <c r="C31" s="66"/>
      <c r="D31" s="6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 ht="15.75">
      <c r="B32" s="66"/>
      <c r="C32" s="66"/>
      <c r="D32" s="6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2:15" ht="15.75">
      <c r="B33" s="12"/>
      <c r="C33" s="76"/>
      <c r="D33" s="12"/>
      <c r="E33" s="13"/>
      <c r="F33" s="13"/>
      <c r="G33" s="13"/>
      <c r="H33" s="13"/>
      <c r="I33" s="72"/>
      <c r="J33" s="13"/>
      <c r="K33" s="13"/>
      <c r="L33" s="13"/>
      <c r="M33" s="72"/>
      <c r="N33" s="72"/>
      <c r="O33" s="13"/>
    </row>
    <row r="34" spans="2:15" ht="15.75">
      <c r="B34" s="66"/>
      <c r="C34" s="66"/>
      <c r="D34" s="66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</sheetData>
  <sheetProtection/>
  <mergeCells count="14">
    <mergeCell ref="B3:G3"/>
    <mergeCell ref="B4:G4"/>
    <mergeCell ref="B5:G5"/>
    <mergeCell ref="B6:B10"/>
    <mergeCell ref="C6:C10"/>
    <mergeCell ref="D6:D10"/>
    <mergeCell ref="E6:G6"/>
    <mergeCell ref="E7:E8"/>
    <mergeCell ref="A2:G2"/>
    <mergeCell ref="A1:G1"/>
    <mergeCell ref="A6:A10"/>
    <mergeCell ref="F7:F8"/>
    <mergeCell ref="G7:G8"/>
    <mergeCell ref="E9:G10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"/>
  <sheetViews>
    <sheetView zoomScalePageLayoutView="0" workbookViewId="0" topLeftCell="A1">
      <selection activeCell="N11" sqref="N11"/>
    </sheetView>
  </sheetViews>
  <sheetFormatPr defaultColWidth="9.00390625" defaultRowHeight="12.75"/>
  <cols>
    <col min="6" max="6" width="28.00390625" style="0" customWidth="1"/>
    <col min="7" max="7" width="11.375" style="0" customWidth="1"/>
    <col min="8" max="8" width="1.12109375" style="0" customWidth="1"/>
    <col min="9" max="9" width="4.875" style="0" hidden="1" customWidth="1"/>
  </cols>
  <sheetData>
    <row r="2" spans="1:8" ht="12.75">
      <c r="A2" s="366" t="s">
        <v>407</v>
      </c>
      <c r="B2" s="366"/>
      <c r="C2" s="366"/>
      <c r="D2" s="366"/>
      <c r="E2" s="366"/>
      <c r="F2" s="366"/>
      <c r="G2" s="366"/>
      <c r="H2" s="366"/>
    </row>
    <row r="4" spans="1:8" ht="12.75">
      <c r="A4" s="341" t="s">
        <v>401</v>
      </c>
      <c r="B4" s="341"/>
      <c r="C4" s="341"/>
      <c r="D4" s="341"/>
      <c r="E4" s="341"/>
      <c r="F4" s="341"/>
      <c r="G4" s="341"/>
      <c r="H4" s="341"/>
    </row>
    <row r="6" spans="1:9" ht="21" customHeight="1">
      <c r="A6" s="442"/>
      <c r="B6" s="442"/>
      <c r="C6" s="442"/>
      <c r="D6" s="442"/>
      <c r="E6" s="442"/>
      <c r="F6" s="442"/>
      <c r="G6" s="442"/>
      <c r="H6" s="442"/>
      <c r="I6" s="442"/>
    </row>
    <row r="8" spans="1:9" ht="17.25" customHeight="1">
      <c r="A8" s="442" t="s">
        <v>4</v>
      </c>
      <c r="B8" s="442"/>
      <c r="C8" s="442"/>
      <c r="D8" s="442"/>
      <c r="E8" s="442"/>
      <c r="F8" s="442"/>
      <c r="G8" s="442"/>
      <c r="H8" s="442"/>
      <c r="I8" s="442"/>
    </row>
    <row r="9" spans="1:9" ht="15" customHeight="1">
      <c r="A9" s="442" t="s">
        <v>379</v>
      </c>
      <c r="B9" s="442"/>
      <c r="C9" s="442"/>
      <c r="D9" s="442"/>
      <c r="E9" s="442"/>
      <c r="F9" s="442"/>
      <c r="G9" s="442"/>
      <c r="H9" s="442"/>
      <c r="I9" s="442"/>
    </row>
    <row r="10" spans="1:9" ht="18" customHeight="1">
      <c r="A10" s="442" t="s">
        <v>355</v>
      </c>
      <c r="B10" s="442"/>
      <c r="C10" s="442"/>
      <c r="D10" s="442"/>
      <c r="E10" s="442"/>
      <c r="F10" s="442"/>
      <c r="G10" s="442"/>
      <c r="H10" s="442"/>
      <c r="I10" s="442"/>
    </row>
    <row r="11" spans="1:9" ht="13.5" thickBot="1">
      <c r="A11" s="366" t="s">
        <v>287</v>
      </c>
      <c r="B11" s="366"/>
      <c r="C11" s="366"/>
      <c r="D11" s="366"/>
      <c r="E11" s="366"/>
      <c r="F11" s="366"/>
      <c r="G11" s="366"/>
      <c r="H11" s="366"/>
      <c r="I11" s="366"/>
    </row>
    <row r="12" spans="1:7" ht="35.25" customHeight="1" thickBot="1">
      <c r="A12" s="321" t="s">
        <v>294</v>
      </c>
      <c r="B12" s="443" t="s">
        <v>3</v>
      </c>
      <c r="C12" s="443"/>
      <c r="D12" s="443"/>
      <c r="E12" s="443"/>
      <c r="F12" s="443"/>
      <c r="G12" s="322" t="s">
        <v>380</v>
      </c>
    </row>
    <row r="13" spans="1:7" ht="35.25" customHeight="1">
      <c r="A13" s="308"/>
      <c r="B13" s="308"/>
      <c r="C13" s="308"/>
      <c r="D13" s="308"/>
      <c r="E13" s="308"/>
      <c r="F13" s="308"/>
      <c r="G13" s="318"/>
    </row>
    <row r="14" spans="1:5" ht="18.75" customHeight="1">
      <c r="A14" s="309" t="s">
        <v>7</v>
      </c>
      <c r="B14" s="309" t="s">
        <v>381</v>
      </c>
      <c r="C14" s="309"/>
      <c r="D14" s="309"/>
      <c r="E14" s="309"/>
    </row>
    <row r="15" spans="1:8" ht="21" customHeight="1">
      <c r="A15" s="142" t="s">
        <v>297</v>
      </c>
      <c r="B15" s="309" t="s">
        <v>382</v>
      </c>
      <c r="C15" s="309"/>
      <c r="D15" s="309"/>
      <c r="E15" s="309"/>
      <c r="F15" s="309"/>
      <c r="G15" s="309"/>
      <c r="H15" s="309"/>
    </row>
    <row r="17" spans="1:7" ht="12.75">
      <c r="A17" s="319" t="s">
        <v>394</v>
      </c>
      <c r="B17" t="s">
        <v>383</v>
      </c>
      <c r="G17" s="140">
        <v>85600</v>
      </c>
    </row>
    <row r="18" spans="1:2" ht="12.75">
      <c r="A18" s="319" t="s">
        <v>395</v>
      </c>
      <c r="B18" t="s">
        <v>384</v>
      </c>
    </row>
    <row r="19" spans="1:7" ht="12.75">
      <c r="A19" t="s">
        <v>385</v>
      </c>
      <c r="B19" t="s">
        <v>386</v>
      </c>
      <c r="G19" s="140">
        <v>42300</v>
      </c>
    </row>
    <row r="20" spans="1:7" ht="12.75">
      <c r="A20" t="s">
        <v>387</v>
      </c>
      <c r="B20" t="s">
        <v>388</v>
      </c>
      <c r="G20" s="140">
        <v>28000</v>
      </c>
    </row>
    <row r="21" spans="1:7" ht="12.75">
      <c r="A21" t="s">
        <v>389</v>
      </c>
      <c r="B21" t="s">
        <v>390</v>
      </c>
      <c r="G21" s="140">
        <v>3525</v>
      </c>
    </row>
    <row r="22" spans="1:7" ht="12.75">
      <c r="A22" s="319" t="s">
        <v>396</v>
      </c>
      <c r="B22" t="s">
        <v>391</v>
      </c>
      <c r="G22" s="140">
        <v>25000</v>
      </c>
    </row>
    <row r="23" spans="2:7" ht="33" customHeight="1">
      <c r="B23" s="444" t="s">
        <v>392</v>
      </c>
      <c r="C23" s="445"/>
      <c r="D23" s="445"/>
      <c r="E23" s="445"/>
      <c r="F23" s="445"/>
      <c r="G23" s="311">
        <f>SUM(G19:G22)+G17</f>
        <v>184425</v>
      </c>
    </row>
    <row r="25" spans="1:7" ht="12.75">
      <c r="A25" s="309" t="s">
        <v>8</v>
      </c>
      <c r="B25" s="309" t="s">
        <v>397</v>
      </c>
      <c r="C25" s="309"/>
      <c r="D25" s="309"/>
      <c r="E25" s="309"/>
      <c r="F25" s="309"/>
      <c r="G25" s="309"/>
    </row>
    <row r="26" spans="1:7" ht="12.75">
      <c r="A26" s="310" t="s">
        <v>341</v>
      </c>
      <c r="B26" t="s">
        <v>398</v>
      </c>
      <c r="G26" s="140">
        <v>34478</v>
      </c>
    </row>
    <row r="27" spans="2:7" ht="29.25" customHeight="1">
      <c r="B27" s="444" t="s">
        <v>399</v>
      </c>
      <c r="C27" s="352"/>
      <c r="D27" s="352"/>
      <c r="E27" s="352"/>
      <c r="F27" s="352"/>
      <c r="G27" s="311">
        <f>G26</f>
        <v>34478</v>
      </c>
    </row>
    <row r="28" spans="2:7" ht="16.5" customHeight="1">
      <c r="B28" s="320"/>
      <c r="C28" s="317"/>
      <c r="D28" s="317"/>
      <c r="E28" s="317"/>
      <c r="F28" s="317"/>
      <c r="G28" s="311"/>
    </row>
    <row r="29" spans="1:7" ht="15" customHeight="1">
      <c r="A29" s="309" t="s">
        <v>9</v>
      </c>
      <c r="B29" s="445" t="s">
        <v>400</v>
      </c>
      <c r="C29" s="341"/>
      <c r="D29" s="317"/>
      <c r="E29" s="317"/>
      <c r="F29" s="317"/>
      <c r="G29" s="311">
        <v>12308598</v>
      </c>
    </row>
    <row r="30" spans="2:7" ht="15" customHeight="1">
      <c r="B30" s="320"/>
      <c r="C30" s="317"/>
      <c r="D30" s="317"/>
      <c r="E30" s="317"/>
      <c r="F30" s="317"/>
      <c r="G30" s="311"/>
    </row>
    <row r="31" spans="2:7" ht="15.75" customHeight="1">
      <c r="B31" s="320"/>
      <c r="C31" s="317"/>
      <c r="D31" s="317"/>
      <c r="E31" s="317"/>
      <c r="F31" s="317"/>
      <c r="G31" s="311"/>
    </row>
    <row r="32" ht="12.75">
      <c r="G32" s="140"/>
    </row>
    <row r="33" spans="1:7" ht="17.25" customHeight="1">
      <c r="A33" s="312" t="s">
        <v>10</v>
      </c>
      <c r="B33" s="309" t="s">
        <v>393</v>
      </c>
      <c r="C33" s="309"/>
      <c r="D33" s="309"/>
      <c r="E33" s="309"/>
      <c r="F33" s="309"/>
      <c r="G33" s="311">
        <f>G23+G27+G29</f>
        <v>12527501</v>
      </c>
    </row>
  </sheetData>
  <sheetProtection/>
  <mergeCells count="11">
    <mergeCell ref="A2:H2"/>
    <mergeCell ref="B23:F23"/>
    <mergeCell ref="A6:I6"/>
    <mergeCell ref="A8:I8"/>
    <mergeCell ref="A9:I9"/>
    <mergeCell ref="A10:I10"/>
    <mergeCell ref="A11:I11"/>
    <mergeCell ref="B12:F12"/>
    <mergeCell ref="B27:F27"/>
    <mergeCell ref="B29:C29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32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448" t="s">
        <v>408</v>
      </c>
      <c r="B2" s="448"/>
      <c r="C2" s="448"/>
    </row>
    <row r="3" spans="1:3" ht="15.75">
      <c r="A3" s="262"/>
      <c r="B3" s="262"/>
      <c r="C3" s="262"/>
    </row>
    <row r="4" spans="1:3" ht="15.75">
      <c r="A4" s="446" t="s">
        <v>373</v>
      </c>
      <c r="B4" s="446"/>
      <c r="C4" s="446"/>
    </row>
    <row r="5" spans="1:3" ht="12.75">
      <c r="A5" s="150"/>
      <c r="B5" s="150"/>
      <c r="C5" s="150"/>
    </row>
    <row r="6" spans="1:3" ht="15.75">
      <c r="A6" s="447" t="s">
        <v>4</v>
      </c>
      <c r="B6" s="447"/>
      <c r="C6" s="447"/>
    </row>
    <row r="7" spans="1:3" ht="15" customHeight="1">
      <c r="A7" s="447" t="s">
        <v>372</v>
      </c>
      <c r="B7" s="447"/>
      <c r="C7" s="447"/>
    </row>
    <row r="8" spans="1:3" ht="15.75">
      <c r="A8" s="447" t="s">
        <v>355</v>
      </c>
      <c r="B8" s="447"/>
      <c r="C8" s="447"/>
    </row>
    <row r="9" spans="1:3" ht="15.75">
      <c r="A9" s="262"/>
      <c r="B9" s="262"/>
      <c r="C9" s="262"/>
    </row>
    <row r="10" spans="1:3" ht="16.5" thickBot="1">
      <c r="A10" s="262"/>
      <c r="B10" s="262"/>
      <c r="C10" s="262"/>
    </row>
    <row r="11" spans="1:3" ht="47.25" customHeight="1" thickBot="1">
      <c r="A11" s="263" t="s">
        <v>294</v>
      </c>
      <c r="B11" s="264" t="s">
        <v>3</v>
      </c>
      <c r="C11" s="265" t="s">
        <v>351</v>
      </c>
    </row>
    <row r="12" spans="1:3" ht="15.75">
      <c r="A12" s="262"/>
      <c r="B12" s="262"/>
      <c r="C12" s="262"/>
    </row>
    <row r="13" spans="1:3" ht="15.75">
      <c r="A13" s="262"/>
      <c r="B13" s="262"/>
      <c r="C13" s="262"/>
    </row>
    <row r="14" spans="1:3" ht="12.75">
      <c r="A14" s="150"/>
      <c r="B14" s="150"/>
      <c r="C14" s="150"/>
    </row>
    <row r="15" spans="1:3" ht="12.75">
      <c r="A15" s="150"/>
      <c r="B15" s="150"/>
      <c r="C15" s="150"/>
    </row>
    <row r="16" spans="1:2" ht="12.75">
      <c r="A16" s="309" t="s">
        <v>7</v>
      </c>
      <c r="B16" s="309" t="s">
        <v>365</v>
      </c>
    </row>
    <row r="18" spans="1:3" ht="12.75">
      <c r="A18" s="310" t="s">
        <v>297</v>
      </c>
      <c r="B18" t="s">
        <v>366</v>
      </c>
      <c r="C18" s="140">
        <v>60624470</v>
      </c>
    </row>
    <row r="20" spans="2:3" ht="12.75">
      <c r="B20" s="309" t="s">
        <v>367</v>
      </c>
      <c r="C20" s="311">
        <v>60624470</v>
      </c>
    </row>
    <row r="22" spans="1:2" ht="12.75">
      <c r="A22" s="309" t="s">
        <v>8</v>
      </c>
      <c r="B22" s="309" t="s">
        <v>368</v>
      </c>
    </row>
    <row r="23" spans="1:3" ht="12.75">
      <c r="A23" s="310" t="s">
        <v>304</v>
      </c>
      <c r="B23" t="s">
        <v>369</v>
      </c>
      <c r="C23" s="140">
        <v>250000</v>
      </c>
    </row>
    <row r="24" spans="1:3" ht="12.75">
      <c r="A24" s="142" t="s">
        <v>341</v>
      </c>
      <c r="B24" t="s">
        <v>370</v>
      </c>
      <c r="C24" s="316">
        <v>67500</v>
      </c>
    </row>
    <row r="25" spans="2:3" ht="12.75">
      <c r="B25" s="309" t="s">
        <v>295</v>
      </c>
      <c r="C25" s="311">
        <f>C23+C24</f>
        <v>317500</v>
      </c>
    </row>
    <row r="26" spans="2:3" ht="12.75">
      <c r="B26" s="309"/>
      <c r="C26" s="311"/>
    </row>
    <row r="27" spans="1:3" ht="14.25">
      <c r="A27" s="312" t="s">
        <v>9</v>
      </c>
      <c r="B27" s="313" t="s">
        <v>374</v>
      </c>
      <c r="C27" s="311"/>
    </row>
    <row r="28" spans="1:3" ht="12.75">
      <c r="A28" s="142" t="s">
        <v>375</v>
      </c>
      <c r="B28" s="314" t="s">
        <v>376</v>
      </c>
      <c r="C28" s="315">
        <v>144410</v>
      </c>
    </row>
    <row r="29" spans="1:3" ht="12.75">
      <c r="A29" s="142" t="s">
        <v>377</v>
      </c>
      <c r="B29" t="s">
        <v>370</v>
      </c>
      <c r="C29" s="316">
        <v>38990</v>
      </c>
    </row>
    <row r="30" spans="2:3" ht="12.75">
      <c r="B30" s="309" t="s">
        <v>295</v>
      </c>
      <c r="C30" s="311">
        <f>C28+C29</f>
        <v>183400</v>
      </c>
    </row>
    <row r="32" spans="2:3" ht="12.75">
      <c r="B32" s="309" t="s">
        <v>371</v>
      </c>
      <c r="C32" s="311">
        <f>C20+C25+C30</f>
        <v>61125370</v>
      </c>
    </row>
  </sheetData>
  <sheetProtection/>
  <mergeCells count="5">
    <mergeCell ref="A4:C4"/>
    <mergeCell ref="A6:C6"/>
    <mergeCell ref="A7:C7"/>
    <mergeCell ref="A8:C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C88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18"/>
      <c r="B2" s="18"/>
      <c r="C2" s="19"/>
    </row>
    <row r="3" spans="1:3" ht="15.75">
      <c r="A3" s="452" t="s">
        <v>409</v>
      </c>
      <c r="B3" s="453"/>
      <c r="C3" s="453"/>
    </row>
    <row r="4" spans="1:3" ht="15.75">
      <c r="A4" s="161"/>
      <c r="B4" s="266"/>
      <c r="C4" s="267"/>
    </row>
    <row r="5" spans="1:3" ht="7.5" customHeight="1">
      <c r="A5" s="454"/>
      <c r="B5" s="454"/>
      <c r="C5" s="454"/>
    </row>
    <row r="6" spans="1:3" ht="15.75">
      <c r="A6" s="455" t="s">
        <v>360</v>
      </c>
      <c r="B6" s="456"/>
      <c r="C6" s="456"/>
    </row>
    <row r="7" spans="1:3" ht="15.75">
      <c r="A7" s="451"/>
      <c r="B7" s="451"/>
      <c r="C7" s="451"/>
    </row>
    <row r="8" spans="1:3" ht="3" customHeight="1">
      <c r="A8" s="269"/>
      <c r="B8" s="270"/>
      <c r="C8" s="270"/>
    </row>
    <row r="9" spans="1:3" ht="6.75" customHeight="1">
      <c r="A9" s="269"/>
      <c r="B9" s="270"/>
      <c r="C9" s="270"/>
    </row>
    <row r="10" spans="1:3" ht="15.75">
      <c r="A10" s="451" t="s">
        <v>4</v>
      </c>
      <c r="B10" s="451"/>
      <c r="C10" s="451"/>
    </row>
    <row r="11" spans="1:3" ht="15.75">
      <c r="A11" s="451" t="s">
        <v>33</v>
      </c>
      <c r="B11" s="451"/>
      <c r="C11" s="451"/>
    </row>
    <row r="12" spans="1:3" ht="15.75">
      <c r="A12" s="451" t="s">
        <v>34</v>
      </c>
      <c r="B12" s="451"/>
      <c r="C12" s="451"/>
    </row>
    <row r="13" spans="1:3" ht="15.75">
      <c r="A13" s="451" t="s">
        <v>355</v>
      </c>
      <c r="B13" s="451"/>
      <c r="C13" s="451"/>
    </row>
    <row r="14" spans="1:3" ht="16.5" thickBot="1">
      <c r="A14" s="266"/>
      <c r="B14" s="266"/>
      <c r="C14" s="267"/>
    </row>
    <row r="15" spans="1:3" ht="15.75">
      <c r="A15" s="271" t="s">
        <v>5</v>
      </c>
      <c r="B15" s="272"/>
      <c r="C15" s="273" t="s">
        <v>0</v>
      </c>
    </row>
    <row r="16" spans="1:3" ht="15.75">
      <c r="A16" s="274"/>
      <c r="B16" s="275" t="s">
        <v>3</v>
      </c>
      <c r="C16" s="276"/>
    </row>
    <row r="17" spans="1:3" ht="16.5" thickBot="1">
      <c r="A17" s="277" t="s">
        <v>6</v>
      </c>
      <c r="B17" s="278"/>
      <c r="C17" s="279" t="s">
        <v>35</v>
      </c>
    </row>
    <row r="18" spans="1:3" ht="20.25" customHeight="1">
      <c r="A18" s="457" t="s">
        <v>36</v>
      </c>
      <c r="B18" s="457"/>
      <c r="C18" s="457"/>
    </row>
    <row r="19" spans="1:3" ht="22.5" customHeight="1">
      <c r="A19" s="280" t="s">
        <v>7</v>
      </c>
      <c r="B19" s="281" t="s">
        <v>37</v>
      </c>
      <c r="C19" s="282"/>
    </row>
    <row r="20" spans="1:3" ht="22.5" customHeight="1">
      <c r="A20" s="280"/>
      <c r="B20" s="283" t="s">
        <v>38</v>
      </c>
      <c r="C20" s="282">
        <f>Bevételek!H44</f>
        <v>15368805</v>
      </c>
    </row>
    <row r="21" spans="1:3" ht="29.25" customHeight="1">
      <c r="A21" s="280"/>
      <c r="B21" s="284" t="s">
        <v>39</v>
      </c>
      <c r="C21" s="282">
        <f>Bevételek!H54</f>
        <v>570557</v>
      </c>
    </row>
    <row r="22" spans="1:3" ht="22.5" customHeight="1">
      <c r="A22" s="280" t="s">
        <v>8</v>
      </c>
      <c r="B22" s="281" t="s">
        <v>40</v>
      </c>
      <c r="C22" s="282">
        <f>Bevételek!H75</f>
        <v>1320000</v>
      </c>
    </row>
    <row r="23" spans="1:3" ht="22.5" customHeight="1">
      <c r="A23" s="280" t="s">
        <v>9</v>
      </c>
      <c r="B23" s="281" t="s">
        <v>41</v>
      </c>
      <c r="C23" s="282">
        <f>Bevételek!H84</f>
        <v>17992809</v>
      </c>
    </row>
    <row r="24" spans="1:3" ht="22.5" customHeight="1">
      <c r="A24" s="280" t="s">
        <v>10</v>
      </c>
      <c r="B24" s="285" t="s">
        <v>13</v>
      </c>
      <c r="C24" s="282"/>
    </row>
    <row r="25" spans="1:3" ht="32.25" customHeight="1">
      <c r="A25" s="280"/>
      <c r="B25" s="284" t="s">
        <v>42</v>
      </c>
      <c r="C25" s="282"/>
    </row>
    <row r="26" spans="1:3" ht="22.5" customHeight="1">
      <c r="A26" s="280"/>
      <c r="B26" s="283" t="s">
        <v>43</v>
      </c>
      <c r="C26" s="282"/>
    </row>
    <row r="27" spans="1:3" ht="28.5" customHeight="1">
      <c r="A27" s="286"/>
      <c r="B27" s="287" t="s">
        <v>44</v>
      </c>
      <c r="C27" s="288">
        <f>SUM(C20:C26)</f>
        <v>35252171</v>
      </c>
    </row>
    <row r="28" spans="1:3" ht="22.5" customHeight="1">
      <c r="A28" s="268" t="s">
        <v>11</v>
      </c>
      <c r="B28" s="281" t="s">
        <v>45</v>
      </c>
      <c r="C28" s="289">
        <f>'Korm.funkciók'!E33</f>
        <v>7857931</v>
      </c>
    </row>
    <row r="29" spans="1:3" ht="22.5" customHeight="1">
      <c r="A29" s="268" t="s">
        <v>12</v>
      </c>
      <c r="B29" s="281" t="s">
        <v>46</v>
      </c>
      <c r="C29" s="289">
        <f>'Korm.funkciók'!F33</f>
        <v>1578167</v>
      </c>
    </row>
    <row r="30" spans="1:3" ht="22.5" customHeight="1">
      <c r="A30" s="268" t="s">
        <v>14</v>
      </c>
      <c r="B30" s="290" t="s">
        <v>47</v>
      </c>
      <c r="C30" s="289">
        <f>'Korm.funkciók'!G33</f>
        <v>23669864</v>
      </c>
    </row>
    <row r="31" spans="1:3" ht="22.5" customHeight="1">
      <c r="A31" s="268" t="s">
        <v>15</v>
      </c>
      <c r="B31" s="290" t="s">
        <v>48</v>
      </c>
      <c r="C31" s="289">
        <f>'Korm.funkciók'!H33</f>
        <v>1485000</v>
      </c>
    </row>
    <row r="32" spans="1:3" ht="22.5" customHeight="1">
      <c r="A32" s="268" t="s">
        <v>16</v>
      </c>
      <c r="B32" s="290" t="s">
        <v>49</v>
      </c>
      <c r="C32" s="289"/>
    </row>
    <row r="33" spans="1:3" ht="22.5" customHeight="1">
      <c r="A33" s="268"/>
      <c r="B33" s="290" t="s">
        <v>378</v>
      </c>
      <c r="C33" s="289">
        <v>34478</v>
      </c>
    </row>
    <row r="34" spans="1:3" ht="29.25" customHeight="1">
      <c r="A34" s="268"/>
      <c r="B34" s="284" t="s">
        <v>50</v>
      </c>
      <c r="C34" s="291"/>
    </row>
    <row r="35" spans="1:3" ht="22.5" customHeight="1">
      <c r="A35" s="268"/>
      <c r="B35" s="290" t="s">
        <v>51</v>
      </c>
      <c r="C35" s="289">
        <f>'Korm.funkciók'!I33-C36-C33</f>
        <v>184425</v>
      </c>
    </row>
    <row r="36" spans="1:3" ht="22.5" customHeight="1">
      <c r="A36" s="268"/>
      <c r="B36" s="290" t="s">
        <v>52</v>
      </c>
      <c r="C36" s="267">
        <f>Mérleg!C33</f>
        <v>12308598</v>
      </c>
    </row>
    <row r="37" spans="1:3" ht="32.25" customHeight="1">
      <c r="A37" s="286"/>
      <c r="B37" s="287" t="s">
        <v>53</v>
      </c>
      <c r="C37" s="288">
        <f>SUM(C28:C36)</f>
        <v>47118463</v>
      </c>
    </row>
    <row r="38" spans="1:3" ht="15.75">
      <c r="A38" s="280"/>
      <c r="B38" s="281"/>
      <c r="C38" s="282"/>
    </row>
    <row r="39" spans="1:3" ht="15.75">
      <c r="A39" s="280"/>
      <c r="B39" s="281"/>
      <c r="C39" s="282"/>
    </row>
    <row r="40" spans="1:3" ht="15.75">
      <c r="A40" s="280"/>
      <c r="B40" s="281"/>
      <c r="C40" s="282"/>
    </row>
    <row r="41" spans="1:3" ht="15.75">
      <c r="A41" s="458">
        <v>2</v>
      </c>
      <c r="B41" s="458"/>
      <c r="C41" s="458"/>
    </row>
    <row r="42" spans="1:3" ht="16.5" thickBot="1">
      <c r="A42" s="280"/>
      <c r="B42" s="281"/>
      <c r="C42" s="282"/>
    </row>
    <row r="43" spans="1:3" ht="15.75">
      <c r="A43" s="271" t="s">
        <v>5</v>
      </c>
      <c r="B43" s="272"/>
      <c r="C43" s="273" t="s">
        <v>0</v>
      </c>
    </row>
    <row r="44" spans="1:3" ht="15.75">
      <c r="A44" s="274"/>
      <c r="B44" s="275" t="s">
        <v>3</v>
      </c>
      <c r="C44" s="276"/>
    </row>
    <row r="45" spans="1:3" ht="16.5" thickBot="1">
      <c r="A45" s="277" t="s">
        <v>6</v>
      </c>
      <c r="B45" s="278"/>
      <c r="C45" s="279" t="s">
        <v>35</v>
      </c>
    </row>
    <row r="46" spans="1:3" ht="15.75">
      <c r="A46" s="449" t="s">
        <v>54</v>
      </c>
      <c r="B46" s="449"/>
      <c r="C46" s="449"/>
    </row>
    <row r="47" spans="1:3" ht="22.5" customHeight="1">
      <c r="A47" s="268" t="s">
        <v>17</v>
      </c>
      <c r="B47" s="292" t="s">
        <v>55</v>
      </c>
      <c r="C47" s="267">
        <f>Bevételek!H64</f>
        <v>60571880</v>
      </c>
    </row>
    <row r="48" spans="1:3" ht="22.5" customHeight="1">
      <c r="A48" s="268" t="s">
        <v>19</v>
      </c>
      <c r="B48" s="292" t="s">
        <v>56</v>
      </c>
      <c r="C48" s="267"/>
    </row>
    <row r="49" spans="1:3" ht="22.5" customHeight="1">
      <c r="A49" s="268" t="s">
        <v>20</v>
      </c>
      <c r="B49" s="285" t="s">
        <v>57</v>
      </c>
      <c r="C49" s="267"/>
    </row>
    <row r="50" spans="1:3" ht="31.5" customHeight="1">
      <c r="A50" s="268"/>
      <c r="B50" s="284" t="s">
        <v>58</v>
      </c>
      <c r="C50" s="267">
        <f>Bevételek!H90</f>
        <v>0</v>
      </c>
    </row>
    <row r="51" spans="1:3" ht="22.5" customHeight="1">
      <c r="A51" s="268"/>
      <c r="B51" s="283" t="s">
        <v>59</v>
      </c>
      <c r="C51" s="267"/>
    </row>
    <row r="52" spans="1:3" ht="24.75" customHeight="1">
      <c r="A52" s="286"/>
      <c r="B52" s="287" t="s">
        <v>60</v>
      </c>
      <c r="C52" s="288">
        <f>SUM(C47:C51)</f>
        <v>60571880</v>
      </c>
    </row>
    <row r="53" spans="1:3" ht="22.5" customHeight="1">
      <c r="A53" s="268" t="s">
        <v>22</v>
      </c>
      <c r="B53" s="292" t="s">
        <v>61</v>
      </c>
      <c r="C53" s="267">
        <f>'Korm.funkciók'!K33</f>
        <v>61125370</v>
      </c>
    </row>
    <row r="54" spans="1:3" ht="22.5" customHeight="1">
      <c r="A54" s="268" t="s">
        <v>24</v>
      </c>
      <c r="B54" s="292" t="s">
        <v>62</v>
      </c>
      <c r="C54" s="267">
        <f>'Korm.funkciók'!L33</f>
        <v>1270000</v>
      </c>
    </row>
    <row r="55" spans="1:3" ht="22.5" customHeight="1">
      <c r="A55" s="268" t="s">
        <v>25</v>
      </c>
      <c r="B55" s="285" t="s">
        <v>30</v>
      </c>
      <c r="C55" s="267"/>
    </row>
    <row r="56" spans="1:3" ht="33.75" customHeight="1">
      <c r="A56" s="268"/>
      <c r="B56" s="284" t="s">
        <v>63</v>
      </c>
      <c r="C56" s="267"/>
    </row>
    <row r="57" spans="1:3" ht="22.5" customHeight="1">
      <c r="A57" s="268"/>
      <c r="B57" s="293" t="s">
        <v>268</v>
      </c>
      <c r="C57" s="267"/>
    </row>
    <row r="58" spans="1:3" ht="16.5" thickBot="1">
      <c r="A58" s="294"/>
      <c r="B58" s="287" t="s">
        <v>64</v>
      </c>
      <c r="C58" s="288">
        <f>SUM(C53:C57)</f>
        <v>62395370</v>
      </c>
    </row>
    <row r="59" spans="1:3" ht="28.5" customHeight="1" thickBot="1">
      <c r="A59" s="295"/>
      <c r="B59" s="296" t="s">
        <v>65</v>
      </c>
      <c r="C59" s="297">
        <f>C27+C52</f>
        <v>95824051</v>
      </c>
    </row>
    <row r="60" spans="1:3" ht="27" customHeight="1" thickBot="1">
      <c r="A60" s="295"/>
      <c r="B60" s="296" t="s">
        <v>66</v>
      </c>
      <c r="C60" s="297">
        <f>C37+C58</f>
        <v>109513833</v>
      </c>
    </row>
    <row r="61" spans="1:3" ht="15.75">
      <c r="A61" s="298"/>
      <c r="B61" s="299"/>
      <c r="C61" s="300"/>
    </row>
    <row r="62" spans="1:3" ht="15.75">
      <c r="A62" s="266"/>
      <c r="B62" s="266"/>
      <c r="C62" s="267"/>
    </row>
    <row r="63" spans="1:3" ht="15.75">
      <c r="A63" s="450" t="s">
        <v>67</v>
      </c>
      <c r="B63" s="450"/>
      <c r="C63" s="450"/>
    </row>
    <row r="64" spans="1:3" ht="15.75">
      <c r="A64" s="301"/>
      <c r="B64" s="301"/>
      <c r="C64" s="301"/>
    </row>
    <row r="65" spans="1:3" ht="22.5" customHeight="1">
      <c r="A65" s="294" t="s">
        <v>27</v>
      </c>
      <c r="B65" s="302" t="s">
        <v>68</v>
      </c>
      <c r="C65" s="303">
        <f>Bevételek!H99</f>
        <v>14301974</v>
      </c>
    </row>
    <row r="66" spans="1:3" ht="22.5" customHeight="1">
      <c r="A66" s="294"/>
      <c r="B66" s="287" t="s">
        <v>69</v>
      </c>
      <c r="C66" s="288">
        <f>C65</f>
        <v>14301974</v>
      </c>
    </row>
    <row r="67" spans="1:3" ht="22.5" customHeight="1">
      <c r="A67" s="294" t="s">
        <v>29</v>
      </c>
      <c r="B67" s="302" t="s">
        <v>283</v>
      </c>
      <c r="C67" s="303">
        <f>'Korm.funkciók'!O33</f>
        <v>612192</v>
      </c>
    </row>
    <row r="68" spans="1:3" ht="22.5" customHeight="1">
      <c r="A68" s="294" t="s">
        <v>31</v>
      </c>
      <c r="B68" s="302" t="s">
        <v>70</v>
      </c>
      <c r="C68" s="303">
        <v>0</v>
      </c>
    </row>
    <row r="69" spans="1:3" ht="22.5" customHeight="1" thickBot="1">
      <c r="A69" s="294"/>
      <c r="B69" s="287" t="s">
        <v>71</v>
      </c>
      <c r="C69" s="288">
        <f>SUM(C67:C68)</f>
        <v>612192</v>
      </c>
    </row>
    <row r="70" spans="1:3" ht="24.75" customHeight="1" thickBot="1">
      <c r="A70" s="304"/>
      <c r="B70" s="305" t="s">
        <v>72</v>
      </c>
      <c r="C70" s="306">
        <f>C59+C66</f>
        <v>110126025</v>
      </c>
    </row>
    <row r="71" spans="1:3" ht="27" customHeight="1" thickBot="1">
      <c r="A71" s="304"/>
      <c r="B71" s="305" t="s">
        <v>73</v>
      </c>
      <c r="C71" s="306">
        <f>C60+C69</f>
        <v>110126025</v>
      </c>
    </row>
    <row r="72" spans="1:3" ht="15.75">
      <c r="A72" s="20"/>
      <c r="B72" s="20"/>
      <c r="C72" s="2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</sheetData>
  <sheetProtection/>
  <mergeCells count="12">
    <mergeCell ref="A3:C3"/>
    <mergeCell ref="A5:C5"/>
    <mergeCell ref="A6:C6"/>
    <mergeCell ref="A7:C7"/>
    <mergeCell ref="A18:C18"/>
    <mergeCell ref="A41:C41"/>
    <mergeCell ref="A46:C46"/>
    <mergeCell ref="A63:C63"/>
    <mergeCell ref="A10:C10"/>
    <mergeCell ref="A11:C11"/>
    <mergeCell ref="A12:C12"/>
    <mergeCell ref="A13:C13"/>
  </mergeCells>
  <printOptions/>
  <pageMargins left="0.49" right="0.49" top="0.46" bottom="1" header="0.3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2019-05-21T10:48:36Z</cp:lastPrinted>
  <dcterms:created xsi:type="dcterms:W3CDTF">2002-11-26T17:22:50Z</dcterms:created>
  <dcterms:modified xsi:type="dcterms:W3CDTF">2019-06-25T06:26:39Z</dcterms:modified>
  <cp:category/>
  <cp:version/>
  <cp:contentType/>
  <cp:contentStatus/>
</cp:coreProperties>
</file>