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Default Extension="vml" ContentType="application/vnd.openxmlformats-officedocument.vmlDrawing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tabRatio="823" firstSheet="15" activeTab="34"/>
  </bookViews>
  <sheets>
    <sheet name="tartalom" sheetId="1" r:id="rId1"/>
    <sheet name="1bevétel" sheetId="2" r:id="rId2"/>
    <sheet name="1A" sheetId="3" r:id="rId3"/>
    <sheet name="Munka2" sheetId="4" state="hidden" r:id="rId4"/>
    <sheet name="1B" sheetId="5" r:id="rId5"/>
    <sheet name="1C" sheetId="6" r:id="rId6"/>
    <sheet name="1D" sheetId="7" r:id="rId7"/>
    <sheet name="1E" sheetId="8" r:id="rId8"/>
    <sheet name="1H" sheetId="9" state="hidden" r:id="rId9"/>
    <sheet name="1I" sheetId="10" state="hidden" r:id="rId10"/>
    <sheet name="2kiadás" sheetId="11" r:id="rId11"/>
    <sheet name="2A" sheetId="12" r:id="rId12"/>
    <sheet name="2B" sheetId="13" r:id="rId13"/>
    <sheet name="2C" sheetId="14" r:id="rId14"/>
    <sheet name="2D" sheetId="15" r:id="rId15"/>
    <sheet name="2E" sheetId="16" r:id="rId16"/>
    <sheet name="2F" sheetId="17" state="hidden" r:id="rId17"/>
    <sheet name="Munka5" sheetId="18" state="hidden" r:id="rId18"/>
    <sheet name="3mérleg" sheetId="19" r:id="rId19"/>
    <sheet name="4int" sheetId="20" state="hidden" r:id="rId20"/>
    <sheet name="3A" sheetId="21" r:id="rId21"/>
    <sheet name="3B" sheetId="22" r:id="rId22"/>
    <sheet name="4felh" sheetId="23" r:id="rId23"/>
    <sheet name="5többéves" sheetId="24" r:id="rId24"/>
    <sheet name="6eifelh" sheetId="25" r:id="rId25"/>
    <sheet name="8gordulo" sheetId="26" state="hidden" r:id="rId26"/>
    <sheet name="9kötelezettségek" sheetId="27" state="hidden" r:id="rId27"/>
    <sheet name="9kötváll" sheetId="28" state="hidden" r:id="rId28"/>
    <sheet name="7közvetett" sheetId="29" r:id="rId29"/>
    <sheet name="Munka1" sheetId="30" state="hidden" r:id="rId30"/>
    <sheet name="8létsz" sheetId="31" r:id="rId31"/>
    <sheet name="8Aközfog" sheetId="32" r:id="rId32"/>
    <sheet name="13 m" sheetId="33" state="hidden" r:id="rId33"/>
    <sheet name="14 15 m" sheetId="34" state="hidden" r:id="rId34"/>
    <sheet name="9uniós" sheetId="35" r:id="rId35"/>
    <sheet name="B1B2" sheetId="36" state="hidden" r:id="rId36"/>
    <sheet name="B3" sheetId="37" state="hidden" r:id="rId37"/>
    <sheet name="B4" sheetId="38" state="hidden" r:id="rId38"/>
    <sheet name="B5" sheetId="39" state="hidden" r:id="rId39"/>
    <sheet name="B6B7B8" sheetId="40" state="hidden" r:id="rId40"/>
    <sheet name="54" sheetId="41" state="hidden" r:id="rId41"/>
    <sheet name="munkax" sheetId="42" state="hidden" r:id="rId42"/>
    <sheet name="K1K2" sheetId="43" state="hidden" r:id="rId43"/>
    <sheet name="K3" sheetId="44" state="hidden" r:id="rId44"/>
    <sheet name="K4" sheetId="45" state="hidden" r:id="rId45"/>
    <sheet name="K5K8K9" sheetId="46" state="hidden" r:id="rId46"/>
    <sheet name="K6K7" sheetId="47" state="hidden" r:id="rId47"/>
    <sheet name="Munka4" sheetId="48" state="hidden" r:id="rId48"/>
    <sheet name="K9" sheetId="49" state="hidden" r:id="rId49"/>
    <sheet name="Munka23" sheetId="50" state="hidden" r:id="rId50"/>
    <sheet name="Munka3" sheetId="51" state="hidden" r:id="rId51"/>
  </sheets>
  <definedNames>
    <definedName name="_xlnm.Print_Area" localSheetId="21">'3B'!$A$1:$O$85</definedName>
    <definedName name="_xlnm.Print_Area" localSheetId="43">'K3'!$A$2:$BO$82</definedName>
    <definedName name="_xlnm.Print_Area" localSheetId="45">'K5K8K9'!$A$2:$AL$41</definedName>
  </definedNames>
  <calcPr fullCalcOnLoad="1"/>
</workbook>
</file>

<file path=xl/comments36.xml><?xml version="1.0" encoding="utf-8"?>
<comments xmlns="http://schemas.openxmlformats.org/spreadsheetml/2006/main">
  <authors>
    <author>R?szke K?zs?g ?nkorm?nyzat</author>
    <author>Ildiko</author>
  </authors>
  <commentList>
    <comment ref="T12" authorId="0">
      <text>
        <r>
          <rPr>
            <b/>
            <sz val="8"/>
            <rFont val="Tahoma"/>
            <family val="0"/>
          </rPr>
          <t>Röszke Község Önkormányzat:</t>
        </r>
        <r>
          <rPr>
            <sz val="8"/>
            <rFont val="Tahoma"/>
            <family val="0"/>
          </rPr>
          <t xml:space="preserve">
támop</t>
        </r>
      </text>
    </comment>
    <comment ref="I17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gyermekvéd.Er.ut., óvod.tám.</t>
        </r>
      </text>
    </comment>
    <comment ref="H20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jövedelempótló</t>
        </r>
      </text>
    </comment>
    <comment ref="J17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közfoglalkoztatás</t>
        </r>
      </text>
    </comment>
    <comment ref="K17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közfoglalkoztatás:bér+eszköz</t>
        </r>
      </text>
    </comment>
    <comment ref="K34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közfog.TE</t>
        </r>
      </text>
    </comment>
    <comment ref="D19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IKSZT</t>
        </r>
      </text>
    </comment>
    <comment ref="E37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szabadidőpark, kiállítótér,tanyafej.</t>
        </r>
      </text>
    </comment>
  </commentList>
</comments>
</file>

<file path=xl/comments38.xml><?xml version="1.0" encoding="utf-8"?>
<comments xmlns="http://schemas.openxmlformats.org/spreadsheetml/2006/main">
  <authors>
    <author>Ildiko</author>
  </authors>
  <commentList>
    <comment ref="E14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sportcsarnok</t>
        </r>
      </text>
    </comment>
  </commentList>
</comments>
</file>

<file path=xl/comments45.xml><?xml version="1.0" encoding="utf-8"?>
<comments xmlns="http://schemas.openxmlformats.org/spreadsheetml/2006/main">
  <authors>
    <author>R?szke K?zs?g ?nkorm?nyzat</author>
  </authors>
  <commentList>
    <comment ref="M16" authorId="0">
      <text>
        <r>
          <rPr>
            <b/>
            <sz val="8"/>
            <rFont val="Tahoma"/>
            <family val="0"/>
          </rPr>
          <t>Röszke Község Önkormányzat:</t>
        </r>
        <r>
          <rPr>
            <sz val="8"/>
            <rFont val="Tahoma"/>
            <family val="0"/>
          </rPr>
          <t xml:space="preserve">
ebből kamatmentes 250e</t>
        </r>
      </text>
    </comment>
  </commentList>
</comments>
</file>

<file path=xl/comments46.xml><?xml version="1.0" encoding="utf-8"?>
<comments xmlns="http://schemas.openxmlformats.org/spreadsheetml/2006/main">
  <authors>
    <author/>
    <author>Ildiko</author>
  </authors>
  <commentList>
    <comment ref="P29" authorId="0">
      <text>
        <r>
          <rPr>
            <b/>
            <sz val="8"/>
            <color indexed="8"/>
            <rFont val="Times New Roman"/>
            <family val="1"/>
          </rPr>
          <t xml:space="preserve">Röszke Község Önkormányzat:
</t>
        </r>
        <r>
          <rPr>
            <sz val="8"/>
            <color indexed="8"/>
            <rFont val="Times New Roman"/>
            <family val="1"/>
          </rPr>
          <t>életjáradék 120
mozgáskor. 280</t>
        </r>
      </text>
    </comment>
    <comment ref="Z29" authorId="0">
      <text>
        <r>
          <rPr>
            <b/>
            <sz val="8"/>
            <color indexed="8"/>
            <rFont val="Times New Roman"/>
            <family val="1"/>
          </rPr>
          <t xml:space="preserve">Röszke Község Önkormányzat:
</t>
        </r>
        <r>
          <rPr>
            <sz val="8"/>
            <color indexed="8"/>
            <rFont val="Times New Roman"/>
            <family val="1"/>
          </rPr>
          <t xml:space="preserve">életjáradék 120
</t>
        </r>
      </text>
    </comment>
    <comment ref="G21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sátor</t>
        </r>
      </text>
    </comment>
    <comment ref="E22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hulladéktár.edények</t>
        </r>
      </text>
    </comment>
    <comment ref="F21" authorId="1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kerékpárút</t>
        </r>
      </text>
    </comment>
  </commentList>
</comments>
</file>

<file path=xl/comments47.xml><?xml version="1.0" encoding="utf-8"?>
<comments xmlns="http://schemas.openxmlformats.org/spreadsheetml/2006/main">
  <authors>
    <author>Ildiko</author>
  </authors>
  <commentList>
    <comment ref="H11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szabadidőpark, kiállítótér</t>
        </r>
      </text>
    </comment>
    <comment ref="D29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szennyvízgépház vill.en.kap.bővítés</t>
        </r>
      </text>
    </comment>
    <comment ref="E17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kerti aprító</t>
        </r>
      </text>
    </comment>
    <comment ref="H17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2 tanya vill.en.
térfigyelőkamerák</t>
        </r>
      </text>
    </comment>
    <comment ref="G8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kerékpárút</t>
        </r>
      </text>
    </comment>
    <comment ref="G11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járdaépítés</t>
        </r>
      </text>
    </comment>
    <comment ref="F28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rendőrörs</t>
        </r>
      </text>
    </comment>
    <comment ref="F29" authorId="0">
      <text>
        <r>
          <rPr>
            <b/>
            <sz val="8"/>
            <rFont val="Tahoma"/>
            <family val="0"/>
          </rPr>
          <t>Ildiko:</t>
        </r>
        <r>
          <rPr>
            <sz val="8"/>
            <rFont val="Tahoma"/>
            <family val="0"/>
          </rPr>
          <t xml:space="preserve">
kis közök</t>
        </r>
      </text>
    </comment>
  </commentList>
</comments>
</file>

<file path=xl/comments48.xml><?xml version="1.0" encoding="utf-8"?>
<comments xmlns="http://schemas.openxmlformats.org/spreadsheetml/2006/main">
  <authors>
    <author>R?szke K?zs?g ?nkorm?nyzat</author>
  </authors>
  <commentList>
    <comment ref="AX65" authorId="0">
      <text>
        <r>
          <rPr>
            <b/>
            <sz val="8"/>
            <rFont val="Tahoma"/>
            <family val="0"/>
          </rPr>
          <t>Röszke Község Önkormányzat:</t>
        </r>
        <r>
          <rPr>
            <sz val="8"/>
            <rFont val="Tahoma"/>
            <family val="0"/>
          </rPr>
          <t xml:space="preserve">
nagycsal300
idősek600
pedag300
templom150</t>
        </r>
      </text>
    </comment>
  </commentList>
</comments>
</file>

<file path=xl/sharedStrings.xml><?xml version="1.0" encoding="utf-8"?>
<sst xmlns="http://schemas.openxmlformats.org/spreadsheetml/2006/main" count="3431" uniqueCount="1696">
  <si>
    <t>2012. tény</t>
  </si>
  <si>
    <t>2013. várható</t>
  </si>
  <si>
    <t>2014. terv</t>
  </si>
  <si>
    <t xml:space="preserve"> KÖLTSÉGVETÉS</t>
  </si>
  <si>
    <t>Röszke Község Önkormányzat 2014. évi előirányzat-felhasználási ütemterve</t>
  </si>
  <si>
    <t>Költségvetési engedélyezett létszámkeret 2014-ben</t>
  </si>
  <si>
    <t>RöszkeiPolgármesteri Hivatal</t>
  </si>
  <si>
    <t>2014. évi tényleges nyitó létszám</t>
  </si>
  <si>
    <t>2014. évi engedélyezett létszámkeret</t>
  </si>
  <si>
    <t>köznevelési intézmény működtetési feladatit ellátó</t>
  </si>
  <si>
    <t>közalkalmazott (25 fő)</t>
  </si>
  <si>
    <t>Közfoglalkoztatottak éves létszámkerete 2014-ben</t>
  </si>
  <si>
    <t>8/A. sz. melléklet Röszke Község Képviselő-testülete .../2014.(...)sz.önkorm.rendeletéhez</t>
  </si>
  <si>
    <t>éves átlaglétszám (munkaidőarányosan)</t>
  </si>
  <si>
    <t>Európai uniós forrásból finanszírozott támogatással megvalósuló programok, projektek 2014. évi bevételei, kiadásai</t>
  </si>
  <si>
    <t>8. sz. melléklet Röszke Község Képviselő-testülete .../2014.(...)sz.önkorm.rendeletéhez</t>
  </si>
  <si>
    <t>Egyéb működési bevételek összesen</t>
  </si>
  <si>
    <t>B4</t>
  </si>
  <si>
    <t>MŰKÖDÉSI CÉLÚ TÁMOGATÁSOK ÁH-ON BELÜL ÖSSZESEN</t>
  </si>
  <si>
    <t>FELHALMOZÁSI CÉLÚ TÁMOGATÁSOK ÁH-ON BELÜL ÖSSZESEN</t>
  </si>
  <si>
    <t>Működési célú támogatások államháztartáson belülről</t>
  </si>
  <si>
    <t>Felhalmozási célú támogatások államháztartáson belülről</t>
  </si>
  <si>
    <t>B3</t>
  </si>
  <si>
    <t>B5</t>
  </si>
  <si>
    <t>Működési bevételek</t>
  </si>
  <si>
    <t xml:space="preserve">Felhalmozási bevételek </t>
  </si>
  <si>
    <t>B6</t>
  </si>
  <si>
    <t>B7</t>
  </si>
  <si>
    <t>B8</t>
  </si>
  <si>
    <t>Finanszírozási bevételek</t>
  </si>
  <si>
    <t>B16/5</t>
  </si>
  <si>
    <t>Elk.áll.pa.működ.c.támogatás bev.</t>
  </si>
  <si>
    <t>018030 Támogatási célú finanszírozási műveletek</t>
  </si>
  <si>
    <t>018010 Önkormányzatok elszámolásai a központi költségvetéssel</t>
  </si>
  <si>
    <t>Elk.áll.pa.felhalm.c.támogatás bev.</t>
  </si>
  <si>
    <t>B25/5</t>
  </si>
  <si>
    <t>Önkormányzatok és társulások igazgatási tevékenysége</t>
  </si>
  <si>
    <t>Statisztikai tevékenység</t>
  </si>
  <si>
    <t>Közterület rendjének fenntartása</t>
  </si>
  <si>
    <t>Önként vállalt feladatok kiadási előirányzatai összesen</t>
  </si>
  <si>
    <t>Önként vállalt feldatok</t>
  </si>
  <si>
    <t>Felhalmozási célú pénzeszköz átadás</t>
  </si>
  <si>
    <t>Felhalmozási célú támogatási kölcsön nyújtása államháztartáson belülre</t>
  </si>
  <si>
    <t>Felhalmozási célú támogatási kölcsön nyújtása államháztartáson kívülre</t>
  </si>
  <si>
    <t>Felhalmozási célú támogatási kölcsön törlesztése államháztartáson belülre</t>
  </si>
  <si>
    <t>MŰKÖDÉSI BEVÉTELEK ÖSSZESEN (1+2+4)</t>
  </si>
  <si>
    <t>BEVÉTELEK ÖSSZESEN (5+7)</t>
  </si>
  <si>
    <t>FELHALMOZÁSI KIADÁSOK ÖSSZESEN (14+...19)</t>
  </si>
  <si>
    <t>41233 Hosszabb időtartamú közfoglalkoztatás</t>
  </si>
  <si>
    <t>41232 Start-munka program - Téli közfoglalkoztatás</t>
  </si>
  <si>
    <t>41231 Rövid időtartamú közfoglalkoztatás</t>
  </si>
  <si>
    <t>84060 Érdekképviseleti, szakszervezeti tevékenység támogatása</t>
  </si>
  <si>
    <t>Százholdas Pagony Óvoda és Zsebibaba Bölcsőde</t>
  </si>
  <si>
    <t>562912 Óvodai int. étkezt.</t>
  </si>
  <si>
    <t>1/D sz. melléklet Röszke Község Önkormányzatának Képviselő-testülete …/2014.(……..)sz.önkorm.rendeletéhez</t>
  </si>
  <si>
    <t>3. sz. melléklet Röszke Község Önkormányzatának Képviselő-testülete …/2014.(……..)sz.önkorm.rendeletéhez</t>
  </si>
  <si>
    <t>258000</t>
  </si>
  <si>
    <t>2013-ban teljes adómentesség (70 éven felüli, egyedülálló)</t>
  </si>
  <si>
    <t>Térfigyelő kamerák beszerzése</t>
  </si>
  <si>
    <t>95 fő/vállalkozás</t>
  </si>
  <si>
    <t>7. sz. melléklet Röszke Község Képviselő-testülete …/2014. (………….)sz.önkorm.rendeletéhez</t>
  </si>
  <si>
    <t>256 fő</t>
  </si>
  <si>
    <t>2014. évre a kommunális adó kedvezéményben részesülők várható száma a 2013-es adatok alapulvételével, amennyiben a kedvezményben részesülők száma, s a kedvezmény mértéke nem változik:</t>
  </si>
  <si>
    <t>2017.</t>
  </si>
  <si>
    <t>2018. és azt követően lejáratig</t>
  </si>
  <si>
    <t>5. sz. melléklet Röszke Község Önkormányzatának Képviselő-testülete …/2014.(……..)sz.önkorm.rendeletéhez</t>
  </si>
  <si>
    <t>851011 Óvodai nevelés</t>
  </si>
  <si>
    <t>82092 Közművelődés-hagyományos közösségi kulturális értékek gondozása IKSZT</t>
  </si>
  <si>
    <t>Kötelező feladatok kiadási előirányzatai összesen</t>
  </si>
  <si>
    <t>66020 Város és községgazdálkodási egyéb szolgáltatások</t>
  </si>
  <si>
    <t>81030 Sportlétesítmények,edzőtáborok működtet.ésfejl.</t>
  </si>
  <si>
    <t>ÓVODA 562912 Óvodai int. Étkeztetés</t>
  </si>
  <si>
    <t>BÖLCSŐDE 889101 Bölcsődei ellátás (étkeztetés)</t>
  </si>
  <si>
    <t>13320 Köztemető fenntartás és működtetés</t>
  </si>
  <si>
    <t>ISKOLA 96020 Iskolai intézményi étkeztetés</t>
  </si>
  <si>
    <t>8/A.</t>
  </si>
  <si>
    <t>7. Belvízvédekezés, utak karbantartása</t>
  </si>
  <si>
    <t>2/A sz. melléklet Röszke Község Önkormányzatának Képviselő-testülete …/2013.(……..)sz.önkorm.rendeletéhez</t>
  </si>
  <si>
    <t>1.2) Petőfi Sándor Művelődési Ház és Községi Könyvtár</t>
  </si>
  <si>
    <t>1. Röszkei Falunapok</t>
  </si>
  <si>
    <t>Összesen:</t>
  </si>
  <si>
    <t>MINDÖSSZESEN</t>
  </si>
  <si>
    <t>Önként vállalt feladatok</t>
  </si>
  <si>
    <t>Rendezvény- és kiállítótér kialakítása a Művelődési Ház udvarán</t>
  </si>
  <si>
    <t>9. sz. melléklet Röszke Község Képviselő-testülete .../2014.(...)sz.önkorm.rendeletéhez</t>
  </si>
  <si>
    <t>2013. bevételi előirányzat</t>
  </si>
  <si>
    <t>tanácsadói,ügyvédi,jogi,közjegyzői,könyvvizsgálói,közbeszerzési iroda díjai, foglalkozás egészségü.,képzések,táncoktatás,úszás, erdei iskola,műszaki ellenőr</t>
  </si>
  <si>
    <t>pihenőpark saját rész</t>
  </si>
  <si>
    <t>kerékpárút</t>
  </si>
  <si>
    <t>041232 Start-munka program - Téli közfoglalkoztatás</t>
  </si>
  <si>
    <t>062020 Településfejlesztési projektek és támogatásuk</t>
  </si>
  <si>
    <t>45120 Út, autópálya építése</t>
  </si>
  <si>
    <t>Üdülői szálláshely-szolgáltatás</t>
  </si>
  <si>
    <t>581400</t>
  </si>
  <si>
    <t>Folyóirat, időszaki kiadvány kiadása</t>
  </si>
  <si>
    <t>813000</t>
  </si>
  <si>
    <t>Zöldterület-kezelés</t>
  </si>
  <si>
    <t>841126</t>
  </si>
  <si>
    <t>841402</t>
  </si>
  <si>
    <t>Közvilágítás</t>
  </si>
  <si>
    <t>841403</t>
  </si>
  <si>
    <t>841901</t>
  </si>
  <si>
    <t>Önkormányzatok, valamint többcélú kistérségi társulások elszámolásai</t>
  </si>
  <si>
    <t>854234</t>
  </si>
  <si>
    <t>Szociális ösztöndíjak</t>
  </si>
  <si>
    <t>882000</t>
  </si>
  <si>
    <t>Önkormányzati szociális támogatások finanszírozása</t>
  </si>
  <si>
    <t>882111</t>
  </si>
  <si>
    <t>Rendszeres szociális segély</t>
  </si>
  <si>
    <t>882112</t>
  </si>
  <si>
    <t>Időskorúak járadéka</t>
  </si>
  <si>
    <t>882113</t>
  </si>
  <si>
    <t>Lakásfenntartási támogatás normatív alapon</t>
  </si>
  <si>
    <t>882114</t>
  </si>
  <si>
    <t>Helyi rendszeres lakásfenntartási támogatás</t>
  </si>
  <si>
    <t>882115</t>
  </si>
  <si>
    <t>Ápolási díj alanyi jogon</t>
  </si>
  <si>
    <t>882116</t>
  </si>
  <si>
    <t>Ápolási díj méltányossági alapon</t>
  </si>
  <si>
    <t>882117</t>
  </si>
  <si>
    <t>Rendszeres gyermekvédelmi pénzbeli ellátás</t>
  </si>
  <si>
    <t>882118</t>
  </si>
  <si>
    <t>Kiegészítő gyermekvédelmi támogatás</t>
  </si>
  <si>
    <t>882119</t>
  </si>
  <si>
    <t>Óvodáztatási támogatás</t>
  </si>
  <si>
    <t>882121</t>
  </si>
  <si>
    <t>Helyi eseti lakásfenntartási támogatás</t>
  </si>
  <si>
    <t>882122</t>
  </si>
  <si>
    <t>Átmeneti segély</t>
  </si>
  <si>
    <t>882123</t>
  </si>
  <si>
    <t>882124</t>
  </si>
  <si>
    <t>Rendkívüli gyermekvédelmi támogatás</t>
  </si>
  <si>
    <t>882125</t>
  </si>
  <si>
    <t>882129</t>
  </si>
  <si>
    <t>Egyéb önkormányzati eseti pénzbeli ellátások</t>
  </si>
  <si>
    <t>882202</t>
  </si>
  <si>
    <t>Közgyógyellátás</t>
  </si>
  <si>
    <t>882203</t>
  </si>
  <si>
    <t>Köztemetés</t>
  </si>
  <si>
    <t>889942</t>
  </si>
  <si>
    <t>Önkormányzatok által nyújtott lakástámogatás</t>
  </si>
  <si>
    <t>890301</t>
  </si>
  <si>
    <t>Civil szervezetek működési támogatása</t>
  </si>
  <si>
    <t>Bevételek és kiadások Áht. 102. § (3) bekezdése szerinti mérleg</t>
  </si>
  <si>
    <t xml:space="preserve">522001   Közutak üzemeltetése, fenntartása </t>
  </si>
  <si>
    <t>680001 lakóingatlan bérbeadása, üzemeltetése</t>
  </si>
  <si>
    <t>680002 Nem lakóingatlan bérbeadása, üzemeltetése</t>
  </si>
  <si>
    <t>Műv.ház</t>
  </si>
  <si>
    <t>Támogatási kölcsönök nyújtása államháztartáson belülre (01+02)</t>
  </si>
  <si>
    <t>Támogatási kölcsönök nyújtása államháztartáson kívülre (04+05)</t>
  </si>
  <si>
    <t>Támogatási kölcsönök törlesztése államháztartáson belülre (07+08)</t>
  </si>
  <si>
    <t>Kölcsönök nyújtása és törlesztése (03+06+09)</t>
  </si>
  <si>
    <t>Tervezett maradvány, eredmény</t>
  </si>
  <si>
    <t>Államháztartási tartalék (felhalmozási)</t>
  </si>
  <si>
    <t>Pénzforgalom nélküli kiadások (11+12+13+14)</t>
  </si>
  <si>
    <t>Hosszú lejáratú hitelek visszafizetése (törlesztése) egyéb belföldi hitelezőnek</t>
  </si>
  <si>
    <t>Rövid lejáratú hitelek visszafizetése (törlesztése) egyéb belföldi hitelezőnek</t>
  </si>
  <si>
    <t>Likviditási célú hitel törlesztése központi költségvetésnek</t>
  </si>
  <si>
    <t>Működési célú hitel visszafizetése más elkülönített állami pénzalapoknak</t>
  </si>
  <si>
    <t>Hosszú lejáratú belföldi értékpapírok beváltása</t>
  </si>
  <si>
    <t>Rövid lejáratú belföldi értékpapírok beváltása</t>
  </si>
  <si>
    <t>Rövid lejáratú értékpapírok vásárlása</t>
  </si>
  <si>
    <t>Belföldi finanszírozás kiadásai (16+...+25)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</si>
  <si>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</si>
  <si>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</si>
  <si>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</si>
  <si>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</si>
  <si>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</si>
  <si>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(27+28+29+30+31)</t>
  </si>
  <si>
    <t>2016.</t>
  </si>
  <si>
    <t>Finanszírozási kiadás összesen (26+32)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</si>
  <si>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</si>
  <si>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</si>
  <si>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</si>
  <si>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</si>
  <si>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</si>
  <si>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</si>
  <si>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(34+…+39)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</si>
  <si>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</si>
  <si>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</si>
  <si>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</si>
  <si>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</si>
  <si>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</si>
  <si>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</si>
  <si>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(41+42+43+44+45+46)</t>
  </si>
  <si>
    <t>Államháztartáson belülről kapott továbbadási (lebonyolítási) célú kiadás összesen (40+47)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</si>
  <si>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</si>
  <si>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</si>
  <si>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</si>
  <si>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</si>
  <si>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Röszkei Gazdakör</t>
  </si>
  <si>
    <t>EGYÉB MŰKÖDÉSI CÉLÚ KIADÁSOK ÖSSZESEN</t>
  </si>
  <si>
    <t>Civil szervezetek működési célú támogatása</t>
  </si>
  <si>
    <t>2/B. sz. melléklet Röszke Község Önkormányzatának Képviselő-testülete …/2014.(……..)sz.önkorm.rendeletéhez</t>
  </si>
  <si>
    <t>Beruházások, felújítások</t>
  </si>
  <si>
    <t>2/E. sz. melléklet Röszke Község Önkormányzatának Képviselő-testülete …/2014.(……..)sz.önkorm.rendeletéhez</t>
  </si>
  <si>
    <t>2/D. sz. melléklet Röszke Község Önkormányzatának Képviselő-testülete …/2014.(……..)sz.önkorm.rendeletéhez</t>
  </si>
  <si>
    <t>BERUHÁZÁSOK ÖSSZESEN</t>
  </si>
  <si>
    <t>2/C. sz. melléklet Röszke Község Önkormányzatának Képviselő-testülete …/2014.(……..)sz.önkorm.rendeletéhez</t>
  </si>
  <si>
    <t>Röszke Község Önkormányzatának 2014. évi kiadásaiból kiemelten</t>
  </si>
  <si>
    <t>910121</t>
  </si>
  <si>
    <t>Könyvtári állomány gyarapítása, nyilvántartása</t>
  </si>
  <si>
    <t>910212</t>
  </si>
  <si>
    <t>910123</t>
  </si>
  <si>
    <t>Könyvtári szolgáltatások</t>
  </si>
  <si>
    <t>910502</t>
  </si>
  <si>
    <t>Közművelődési intézmények, közösségi színterek működtetése</t>
  </si>
  <si>
    <t>960302</t>
  </si>
  <si>
    <t>Köztmető-fenntartás és működtetés</t>
  </si>
  <si>
    <t>önkormányzati közfeladatot ellátó (3 fő)</t>
  </si>
  <si>
    <t>ügyintéző (11 fő)</t>
  </si>
  <si>
    <t>pályázatíró referens</t>
  </si>
  <si>
    <t>36.</t>
  </si>
  <si>
    <t>Mindösszesen</t>
  </si>
  <si>
    <t>360000</t>
  </si>
  <si>
    <t xml:space="preserve">Víztermelés, -kezelés, - ellátás </t>
  </si>
  <si>
    <t>Szennyvíz gyűjtése, tisztítása, elhelyezése</t>
  </si>
  <si>
    <t xml:space="preserve">370000 </t>
  </si>
  <si>
    <t>370000</t>
  </si>
  <si>
    <t>412000</t>
  </si>
  <si>
    <t xml:space="preserve">Dologi kiadások és egyéb folyó kiadások </t>
  </si>
  <si>
    <t>581400 Folyóirat, időszaki kiadvány</t>
  </si>
  <si>
    <t>Előző évi pénzmaradvány felhalmozási célú igénybevétele</t>
  </si>
  <si>
    <t>35.</t>
  </si>
  <si>
    <t>Százholda Pagony Óvoda és Zsebibaba Bölcsőde</t>
  </si>
  <si>
    <t>562912 Óvodai int.étk.</t>
  </si>
  <si>
    <t>851011 Óvodai nevelés ellátás</t>
  </si>
  <si>
    <t>889101 Bölcsődei ellátás</t>
  </si>
  <si>
    <t>2013-as szakfeladatok</t>
  </si>
  <si>
    <t>Kormányzati funkciók</t>
  </si>
  <si>
    <t>Rovat/tétel</t>
  </si>
  <si>
    <t>ISKOLA 811000 Épület üzemeltetés</t>
  </si>
  <si>
    <t>ISKOLA 931102 Sportlétesítmények működtetése</t>
  </si>
  <si>
    <t>K311/2</t>
  </si>
  <si>
    <t>K311/1</t>
  </si>
  <si>
    <t>K311/3</t>
  </si>
  <si>
    <t>K311/4</t>
  </si>
  <si>
    <t>K311/5</t>
  </si>
  <si>
    <t>K311/91</t>
  </si>
  <si>
    <t>Egyéb szakmai anyagok. beszer.:menny.nyilv.-ban nem szereplő</t>
  </si>
  <si>
    <t>K311/92</t>
  </si>
  <si>
    <t>Szakmai anyagok beszerzése összesen</t>
  </si>
  <si>
    <t>K311</t>
  </si>
  <si>
    <t>K312/1</t>
  </si>
  <si>
    <t>Irodaszer, nyomtatvány beszerzés</t>
  </si>
  <si>
    <t>K312/2</t>
  </si>
  <si>
    <t>K312/4</t>
  </si>
  <si>
    <t>K312/5</t>
  </si>
  <si>
    <t>Egyéb üzemelt.anyagbesz.: mennyiségi nyilv.-ban nem szereplő készletek</t>
  </si>
  <si>
    <t>K312/91</t>
  </si>
  <si>
    <t>K312/92</t>
  </si>
  <si>
    <t>K312</t>
  </si>
  <si>
    <t>Üzemeltetési anyagok beszerzése összesen</t>
  </si>
  <si>
    <t>K31</t>
  </si>
  <si>
    <t>Készletbeszerzések összesen</t>
  </si>
  <si>
    <t>K321/1</t>
  </si>
  <si>
    <t>Számítógépek üzembehely.</t>
  </si>
  <si>
    <t>K321/2</t>
  </si>
  <si>
    <t>Számítást.szoftv.kapcs.inform.szolgált.</t>
  </si>
  <si>
    <t>K321/4</t>
  </si>
  <si>
    <t>Informatikai eszközök karbant.szolgáltatása</t>
  </si>
  <si>
    <t>K321/5</t>
  </si>
  <si>
    <t>K321/9</t>
  </si>
  <si>
    <t>Egyéb különf.inform.szolgáltatás</t>
  </si>
  <si>
    <t>Informatikai szolgáltatások igénybevétele összesen</t>
  </si>
  <si>
    <t>K321</t>
  </si>
  <si>
    <t>Nem adatátvit.célú távközlési díjak</t>
  </si>
  <si>
    <t>K322/1</t>
  </si>
  <si>
    <t>Egyéb különf.kommunikációs szolgáltatások</t>
  </si>
  <si>
    <t>K322/2</t>
  </si>
  <si>
    <t>K322</t>
  </si>
  <si>
    <t>K32</t>
  </si>
  <si>
    <t>Kommunikációs szolgáltatások összesen</t>
  </si>
  <si>
    <t>Egyéb kommunikációs szolgáltatások összesen</t>
  </si>
  <si>
    <t>Gázenergia-szolgáltatási díjak</t>
  </si>
  <si>
    <t>K331/1</t>
  </si>
  <si>
    <t>K331/2</t>
  </si>
  <si>
    <t>K331/4</t>
  </si>
  <si>
    <t>K331</t>
  </si>
  <si>
    <t>Közüzemi díjak összesen</t>
  </si>
  <si>
    <t>K332</t>
  </si>
  <si>
    <t>K333/2</t>
  </si>
  <si>
    <t>K333</t>
  </si>
  <si>
    <t>Egyéb bérleti és lízing díjak</t>
  </si>
  <si>
    <t>K334</t>
  </si>
  <si>
    <t>Karbantartási, kisjavítási szolgáltatás</t>
  </si>
  <si>
    <t>Államháztartáson belülre közvetített szolgáltatás</t>
  </si>
  <si>
    <t>Államháztartáson kívülre közvetített szolgáltatás</t>
  </si>
  <si>
    <t>K335/1</t>
  </si>
  <si>
    <t>K335/2</t>
  </si>
  <si>
    <t>K335</t>
  </si>
  <si>
    <t>Közvetített szolgáltatások összesen</t>
  </si>
  <si>
    <t>Bérleti és lízing díjak összesen</t>
  </si>
  <si>
    <t>Számlázott szellemi tevékenység</t>
  </si>
  <si>
    <t>Egyéb szakmai szolgáltatások</t>
  </si>
  <si>
    <t>K336/1</t>
  </si>
  <si>
    <t>K336/2</t>
  </si>
  <si>
    <t>K336/3</t>
  </si>
  <si>
    <t>K336</t>
  </si>
  <si>
    <t>K337/1</t>
  </si>
  <si>
    <t>Biztosítási szolgáltatási díjak</t>
  </si>
  <si>
    <t>Pénzügyi, befektetési szolg.díjak</t>
  </si>
  <si>
    <t>Szállítási szolgáltatási díjak</t>
  </si>
  <si>
    <t>Egyéb üzemeltetési szolgáltatások</t>
  </si>
  <si>
    <t>K337/2</t>
  </si>
  <si>
    <t>K337/3</t>
  </si>
  <si>
    <t>K337/4</t>
  </si>
  <si>
    <t>K337</t>
  </si>
  <si>
    <t>Egyéb szolgáltatások összesen</t>
  </si>
  <si>
    <t>Szakmai tevékenységet segítő szolgáltatás összesen</t>
  </si>
  <si>
    <t>K33</t>
  </si>
  <si>
    <t>Belföldi kiküldetések kiadása</t>
  </si>
  <si>
    <t>K341/1</t>
  </si>
  <si>
    <t>K341</t>
  </si>
  <si>
    <t>Szolgáltatási kiadások összesen</t>
  </si>
  <si>
    <t>K342</t>
  </si>
  <si>
    <t>K34</t>
  </si>
  <si>
    <t>Kiküldetések kiadásai összesen</t>
  </si>
  <si>
    <t>Kiküldetések, reklám- és prop. kiadások összesen</t>
  </si>
  <si>
    <t>Működ.célú előzetes.felszám.levonh.áfa</t>
  </si>
  <si>
    <t>Működ.célú előzetes.felszám.le nem vonh.áfa</t>
  </si>
  <si>
    <t>K351/1</t>
  </si>
  <si>
    <t>K351/2</t>
  </si>
  <si>
    <t>K351</t>
  </si>
  <si>
    <t>Működési célra előzetesen felszámít.áfa</t>
  </si>
  <si>
    <t>Kiszáml.egyenes adóz.érték.term.ÁFA befiz.</t>
  </si>
  <si>
    <t>Kiszáml.egyenes adóz.érték.tárgy.eszk.ÁFA befiz.</t>
  </si>
  <si>
    <t>Kiszáml.ford.adóz.vás.term.ÁFA befiz.</t>
  </si>
  <si>
    <t>K352/1</t>
  </si>
  <si>
    <t>K352/2</t>
  </si>
  <si>
    <t>K352/3</t>
  </si>
  <si>
    <t>K352</t>
  </si>
  <si>
    <t>Fizetendő általános forgalmi adó ÁFA</t>
  </si>
  <si>
    <t>ÁH.b.fedez.ügylet.kapcs.kamatkiadás</t>
  </si>
  <si>
    <t>Központi kv.kamatkiadása</t>
  </si>
  <si>
    <t>ÁH.b.egyéb kamatkiadások</t>
  </si>
  <si>
    <t>ÁH.k.fedez.ügylet.kapcs.kamatkiadás</t>
  </si>
  <si>
    <t>ÁH.k.egyéb kamatkiadások</t>
  </si>
  <si>
    <t>K353/14</t>
  </si>
  <si>
    <t>K353/16</t>
  </si>
  <si>
    <t>K353/19</t>
  </si>
  <si>
    <t>K353/24</t>
  </si>
  <si>
    <t>K353/29</t>
  </si>
  <si>
    <t>K353</t>
  </si>
  <si>
    <t>Kamatkiadások összesen</t>
  </si>
  <si>
    <t>Egyéb pénzügyi műveletek kiadásai</t>
  </si>
  <si>
    <t>K354/9</t>
  </si>
  <si>
    <t>Egyéb pénzügyi műveletek kiadásai összesen</t>
  </si>
  <si>
    <t>K354</t>
  </si>
  <si>
    <t>Helyi adók, vám, illeték befiz.</t>
  </si>
  <si>
    <t>Díjak, egyéb befizetések kiadásai</t>
  </si>
  <si>
    <t>Késed.kamath.kötbérhez kapcs.kiad.</t>
  </si>
  <si>
    <t>Előző kv-i évh.kapcs.műk.bev.visszaf.</t>
  </si>
  <si>
    <t>Előző kv-i évh.kapcs.negat.közhat.bev.ki.</t>
  </si>
  <si>
    <t>Behajthat.előleg.kapcs.kiadás</t>
  </si>
  <si>
    <t>Vásárolt kötel.kapcs.kiadás</t>
  </si>
  <si>
    <t>Egyéb különféle dologi kiadás</t>
  </si>
  <si>
    <t>K355/1</t>
  </si>
  <si>
    <t>K355/2</t>
  </si>
  <si>
    <t>K355/3</t>
  </si>
  <si>
    <t>K355/4</t>
  </si>
  <si>
    <t>K355/5</t>
  </si>
  <si>
    <t>K355/6</t>
  </si>
  <si>
    <t>K355/7</t>
  </si>
  <si>
    <t>K355/9</t>
  </si>
  <si>
    <t>K355</t>
  </si>
  <si>
    <t>Egyéb dologi kiadások összesen</t>
  </si>
  <si>
    <t>K35</t>
  </si>
  <si>
    <t>Különféle befiz.és egyéb dologi kiadások összesen</t>
  </si>
  <si>
    <t>K3</t>
  </si>
  <si>
    <t>DOLOGI KIADÁSOK ÖSSZESEN</t>
  </si>
  <si>
    <t>890441</t>
  </si>
  <si>
    <t>Közcélú foglalkoztatás</t>
  </si>
  <si>
    <t>Szabadidőpark</t>
  </si>
  <si>
    <t>12.</t>
  </si>
  <si>
    <t>13.</t>
  </si>
  <si>
    <t>14.</t>
  </si>
  <si>
    <t>15.</t>
  </si>
  <si>
    <t>16.</t>
  </si>
  <si>
    <t>17.</t>
  </si>
  <si>
    <t>18.</t>
  </si>
  <si>
    <t>19.</t>
  </si>
  <si>
    <t>Likviditási célú hitel felvétele pénzügyi vállalkozástól</t>
  </si>
  <si>
    <t>20.</t>
  </si>
  <si>
    <t>21.</t>
  </si>
  <si>
    <t>22.</t>
  </si>
  <si>
    <t>23.</t>
  </si>
  <si>
    <t>24.</t>
  </si>
  <si>
    <t>Lejárat dátuma</t>
  </si>
  <si>
    <t>25.</t>
  </si>
  <si>
    <t>26.</t>
  </si>
  <si>
    <t>27.</t>
  </si>
  <si>
    <t>28.</t>
  </si>
  <si>
    <t>Felhalmozási célú kölcsön nyújtása államháztartáson kívülre</t>
  </si>
  <si>
    <t>Működési célú pénzeszköz átvétel</t>
  </si>
  <si>
    <t>Röszkei Gyermek- és Ifjúsági Önkormányzat</t>
  </si>
  <si>
    <t>29.</t>
  </si>
  <si>
    <t>30.</t>
  </si>
  <si>
    <t>31.</t>
  </si>
  <si>
    <t>Felhalmozási célú támogatási kölcsön visszatérülése államháztartáson kívülről</t>
  </si>
  <si>
    <t>32.</t>
  </si>
  <si>
    <t>Hosszú lejáratú hitelek felvétele pénzügyi vállalkozásoktól</t>
  </si>
  <si>
    <t>33.</t>
  </si>
  <si>
    <t>34.</t>
  </si>
  <si>
    <t>Polgármesteri Hivatal</t>
  </si>
  <si>
    <t>Intézményi működési bevételek összesen</t>
  </si>
  <si>
    <t>alap:47392</t>
  </si>
  <si>
    <t>alap:10838</t>
  </si>
  <si>
    <t>Önkormánzat költségvetési (működési) támogatása</t>
  </si>
  <si>
    <t>Működési célú pénzeszközátvétel államháztartáson kívülről</t>
  </si>
  <si>
    <t>MŰKÖDÉSI BEVÉTELEK ÖSSZESEN (1+…+6)</t>
  </si>
  <si>
    <t>Felhalmozási és tőke jellegű bevételek</t>
  </si>
  <si>
    <t>890442 közfogl. hosszútávú</t>
  </si>
  <si>
    <t>890441 közfoglalk.rövidtávú</t>
  </si>
  <si>
    <t>Magánszemélyek kommunális adója</t>
  </si>
  <si>
    <t>Központosított előirányzatok (felhalmozási)</t>
  </si>
  <si>
    <t>Önkormányzatok sajátos felhalmozási és tőke bevételei</t>
  </si>
  <si>
    <t>Felhalmozási célú pénzeszközátvétel államháztartáson kívülről</t>
  </si>
  <si>
    <t>FELHALMOZÁSI BEVÉTELEK ÖSSZESEN (8+…+16)</t>
  </si>
  <si>
    <t>BEVÉTELEK ÖSSZESEN (7+17)</t>
  </si>
  <si>
    <t>Petőfi Sándor Művelődési Ház</t>
  </si>
  <si>
    <t>Felügyeleti szervtől kapott támogatás (működési)</t>
  </si>
  <si>
    <t>MŰKÖDÉSI BEVÉTELEK ÖSSZESEN (1+…+4)</t>
  </si>
  <si>
    <t>Felügyeleti szervtől kapott támogatás (felhalmozási)</t>
  </si>
  <si>
    <t>Normatív támogatás</t>
  </si>
  <si>
    <t>Központosított előirányzat</t>
  </si>
  <si>
    <t>Támogatásértékű működési bevételek (4 önkormányzattól)</t>
  </si>
  <si>
    <t>Támogatásértékű működési bevételek (Röszke K Önk-tól Tb finanszírozás)</t>
  </si>
  <si>
    <t>FELHALMOZÁSI BEVÉTELEK ÖSSZESEN (8+…+10)</t>
  </si>
  <si>
    <t>BEVÉTELEK ÖSSZESEN (7+11)</t>
  </si>
  <si>
    <t>Me.: eFt</t>
  </si>
  <si>
    <t>Igazgatási szolgáltatási díj</t>
  </si>
  <si>
    <t>Intézményi ellátási díjak</t>
  </si>
  <si>
    <t>Építményadó</t>
  </si>
  <si>
    <t>Telekadó</t>
  </si>
  <si>
    <t>K63/1</t>
  </si>
  <si>
    <t>K63/2</t>
  </si>
  <si>
    <t>Nem egy.megrend.készült szoftver besz.</t>
  </si>
  <si>
    <t>K63</t>
  </si>
  <si>
    <t>Helyi megállapítású ápolási díj</t>
  </si>
  <si>
    <t>K44/22</t>
  </si>
  <si>
    <t>Helyi megállapítású közgyógyellátás</t>
  </si>
  <si>
    <t>K44</t>
  </si>
  <si>
    <t>Betegséggel kapcs.(nem Tb.) ellátások összesen</t>
  </si>
  <si>
    <t>K45/27</t>
  </si>
  <si>
    <t>Foglalkoztatást helyettesítő támogatás</t>
  </si>
  <si>
    <t>K45</t>
  </si>
  <si>
    <t>Foglalkozt.munkanélk.kapcs.ellátások</t>
  </si>
  <si>
    <t>Egyéb önk.lakhatással kapcs.pénzb.ellát.</t>
  </si>
  <si>
    <t>K46/29</t>
  </si>
  <si>
    <t>K46/39</t>
  </si>
  <si>
    <t>K46</t>
  </si>
  <si>
    <t>Lakhatással kapcsolatos ellátások</t>
  </si>
  <si>
    <t>K48/21</t>
  </si>
  <si>
    <t>Rendszeres pénzbeli szociális segély</t>
  </si>
  <si>
    <t>K48/22</t>
  </si>
  <si>
    <t>Átmeneti pénzbeli segély</t>
  </si>
  <si>
    <t>K48/23</t>
  </si>
  <si>
    <t>Temetési pénzbeli segély</t>
  </si>
  <si>
    <t>K48/24</t>
  </si>
  <si>
    <t>Köztemetés (pénzbeli)</t>
  </si>
  <si>
    <t>K48/291</t>
  </si>
  <si>
    <t>Egyé, önk-i rend.megáll.pénzbeli juttat.: szemétszállítás</t>
  </si>
  <si>
    <t>K48/292</t>
  </si>
  <si>
    <t>Egyé, önk-i rend.megáll.pénzbeli juttat.: életjáradék</t>
  </si>
  <si>
    <t>K48/293</t>
  </si>
  <si>
    <t>Egyé, önk-i rend.megáll.pénzbeli juttat.: Bursa Hungarica</t>
  </si>
  <si>
    <t>K48/294</t>
  </si>
  <si>
    <t>Egyé, önk-i rend.megáll.pénzbeli juttat.: babakötvény</t>
  </si>
  <si>
    <t>K4</t>
  </si>
  <si>
    <t>Egyéb működési célú kiadások</t>
  </si>
  <si>
    <t>Beruházások</t>
  </si>
  <si>
    <t>Felújítások</t>
  </si>
  <si>
    <t>K9</t>
  </si>
  <si>
    <t>Egyéb felhalmozási célú kiadások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</si>
  <si>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</si>
  <si>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</si>
  <si>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</si>
  <si>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(54+55+56+57)</t>
  </si>
  <si>
    <t>Ellátottak térítési díjának, illetve kártérítésének méltányossági alapon történő elengedésének összege</t>
  </si>
  <si>
    <t>0 fő</t>
  </si>
  <si>
    <t>Lakosság részére lakásépítéshez, lakásfelújításhoz nyújtott kölcsönök elengedésének összege</t>
  </si>
  <si>
    <t xml:space="preserve">III. </t>
  </si>
  <si>
    <t>Helyi adónál biztosított kedvezmény, mentesség összege</t>
  </si>
  <si>
    <t>III/I.</t>
  </si>
  <si>
    <t>A jogosult személyek szociális és jövedelmi viszonyaik alapján mentesülnek a helyi adó megfizetése alól a 8/1991.(XII.12.) KT. rendelet 5 § (1) bekezdése alapján.</t>
  </si>
  <si>
    <t>IV.</t>
  </si>
  <si>
    <t>Gépjárműadónál biztosított kedvezmény, mentesség összege</t>
  </si>
  <si>
    <t>V.</t>
  </si>
  <si>
    <t>Helyiségek, eszközök hasznosításából származó bevételből nyújtott kedvezmény, mentesség összege</t>
  </si>
  <si>
    <t>VI.</t>
  </si>
  <si>
    <t>Egyéb nyújtott kedvezmény vagy kölcsön elengedésének összege</t>
  </si>
  <si>
    <t>VI/I.</t>
  </si>
  <si>
    <t>Lakossági szemétszállítási kedvezmény - helyi határozat alapján</t>
  </si>
  <si>
    <t>III/II.</t>
  </si>
  <si>
    <t>Helyi iparűzési adó kedvezményben részesülők várható száma, kedvezmény összege</t>
  </si>
  <si>
    <t>Működési kiadások</t>
  </si>
  <si>
    <t>Felhalmozási kiadások</t>
  </si>
  <si>
    <t>Kiadások</t>
  </si>
  <si>
    <t>Uniós támogatás</t>
  </si>
  <si>
    <t>Hazai támogatás</t>
  </si>
  <si>
    <t>Hitelfelvétel</t>
  </si>
  <si>
    <t>Költségvetési forrás</t>
  </si>
  <si>
    <t>Bevételek</t>
  </si>
  <si>
    <t>Államháztartáson kívülről kapott továbbadási (lebonyolítási) célú kiadás összesen (53+58)</t>
  </si>
  <si>
    <t>Függő kiadások</t>
  </si>
  <si>
    <t>Átfutó kiadások</t>
  </si>
  <si>
    <t>Kiegyenlítő kiadások</t>
  </si>
  <si>
    <t>jár.50%</t>
  </si>
  <si>
    <t>890442</t>
  </si>
  <si>
    <t>Közhasznú foglalkoztatás</t>
  </si>
  <si>
    <t>Függő, átfutó, kiegyenlítő kiadások (60+61+62)</t>
  </si>
  <si>
    <t>TARTALOMJEGYZÉK</t>
  </si>
  <si>
    <t>mellék-let sor-száma</t>
  </si>
  <si>
    <t>Melléklet címe</t>
  </si>
  <si>
    <t>1.</t>
  </si>
  <si>
    <t>1/A</t>
  </si>
  <si>
    <t>Intézményi működési bevételek</t>
  </si>
  <si>
    <t>1/B</t>
  </si>
  <si>
    <t>Önkormányzatok sajátos működési bevételei</t>
  </si>
  <si>
    <t>1/C</t>
  </si>
  <si>
    <t>1/D</t>
  </si>
  <si>
    <t>Támogatásértékű működési bevételek</t>
  </si>
  <si>
    <t>Működési célú átvett pénzeszközök</t>
  </si>
  <si>
    <t>1/E</t>
  </si>
  <si>
    <t>841403       TÁMOP</t>
  </si>
  <si>
    <t>841403   TÁMOP</t>
  </si>
  <si>
    <t>682002</t>
  </si>
  <si>
    <t>Önkormányzati költségvetési (felhalmozási) támogatás</t>
  </si>
  <si>
    <t>Támogatásértékű felhalmozási bevételek</t>
  </si>
  <si>
    <t>Felhalmozási célú átvett pénzeszközök</t>
  </si>
  <si>
    <t>2.</t>
  </si>
  <si>
    <t>2/A</t>
  </si>
  <si>
    <t>2/B</t>
  </si>
  <si>
    <t>Társadalom-, szociálpolitikai és egyéb juttatás, támogatás</t>
  </si>
  <si>
    <t>Ellátottak pénzbeli juttatásai</t>
  </si>
  <si>
    <t>2/C</t>
  </si>
  <si>
    <t>682001</t>
  </si>
  <si>
    <t>Lakóingatlan bérbedása,üzemeltetése</t>
  </si>
  <si>
    <t>Ellátottak pénzbeli juttatása</t>
  </si>
  <si>
    <t>Működési célú átadott pénzeszközök</t>
  </si>
  <si>
    <t>2/D</t>
  </si>
  <si>
    <t>Felhalmozási kiadások és pénzügyi befektetések</t>
  </si>
  <si>
    <t>2/E</t>
  </si>
  <si>
    <t>Támogatásértékű felhalmozási kiadások</t>
  </si>
  <si>
    <t>Felhalmozási célú átadott pénzeszközök</t>
  </si>
  <si>
    <t>3.</t>
  </si>
  <si>
    <t>4.</t>
  </si>
  <si>
    <t>5.</t>
  </si>
  <si>
    <t>6.</t>
  </si>
  <si>
    <t>Röszke Község Önkormányzatánál több éves kihatással járó feladatok előirányzatai éves bontásban</t>
  </si>
  <si>
    <t>7.</t>
  </si>
  <si>
    <t>8.</t>
  </si>
  <si>
    <t>9.</t>
  </si>
  <si>
    <t>Röszke Község Önkormányzat kötelezettségvállalásai</t>
  </si>
  <si>
    <t>10.</t>
  </si>
  <si>
    <t>Közvetett támogatások</t>
  </si>
  <si>
    <t>11.</t>
  </si>
  <si>
    <t>Közhatalmi bevétel</t>
  </si>
  <si>
    <t>Közlekedési költségtérítés mentes</t>
  </si>
  <si>
    <t>382200 Veszélyes hulladék kezelése, ártalmatlanítása</t>
  </si>
  <si>
    <t>602000 Televízió-műsor összeállítása, szolgáltatása</t>
  </si>
  <si>
    <t>Önkormányzat konszolidált összesen</t>
  </si>
  <si>
    <t>631000 Adatfeldolg.,web-hoszting,világháló-portál szolgáltatás</t>
  </si>
  <si>
    <t>691001 Jogi segítségnyújt.</t>
  </si>
  <si>
    <t>823000 Konferencia szervezése</t>
  </si>
  <si>
    <t>841192 Kiemelt állami és önkorm. rendezvények</t>
  </si>
  <si>
    <t>842541 Ár- és belvízvéd. összefüggő tevékenység</t>
  </si>
  <si>
    <t>692000 Számviteli,    könyvvizsg. tevékenység</t>
  </si>
  <si>
    <t>862231 Foglalkozás-eü. alapellátás</t>
  </si>
  <si>
    <t>910502 Közm.int., köz.színterek működtetése</t>
  </si>
  <si>
    <t>931102 Sportint. működtetése</t>
  </si>
  <si>
    <t>9. Nagycsaládosok Karácsonya</t>
  </si>
  <si>
    <t>10. Idősek Napja</t>
  </si>
  <si>
    <t>11. Pedagógusnap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</si>
  <si>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</si>
  <si>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</si>
  <si>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</si>
  <si>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</si>
  <si>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</si>
  <si>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</si>
  <si>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</si>
  <si>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</si>
  <si>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</si>
  <si>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</si>
  <si>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</si>
  <si>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</si>
  <si>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</si>
  <si>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Bevétel+nyitó pénzkészlet- Kiadás</t>
  </si>
  <si>
    <t>Hivatal</t>
  </si>
  <si>
    <t>841154 Az önkorm.-i vagyonnal való gazd.-sal kapcs. feladatok</t>
  </si>
  <si>
    <t>841133 Adó, illetékek kiszabása,beszedése</t>
  </si>
  <si>
    <t>Mozgáskorlátozottak közlekedési támogatása</t>
  </si>
  <si>
    <t>2013.</t>
  </si>
  <si>
    <t>2. Húsvéti alkotóház</t>
  </si>
  <si>
    <t>841192 Kiemelt önkormány. rendezvények</t>
  </si>
  <si>
    <t>862231 Foglalk.eü..</t>
  </si>
  <si>
    <t>900400 Kulturális műsorok,rendezvények szervezése</t>
  </si>
  <si>
    <t>Önkormány. Összesen</t>
  </si>
  <si>
    <t>Önkormányzati konszolidált kiadások főösszesítője:</t>
  </si>
  <si>
    <t>45.</t>
  </si>
  <si>
    <t>46.</t>
  </si>
  <si>
    <t>47.</t>
  </si>
  <si>
    <t>48.</t>
  </si>
  <si>
    <t>49.</t>
  </si>
  <si>
    <t>Egyéb célú telkek beszerzése</t>
  </si>
  <si>
    <t>K62/31</t>
  </si>
  <si>
    <t>Lakóépület beszerzése</t>
  </si>
  <si>
    <t>K62/33</t>
  </si>
  <si>
    <t>Egyéb épület beszerzése</t>
  </si>
  <si>
    <t>K62/4</t>
  </si>
  <si>
    <t>Egyéb építmény beszerzése</t>
  </si>
  <si>
    <t>K62/5</t>
  </si>
  <si>
    <t>Ingat.kapcs. Vagyoni értékű jog beszerzés</t>
  </si>
  <si>
    <t>K62</t>
  </si>
  <si>
    <t>Ingatlanok beszerzése, létesítése</t>
  </si>
  <si>
    <t>Informatikai gép, berendezés beszerzése</t>
  </si>
  <si>
    <t>Környezetvédelmi bírság</t>
  </si>
  <si>
    <t>54.</t>
  </si>
  <si>
    <t>55.</t>
  </si>
  <si>
    <t>Működési célú központosított előirányzat(id.for.,külterület)</t>
  </si>
  <si>
    <t>B51/3</t>
  </si>
  <si>
    <t>Egyéb immateriális javak értékesítése</t>
  </si>
  <si>
    <t>Immateriális javak értékesítése összesen</t>
  </si>
  <si>
    <t>B51</t>
  </si>
  <si>
    <t>B53/1</t>
  </si>
  <si>
    <t>B52</t>
  </si>
  <si>
    <t>Ingatlanok értékesítése</t>
  </si>
  <si>
    <t>Informatikai eszközök értékesítése</t>
  </si>
  <si>
    <t>Egyéb gép, berend.értékesítése</t>
  </si>
  <si>
    <t>B53/2</t>
  </si>
  <si>
    <t>B53/3</t>
  </si>
  <si>
    <t>Jármű értékesítése</t>
  </si>
  <si>
    <t>B53</t>
  </si>
  <si>
    <t>Egyéb tárgyi eszközök értékesítése</t>
  </si>
  <si>
    <t>B54/2</t>
  </si>
  <si>
    <t>Áll.tul.gazd.társ.lévő részesed.értékes.</t>
  </si>
  <si>
    <t>B54/3</t>
  </si>
  <si>
    <t>Önk.tul.gazd.társ.lévő részesed.értékes.</t>
  </si>
  <si>
    <t>B54/9</t>
  </si>
  <si>
    <t>Egyéb gazd.társ.lévő részesed.értékes.</t>
  </si>
  <si>
    <t>B54</t>
  </si>
  <si>
    <t>Részesedések értékesítése</t>
  </si>
  <si>
    <t>B55</t>
  </si>
  <si>
    <t>Részesedés.megszűnés.kapcs.bevételek</t>
  </si>
  <si>
    <t>FELHALMOZÁSI BEVÉTELEK</t>
  </si>
  <si>
    <t>B61</t>
  </si>
  <si>
    <t>Működ.c.gar.és kezess.sz.megtér.ÁH.kiv.</t>
  </si>
  <si>
    <t>B62/41</t>
  </si>
  <si>
    <t>Civil szerv.műk.vissz.tám.kölcs.vtérít.</t>
  </si>
  <si>
    <t>B62/42</t>
  </si>
  <si>
    <t>Nonpr.szerv.műk.vissz.tám.kölcs.vtér.</t>
  </si>
  <si>
    <t>B62</t>
  </si>
  <si>
    <t>Működ.c.visszat.támog.kölcs.visszat.ÁH.kívül összesen</t>
  </si>
  <si>
    <t>B63/1</t>
  </si>
  <si>
    <t>Pü.váll.műk.c.átvett pénzeszköz</t>
  </si>
  <si>
    <t>B63/22</t>
  </si>
  <si>
    <t>Önk.többs.tul.nem pü.v.műk.átvett.pe.</t>
  </si>
  <si>
    <t>B63/41</t>
  </si>
  <si>
    <t>Civil szerv.működ.c.átvett pénzeszköz</t>
  </si>
  <si>
    <t>B63/42</t>
  </si>
  <si>
    <t>Nonp.szerv.működ.c.átvett pénzszköz</t>
  </si>
  <si>
    <t>B63</t>
  </si>
  <si>
    <t>Egyéb működési célú átvett pénzeszköz összesen</t>
  </si>
  <si>
    <t>B71/2</t>
  </si>
  <si>
    <t>Önk.többs.tul.gazd.társ.felh.gar.megtér.</t>
  </si>
  <si>
    <t>B71/3</t>
  </si>
  <si>
    <t>Egyéb ÁH kívül felh.gar.és kezess.megtér.</t>
  </si>
  <si>
    <t>B71</t>
  </si>
  <si>
    <t>Felh.c.gar.és kezess.váll.szárm.megt. ÁH kívül összesen</t>
  </si>
  <si>
    <t>B72</t>
  </si>
  <si>
    <t>Felhalm.c.visszat.tám.kölcs.visszat. ÁH kívül</t>
  </si>
  <si>
    <t>B73/7</t>
  </si>
  <si>
    <t>Korm.és nemz.sz.felh.c.átvett pénzeszk.</t>
  </si>
  <si>
    <t>B73/8</t>
  </si>
  <si>
    <t>B73</t>
  </si>
  <si>
    <t>Egyéb felhalmoz.célú átvett pénzeszközök</t>
  </si>
  <si>
    <t>MŰKÖDÉSI CÉLÚ ÁTVETT PÉNZESZKÖZÖK</t>
  </si>
  <si>
    <t>vagyonértékelés</t>
  </si>
  <si>
    <t>K337/9</t>
  </si>
  <si>
    <t>posta,mosás,kéményseprés,rovarírtás,szemétszáll., munkavédelmi szolgáltatás, riasztó-készenléti szolgálat,szőnyegtisztítás,fénymásolás díja, autómosás</t>
  </si>
  <si>
    <t>OTP díjak</t>
  </si>
  <si>
    <t>műszaki vizsga,zöldkártya, közbeszerzési díj, ajánlati biztosíték, perköltség,engedélyezési eljárási díjak, jelzálogjog bejegy./törlés, másolat hitelesítés,tulajdoni lapok,parkoló díj,végrehajtási díjak</t>
  </si>
  <si>
    <t>tisztítószer,fénymásoló patron, festék,csavar</t>
  </si>
  <si>
    <t>jogtár,CD</t>
  </si>
  <si>
    <t>Raabe</t>
  </si>
  <si>
    <r>
      <t xml:space="preserve"> </t>
    </r>
    <r>
      <rPr>
        <u val="single"/>
        <sz val="12"/>
        <rFont val="Times New Roman"/>
        <family val="1"/>
      </rPr>
      <t>ALAP</t>
    </r>
    <r>
      <rPr>
        <sz val="12"/>
        <rFont val="Times New Roman"/>
        <family val="1"/>
      </rPr>
      <t xml:space="preserve"> önk.ingatlanok rezsije, szolgálati lakások, üdülők +továbbszám.rezsi</t>
    </r>
  </si>
  <si>
    <r>
      <t>ALAP</t>
    </r>
    <r>
      <rPr>
        <sz val="12"/>
        <rFont val="Times New Roman"/>
        <family val="1"/>
      </rPr>
      <t xml:space="preserve"> bútor beszer.</t>
    </r>
  </si>
  <si>
    <r>
      <t xml:space="preserve">91140 Óvodai nevelés ellátás </t>
    </r>
    <r>
      <rPr>
        <u val="single"/>
        <sz val="12"/>
        <rFont val="Times New Roman"/>
        <family val="1"/>
      </rPr>
      <t>működtetés</t>
    </r>
    <r>
      <rPr>
        <sz val="12"/>
        <rFont val="Times New Roman"/>
        <family val="1"/>
      </rPr>
      <t>i feladatai</t>
    </r>
  </si>
  <si>
    <r>
      <t xml:space="preserve">91110 Óvodai nevelés, ellátás </t>
    </r>
    <r>
      <rPr>
        <u val="single"/>
        <sz val="12"/>
        <rFont val="Times New Roman"/>
        <family val="1"/>
      </rPr>
      <t>szakma</t>
    </r>
    <r>
      <rPr>
        <sz val="12"/>
        <rFont val="Times New Roman"/>
        <family val="1"/>
      </rPr>
      <t>i feladatai</t>
    </r>
  </si>
  <si>
    <t>ISKOLA 091220 Köznev.int.1-4.évf.működtetési feladatok</t>
  </si>
  <si>
    <t>ISKOLA 092120 Köznev.int.5-8.évf.működtetési feladatok</t>
  </si>
  <si>
    <t>FELHALMOZÁSI CÉLÚ ÁTVETT PÉNZESZKÖZÖK</t>
  </si>
  <si>
    <t>B811</t>
  </si>
  <si>
    <t>Hitel- kölcsönfelvétel ÁH kívül</t>
  </si>
  <si>
    <t>B812</t>
  </si>
  <si>
    <t>B8121/1</t>
  </si>
  <si>
    <t>Forg.c.belf.nem tart.részesed.beváltása</t>
  </si>
  <si>
    <t>B8123/7</t>
  </si>
  <si>
    <t>Bef.c.vás.belf.értékp.kapcs.fedez.ügylet</t>
  </si>
  <si>
    <t>Belföldi értékpapírok bevételei összesen</t>
  </si>
  <si>
    <t>B8131</t>
  </si>
  <si>
    <t>Előző évi kv-i maradvány igénybevétele</t>
  </si>
  <si>
    <t>B813</t>
  </si>
  <si>
    <t>Maradvány igénybevétele összesen</t>
  </si>
  <si>
    <t>B814</t>
  </si>
  <si>
    <t>ÁH-on belüli megelőlegezések</t>
  </si>
  <si>
    <t>B815</t>
  </si>
  <si>
    <t>ÁH-on belüli megelőlegezések törlesztése</t>
  </si>
  <si>
    <t>B816/1</t>
  </si>
  <si>
    <t>Kp-i irány.szervi felh.c. támogatások</t>
  </si>
  <si>
    <t>B816/2</t>
  </si>
  <si>
    <t>Kp-i irány.szervi műk.c. támogatások</t>
  </si>
  <si>
    <t>B816</t>
  </si>
  <si>
    <t>Központi, irányító szervi támogatás összesen</t>
  </si>
  <si>
    <t>B817</t>
  </si>
  <si>
    <t>Betétek megszüntetése</t>
  </si>
  <si>
    <t>B816/9</t>
  </si>
  <si>
    <t>alap:1416</t>
  </si>
  <si>
    <t>Egyéb munkaadókat terhelő járulékok 19 %</t>
  </si>
  <si>
    <t>Egészségügyi hozzájárulás 16,66 %</t>
  </si>
  <si>
    <t>alap:5965</t>
  </si>
  <si>
    <t>alap:1576</t>
  </si>
  <si>
    <t>Er.ut.,cafetéria: kifiz.adó 19 % + eü. 16,66 %</t>
  </si>
  <si>
    <t>repi: kifiz.adó 19 % + eü. 32,1 %</t>
  </si>
  <si>
    <t>alap:9887</t>
  </si>
  <si>
    <t>alap:21306</t>
  </si>
  <si>
    <t>alap:48736</t>
  </si>
  <si>
    <t>alap:8976</t>
  </si>
  <si>
    <t>alap:4164</t>
  </si>
  <si>
    <t>alap:3512</t>
  </si>
  <si>
    <t>Kp-i irány.szervi támog.zárolt előirányz.</t>
  </si>
  <si>
    <t>B81</t>
  </si>
  <si>
    <t>Belföldi finanszírozási bevételek</t>
  </si>
  <si>
    <t>Hírügynökségi, információs szolgáltatás</t>
  </si>
  <si>
    <t>Településfejlesztési projektek és támogatásuk</t>
  </si>
  <si>
    <t>Helyi,térségi közösségi tér biztosítása, működtetése</t>
  </si>
  <si>
    <t>Állampolgársági ügyek</t>
  </si>
  <si>
    <t>Elhunyt személyek hátramaradottainak pénzbeli ellátás</t>
  </si>
  <si>
    <t>Önkormányzatok elszámolásai a központi költségvetéssel</t>
  </si>
  <si>
    <t>Támogatási célú finanszírozási műveletek</t>
  </si>
  <si>
    <t>Fejezeti és általános tartalékok elszámolása</t>
  </si>
  <si>
    <t>2014. kiadási előirányzat</t>
  </si>
  <si>
    <t>2014. bevételi előirányzat</t>
  </si>
  <si>
    <t>Százholdas Pagony Óvoda és Zsebibaba Bölcsőde kötelező és önként vállalt feladatai mindösszesen</t>
  </si>
  <si>
    <t>FINANSZÍROZÁSI BEVÉTELEK</t>
  </si>
  <si>
    <t>PH</t>
  </si>
  <si>
    <t>Műv.Ház</t>
  </si>
  <si>
    <t>Óvoda</t>
  </si>
  <si>
    <t>Egyéb különféle felh.c.átvett pénzeszközök</t>
  </si>
  <si>
    <t>Falukemence építése</t>
  </si>
  <si>
    <t>Szabadidőpark kialakítása   Védelmi Központ mellett</t>
  </si>
  <si>
    <t xml:space="preserve">1. </t>
  </si>
  <si>
    <t>Rendőrörs épületének felújítása</t>
  </si>
  <si>
    <t>Kis közök felújítása</t>
  </si>
  <si>
    <t>Szennyvíz-gépház villamos energia kapacitás bővítés</t>
  </si>
  <si>
    <t>Felújítások összesen:</t>
  </si>
  <si>
    <t>Kerékpárút - telkek vétele</t>
  </si>
  <si>
    <t>Járda építés I-III.ütem</t>
  </si>
  <si>
    <t>Tanyafejlesztés- 2 tanya vill.energia biztosítása</t>
  </si>
  <si>
    <t>Kiállítótér kialakítása - Művelődési Ház</t>
  </si>
  <si>
    <t>1 db személygépkocsi beszerzése</t>
  </si>
  <si>
    <t>4. sz. melléklet Röszke Község Önkormányzatának Képviselő-testülete …/2014.(……..)sz.önkorm.rendeletéhez</t>
  </si>
  <si>
    <t>841403 tanyafej-      lesztés</t>
  </si>
  <si>
    <t>63.</t>
  </si>
  <si>
    <t>ISKOLA 900080 Szabad kapacitás terhére végzett, nem haszonszerzési célú tevékenységek kiadásai és bevételei</t>
  </si>
  <si>
    <t>Önkorm.lakások lakbérbevétele (szolg.lakások)</t>
  </si>
  <si>
    <t>Önk.egyéb helységek bérbeadása (Műv.ház., Konf.terem.,régi iskolaép.,iroda)</t>
  </si>
  <si>
    <t>Egyéb önk.vagyon bérbead.szárm.bevét.(közterület,földterület))</t>
  </si>
  <si>
    <t>Egyéb kötelező illetménypótlékok</t>
  </si>
  <si>
    <t>Egyéb feltételtől függő pótlékok és juttatások</t>
  </si>
  <si>
    <t>Egyéb juttatás</t>
  </si>
  <si>
    <t>Keresetkiegészítés fedezete</t>
  </si>
  <si>
    <t>Végkielégítés</t>
  </si>
  <si>
    <t>Jubileumi jutalom</t>
  </si>
  <si>
    <t>Működési célú támogatási kölcsön nyújtása államháztartáson belülre</t>
  </si>
  <si>
    <t>Működési célú támogatási kölcsön nyújtása államháztartáson kívülre</t>
  </si>
  <si>
    <t>Működési célú támogatási kölcsön törlesztése államháztartáson belülre</t>
  </si>
  <si>
    <t>Céltartalékok (működési, pályázatokhoz)</t>
  </si>
  <si>
    <t>Likviditási célú hitel törlesztése pénzügyi vállalkozásnak</t>
  </si>
  <si>
    <t>Számviteli, könyvvizsgálói, adószakértői tevékenység</t>
  </si>
  <si>
    <t>Országgyűlési képviselőválasztásokhoz kapcsolódó tevékenység</t>
  </si>
  <si>
    <t>Önkormányzati képviselőválasztáshoz kapcsolódó tevékenység</t>
  </si>
  <si>
    <t>Európai parlamenti képviselőválasztáshoz kapcsolódó tevékenység</t>
  </si>
  <si>
    <t>Országos és helyi népszavazáshoz kapcsolódó tevékenység</t>
  </si>
  <si>
    <t>B34/11</t>
  </si>
  <si>
    <t>B34/12</t>
  </si>
  <si>
    <t>B34/13</t>
  </si>
  <si>
    <t>B34/14</t>
  </si>
  <si>
    <t>B34/19</t>
  </si>
  <si>
    <t>Egyéb vagyoni tipusú helyi adók</t>
  </si>
  <si>
    <t>B34</t>
  </si>
  <si>
    <t>Vagyoni típusú adók összesen</t>
  </si>
  <si>
    <t>B351/21</t>
  </si>
  <si>
    <t>B35122</t>
  </si>
  <si>
    <t>Állandó jell. végzett tevék.ut.iparűzési adó</t>
  </si>
  <si>
    <t>Ideigl. jell. végzett tevék.ut.iparűzési adó</t>
  </si>
  <si>
    <t>B354</t>
  </si>
  <si>
    <t>B354/11</t>
  </si>
  <si>
    <t>B354/21</t>
  </si>
  <si>
    <t>Helyi önkorm.megillető belf.gépjárműadó</t>
  </si>
  <si>
    <t>Gépjárműadók összesen</t>
  </si>
  <si>
    <t>B355/21</t>
  </si>
  <si>
    <t>Idegenforgalmi adó (tartózkodás alapján)</t>
  </si>
  <si>
    <t>B355/22</t>
  </si>
  <si>
    <t>Helyi környezetterhelési díj</t>
  </si>
  <si>
    <t>B355</t>
  </si>
  <si>
    <t>Egyéb áruhasználati és szolgáltat.adók összesen</t>
  </si>
  <si>
    <t>B36/11</t>
  </si>
  <si>
    <t>B36/14</t>
  </si>
  <si>
    <t>Eljárási illeték</t>
  </si>
  <si>
    <t>B36/22</t>
  </si>
  <si>
    <t>B36/26</t>
  </si>
  <si>
    <t>Önk.megill.helysz.és szabálysért.bírság</t>
  </si>
  <si>
    <t>B36/27</t>
  </si>
  <si>
    <t>Egyéb bírság</t>
  </si>
  <si>
    <t>B36/28</t>
  </si>
  <si>
    <t>Helyi adópótlék, adóbírság</t>
  </si>
  <si>
    <t>B36/29</t>
  </si>
  <si>
    <t>Egyéb helyi közhat.bevétel</t>
  </si>
  <si>
    <t>B35</t>
  </si>
  <si>
    <t>Termékek és szolgáltatások adói összesen</t>
  </si>
  <si>
    <t>B36</t>
  </si>
  <si>
    <t>Egyéb közhatalmi bevételek összesen</t>
  </si>
  <si>
    <t>KÖZHATALMI BEVÉTELEK ÖSSZESEN</t>
  </si>
  <si>
    <t>Kp-i kv-tmegill. belföldi gépjárműadó</t>
  </si>
  <si>
    <t>011220 Adó-, vám- és jövedéki igazgatás</t>
  </si>
  <si>
    <t>900020 Önkormányzatok funkcióra nem sorolh.bevételei ÁH kívülről</t>
  </si>
  <si>
    <t>B351</t>
  </si>
  <si>
    <t>Értékesítési és forgalmi adók összesen</t>
  </si>
  <si>
    <t>900080 Szabad kapacitás terhére végzett, nem haszonszerzési célú tevékenységek kiadásai és bevételei</t>
  </si>
  <si>
    <t>Táppénz hozzájárulás</t>
  </si>
  <si>
    <t>K336/9</t>
  </si>
  <si>
    <t>061030 Lakáshoz jutást segítő támogatások</t>
  </si>
  <si>
    <t>Elk.áll.pa.felhalm.c.támogatás bev.(szabadidőpark,kiállítótér,tanya)</t>
  </si>
  <si>
    <t>Kp.kv-i sz.működési c.támogatás bev.(közfog.,gyermekvéd.,óvodáztatási)</t>
  </si>
  <si>
    <t>Társul.felh.c.vissz.tám.kölcs.visszatér.(Szennyvíz Tár.)</t>
  </si>
  <si>
    <t>12. IKSZT működtetési kiadások</t>
  </si>
  <si>
    <t>Élelmiszer beszerzés</t>
  </si>
  <si>
    <t>Gyógyszerbeszerzés</t>
  </si>
  <si>
    <t>Vegyszerbeszerzés</t>
  </si>
  <si>
    <t xml:space="preserve">Könyv beszerzése </t>
  </si>
  <si>
    <t>Folyóirat beszerzése</t>
  </si>
  <si>
    <t>Egyéb információhordozó beszerzése</t>
  </si>
  <si>
    <t>Hajtó- és kenőanyagok beszerzése</t>
  </si>
  <si>
    <t>Munkaruha, védőruha, formaruha, egyenruha</t>
  </si>
  <si>
    <t>Adatátviteli célú távközlési díjak</t>
  </si>
  <si>
    <t>Vásárolt élelmezés</t>
  </si>
  <si>
    <t>Villamosenergia-szolgáltatás díja</t>
  </si>
  <si>
    <t>Víz- és csatornadíjak</t>
  </si>
  <si>
    <t>412000 Lakó- és nem lakó épület építése</t>
  </si>
  <si>
    <t>Domaszék-Röszke Szennyvíztisztító Fejlesztési Társulás</t>
  </si>
  <si>
    <t xml:space="preserve">MŰKÖDÉSI BEVÉTELEK ÖSSZESEN </t>
  </si>
  <si>
    <t xml:space="preserve">BEVÉTELEK ÖSSZESEN </t>
  </si>
  <si>
    <t>Szennyvíz gyűjtési, tisztítása, elhelyezése</t>
  </si>
  <si>
    <t xml:space="preserve">MŰKÖDÉSI KIADÁSOK ÖSSZESEN </t>
  </si>
  <si>
    <t xml:space="preserve">KIADÁSOK ÖSSZESEN </t>
  </si>
  <si>
    <t>Kötelező feladatok</t>
  </si>
  <si>
    <t>Víztermelés, kezelés, ellátás</t>
  </si>
  <si>
    <t>mentes:1800</t>
  </si>
  <si>
    <t xml:space="preserve">Települési hulladék vegyes (ömlesztett) begyűjtése, szállítása, átrakása </t>
  </si>
  <si>
    <t>Lakó- és nem lakóépület építése</t>
  </si>
  <si>
    <t>Állategészségügyi ellátás</t>
  </si>
  <si>
    <t>Zöldterület kezelés</t>
  </si>
  <si>
    <t>Önkormányzati jogalkotás</t>
  </si>
  <si>
    <t>Az önkormányzati vagyonnal való gazdálkodással kapcsolatos feladatok</t>
  </si>
  <si>
    <t>Város- és községgazdálkodási m.n.s. szolgáltatások</t>
  </si>
  <si>
    <t>Önkormányzatok és társulások elszámolásai</t>
  </si>
  <si>
    <t>Finanszírozási műveletek</t>
  </si>
  <si>
    <t>Önkormányzatok elszámolásai a költségvetési szerveikkel</t>
  </si>
  <si>
    <t>Ár- és belvízvédelemmel összefüggő tevékenység</t>
  </si>
  <si>
    <t>Háziorvosi alapellátás</t>
  </si>
  <si>
    <t>Foglalkozás-egészségügyi alapellátás</t>
  </si>
  <si>
    <t>Fogorvosi alapellátás</t>
  </si>
  <si>
    <t>Céltartalékok (felhalmozási, pályázatokhoz)</t>
  </si>
  <si>
    <t>Hosszú lejáratú hitelek visszafizetése (törlesztése) pénzügyi vállalkozásoknak</t>
  </si>
  <si>
    <t>Rövid lejáratú hitelek visszafizetése (törlesztése) pénzügyi vállalkozásnak</t>
  </si>
  <si>
    <t>Támogatásértékű működési kiadás</t>
  </si>
  <si>
    <t>Működési célú pénzeszközátadás államháztartáson kívülre</t>
  </si>
  <si>
    <t>Felhalmozási célú pénzeszközátadás államháztartáson kívülre</t>
  </si>
  <si>
    <t>MŰKÖDÉSI KIADÁSOK ÖSSZESEN (4+…+9)</t>
  </si>
  <si>
    <t>FELHALMOZÁSI KIADÁSOK ÖSSZESEN (11+…+13)</t>
  </si>
  <si>
    <t>KIADÁSOK ÖSSZESEN (10+14)</t>
  </si>
  <si>
    <t>2. Köztisztviselők napja</t>
  </si>
  <si>
    <t>4. Egészségügyi dolgozók napja</t>
  </si>
  <si>
    <t>5. Önkormányzatok közötti kapcsolattartás (külföldi)</t>
  </si>
  <si>
    <t>6. Önkormányzatok közötti kapcsolattartás (belföldi)</t>
  </si>
  <si>
    <t>(így többek között: jegyzői, pénzügyes találkozó)</t>
  </si>
  <si>
    <t xml:space="preserve">Összesen: </t>
  </si>
  <si>
    <t>KIADÁSOK ÖSSZESEN (13+20)</t>
  </si>
  <si>
    <t>ÖSSZESEN (21+22)</t>
  </si>
  <si>
    <t>51030 Nem veszélyes (települési hulladék vegyes begyűjt</t>
  </si>
  <si>
    <t>45160 Közutak,hidak,alafutak üzemeltetése és fenntartása</t>
  </si>
  <si>
    <t>83030 Egyéb kiadói tevékenység</t>
  </si>
  <si>
    <t>83050 Televízió-műsor szolgáltatása és támogatása</t>
  </si>
  <si>
    <t>Szabad kapacitás terhére végzett, nem haszonsz.ic.tevékenység</t>
  </si>
  <si>
    <t>3/B. sz. melléklet Röszke Község Önkormányzatának Képviselő-testülete …/2014.(……..)sz.önkorm.rendeletéhez</t>
  </si>
  <si>
    <t>Start-munkaprogram</t>
  </si>
  <si>
    <t>ÚMVP Falumegújítás</t>
  </si>
  <si>
    <t xml:space="preserve">1 db kerti aprító beszerzése </t>
  </si>
  <si>
    <t>ÚMVP Leader</t>
  </si>
  <si>
    <t>Tanyafejlesztési program</t>
  </si>
  <si>
    <t>13350 Az önkorm.vagyonnal való gazdálkodással kapcsolatos feladatok</t>
  </si>
  <si>
    <t>66010 Zöldterület kezelés</t>
  </si>
  <si>
    <t>11220 Adó-,vám- és jövedéki igazgatás</t>
  </si>
  <si>
    <t>16080 Kiemelt állami és önkormányzati rendezvények</t>
  </si>
  <si>
    <t>64010 Közvilágítás</t>
  </si>
  <si>
    <t>KÖLTSÉGVETÉS</t>
  </si>
  <si>
    <t>Röszke Község Önkormányzat 2014. évi költségvetésének bevételi és kiadási előirányzatai mérlegszerűen</t>
  </si>
  <si>
    <t>46040 Hírügynökségi információs szolgáltatás</t>
  </si>
  <si>
    <t>47410 Ár- és belvízvédelemmel összefüggő tevékenység</t>
  </si>
  <si>
    <t>74011 Foglalkozás-eü. Alapellátás</t>
  </si>
  <si>
    <t>11130 Önkorm.és önkorm.hivatalok jog ált.ig.tev.</t>
  </si>
  <si>
    <t>82042 Könyvtári állomány gyarapítása</t>
  </si>
  <si>
    <t>82044 Könyvtári szolgáltatások</t>
  </si>
  <si>
    <t>82092 Közművelődés-hagyományos közösségi kulturális értékek gondozása</t>
  </si>
  <si>
    <t>82091 Közművelődés-közösségi és társadalmi részvétel fejlesztése</t>
  </si>
  <si>
    <t>91110 Óvodai nevelés, ellátás szakmai feladatai</t>
  </si>
  <si>
    <t>91140 Óvodai nevelés ellátás működtetési feladatai</t>
  </si>
  <si>
    <t>104030 Gyermekek napközbeni ellátása</t>
  </si>
  <si>
    <t>ISKOLA 91220 Köznev.int.1-4.évfolyamán tanulók működtetési feladatok</t>
  </si>
  <si>
    <t>ISKOLA 92120 Köznev.int.5-8.évfolyamán tanulók működtetési feladatok</t>
  </si>
  <si>
    <t>ISKOLA 81030 Sportlétesítmények,edzőtáborork működtetése és fejl.</t>
  </si>
  <si>
    <t>ISKOLA Iskolai intézményi étkeztetés</t>
  </si>
  <si>
    <t>ÓVODA 96010 Óvodai int. Étkeztetés</t>
  </si>
  <si>
    <t>BÖLCSŐDE 104030 Gyermekek napközbeni ellátása (bölcsi étkeztetés)</t>
  </si>
  <si>
    <t>Önkormányzat kötelező és önként vállalt feladatai mindösszesen</t>
  </si>
  <si>
    <t>Munkaadókat terhelő járulékok és szociális hozzájárulási adó</t>
  </si>
  <si>
    <t>Önkormányzat és a költségvetési szervek kiadásai:</t>
  </si>
  <si>
    <t>Helyi önkorm. ált. műk. és ágazati feladataihoz kapcs. tám.</t>
  </si>
  <si>
    <t>Központi ktgvetésből szárm. egyéb ktgv. tám.</t>
  </si>
  <si>
    <t>Kötelező feladatok (Mötv. 13. § (1) bekezdés alapján)</t>
  </si>
  <si>
    <t>Saját bevétel</t>
  </si>
  <si>
    <t>Támogatás Áht-n belülről</t>
  </si>
  <si>
    <t>Műk.célú</t>
  </si>
  <si>
    <t>Felhalm.célú</t>
  </si>
  <si>
    <t>Felh.célú</t>
  </si>
  <si>
    <t>Önkorm. Hozzájár.</t>
  </si>
  <si>
    <t>Felhalm. bevétel</t>
  </si>
  <si>
    <t>Hitelfelvét., kölcsön visszat.</t>
  </si>
  <si>
    <t>Előző évi PM igénybe-vétele</t>
  </si>
  <si>
    <t>Lakó- és nem lakó épület építése</t>
  </si>
  <si>
    <t>421100</t>
  </si>
  <si>
    <t>Út, autópálya építése</t>
  </si>
  <si>
    <t>522110</t>
  </si>
  <si>
    <t>552001</t>
  </si>
  <si>
    <t>eszközbeszerzés</t>
  </si>
  <si>
    <t>Közhatalmi bevételek</t>
  </si>
  <si>
    <t>Petőfi Sándor Művelődési Ház és Községi Könyvtár</t>
  </si>
  <si>
    <t>M.n.s. egyéb szárazföldi személyszállítás</t>
  </si>
  <si>
    <t>Nemzeti ünnepek programjai</t>
  </si>
  <si>
    <t>ceruza, festék,szinező</t>
  </si>
  <si>
    <t>áfa nélkül egyedi érték 200e alatti: Pl.társasjáték, CD lejátszó</t>
  </si>
  <si>
    <t>kiállítótér</t>
  </si>
  <si>
    <t>Kulturális műsorok, rendezvények, kiállítások szervezése</t>
  </si>
  <si>
    <t>Hivatal kötelező és önként vállalt feladatai mindösszesen</t>
  </si>
  <si>
    <t>Petőfi Sándor Művelődési Ház és Községi Könyvtár kötelező és önként vállalt feladatai mindösszesen</t>
  </si>
  <si>
    <t>38 fő, a mentesség összértéke:</t>
  </si>
  <si>
    <t>80500</t>
  </si>
  <si>
    <t>011130 Önkorm.és önkorm.hivatalok joga.és ált. igazgatási tevékenysége</t>
  </si>
  <si>
    <t>084060 Érdekképviseleti, szakszerv.tev.támogatása</t>
  </si>
  <si>
    <t>suttogó</t>
  </si>
  <si>
    <t>homokháti tv</t>
  </si>
  <si>
    <t>web-hosting</t>
  </si>
  <si>
    <t>szolgálati lakások, önk.ingatlanok rezsije +továbbszám.rezsi</t>
  </si>
  <si>
    <t>Összesen</t>
  </si>
  <si>
    <t>Támogatásértékű működési bevétel</t>
  </si>
  <si>
    <t>Önkormányzatok és többcélú kistérségi társulatok igazgatási tevékenysége</t>
  </si>
  <si>
    <t>Kölcsönök nyújtása</t>
  </si>
  <si>
    <t>841126alap</t>
  </si>
  <si>
    <t>882115 ápolási díj alanyi</t>
  </si>
  <si>
    <t>Egyéb sajátos juttatások távolléti díj, szab.megváltás,továbbképzés</t>
  </si>
  <si>
    <t>882116 ápolási díj mélt.</t>
  </si>
  <si>
    <t>910502 Közműv.int.</t>
  </si>
  <si>
    <t>910123 könyvtár</t>
  </si>
  <si>
    <t>3. Majális</t>
  </si>
  <si>
    <t>4. Anyák napja</t>
  </si>
  <si>
    <t>5. Klebersberg napok</t>
  </si>
  <si>
    <t>6. Karácsonyi alkotóház</t>
  </si>
  <si>
    <t>7. Falukarácsony</t>
  </si>
  <si>
    <t>8. Könyvtári állomány gyarapítása</t>
  </si>
  <si>
    <t>813000 Zöldterület kezelés</t>
  </si>
  <si>
    <t xml:space="preserve">841126 Önkor.Ig.tev. </t>
  </si>
  <si>
    <t>841402 Közvilágítás</t>
  </si>
  <si>
    <t>841403 Város és községgazdálkodás</t>
  </si>
  <si>
    <t>960302 Köztemető-fenntartás és működtetés</t>
  </si>
  <si>
    <t>910123 Könyvtár</t>
  </si>
  <si>
    <t>910502 Műv Ház</t>
  </si>
  <si>
    <t>882118 kiegészítő gyermekvéd. támogatás</t>
  </si>
  <si>
    <t>882119 óvodáztatási támogatás</t>
  </si>
  <si>
    <t>882121 helyi eseti lakásfennt. tám.</t>
  </si>
  <si>
    <t>882122 átmeneti segély</t>
  </si>
  <si>
    <t>882123 temetési segély</t>
  </si>
  <si>
    <t>882124 rendkívüli gyermekvéd. támogatás</t>
  </si>
  <si>
    <t>882129 egyéb önkormányzati eseti pézbeli ellátás</t>
  </si>
  <si>
    <t>882203 köztemetés</t>
  </si>
  <si>
    <t>890441 közcélú foglalk.</t>
  </si>
  <si>
    <t>889942 Önkormányzatok által nyújtott lakástám.</t>
  </si>
  <si>
    <t>Visszaig.</t>
  </si>
  <si>
    <t>412000 lakó- és nem lakóépület építése</t>
  </si>
  <si>
    <t>910502 Műv.ház</t>
  </si>
  <si>
    <t>841126 Önkorm. ig. tev.</t>
  </si>
  <si>
    <t>889942 Önkorm. által nyújt. lakástám.</t>
  </si>
  <si>
    <t>841901 Önkorm. elszám.</t>
  </si>
  <si>
    <t>910502 Műv ház</t>
  </si>
  <si>
    <t>Víztermelés, -kezelés, -ellátás</t>
  </si>
  <si>
    <t>Nem lakóingatlan bérbeadása, üzemeltetése</t>
  </si>
  <si>
    <t>Lakóingatlan bérbeadása, üzemeltetése</t>
  </si>
  <si>
    <t>Adó, illeték kiszabása, beszedése, adóellenőrzés</t>
  </si>
  <si>
    <t>Önkormányzatok és többcélú kistérségi társulatok elszámolásai</t>
  </si>
  <si>
    <t>Támogatási kölcsönök visszatérülése</t>
  </si>
  <si>
    <t>Támogatási kölcsönök visszatérülése államháztartáson kívülről</t>
  </si>
  <si>
    <t>Város és községgazdálkodás</t>
  </si>
  <si>
    <t>Magánszemélyek kommunális adója (felhalmozási)</t>
  </si>
  <si>
    <t>BEVÉTELEK ÖSSZESEN</t>
  </si>
  <si>
    <t>Rendszeres személyi juttatások</t>
  </si>
  <si>
    <t>Nem rendszeres személyi juttatások</t>
  </si>
  <si>
    <t>Külső személyi juttatások</t>
  </si>
  <si>
    <t>Személyi juttatások összesen (1+2+3)</t>
  </si>
  <si>
    <t>1. Falunap</t>
  </si>
  <si>
    <t>Munkaadókat terhelő járulékok</t>
  </si>
  <si>
    <t>Dologi kiadások</t>
  </si>
  <si>
    <t>Egyéb folyó kiadások</t>
  </si>
  <si>
    <t>Vásárolt közszolgáltatások</t>
  </si>
  <si>
    <t>3/A</t>
  </si>
  <si>
    <t>Röszke Község Önkormányzata kötelező, önként vállalt, államigazgatási feladatai ellátásának költségvetési forrásai és kiadásai</t>
  </si>
  <si>
    <t>3/B</t>
  </si>
  <si>
    <t>Reklám és propagandakiadások</t>
  </si>
  <si>
    <t>Mindösszesen:</t>
  </si>
  <si>
    <t>889942 Önkorm.által nyújtott lakástám.</t>
  </si>
  <si>
    <t>Dologi kiadások és egyéb folyó kiadások</t>
  </si>
  <si>
    <t>551414</t>
  </si>
  <si>
    <t>Közutak, hidak, alagutak üzemeltetése, fenntartása</t>
  </si>
  <si>
    <t xml:space="preserve">Személyi juttatások </t>
  </si>
  <si>
    <t>Munkaadót terhelő járulékok</t>
  </si>
  <si>
    <t>Céltartalékok (működési)</t>
  </si>
  <si>
    <t>Céltartalékok (felhalmozási)</t>
  </si>
  <si>
    <t>Finanszírozási kiadások</t>
  </si>
  <si>
    <t>KIADÁSOK ÖSSZESEN</t>
  </si>
  <si>
    <t>Me: eFt</t>
  </si>
  <si>
    <t>Személyi juttatások összesen</t>
  </si>
  <si>
    <t>1.1) Önkormányzat - Polgármesteri Hivatal</t>
  </si>
  <si>
    <t>MŰKÖDÉSI BEVÉTELEK ÖSSZESEN</t>
  </si>
  <si>
    <t>FELHALMOZÁSI BEVÉTELEK ÖSSZESEN</t>
  </si>
  <si>
    <t>FELHALMOZÁSI KIADÁSOK ÖSSZESEN</t>
  </si>
  <si>
    <t>MŰKÖDÉSI KIADÁSOK ÖSSZESEN (4+…+12)</t>
  </si>
  <si>
    <t>Önkormányzati finanszírozás</t>
  </si>
  <si>
    <t xml:space="preserve"> Petőfi Sándor Művelődési Ház</t>
  </si>
  <si>
    <t>Normatív hozzájárulások és támogatások</t>
  </si>
  <si>
    <t>Önkormányzati finanszírozás (működési)</t>
  </si>
  <si>
    <t>Céltartalékok (működési pályázatokhoz)</t>
  </si>
  <si>
    <t>MŰKÖDÉSI KIADÁSOK ÖSSZESEN (4+…+8)</t>
  </si>
  <si>
    <t>KIADÁSOK ÖSSZESEN (8+10)</t>
  </si>
  <si>
    <t>2014. évi előirányzatok</t>
  </si>
  <si>
    <t>6. sz. melléklet Röszke Község Önkormányzatának Képviselő-testülete …/2014.(……..)sz.önkorm.rendeletéhez</t>
  </si>
  <si>
    <r>
      <t>Általános Iskola (t</t>
    </r>
    <r>
      <rPr>
        <b/>
        <sz val="10"/>
        <rFont val="Times New Roman"/>
        <family val="1"/>
      </rPr>
      <t>ájékoztató jellegű, tényleges bevétel e költségvetési rendeletben nem szerepl, tényleges kiadás a támogatásértékű működési kiadásoknál szerepel)</t>
    </r>
  </si>
  <si>
    <t>Önkormányzati finanszírozás (felhalmozási)</t>
  </si>
  <si>
    <t>FELHALMOZÁSI BEVÉTELEK ÖSSZESEN (6+7)</t>
  </si>
  <si>
    <t>BEVÉTELEK ÖSSZESEN (5+8)</t>
  </si>
  <si>
    <r>
      <t>Százholdas Pagony Óvoda (t</t>
    </r>
    <r>
      <rPr>
        <b/>
        <sz val="10"/>
        <rFont val="Times New Roman"/>
        <family val="1"/>
      </rPr>
      <t>ájékoztató jellegű, tényleges bevétel e költségvetési rendeletben nem szerepel, tényleges kiadás a támogatásértékű működési kiadásoknál szerepel)</t>
    </r>
  </si>
  <si>
    <t>BEVÉTELEK ÖSSZESEN (5+6)</t>
  </si>
  <si>
    <t>MŰKÖDÉSI KIADÁSOK ÖSSZESEN (4+…+7)</t>
  </si>
  <si>
    <r>
      <t>Zsebibaba Bölcsőde (t</t>
    </r>
    <r>
      <rPr>
        <b/>
        <sz val="10"/>
        <rFont val="Times New Roman"/>
        <family val="1"/>
      </rPr>
      <t>ájékoztató jellegű, tényleges bevétel e költségvetési rendeletben nem szerepel, tényleges kiadás a támogatásértékű működési kiadásoknál szerepel)</t>
    </r>
  </si>
  <si>
    <t>KIADÁSOK ÖSSZESEN (8+9)</t>
  </si>
  <si>
    <t>Átvett pénzeszköz</t>
  </si>
  <si>
    <t>9. sz. melléklet Röszke Község Képviselő-testülete .../2012. (…….) sz.önkorm.rendeletéhez</t>
  </si>
  <si>
    <r>
      <t>Szociális intézmény Röszke (t</t>
    </r>
    <r>
      <rPr>
        <b/>
        <sz val="10"/>
        <rFont val="Times New Roman"/>
        <family val="1"/>
      </rPr>
      <t>ájékoztató jellegű, tényleges bevétel e költségvetési rendeletben nem szerepel, tényleges kiadás a támogatásértékű működési kiadásoknál szerepel)</t>
    </r>
  </si>
  <si>
    <t>Megnevezés</t>
  </si>
  <si>
    <t>Támogatás vagy átvett</t>
  </si>
  <si>
    <t>Saját</t>
  </si>
  <si>
    <t>Összeg</t>
  </si>
  <si>
    <t>Beruházások összesen (1+…+8)</t>
  </si>
  <si>
    <t>Beruházás megnevezése</t>
  </si>
  <si>
    <t>Forrás megnevezése</t>
  </si>
  <si>
    <t>2011.</t>
  </si>
  <si>
    <t>2012.</t>
  </si>
  <si>
    <t>Röszkei Hagyományőrző Nyugdíjas Klub</t>
  </si>
  <si>
    <t>Őszirózsák Nyugdíjas Klub</t>
  </si>
  <si>
    <t>MŰKÖDÉSI KIADÁSOK ÖSSZESEN (1+…+13)</t>
  </si>
  <si>
    <t>FELHALMOZÁSI BEVÉTELEK ÖSSZESEN (1+…+9)</t>
  </si>
  <si>
    <t>FELHALMOZÁSI KIADÁSOK ÖSSZESEN (1+…+9)</t>
  </si>
  <si>
    <t>WORD dokumentumban</t>
  </si>
  <si>
    <t>Adós</t>
  </si>
  <si>
    <t>Hitel lejárata</t>
  </si>
  <si>
    <t>Összeg (eFt)</t>
  </si>
  <si>
    <t>ÖNKORMÁNYZAT</t>
  </si>
  <si>
    <t>Önkormányzat</t>
  </si>
  <si>
    <t>Felhalmozási célú pénzeszközátadás áh-n kívülre</t>
  </si>
  <si>
    <t>I. Készfizető kezességvállalásai (aláírt szerződések alapján)</t>
  </si>
  <si>
    <t xml:space="preserve">(fő) </t>
  </si>
  <si>
    <t>(fő)</t>
  </si>
  <si>
    <t>I.</t>
  </si>
  <si>
    <t>-</t>
  </si>
  <si>
    <t xml:space="preserve">polgármester </t>
  </si>
  <si>
    <t xml:space="preserve">jegyző </t>
  </si>
  <si>
    <t>II.</t>
  </si>
  <si>
    <t>K915/1</t>
  </si>
  <si>
    <t>Közp.irány.szervi felh.támog.folyósítás</t>
  </si>
  <si>
    <t>K915/2</t>
  </si>
  <si>
    <t>Közp.irány.szervi működ.támog.folyósítása</t>
  </si>
  <si>
    <t>K915</t>
  </si>
  <si>
    <t>Központi,irányító szervi támog.folyósítása összesen</t>
  </si>
  <si>
    <t>K916</t>
  </si>
  <si>
    <t>Pénzeszközök betétként elhelyezése</t>
  </si>
  <si>
    <t>K42/21</t>
  </si>
  <si>
    <t>K42/22</t>
  </si>
  <si>
    <t>K42/23</t>
  </si>
  <si>
    <t>Pénzbeli óvodáztatási támogatás</t>
  </si>
  <si>
    <t>K42/29</t>
  </si>
  <si>
    <t>Egyéb önk.pénzbeli családi támog.</t>
  </si>
  <si>
    <t>K42</t>
  </si>
  <si>
    <t>Családi támogatások összesen</t>
  </si>
  <si>
    <t>K44/21</t>
  </si>
  <si>
    <t>rezsi?</t>
  </si>
  <si>
    <t>jogtár</t>
  </si>
  <si>
    <t>bútor beszer.</t>
  </si>
  <si>
    <t>ALAP</t>
  </si>
  <si>
    <t>IKSZT</t>
  </si>
  <si>
    <t>falunap,húsvéti alkotóház,majális,anyaák napja, klebersbeg napok,karácsonyi alkotóház, falukarácsony, nagycsaládosok karácsonya,.idősek napja pedagógus nap</t>
  </si>
  <si>
    <t>82091 Közművelődés-közösségi és társadalmi részvétel fejlesztése IKSZT</t>
  </si>
  <si>
    <t>82092 Közművelődés-hagyományos közösségi kulturális értékek gondozása ALAP</t>
  </si>
  <si>
    <t>Továbbadási (lebonyolítási) célú működési kiadás összesen (49+50+51+52)</t>
  </si>
  <si>
    <t>Vállalkozásoktól kapott továbbadási (lebonyolítási) célú felhalmozási kiadás</t>
  </si>
  <si>
    <t>Röszkei Polgármesteri Hivatal</t>
  </si>
  <si>
    <t>Röszke Község Önkormányzata</t>
  </si>
  <si>
    <t>2. sz. melléklet Röszke Község Önkormányzatának Képviselő-testülete …/2014.(……..)sz.önkorm.rendeletéhez</t>
  </si>
  <si>
    <t>101150 Betegséggel kapcsolatos pénzbeli ellátások, támogatások (áp.díj.közgyógy)</t>
  </si>
  <si>
    <t>103010 Elhunyt személyek hátramaradottainak pénzbeli ellátása (önk.tem.segély)</t>
  </si>
  <si>
    <t>104051 Gyermekvédelmi pénzbeli és természetbeni ellátások</t>
  </si>
  <si>
    <t>104060 Gyermekek, fiatalok és családok életminőségét javító programok (nyári gyerek tábor, nyári szociális gyermekétkeztetés)</t>
  </si>
  <si>
    <t>105010 Munkanélküli aktív korúak ellátása (rend.szoc.segély, FHT)</t>
  </si>
  <si>
    <t>K48</t>
  </si>
  <si>
    <t>Egyéb nem intézményi ellátás összesen</t>
  </si>
  <si>
    <t>ELLÁTOTTAK PÉNZBELI JUTTATÁSA</t>
  </si>
  <si>
    <t>106020 Lakásfenntartással, lakhatással összefüggő ellátások</t>
  </si>
  <si>
    <t>Egyéb önk.lakhatással kapcs. termé.ellát.(tüzifa)</t>
  </si>
  <si>
    <t>107060 Egyéb szociális pénzbeli és természetbeni ellátások, támogatások</t>
  </si>
  <si>
    <t>ÖNKORMÁNYZAT 2014. Ellátottak pénzbeli juttatása</t>
  </si>
  <si>
    <t>Helyi megáll.pénzb.nyújt.rendk.gyer.tám.(Erzsébet ut.)</t>
  </si>
  <si>
    <t>52020 Szennyvíz gyűjtése, tisztítása, elhelyezése</t>
  </si>
  <si>
    <t>63020 Víztermelés, -kezelés, -ellátás</t>
  </si>
  <si>
    <t>45120 Út,autópálya építése</t>
  </si>
  <si>
    <t>66020 város-, községgazdálkodási egyéb szolgáltatások</t>
  </si>
  <si>
    <t>18010 Önkormányzatok elszámolásai a központi költségvetéssel</t>
  </si>
  <si>
    <t>84031 Civil szervezetek működési támogatása</t>
  </si>
  <si>
    <t>84032 Civil szervezetek programtámogatása</t>
  </si>
  <si>
    <t>011320 Nemzetközi szervezetekben való részvétel</t>
  </si>
  <si>
    <t>18030 Támogatási célú finanszírozási műveletek</t>
  </si>
  <si>
    <t>FINANSZÍROZÁSI KIADÁSOK</t>
  </si>
  <si>
    <t>900060 Forgatási és befektetési célú finanszírozási műveletek</t>
  </si>
  <si>
    <t>900070 Fejezeti és általános tartalékok elszámolása</t>
  </si>
  <si>
    <t>37.</t>
  </si>
  <si>
    <t>38.</t>
  </si>
  <si>
    <t>39.</t>
  </si>
  <si>
    <t>40.</t>
  </si>
  <si>
    <t>41.</t>
  </si>
  <si>
    <t>Város-, községgazdálkodási m.n.s. szolgáltatatások</t>
  </si>
  <si>
    <t>2014.</t>
  </si>
  <si>
    <t>2015.</t>
  </si>
  <si>
    <t>889967 mozgáskorlátozottak</t>
  </si>
  <si>
    <t>016030 Állampolgársági ügyek</t>
  </si>
  <si>
    <t>882122 Átmeneti segély</t>
  </si>
  <si>
    <t>841906 Finanszírozási műveletek</t>
  </si>
  <si>
    <t>841906 finanszírozási műveletek</t>
  </si>
  <si>
    <t>890602</t>
  </si>
  <si>
    <t>Értékesített tárgyi eszközök, immateriális javak befizetése</t>
  </si>
  <si>
    <t>3/A. sz. melléklet Röszke Község Önkormányzatának Képviselő-testülete …/2014.(……..)sz.önkorm.rendeletéhez</t>
  </si>
  <si>
    <t>Adó-, vám- és jövedéki igazgatás</t>
  </si>
  <si>
    <t>Nemzetközi szervezetekben való részvétel</t>
  </si>
  <si>
    <t>Köztemető fenntartás és működtetés</t>
  </si>
  <si>
    <t>Az önkorm.vagyonnal való gazdálkodással kapcsolatos feladatok</t>
  </si>
  <si>
    <t>Start-munka program - Téli közfoglalkoztatás</t>
  </si>
  <si>
    <t>Önkorm. és önkorm. hivatalok jogalkotó és ált. igazgatási tevékenysége</t>
  </si>
  <si>
    <t>Ár- és belvízvédelemmel összefüggő tevékenységek</t>
  </si>
  <si>
    <t>Nem veszélyes (tel.) hulladék vegyes (ömlesztett) begyűjt., száll., átrakása</t>
  </si>
  <si>
    <t>Lakáshoz jutást segítő támogatások</t>
  </si>
  <si>
    <t>Víztermelés, -kezelés, ellátás</t>
  </si>
  <si>
    <t>Város-, községgazdálkodási egyéb szolgáltatások</t>
  </si>
  <si>
    <t>Sportlétesítmények működtetése és fejléesztése</t>
  </si>
  <si>
    <t>Közművelődés - hagyományos közösségi kulturális értékekek gondozása</t>
  </si>
  <si>
    <t>Egyéb kiadói tevékenység</t>
  </si>
  <si>
    <t>Televízió-műsor szolgáltatása és támogatása</t>
  </si>
  <si>
    <t>Civil szervezetek programtámogatása</t>
  </si>
  <si>
    <t>Érdekképviseleti, szakszervezeti tevékenységek támogatása</t>
  </si>
  <si>
    <t>Köznev.int. 1-4.évf.tanulók nev.-vel, okt.-val összef. működtetési feladatok</t>
  </si>
  <si>
    <t>Köznev.int. 5-8.évf.tanulók nev.-vel, okt.-val összef. működtetési feladatok</t>
  </si>
  <si>
    <t>Óvodai intézményi étkeztetés</t>
  </si>
  <si>
    <t>Iskolai intézményi étkeztetés</t>
  </si>
  <si>
    <t>Betegséggel kapcs.pénzbeli ellátások, támogatások</t>
  </si>
  <si>
    <t>Gyermekek napközbeni ellátása</t>
  </si>
  <si>
    <t>Gyermekvédelmi pénzbeli és természetbeni ellátások</t>
  </si>
  <si>
    <t>Működési célú támogatások Áh-on belül</t>
  </si>
  <si>
    <t>Felhalmozási célú támogatások Áh-on belül</t>
  </si>
  <si>
    <t>A gyermekek, fiatalok és családok életminőségét javító programok</t>
  </si>
  <si>
    <t>Munkanélküli aktív korúak ellátása</t>
  </si>
  <si>
    <t>Lakásfenntartással, lakhatással összefüggő ellátások</t>
  </si>
  <si>
    <t>Egyéb szociális pénzbeli ellátások, támogatások</t>
  </si>
  <si>
    <t>Működési célú támogatások ÁH-n belülről</t>
  </si>
  <si>
    <t>Felhalmozási célú támogatások ÁH-n belülről</t>
  </si>
  <si>
    <t xml:space="preserve">Felhal-   mozási bevételek </t>
  </si>
  <si>
    <t>Finanszí-   rozási bevételek</t>
  </si>
  <si>
    <t>Felhal-  mozási célú átvett pénz-  eszközök</t>
  </si>
  <si>
    <t>680002 nem lakóingatlan bérbeadása, üzemeltetése</t>
  </si>
  <si>
    <t>841907</t>
  </si>
  <si>
    <t>Értékesített tárgyi e. immateriális javak befizetése</t>
  </si>
  <si>
    <t>Röszkei Sportkör</t>
  </si>
  <si>
    <t>Polgárőr Egyesület</t>
  </si>
  <si>
    <t>Röszkei Kaláka Egyesület</t>
  </si>
  <si>
    <t xml:space="preserve">Egészségvédő Egyesület </t>
  </si>
  <si>
    <t>Röszkei Sporthorgász és Természetvédő Egyesület</t>
  </si>
  <si>
    <t>Beretzk Péter Természetvédő Egyesület</t>
  </si>
  <si>
    <t>Alap- és vállalkozási tevékenység közötti elszámolások</t>
  </si>
  <si>
    <t>Közös költség</t>
  </si>
  <si>
    <t>Felhalmozások (felújítások célonként, felhalmozási kiadások-beruházások feladatonként) és forrásaik</t>
  </si>
  <si>
    <t>IKSZT pályázat ügyintézője</t>
  </si>
  <si>
    <t>1/H sz. melléklet Röszke Község Önkormányzatának Képviselő-testülete …/2011.(……..)sz.önkorm.rendeletéhez</t>
  </si>
  <si>
    <t>2/F. sz. melléklet Röszke Község Önkormányzatának Képviselő-testülete …/2011.(……..)sz.önkorm.rendeletéhez</t>
  </si>
  <si>
    <t>4. sz. melléklet Röszke Község Önkormányzatának Képviselő-testülete …/2011.(……..)sz.önkorm.rendeletéhez</t>
  </si>
  <si>
    <t>Szociális hozzájárulási adó 27%</t>
  </si>
  <si>
    <t>8. sz. melléklet Röszke Község Önkormányzatának Képviselő-testülete …/2010.(……..)sz.önkorm.rendeletéhez</t>
  </si>
  <si>
    <t>13. sz. melléklet Röszke Község Képviselő-testülete .../2011. (….)sz.önkorm.rendeletéhez</t>
  </si>
  <si>
    <t>14. sz. melléklet Röszke Község Képviselő-testülete .../2011.(….) sz.önkorm.rendeletéhez</t>
  </si>
  <si>
    <t>15. sz. melléklet Röszke Község Képviselő-testülete …/2011. (….)sz.önkorm.rendeletéhez</t>
  </si>
  <si>
    <t>42.</t>
  </si>
  <si>
    <t>43.</t>
  </si>
  <si>
    <t>44.</t>
  </si>
  <si>
    <t>841191 Nemzeti ünnepek programjai</t>
  </si>
  <si>
    <t>910121 Könyvtári állomány gyarapítása</t>
  </si>
  <si>
    <t>2013-as szakfeladat</t>
  </si>
  <si>
    <t>Kormányzati funkció</t>
  </si>
  <si>
    <t>K501</t>
  </si>
  <si>
    <t>Nemzetközi befizetzések</t>
  </si>
  <si>
    <t>K502/9</t>
  </si>
  <si>
    <t>Egyéb elvonások és befizetések</t>
  </si>
  <si>
    <t>K502</t>
  </si>
  <si>
    <t>K506/6</t>
  </si>
  <si>
    <t>Helyi önk.kv.sz.működ.c.támogatása</t>
  </si>
  <si>
    <t>Társulások működ.c.támogatás (Szegedi Kistér.,Keop)</t>
  </si>
  <si>
    <t>K506/7</t>
  </si>
  <si>
    <t>K506</t>
  </si>
  <si>
    <t>K511/41</t>
  </si>
  <si>
    <t>Civil szer.működ.c.támogatása</t>
  </si>
  <si>
    <t>K511/42</t>
  </si>
  <si>
    <t>Egyéb nonp.sz.működ.c.támogatása</t>
  </si>
  <si>
    <t>K511/5</t>
  </si>
  <si>
    <t>Egyházak működ.c.támogatása</t>
  </si>
  <si>
    <t>K511</t>
  </si>
  <si>
    <t>K512/1</t>
  </si>
  <si>
    <t>Tartalékok előirányzata</t>
  </si>
  <si>
    <t>K512/9</t>
  </si>
  <si>
    <t>Zárolt kiadási előirányzat</t>
  </si>
  <si>
    <t>K512</t>
  </si>
  <si>
    <t>Tartalékok</t>
  </si>
  <si>
    <t>K5</t>
  </si>
  <si>
    <t>K82/7</t>
  </si>
  <si>
    <t>Társul.kv.sz.felh.c.vissz.tám.kölcs.nyúj. (KEOP)</t>
  </si>
  <si>
    <t>K82</t>
  </si>
  <si>
    <t>K84/7</t>
  </si>
  <si>
    <t>K84/6</t>
  </si>
  <si>
    <t>Helyi önk.kv.sz.felh.c.támogatás (kerékpárút, sátor)</t>
  </si>
  <si>
    <t>Társulásnak felh.c.támogatás (KEOP,Ivóvízminőségjav.)</t>
  </si>
  <si>
    <t>K84</t>
  </si>
  <si>
    <t>Egyéb felhalm.c.támogatások ÁH belül összesen</t>
  </si>
  <si>
    <t>K86/1</t>
  </si>
  <si>
    <t>Pü.váll.felh.c.vissz.tám.kölcs.nyújt.</t>
  </si>
  <si>
    <t>K86/3</t>
  </si>
  <si>
    <t>Háztartások felh.vissz.tám.kölcs.nyújt.</t>
  </si>
  <si>
    <t>K86/41</t>
  </si>
  <si>
    <t>Civil szerv.felh.vissz.tám.kölcs.nyújt.</t>
  </si>
  <si>
    <t>K86/42</t>
  </si>
  <si>
    <t>Nonpr.szer.felh.vissz.tám.kölcs.nyújt.</t>
  </si>
  <si>
    <t>K86</t>
  </si>
  <si>
    <t>Felhalm.c.visszat.támog.kölcs.nyújt.ÁK kívül összesen</t>
  </si>
  <si>
    <t>Felhalm.c.visszat.támog.kölcs.nyújt.ÁH belül összesen</t>
  </si>
  <si>
    <t>Egyéb működ.c.támogatások ÁH kívül összesen</t>
  </si>
  <si>
    <t>Egyéb működési célú támogatások ÁH belül összesen</t>
  </si>
  <si>
    <t>Elvonások és befizetések összesen</t>
  </si>
  <si>
    <t>K87/2</t>
  </si>
  <si>
    <t>Helyi önk.lakásépítés támogatása</t>
  </si>
  <si>
    <t>K87</t>
  </si>
  <si>
    <t>Lakástámogatás összesen</t>
  </si>
  <si>
    <t>K88</t>
  </si>
  <si>
    <t>Egyéb felhalm.c.támogatások Áhkívül</t>
  </si>
  <si>
    <t>K8</t>
  </si>
  <si>
    <t>EGYÉB FELHALMOZÁSI CÉLÚ KIADÁSOK ÖSSZESEN</t>
  </si>
  <si>
    <t>K61/1</t>
  </si>
  <si>
    <t>Vagyoni értékű jogok beszerzése</t>
  </si>
  <si>
    <t>K61/2</t>
  </si>
  <si>
    <t>Szellemi termékek beszerzése</t>
  </si>
  <si>
    <t>K61</t>
  </si>
  <si>
    <t>Immateriális javak beszerzése, létesítése</t>
  </si>
  <si>
    <t>K62/1</t>
  </si>
  <si>
    <t>Termőföld beszerzése</t>
  </si>
  <si>
    <t>K62/22</t>
  </si>
  <si>
    <t>lift</t>
  </si>
  <si>
    <t>Informatikai eszközök beszerzése,létes.</t>
  </si>
  <si>
    <t>Egyéb gép, berendezés beszerzése</t>
  </si>
  <si>
    <t>K64/1</t>
  </si>
  <si>
    <t>K64/2</t>
  </si>
  <si>
    <t>Kulturális javak beszerzése</t>
  </si>
  <si>
    <t>K64/5</t>
  </si>
  <si>
    <t>Jármű beszerzése</t>
  </si>
  <si>
    <t>K64</t>
  </si>
  <si>
    <t>Egyéb tárgyi eszközök beszerzése, létesítése</t>
  </si>
  <si>
    <t>K65</t>
  </si>
  <si>
    <t>Részesedések beszerzése</t>
  </si>
  <si>
    <t>K66</t>
  </si>
  <si>
    <t>Meglévő részesed.növel.kapcs.kiadás</t>
  </si>
  <si>
    <t>K67/1</t>
  </si>
  <si>
    <t>Beruházás célú levonható előz.felsz. ÁFA</t>
  </si>
  <si>
    <t>K67/2</t>
  </si>
  <si>
    <t>Beruházás célú le nem vonható előz.felsz. ÁFA</t>
  </si>
  <si>
    <t>K67</t>
  </si>
  <si>
    <t>Beruházás célú előzetesen felszámít.ÁFA</t>
  </si>
  <si>
    <t>K6</t>
  </si>
  <si>
    <t>BERUHÁZÁSOK ÖSSZSEN</t>
  </si>
  <si>
    <t>K71/33</t>
  </si>
  <si>
    <t>B402/29</t>
  </si>
  <si>
    <t>Egyéb bérleti és lízing díjbevétel</t>
  </si>
  <si>
    <t>Egyéb épület felújítása</t>
  </si>
  <si>
    <t>K71/4</t>
  </si>
  <si>
    <t>Egyéb építmény felújítása</t>
  </si>
  <si>
    <t>K71</t>
  </si>
  <si>
    <t>K72/1</t>
  </si>
  <si>
    <t>Informatikai eszközök felújítása</t>
  </si>
  <si>
    <t>K72</t>
  </si>
  <si>
    <t>Informatikai eszközök felújítása összesen</t>
  </si>
  <si>
    <t>K73/1</t>
  </si>
  <si>
    <t>Egyéb gép, berendezés felújítása</t>
  </si>
  <si>
    <t>K73/5</t>
  </si>
  <si>
    <t>Jármű felújítása</t>
  </si>
  <si>
    <t>K73</t>
  </si>
  <si>
    <t>K74</t>
  </si>
  <si>
    <t>K74/1</t>
  </si>
  <si>
    <t>Felújít.célú előz.felszám.levonható ÁFA</t>
  </si>
  <si>
    <t>K74/2</t>
  </si>
  <si>
    <t>Felújít.célú előz.felszám.le nem vonható ÁFA</t>
  </si>
  <si>
    <t>Ingatlanok felújítása összesen</t>
  </si>
  <si>
    <t>Egyéb tárgyi eszközök felújítása összesen</t>
  </si>
  <si>
    <t>Felújítás célú előzetesen felszám. ÁFA összesen</t>
  </si>
  <si>
    <t>K7</t>
  </si>
  <si>
    <t>FELÚJÍTÁSOK ÖSSZESEN</t>
  </si>
  <si>
    <t>közalkalmazott (4 fő)</t>
  </si>
  <si>
    <t>III.</t>
  </si>
  <si>
    <t>882202 közgyógy.</t>
  </si>
  <si>
    <t>Az engedélyezett létszámkereten a teljes munkaidőben foglalkoztatottak létszámát kell érteni. Az intézményvezető a részmunkaidőben foglalkoztatottak esetén a létszámkerettől munkaidő-arányosan eltérhet.</t>
  </si>
  <si>
    <t>A) Juttatásokra kifizethető keret Ktv. 49/H § (1) szerinti bontásban</t>
  </si>
  <si>
    <t>§ szám</t>
  </si>
  <si>
    <t>Juttatások megnevezése</t>
  </si>
  <si>
    <t>Éves keretösszeg</t>
  </si>
  <si>
    <t>a)</t>
  </si>
  <si>
    <t>b)</t>
  </si>
  <si>
    <t>---</t>
  </si>
  <si>
    <t>c)</t>
  </si>
  <si>
    <t>d)</t>
  </si>
  <si>
    <t>e)</t>
  </si>
  <si>
    <t>f)</t>
  </si>
  <si>
    <t>382101 Települési hulladék kezelése ártalmatlanítása</t>
  </si>
  <si>
    <t>382101</t>
  </si>
  <si>
    <t>Települési hulladék kezelése, ártalmatlanítása</t>
  </si>
  <si>
    <t>Illetményelőleg</t>
  </si>
  <si>
    <t>Tanulmányi ösztöndíj, képzési továbbképzési, nyelvtanulási támogatás</t>
  </si>
  <si>
    <t xml:space="preserve"> </t>
  </si>
  <si>
    <t>Juttatások összesen:</t>
  </si>
  <si>
    <t>B) Szociális keret terhére nyújtható pénzbeni és természetbeni támogatások Ktv. 49/J § (5)</t>
  </si>
  <si>
    <t>Támogatások megnevezése</t>
  </si>
  <si>
    <t>Eseti szociális segély</t>
  </si>
  <si>
    <t>Jövedelem-kiegészítés</t>
  </si>
  <si>
    <t>Temetési segély</t>
  </si>
  <si>
    <t>Kedvezményes étkezetetés</t>
  </si>
  <si>
    <t>Kedvezményes üdültetés</t>
  </si>
  <si>
    <t>Egyes szolgáltatások kedvezményes igénybevétele</t>
  </si>
  <si>
    <t>Kulturális, jóléti, egészségügyi támogatások</t>
  </si>
  <si>
    <t>Éves keret</t>
  </si>
  <si>
    <t>Színházbérlet</t>
  </si>
  <si>
    <t>Uszodabérlet</t>
  </si>
  <si>
    <t>Sport, szabadidő eltöltésére (aktív sportolásra, így többek között aerobik, fallabda)</t>
  </si>
  <si>
    <t>Kábeltévé előfizetési díj</t>
  </si>
  <si>
    <t>Internet előfizetés</t>
  </si>
  <si>
    <t>Szemüveg</t>
  </si>
  <si>
    <t>Általános Iskola Röszke tornatermének ingyenes sport célú igénybevételének ellentételezésére</t>
  </si>
  <si>
    <t>Petőfi Sándor Művelődési Ház és Községi Könyvtár szolgáltatásainak ingyenes igénybevételének ellentételezésére</t>
  </si>
  <si>
    <t>A jegyző, illetve a polgármester által "a közszolgálat halottjává" nyilvánított köztisztviselő temetési költségének egészben való átvállalására szolgáló keretösszeg: 300.000,- Ft, mely tekintetben a költségvetési keretösszeg átléphető indokolt esetben.</t>
  </si>
  <si>
    <t>Műv Ház</t>
  </si>
  <si>
    <t>Önkormányzat összesen</t>
  </si>
  <si>
    <t>Intézményi működési bevétel</t>
  </si>
  <si>
    <t>sorsz.</t>
  </si>
  <si>
    <t>önkornányzat összesen</t>
  </si>
  <si>
    <t>összesen</t>
  </si>
  <si>
    <t>Aktív korúak ellátása</t>
  </si>
  <si>
    <t>Rövid időtartamú közfoglalkoztatás</t>
  </si>
  <si>
    <t>Foglalkoztatást helyettesítő támogatásra jogosultak hosszabb időtartamú közfoglalkoztatása</t>
  </si>
  <si>
    <t>Egyéb közfoglalkoztatás</t>
  </si>
  <si>
    <t>Sportlétesítmények működtetése és fejlesztése</t>
  </si>
  <si>
    <t>Köztemető-fenntartás és működtetés</t>
  </si>
  <si>
    <t>Önként vállalat feldatok</t>
  </si>
  <si>
    <t>Veszélyes hulladék kezelése, ártalmatlanítása</t>
  </si>
  <si>
    <t>Folyóirat időszaki kiadvány kiadása</t>
  </si>
  <si>
    <t>Televízió-műsor összeállítása, szolgáltatása</t>
  </si>
  <si>
    <t>Adatfeldolgozás, web-hoszting, világháló-portál szolgáltatás</t>
  </si>
  <si>
    <t>Jogi segítségnyújtás</t>
  </si>
  <si>
    <t>Konferencia, kereskedelmi bemutató szervezése</t>
  </si>
  <si>
    <t>Kiemelt állami és önkormányzati rendezvények</t>
  </si>
  <si>
    <t>Önkormányzatok m.n.s.nemzetközi kapcsolatai</t>
  </si>
  <si>
    <t>Egyéb pénzbeli hallgatói juttatások, ösztöndíjak</t>
  </si>
  <si>
    <t>Hosszabb időtartamú közfoglalkoztatás</t>
  </si>
  <si>
    <t>Közművelődés-közösségi és társadalmi részvétel fejlesztése</t>
  </si>
  <si>
    <t>Közművelődés-hagyományos közösségi kulturális értékek gondozása</t>
  </si>
  <si>
    <t>Óvodai nevelés,ellátás szakmai feladatai</t>
  </si>
  <si>
    <t>Óvodai nevelés ellátás működtetési feladatai</t>
  </si>
  <si>
    <t>Civil szervezetek program- és egyéb támogatása</t>
  </si>
  <si>
    <t>Egyházak közösségi és hitéleti tevékenységének támogatása</t>
  </si>
  <si>
    <t>Szakmai érdekképviseleti tevékenység támogatása</t>
  </si>
  <si>
    <t>1/H sz. melléklet Röszke Község Önkormányzatának Képviselő-testülete …/2012.(……..)sz.önkorm.rendeletéhez</t>
  </si>
  <si>
    <t>2/F. sz. melléklet Röszke Község Önkormányzatának Képviselő-testülete …/2013.(……..)sz.önkorm.rendeletéhez</t>
  </si>
  <si>
    <t>2013. kiadási előirányzat</t>
  </si>
  <si>
    <t>(ezer Ft)</t>
  </si>
  <si>
    <t>Önkormányzatok és társulások elszámolásai (ÁMK, Szoc.Int.)</t>
  </si>
  <si>
    <t>Önkormányzatok elszámolásai a költségvetési szerveikkel (Hivatal, Műv.ház)</t>
  </si>
  <si>
    <t>Számviteli, könyvvizsgálói tevékenység</t>
  </si>
  <si>
    <t>telefon,telefax,mobil</t>
  </si>
  <si>
    <t>műsorvételi,műsorközlési jogdíj</t>
  </si>
  <si>
    <t>Egyéb szakmai ag. beszer.:menny.nyilv.-ban szereplő</t>
  </si>
  <si>
    <t>áfa nélkül egyedi érték 200e alatti</t>
  </si>
  <si>
    <t>Egyéb üzemelt.agbesz.: menny. nyilv.-ban szereplő készletek</t>
  </si>
  <si>
    <t>web-hoszting</t>
  </si>
  <si>
    <t>renszerkövetés, tanácsadás</t>
  </si>
  <si>
    <t>kerekítés</t>
  </si>
  <si>
    <t>K1101/2</t>
  </si>
  <si>
    <t>K1101/1</t>
  </si>
  <si>
    <t>K1101/3</t>
  </si>
  <si>
    <t>K1101/4</t>
  </si>
  <si>
    <t>K1101/5</t>
  </si>
  <si>
    <t>K1101/9</t>
  </si>
  <si>
    <t>K1102</t>
  </si>
  <si>
    <t>Normatív jutalmak</t>
  </si>
  <si>
    <t>K1103</t>
  </si>
  <si>
    <t>Céljuttatás, projektprémium</t>
  </si>
  <si>
    <t>K1104/1</t>
  </si>
  <si>
    <t>K1104/2</t>
  </si>
  <si>
    <t>Túlóra, túlszolgálat</t>
  </si>
  <si>
    <t xml:space="preserve">Készenléti, ügyeleti, helyettesítési díj </t>
  </si>
  <si>
    <t>Alapilletmény</t>
  </si>
  <si>
    <t>K1105</t>
  </si>
  <si>
    <t>K1106</t>
  </si>
  <si>
    <t>K1107/3</t>
  </si>
  <si>
    <t>Erzsébet-utalvány kiadása</t>
  </si>
  <si>
    <t>K1107/4</t>
  </si>
  <si>
    <t>K1109</t>
  </si>
  <si>
    <t>K1110</t>
  </si>
  <si>
    <t>Egyéb költségtérítések</t>
  </si>
  <si>
    <t>Egyéb béren kívüli juttatások Cafetéria</t>
  </si>
  <si>
    <t>Szociális támogatások</t>
  </si>
  <si>
    <t>K1112</t>
  </si>
  <si>
    <t>K1113/1</t>
  </si>
  <si>
    <t>K1113/4</t>
  </si>
  <si>
    <t>K1113/9</t>
  </si>
  <si>
    <t>Foglalkoztatottak szem.j.:napidíj</t>
  </si>
  <si>
    <t>K11</t>
  </si>
  <si>
    <t>Foglalkoztattottak személyi juttatásai összesen</t>
  </si>
  <si>
    <t>K121/3</t>
  </si>
  <si>
    <t>Önkorm.képv.polgármesterek juttatásai</t>
  </si>
  <si>
    <t>K121/9</t>
  </si>
  <si>
    <t>Egyéb választ.tisztviselők juttatásai</t>
  </si>
  <si>
    <t>K121</t>
  </si>
  <si>
    <t>Választott tisztviselők juttatásai összesen</t>
  </si>
  <si>
    <t>Állom.nem tartozók megbízási díja</t>
  </si>
  <si>
    <t>Állom.nem tartozók tiszteletdíja</t>
  </si>
  <si>
    <t>K122/1</t>
  </si>
  <si>
    <t>K122/2</t>
  </si>
  <si>
    <t>K122</t>
  </si>
  <si>
    <t>Munkav.irány.nem saját foglalk.fiz.jutt.</t>
  </si>
  <si>
    <t>További munkav.létesít.juttatásai</t>
  </si>
  <si>
    <t>Felmentett munkaváll.egy.juttatásai</t>
  </si>
  <si>
    <t>Reprezentációs kiadások</t>
  </si>
  <si>
    <t>K123/4</t>
  </si>
  <si>
    <t>K123/5</t>
  </si>
  <si>
    <t>K123/8</t>
  </si>
  <si>
    <t>K123/9</t>
  </si>
  <si>
    <t>Egyéb különf.külső személyi juttatások</t>
  </si>
  <si>
    <t>K123</t>
  </si>
  <si>
    <t>Egyéb külső személyi juttatások</t>
  </si>
  <si>
    <t>K1</t>
  </si>
  <si>
    <t>SZEMÉLYI JUTTATÁSOK ÖSSZESEN</t>
  </si>
  <si>
    <t>K2/1</t>
  </si>
  <si>
    <t>K2/2</t>
  </si>
  <si>
    <t>Egysz.köztehervis.hozzájár.(EKHO)</t>
  </si>
  <si>
    <t>K2/3</t>
  </si>
  <si>
    <t>K2/4</t>
  </si>
  <si>
    <t>K2/5</t>
  </si>
  <si>
    <t>Korkedvezmény-biztosítási járulék</t>
  </si>
  <si>
    <t>Rehabilitációs hozzájárulás</t>
  </si>
  <si>
    <t>K2/6</t>
  </si>
  <si>
    <t>K2/7</t>
  </si>
  <si>
    <t>Munkáltatót terhelő személyi jövedelemadó</t>
  </si>
  <si>
    <t>K2/9</t>
  </si>
  <si>
    <t>K2</t>
  </si>
  <si>
    <t>MUNKAADÓKAT TERHELŐ JÁRULÉKOK ÉS SZOCIÁLIS HOZZÁJÁRULÁSI ADÓ ÖSSZESEN</t>
  </si>
  <si>
    <t>cégautó adója</t>
  </si>
  <si>
    <t>tanácsadói, ügyvédi,jogi,közjegyzői,könyvvizsgálói,közbeszerzési iroda díjai, foglalkozás egészségü.</t>
  </si>
  <si>
    <t>074011 Foglalkozás-egészségügyi alapellátás</t>
  </si>
  <si>
    <t>086020 Helyi, térségi közösségi tér biztosítása, működtetése</t>
  </si>
  <si>
    <t>Teleház, Ifj.Köz.Tér</t>
  </si>
  <si>
    <t>sportpálya, cserkészotthon</t>
  </si>
  <si>
    <t>posta,kéményseprés,rovarírtás,szemét</t>
  </si>
  <si>
    <t>műszaki vizsga,zöldkártya, közbeszerzési díj, ajánlati biztosíték, perköltség,engedélyezési eljárási díjak, jelzálogjog bejegy./törlés, másolat hitelesítés</t>
  </si>
  <si>
    <t>104060 A gyermekek, fiatalok és családok életminőségét javító programok</t>
  </si>
  <si>
    <t>nyári szociális gyerektábor, nyári szociális gyerekétkeztetés</t>
  </si>
  <si>
    <t>internet, laptopnet</t>
  </si>
  <si>
    <t>ISKOLA013360 Más szerv részére végzett pénzügyi-gazd.,üzemelt.egyéb szolg.</t>
  </si>
  <si>
    <t>megjegyzés</t>
  </si>
  <si>
    <t>falunap</t>
  </si>
  <si>
    <t>50.</t>
  </si>
  <si>
    <t>51.</t>
  </si>
  <si>
    <t>52.</t>
  </si>
  <si>
    <t>53.</t>
  </si>
  <si>
    <t xml:space="preserve">Egyéb szolgáltatások miatti bevételek </t>
  </si>
  <si>
    <t>56.</t>
  </si>
  <si>
    <t>57.</t>
  </si>
  <si>
    <t>58.</t>
  </si>
  <si>
    <t>59.</t>
  </si>
  <si>
    <t>60.</t>
  </si>
  <si>
    <t>61.</t>
  </si>
  <si>
    <t>62.</t>
  </si>
  <si>
    <t>Áfa visszatérülés</t>
  </si>
  <si>
    <t>Önkormányzati bevételek főösszesítője:</t>
  </si>
  <si>
    <t>Idegenforgalmi adó épület után</t>
  </si>
  <si>
    <t>Felhalmozások összesen</t>
  </si>
  <si>
    <t xml:space="preserve"> 910502</t>
  </si>
  <si>
    <t>***</t>
  </si>
  <si>
    <t>Petőfi Sándor Művelődési Ház és KK</t>
  </si>
  <si>
    <t>PH Összesen</t>
  </si>
  <si>
    <t>Illetménykiegészítések</t>
  </si>
  <si>
    <t>Nyelvpótlék</t>
  </si>
  <si>
    <t>1/B sz. melléklet Röszke Község Önkormányzatának Képviselő-testülete …/2013.(……..)sz.önkorm.rendeletéhez</t>
  </si>
  <si>
    <t>B111</t>
  </si>
  <si>
    <t>B112</t>
  </si>
  <si>
    <t>B113</t>
  </si>
  <si>
    <t>Telep.önk.szoc.és gyermekjól.étk.fel.tám.</t>
  </si>
  <si>
    <t>B114</t>
  </si>
  <si>
    <t>Telep.önkorm.kulturális felad.támogatása</t>
  </si>
  <si>
    <t>B115</t>
  </si>
  <si>
    <t>Helyi önkorm. működésének ált. támogatása</t>
  </si>
  <si>
    <t>Telep.önkorm. köznevelési felad.támogatása</t>
  </si>
  <si>
    <t>B116</t>
  </si>
  <si>
    <t>Helyi önkorm.kiegészítő támogatásai</t>
  </si>
  <si>
    <t>B11</t>
  </si>
  <si>
    <t>B1</t>
  </si>
  <si>
    <t>Önk.alr.közp.tám.jogt.igénybev.m.befiz.</t>
  </si>
  <si>
    <t>B12/1</t>
  </si>
  <si>
    <t>B12/2</t>
  </si>
  <si>
    <t>Közm.int.működ.kapcs.önk.-i befizetés</t>
  </si>
  <si>
    <t>B12/3</t>
  </si>
  <si>
    <t>Önk.alr.egyéb befiz,miatti bevételek</t>
  </si>
  <si>
    <t>B12</t>
  </si>
  <si>
    <t>B14/7</t>
  </si>
  <si>
    <t>Társaulástól műk.vissz.tám.kölcs.vtérítés</t>
  </si>
  <si>
    <t>Önkormányzatok működési támogatásai összesen</t>
  </si>
  <si>
    <t>B14</t>
  </si>
  <si>
    <t>Működ.c.visszat.támog.kölcs.visszt.ÁH.belül összesen</t>
  </si>
  <si>
    <t>B16/1</t>
  </si>
  <si>
    <t>Kp.kv-i sz.működési c.támogatás bev.</t>
  </si>
  <si>
    <t>B16/31</t>
  </si>
  <si>
    <t>Fej.kez.ei.Eu-s pr.működ.c. támogatás bev.</t>
  </si>
  <si>
    <t>B16/32</t>
  </si>
  <si>
    <t>Egyéb fej.kez.ei.működ.c.támog.bev.</t>
  </si>
  <si>
    <t>B16/6</t>
  </si>
  <si>
    <t>Helyi önkor.kv.sz.működ.c.támogatás bev.</t>
  </si>
  <si>
    <t>B16/7</t>
  </si>
  <si>
    <t>Társulástól működc.támogatás bev.</t>
  </si>
  <si>
    <t>B16</t>
  </si>
  <si>
    <t>B21/2</t>
  </si>
  <si>
    <t>B21/1</t>
  </si>
  <si>
    <t>Felhal.c. központ.támogatások</t>
  </si>
  <si>
    <t>Címzett támogatások</t>
  </si>
  <si>
    <t>B21/3</t>
  </si>
  <si>
    <t>Céltámogatások</t>
  </si>
  <si>
    <t>B21/4</t>
  </si>
  <si>
    <t>Vis maior támogatások</t>
  </si>
  <si>
    <t>B21/9</t>
  </si>
  <si>
    <t>Egyéb központi felhalm.c.támogatás</t>
  </si>
  <si>
    <t>B119</t>
  </si>
  <si>
    <t>Egyéb központi működ.c.támogatás</t>
  </si>
  <si>
    <t>B21</t>
  </si>
  <si>
    <t>Felhalm.célú önkorm.támogatások</t>
  </si>
  <si>
    <t>B23</t>
  </si>
  <si>
    <t>Egyéb működ.célú támog.bevét.ÁH-on belül összesen</t>
  </si>
  <si>
    <t>Felhalm.c.visszat.támog.kölcs.vissz.ÁH belül összesen</t>
  </si>
  <si>
    <t>B23/7</t>
  </si>
  <si>
    <t>Társul.felh.c.vissz.tám.kölcs.visszatér.</t>
  </si>
  <si>
    <t>B25/1</t>
  </si>
  <si>
    <t>Kp.kv-i sz.felhalm. c.támogatás bev.</t>
  </si>
  <si>
    <t>Fej.kez.ei.Eu-s pr.felhalm.c. támogatás bev.</t>
  </si>
  <si>
    <t>B25/31</t>
  </si>
  <si>
    <t>B25/32</t>
  </si>
  <si>
    <t>Egyéb fej.kez.ei.felhalm.c.támog.bev.</t>
  </si>
  <si>
    <t>B25</t>
  </si>
  <si>
    <t>Egyéb felhalm.célú támog.bevét.ÁH-on belül összesen</t>
  </si>
  <si>
    <t>B2</t>
  </si>
  <si>
    <t>B402/1</t>
  </si>
  <si>
    <t>Alkalmazottak térítési díjbevétele</t>
  </si>
  <si>
    <t>B402/4</t>
  </si>
  <si>
    <t>B402</t>
  </si>
  <si>
    <t>B403/1</t>
  </si>
  <si>
    <t>ÁH belül továbbszámlázott (közvetített) szolgáltatások bevétele</t>
  </si>
  <si>
    <t>B403/2</t>
  </si>
  <si>
    <t>ÁH kívül továbbszámlázott (közvetített) szolgáltatások bevétele</t>
  </si>
  <si>
    <t>B403</t>
  </si>
  <si>
    <t>B404/31</t>
  </si>
  <si>
    <t>Önk.vagy.üzemelt.kezel.adásb.szár.bev.</t>
  </si>
  <si>
    <t>B404/32</t>
  </si>
  <si>
    <t>Önk.vagyon koncessz.szárm.bevétele</t>
  </si>
  <si>
    <t>B404/33</t>
  </si>
  <si>
    <t>Önk.vagy.vagyonk.adásb.szárm.bevétel</t>
  </si>
  <si>
    <t>B404/341</t>
  </si>
  <si>
    <t>B404/342</t>
  </si>
  <si>
    <t>B404/343</t>
  </si>
  <si>
    <t>Egyéb önk.tárgyi eszk.bérbead.szárm.bev.</t>
  </si>
  <si>
    <t>B404/349</t>
  </si>
  <si>
    <t>B404/35</t>
  </si>
  <si>
    <t>Önk.vagyon haszonbérb.adásb.szárm.bev.</t>
  </si>
  <si>
    <t>B404/36</t>
  </si>
  <si>
    <t>Vadászati jog bérbead.szárm.bevétel</t>
  </si>
  <si>
    <t>B404/39</t>
  </si>
  <si>
    <t>Egyéb önk.tulajdonosi bevétel</t>
  </si>
  <si>
    <t>B404</t>
  </si>
  <si>
    <t>B405/1</t>
  </si>
  <si>
    <t>B405/2</t>
  </si>
  <si>
    <t>Tanulók, hallgatók által fizet.költségtér</t>
  </si>
  <si>
    <t>B405/9</t>
  </si>
  <si>
    <t>Egyéb ellátási díjak</t>
  </si>
  <si>
    <t>B405</t>
  </si>
  <si>
    <t>B406/1</t>
  </si>
  <si>
    <t>Kiszáml.egy.adóz.ért.term.szolg.ÁFA</t>
  </si>
  <si>
    <t>B406/2</t>
  </si>
  <si>
    <t>Kiszáml.egy.adóz.ért.tárgyi eszk.ÁFA</t>
  </si>
  <si>
    <t>B406</t>
  </si>
  <si>
    <t>Közvetített szolgáltatások ellenértéke összesen</t>
  </si>
  <si>
    <t>Tulajdonosi bevételek összesen</t>
  </si>
  <si>
    <t>Ellátási díjak összesen</t>
  </si>
  <si>
    <t>Kiszámlázott általános forgalmi adó (ÁFA) összesen</t>
  </si>
  <si>
    <t>Szolgáltatások ellenértéke összesen összesen</t>
  </si>
  <si>
    <t>B407</t>
  </si>
  <si>
    <t>Általános forgalmi adó (ÁFA) visszatérít.</t>
  </si>
  <si>
    <t>B408</t>
  </si>
  <si>
    <t>ÁH.kiv.bevét.után kapott kamatbevétel</t>
  </si>
  <si>
    <t>B408/21</t>
  </si>
  <si>
    <t>B408/28</t>
  </si>
  <si>
    <t>ÁH.kív.fedezeti ügyletek kamatbevétele</t>
  </si>
  <si>
    <t>B408/29</t>
  </si>
  <si>
    <t>ÁH.kív.egyéb kamatbevételek</t>
  </si>
  <si>
    <t>Kamatbevételek összesen</t>
  </si>
  <si>
    <t>B409</t>
  </si>
  <si>
    <t>Egyéb pénzügyi műveletek bevételei</t>
  </si>
  <si>
    <t>B410/1</t>
  </si>
  <si>
    <t>Egyéb felhalm.c.támogatások Áh kívül</t>
  </si>
  <si>
    <t>Társulásnak felh.c.támogatás (szennyvíz, ivóvízminőségjav., hulladéktároló edények)</t>
  </si>
  <si>
    <t>Röszke Község Önkormányzatának 2014. évi bevételi előirányzati intézményenként és összesítve</t>
  </si>
  <si>
    <t>Röszke Község Önkormányzatának 2014. évi kiadási előirányzatai intézményenként és összesítve</t>
  </si>
  <si>
    <t>Egyéb önk.vagyon bérbead.szárm.bevét.(közterület,földterület)</t>
  </si>
  <si>
    <t>1 sz. melléklet Röszke Község Önkormányzatának Képviselő-testülete …/2014.(……..)sz. önkorm. rendeletéhez</t>
  </si>
  <si>
    <t>1/B sz. melléklet Röszke Község Önkormányzatának Képviselő-testülete …/2014.(……..)sz. önkorm.rendeletéhez</t>
  </si>
  <si>
    <t>1/A sz. melléklet Röszke Község Önkormányzatának Képviselő-testülete …/2014.(……..)sz. önkorm.rendeletéhez</t>
  </si>
  <si>
    <t>1/E sz. melléklet Röszke Község Önkormányzatának Képviselő-testülete …/2014.(……..)sz.önkorm.rendeletéhez</t>
  </si>
  <si>
    <t>Felhalmozási bevételek</t>
  </si>
  <si>
    <t>1/C sz. melléklet Röszke Község Önkormányzatának Képviselő-testülete …/2014.(……..)sz.önkorm.rendeletéhez</t>
  </si>
  <si>
    <t>Elk.áll.pa.működ.c.támogatás bev.(jöv.pótló)</t>
  </si>
  <si>
    <t>Egyéb fej.kez.ei.működ.c.támog.bev.(IKSZT)</t>
  </si>
  <si>
    <t>Kp.kv-i sz.felhalm. c.támogatás bev.(közfoglalk.)</t>
  </si>
  <si>
    <t>Foglalk.ellát.,tanul.kártérítési bevétel</t>
  </si>
  <si>
    <t>B410/2</t>
  </si>
  <si>
    <t>Biztosítók ált.fizetett kártér.bevétel</t>
  </si>
  <si>
    <t>B410/3</t>
  </si>
  <si>
    <t>Egyéb kártérítési bevételek</t>
  </si>
  <si>
    <t>B410/5</t>
  </si>
  <si>
    <t>Adók módj.behajth.köztart.visszatérülése</t>
  </si>
  <si>
    <t>B410/6</t>
  </si>
  <si>
    <t>Egyéb költség-visszatérítés</t>
  </si>
  <si>
    <t>B410/8</t>
  </si>
  <si>
    <t>Követk.évek szem.juttatás visszatérítése</t>
  </si>
  <si>
    <t>B410/91</t>
  </si>
  <si>
    <t>Késedelmi kamat,kötbér bevétel</t>
  </si>
  <si>
    <t>B410/92</t>
  </si>
  <si>
    <t>Kezességhez,garanc.kapcs.díjbevétel</t>
  </si>
  <si>
    <t>B410/93</t>
  </si>
  <si>
    <t>Közbeszerz.ajánlati biztosíték</t>
  </si>
  <si>
    <t>Egyéb biztosíték, óvadék bevételek</t>
  </si>
  <si>
    <t>B410/99</t>
  </si>
  <si>
    <t>Egyéb különféle működési bevételek</t>
  </si>
  <si>
    <t>B410</t>
  </si>
  <si>
    <t>Működési bevételek összesen</t>
  </si>
  <si>
    <t>Költségvetési bevételek összesen</t>
  </si>
  <si>
    <t>Felhalmozási bevételek összesen</t>
  </si>
  <si>
    <t>Működési kiadások összesen</t>
  </si>
  <si>
    <t>Felhalmozási kiadások összesen</t>
  </si>
  <si>
    <t>Költségvetési kiadások 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</si>
</sst>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&quot; Ft&quot;;[Red]\-#,##0&quot; Ft&quot;"/>
    <numFmt numFmtId="168" formatCode="0__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</numFmts>
  <fonts count="5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2"/>
      <color indexed="17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2"/>
      <name val="Arial"/>
      <family val="2"/>
    </font>
    <font>
      <sz val="12"/>
      <color indexed="11"/>
      <name val="Times New Roman"/>
      <family val="1"/>
    </font>
    <font>
      <b/>
      <sz val="12"/>
      <color indexed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11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2"/>
      <color indexed="2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sz val="12"/>
      <color indexed="61"/>
      <name val="Times New Roman"/>
      <family val="1"/>
    </font>
    <font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b/>
      <sz val="12"/>
      <color indexed="46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i/>
      <sz val="9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164" fontId="4" fillId="0" borderId="0" xfId="0" applyNumberFormat="1" applyFont="1" applyAlignment="1">
      <alignment vertical="center"/>
    </xf>
    <xf numFmtId="166" fontId="1" fillId="0" borderId="0" xfId="15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 wrapText="1"/>
    </xf>
    <xf numFmtId="166" fontId="5" fillId="0" borderId="0" xfId="15" applyNumberFormat="1" applyFont="1" applyFill="1" applyBorder="1" applyAlignment="1" applyProtection="1">
      <alignment horizontal="right" vertical="center"/>
      <protection/>
    </xf>
    <xf numFmtId="166" fontId="5" fillId="0" borderId="0" xfId="15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6" fontId="2" fillId="0" borderId="0" xfId="15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6" fontId="1" fillId="0" borderId="0" xfId="1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166" fontId="2" fillId="0" borderId="0" xfId="1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66" fontId="2" fillId="0" borderId="0" xfId="1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166" fontId="2" fillId="0" borderId="0" xfId="15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66" fontId="1" fillId="0" borderId="0" xfId="15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6" fontId="1" fillId="0" borderId="1" xfId="15" applyNumberFormat="1" applyFont="1" applyFill="1" applyBorder="1" applyAlignment="1" applyProtection="1">
      <alignment horizontal="right" vertical="center"/>
      <protection/>
    </xf>
    <xf numFmtId="166" fontId="1" fillId="0" borderId="0" xfId="15" applyNumberFormat="1" applyFont="1" applyFill="1" applyBorder="1" applyAlignment="1" applyProtection="1">
      <alignment horizontal="right" vertical="center"/>
      <protection/>
    </xf>
    <xf numFmtId="166" fontId="2" fillId="0" borderId="0" xfId="15" applyNumberFormat="1" applyFont="1" applyFill="1" applyBorder="1" applyAlignment="1" applyProtection="1">
      <alignment horizontal="right" vertical="center"/>
      <protection/>
    </xf>
    <xf numFmtId="166" fontId="1" fillId="0" borderId="1" xfId="15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0" fontId="11" fillId="0" borderId="1" xfId="0" applyFont="1" applyBorder="1" applyAlignment="1">
      <alignment/>
    </xf>
    <xf numFmtId="0" fontId="1" fillId="0" borderId="0" xfId="0" applyFont="1" applyBorder="1" applyAlignment="1">
      <alignment/>
    </xf>
    <xf numFmtId="166" fontId="7" fillId="0" borderId="0" xfId="1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center" wrapText="1"/>
    </xf>
    <xf numFmtId="166" fontId="1" fillId="0" borderId="0" xfId="15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Alignment="1">
      <alignment horizontal="left"/>
    </xf>
    <xf numFmtId="166" fontId="5" fillId="0" borderId="0" xfId="15" applyNumberFormat="1" applyFont="1" applyFill="1" applyBorder="1" applyAlignment="1" applyProtection="1">
      <alignment horizontal="right"/>
      <protection/>
    </xf>
    <xf numFmtId="166" fontId="5" fillId="0" borderId="0" xfId="15" applyNumberFormat="1" applyFont="1" applyFill="1" applyBorder="1" applyAlignment="1" applyProtection="1">
      <alignment horizontal="center"/>
      <protection/>
    </xf>
    <xf numFmtId="166" fontId="2" fillId="0" borderId="0" xfId="15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6" fontId="14" fillId="0" borderId="0" xfId="15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5" fillId="0" borderId="1" xfId="15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>
      <alignment horizontal="center"/>
    </xf>
    <xf numFmtId="166" fontId="1" fillId="0" borderId="1" xfId="15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15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6" fontId="1" fillId="0" borderId="2" xfId="15" applyNumberFormat="1" applyFont="1" applyFill="1" applyBorder="1" applyAlignment="1" applyProtection="1">
      <alignment vertical="center"/>
      <protection/>
    </xf>
    <xf numFmtId="166" fontId="2" fillId="0" borderId="2" xfId="15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66" fontId="20" fillId="0" borderId="0" xfId="15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20" fillId="0" borderId="0" xfId="15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horizontal="center" vertical="center" wrapText="1"/>
    </xf>
    <xf numFmtId="166" fontId="20" fillId="0" borderId="0" xfId="15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9" fillId="0" borderId="0" xfId="15" applyNumberFormat="1" applyFont="1" applyFill="1" applyBorder="1" applyAlignment="1" applyProtection="1">
      <alignment vertical="center" wrapText="1"/>
      <protection/>
    </xf>
    <xf numFmtId="166" fontId="9" fillId="0" borderId="0" xfId="15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66" fontId="21" fillId="0" borderId="0" xfId="15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 shrinkToFit="1"/>
    </xf>
    <xf numFmtId="0" fontId="2" fillId="0" borderId="0" xfId="0" applyFont="1" applyAlignment="1">
      <alignment wrapText="1" shrinkToFit="1"/>
    </xf>
    <xf numFmtId="167" fontId="1" fillId="0" borderId="0" xfId="0" applyNumberFormat="1" applyFont="1" applyAlignment="1">
      <alignment/>
    </xf>
    <xf numFmtId="49" fontId="1" fillId="0" borderId="0" xfId="15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>
      <alignment horizontal="center" vertical="center"/>
    </xf>
    <xf numFmtId="166" fontId="1" fillId="0" borderId="0" xfId="15" applyNumberFormat="1" applyFont="1" applyFill="1" applyBorder="1" applyAlignment="1" applyProtection="1">
      <alignment horizontal="center" vertical="center" wrapText="1"/>
      <protection/>
    </xf>
    <xf numFmtId="166" fontId="1" fillId="0" borderId="3" xfId="15" applyNumberFormat="1" applyFont="1" applyFill="1" applyBorder="1" applyAlignment="1" applyProtection="1">
      <alignment/>
      <protection/>
    </xf>
    <xf numFmtId="166" fontId="2" fillId="0" borderId="3" xfId="15" applyNumberFormat="1" applyFont="1" applyFill="1" applyBorder="1" applyAlignment="1" applyProtection="1">
      <alignment/>
      <protection/>
    </xf>
    <xf numFmtId="166" fontId="2" fillId="0" borderId="4" xfId="15" applyNumberFormat="1" applyFont="1" applyFill="1" applyBorder="1" applyAlignment="1" applyProtection="1">
      <alignment/>
      <protection/>
    </xf>
    <xf numFmtId="49" fontId="1" fillId="0" borderId="0" xfId="15" applyNumberFormat="1" applyFont="1" applyFill="1" applyBorder="1" applyAlignment="1" applyProtection="1">
      <alignment/>
      <protection/>
    </xf>
    <xf numFmtId="49" fontId="1" fillId="0" borderId="0" xfId="0" applyNumberFormat="1" applyFont="1" applyAlignment="1">
      <alignment/>
    </xf>
    <xf numFmtId="166" fontId="1" fillId="0" borderId="2" xfId="15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49" fontId="1" fillId="0" borderId="0" xfId="15" applyNumberFormat="1" applyFont="1" applyFill="1" applyBorder="1" applyAlignment="1" applyProtection="1">
      <alignment vertical="center" wrapText="1"/>
      <protection/>
    </xf>
    <xf numFmtId="166" fontId="2" fillId="0" borderId="3" xfId="15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15" applyNumberFormat="1" applyFont="1" applyFill="1" applyBorder="1" applyAlignment="1" applyProtection="1">
      <alignment horizontal="center" vertical="center" wrapText="1"/>
      <protection/>
    </xf>
    <xf numFmtId="49" fontId="1" fillId="0" borderId="2" xfId="15" applyNumberFormat="1" applyFont="1" applyFill="1" applyBorder="1" applyAlignment="1" applyProtection="1">
      <alignment vertical="center" wrapText="1"/>
      <protection/>
    </xf>
    <xf numFmtId="166" fontId="1" fillId="0" borderId="0" xfId="15" applyNumberFormat="1" applyFont="1" applyFill="1" applyBorder="1" applyAlignment="1" applyProtection="1">
      <alignment vertical="center" wrapText="1"/>
      <protection/>
    </xf>
    <xf numFmtId="166" fontId="1" fillId="0" borderId="0" xfId="15" applyNumberFormat="1" applyFont="1" applyFill="1" applyBorder="1" applyAlignment="1" applyProtection="1">
      <alignment wrapText="1"/>
      <protection/>
    </xf>
    <xf numFmtId="166" fontId="2" fillId="0" borderId="0" xfId="15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8" fontId="26" fillId="0" borderId="0" xfId="0" applyNumberFormat="1" applyFont="1" applyBorder="1" applyAlignment="1">
      <alignment vertical="center"/>
    </xf>
    <xf numFmtId="166" fontId="2" fillId="0" borderId="0" xfId="15" applyNumberFormat="1" applyFont="1" applyFill="1" applyBorder="1" applyAlignment="1" applyProtection="1">
      <alignment wrapText="1"/>
      <protection/>
    </xf>
    <xf numFmtId="1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166" fontId="27" fillId="0" borderId="0" xfId="15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166" fontId="27" fillId="0" borderId="0" xfId="15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166" fontId="1" fillId="0" borderId="5" xfId="15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6" fontId="2" fillId="0" borderId="5" xfId="15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6" fontId="1" fillId="0" borderId="5" xfId="15" applyNumberFormat="1" applyFont="1" applyFill="1" applyBorder="1" applyAlignment="1" applyProtection="1">
      <alignment/>
      <protection/>
    </xf>
    <xf numFmtId="0" fontId="1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6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66" fontId="1" fillId="0" borderId="6" xfId="15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vertical="center" wrapText="1"/>
    </xf>
    <xf numFmtId="166" fontId="1" fillId="0" borderId="5" xfId="15" applyNumberFormat="1" applyFont="1" applyFill="1" applyBorder="1" applyAlignment="1" applyProtection="1">
      <alignment vertical="center"/>
      <protection/>
    </xf>
    <xf numFmtId="166" fontId="2" fillId="0" borderId="5" xfId="15" applyNumberFormat="1" applyFont="1" applyFill="1" applyBorder="1" applyAlignment="1" applyProtection="1">
      <alignment horizontal="right" vertical="center"/>
      <protection/>
    </xf>
    <xf numFmtId="166" fontId="1" fillId="0" borderId="0" xfId="15" applyNumberFormat="1" applyFont="1" applyFill="1" applyBorder="1" applyAlignment="1" applyProtection="1">
      <alignment horizontal="center" wrapText="1"/>
      <protection/>
    </xf>
    <xf numFmtId="49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66" fontId="2" fillId="0" borderId="5" xfId="0" applyNumberFormat="1" applyFont="1" applyBorder="1" applyAlignment="1">
      <alignment/>
    </xf>
    <xf numFmtId="166" fontId="1" fillId="0" borderId="5" xfId="15" applyNumberFormat="1" applyFont="1" applyFill="1" applyBorder="1" applyAlignment="1" applyProtection="1">
      <alignment horizontal="center" wrapText="1"/>
      <protection/>
    </xf>
    <xf numFmtId="166" fontId="2" fillId="0" borderId="5" xfId="15" applyNumberFormat="1" applyFont="1" applyFill="1" applyBorder="1" applyAlignment="1" applyProtection="1">
      <alignment wrapText="1"/>
      <protection/>
    </xf>
    <xf numFmtId="166" fontId="1" fillId="0" borderId="5" xfId="15" applyNumberFormat="1" applyFont="1" applyFill="1" applyBorder="1" applyAlignment="1" applyProtection="1">
      <alignment horizontal="center"/>
      <protection/>
    </xf>
    <xf numFmtId="166" fontId="2" fillId="0" borderId="5" xfId="15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166" fontId="1" fillId="0" borderId="0" xfId="15" applyNumberFormat="1" applyFont="1" applyFill="1" applyBorder="1" applyAlignment="1" applyProtection="1" quotePrefix="1">
      <alignment/>
      <protection/>
    </xf>
    <xf numFmtId="49" fontId="1" fillId="0" borderId="0" xfId="15" applyNumberFormat="1" applyFont="1" applyFill="1" applyBorder="1" applyAlignment="1" applyProtection="1">
      <alignment horizontal="center" wrapText="1"/>
      <protection/>
    </xf>
    <xf numFmtId="9" fontId="1" fillId="0" borderId="0" xfId="0" applyNumberFormat="1" applyFont="1" applyAlignment="1">
      <alignment/>
    </xf>
    <xf numFmtId="49" fontId="1" fillId="0" borderId="6" xfId="15" applyNumberFormat="1" applyFont="1" applyFill="1" applyBorder="1" applyAlignment="1" applyProtection="1">
      <alignment horizontal="left" vertical="center" wrapText="1"/>
      <protection/>
    </xf>
    <xf numFmtId="0" fontId="1" fillId="0" borderId="6" xfId="0" applyFont="1" applyBorder="1" applyAlignment="1">
      <alignment/>
    </xf>
    <xf numFmtId="166" fontId="2" fillId="0" borderId="6" xfId="15" applyNumberFormat="1" applyFont="1" applyFill="1" applyBorder="1" applyAlignment="1" applyProtection="1">
      <alignment/>
      <protection/>
    </xf>
    <xf numFmtId="49" fontId="1" fillId="0" borderId="6" xfId="15" applyNumberFormat="1" applyFont="1" applyFill="1" applyBorder="1" applyAlignment="1" applyProtection="1">
      <alignment horizontal="left" wrapText="1"/>
      <protection/>
    </xf>
    <xf numFmtId="166" fontId="2" fillId="0" borderId="6" xfId="15" applyNumberFormat="1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166" fontId="1" fillId="0" borderId="6" xfId="15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>
      <alignment vertical="center"/>
    </xf>
    <xf numFmtId="49" fontId="2" fillId="0" borderId="0" xfId="15" applyNumberFormat="1" applyFont="1" applyFill="1" applyBorder="1" applyAlignment="1" applyProtection="1">
      <alignment horizontal="left" wrapText="1"/>
      <protection/>
    </xf>
    <xf numFmtId="0" fontId="2" fillId="0" borderId="5" xfId="0" applyFont="1" applyBorder="1" applyAlignment="1">
      <alignment vertical="center"/>
    </xf>
    <xf numFmtId="166" fontId="2" fillId="0" borderId="6" xfId="15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167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6" fontId="1" fillId="0" borderId="0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0" fontId="22" fillId="0" borderId="5" xfId="0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0" borderId="0" xfId="15" applyNumberFormat="1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 vertical="center"/>
    </xf>
    <xf numFmtId="166" fontId="27" fillId="0" borderId="0" xfId="15" applyNumberFormat="1" applyFont="1" applyFill="1" applyBorder="1" applyAlignment="1" applyProtection="1">
      <alignment horizontal="center" wrapText="1"/>
      <protection/>
    </xf>
    <xf numFmtId="166" fontId="27" fillId="0" borderId="5" xfId="15" applyNumberFormat="1" applyFont="1" applyFill="1" applyBorder="1" applyAlignment="1" applyProtection="1">
      <alignment horizontal="center" wrapText="1"/>
      <protection/>
    </xf>
    <xf numFmtId="49" fontId="2" fillId="0" borderId="2" xfId="15" applyNumberFormat="1" applyFont="1" applyFill="1" applyBorder="1" applyAlignment="1" applyProtection="1">
      <alignment horizontal="center" vertical="center" wrapText="1"/>
      <protection/>
    </xf>
    <xf numFmtId="166" fontId="2" fillId="0" borderId="7" xfId="15" applyNumberFormat="1" applyFont="1" applyFill="1" applyBorder="1" applyAlignment="1" applyProtection="1">
      <alignment/>
      <protection/>
    </xf>
    <xf numFmtId="49" fontId="1" fillId="0" borderId="8" xfId="15" applyNumberFormat="1" applyFont="1" applyFill="1" applyBorder="1" applyAlignment="1" applyProtection="1">
      <alignment horizontal="center" vertical="center" wrapText="1"/>
      <protection/>
    </xf>
    <xf numFmtId="49" fontId="1" fillId="0" borderId="9" xfId="15" applyNumberFormat="1" applyFont="1" applyFill="1" applyBorder="1" applyAlignment="1" applyProtection="1">
      <alignment horizontal="center" vertical="center" wrapText="1"/>
      <protection/>
    </xf>
    <xf numFmtId="49" fontId="1" fillId="0" borderId="10" xfId="15" applyNumberFormat="1" applyFont="1" applyFill="1" applyBorder="1" applyAlignment="1" applyProtection="1">
      <alignment horizontal="center" vertical="center" wrapText="1"/>
      <protection/>
    </xf>
    <xf numFmtId="49" fontId="2" fillId="0" borderId="11" xfId="15" applyNumberFormat="1" applyFont="1" applyFill="1" applyBorder="1" applyAlignment="1" applyProtection="1">
      <alignment vertical="center" wrapText="1"/>
      <protection/>
    </xf>
    <xf numFmtId="166" fontId="20" fillId="0" borderId="0" xfId="15" applyNumberFormat="1" applyFont="1" applyFill="1" applyBorder="1" applyAlignment="1" applyProtection="1">
      <alignment horizontal="center" vertical="center"/>
      <protection/>
    </xf>
    <xf numFmtId="166" fontId="23" fillId="0" borderId="3" xfId="15" applyNumberFormat="1" applyFont="1" applyFill="1" applyBorder="1" applyAlignment="1" applyProtection="1">
      <alignment/>
      <protection/>
    </xf>
    <xf numFmtId="166" fontId="23" fillId="0" borderId="7" xfId="15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5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33" fillId="2" borderId="5" xfId="0" applyFont="1" applyFill="1" applyBorder="1" applyAlignment="1">
      <alignment/>
    </xf>
    <xf numFmtId="3" fontId="1" fillId="0" borderId="0" xfId="0" applyNumberFormat="1" applyFont="1" applyAlignment="1">
      <alignment vertical="center" wrapText="1"/>
    </xf>
    <xf numFmtId="3" fontId="1" fillId="0" borderId="0" xfId="15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15" applyNumberFormat="1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166" fontId="8" fillId="0" borderId="0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1" fillId="0" borderId="0" xfId="1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/>
    </xf>
    <xf numFmtId="166" fontId="1" fillId="2" borderId="5" xfId="15" applyNumberFormat="1" applyFont="1" applyFill="1" applyBorder="1" applyAlignment="1" applyProtection="1">
      <alignment/>
      <protection/>
    </xf>
    <xf numFmtId="0" fontId="36" fillId="0" borderId="5" xfId="0" applyFont="1" applyBorder="1" applyAlignment="1">
      <alignment horizontal="center"/>
    </xf>
    <xf numFmtId="0" fontId="36" fillId="0" borderId="5" xfId="0" applyFont="1" applyBorder="1" applyAlignment="1">
      <alignment wrapText="1"/>
    </xf>
    <xf numFmtId="166" fontId="0" fillId="0" borderId="5" xfId="0" applyNumberFormat="1" applyBorder="1" applyAlignment="1">
      <alignment/>
    </xf>
    <xf numFmtId="166" fontId="27" fillId="0" borderId="5" xfId="15" applyNumberFormat="1" applyFont="1" applyFill="1" applyBorder="1" applyAlignment="1" applyProtection="1">
      <alignment/>
      <protection/>
    </xf>
    <xf numFmtId="0" fontId="36" fillId="0" borderId="5" xfId="0" applyFont="1" applyBorder="1" applyAlignment="1">
      <alignment/>
    </xf>
    <xf numFmtId="166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49" fontId="27" fillId="0" borderId="5" xfId="15" applyNumberFormat="1" applyFont="1" applyFill="1" applyBorder="1" applyAlignment="1" applyProtection="1">
      <alignment vertical="center" wrapText="1"/>
      <protection/>
    </xf>
    <xf numFmtId="49" fontId="1" fillId="0" borderId="5" xfId="15" applyNumberFormat="1" applyFont="1" applyFill="1" applyBorder="1" applyAlignment="1" applyProtection="1">
      <alignment horizontal="center" vertical="center" wrapText="1"/>
      <protection/>
    </xf>
    <xf numFmtId="49" fontId="27" fillId="0" borderId="5" xfId="15" applyNumberFormat="1" applyFont="1" applyFill="1" applyBorder="1" applyAlignment="1" applyProtection="1">
      <alignment horizontal="center" vertical="center" wrapText="1"/>
      <protection/>
    </xf>
    <xf numFmtId="49" fontId="1" fillId="0" borderId="5" xfId="15" applyNumberFormat="1" applyFont="1" applyFill="1" applyBorder="1" applyAlignment="1" applyProtection="1">
      <alignment vertical="center" wrapText="1"/>
      <protection/>
    </xf>
    <xf numFmtId="0" fontId="4" fillId="0" borderId="5" xfId="0" applyFont="1" applyBorder="1" applyAlignment="1">
      <alignment horizontal="center" vertical="center" textRotation="90"/>
    </xf>
    <xf numFmtId="49" fontId="3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6" fontId="2" fillId="0" borderId="5" xfId="15" applyNumberFormat="1" applyFont="1" applyFill="1" applyBorder="1" applyAlignment="1" applyProtection="1">
      <alignment vertical="center"/>
      <protection/>
    </xf>
    <xf numFmtId="168" fontId="1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166" fontId="27" fillId="0" borderId="5" xfId="15" applyNumberFormat="1" applyFont="1" applyFill="1" applyBorder="1" applyAlignment="1" applyProtection="1">
      <alignment horizontal="center" vertical="center"/>
      <protection/>
    </xf>
    <xf numFmtId="49" fontId="2" fillId="0" borderId="5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>
      <alignment horizontal="center" vertical="center" textRotation="90"/>
    </xf>
    <xf numFmtId="166" fontId="1" fillId="0" borderId="5" xfId="15" applyNumberFormat="1" applyFont="1" applyFill="1" applyBorder="1" applyAlignment="1" applyProtection="1">
      <alignment horizontal="center" vertical="center" wrapText="1"/>
      <protection/>
    </xf>
    <xf numFmtId="166" fontId="2" fillId="0" borderId="5" xfId="15" applyNumberFormat="1" applyFont="1" applyFill="1" applyBorder="1" applyAlignment="1" applyProtection="1">
      <alignment horizontal="center" vertical="center" wrapText="1"/>
      <protection/>
    </xf>
    <xf numFmtId="0" fontId="36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38" fillId="0" borderId="5" xfId="0" applyFont="1" applyBorder="1" applyAlignment="1">
      <alignment horizontal="left" vertical="center"/>
    </xf>
    <xf numFmtId="0" fontId="32" fillId="0" borderId="5" xfId="0" applyFont="1" applyBorder="1" applyAlignment="1">
      <alignment vertical="center" wrapText="1"/>
    </xf>
    <xf numFmtId="166" fontId="36" fillId="0" borderId="5" xfId="1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/>
    </xf>
    <xf numFmtId="166" fontId="36" fillId="0" borderId="5" xfId="15" applyNumberFormat="1" applyFont="1" applyFill="1" applyBorder="1" applyAlignment="1" applyProtection="1">
      <alignment horizontal="center" vertical="center"/>
      <protection/>
    </xf>
    <xf numFmtId="0" fontId="36" fillId="0" borderId="5" xfId="0" applyFont="1" applyBorder="1" applyAlignment="1">
      <alignment/>
    </xf>
    <xf numFmtId="166" fontId="36" fillId="0" borderId="5" xfId="15" applyNumberFormat="1" applyFont="1" applyFill="1" applyBorder="1" applyAlignment="1" applyProtection="1">
      <alignment/>
      <protection/>
    </xf>
    <xf numFmtId="166" fontId="36" fillId="0" borderId="5" xfId="0" applyNumberFormat="1" applyFont="1" applyBorder="1" applyAlignment="1">
      <alignment/>
    </xf>
    <xf numFmtId="49" fontId="1" fillId="0" borderId="19" xfId="15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49" fontId="42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/>
    </xf>
    <xf numFmtId="166" fontId="1" fillId="0" borderId="5" xfId="15" applyNumberFormat="1" applyFont="1" applyFill="1" applyBorder="1" applyAlignment="1" applyProtection="1">
      <alignment vertical="center" wrapText="1"/>
      <protection/>
    </xf>
    <xf numFmtId="166" fontId="34" fillId="0" borderId="5" xfId="15" applyNumberFormat="1" applyFont="1" applyFill="1" applyBorder="1" applyAlignment="1" applyProtection="1">
      <alignment vertical="center" wrapText="1"/>
      <protection/>
    </xf>
    <xf numFmtId="166" fontId="36" fillId="0" borderId="5" xfId="15" applyNumberFormat="1" applyFont="1" applyFill="1" applyBorder="1" applyAlignment="1" applyProtection="1">
      <alignment vertical="center" wrapText="1"/>
      <protection/>
    </xf>
    <xf numFmtId="166" fontId="36" fillId="0" borderId="5" xfId="15" applyNumberFormat="1" applyFont="1" applyFill="1" applyBorder="1" applyAlignment="1" applyProtection="1">
      <alignment horizontal="center"/>
      <protection/>
    </xf>
    <xf numFmtId="166" fontId="32" fillId="0" borderId="5" xfId="15" applyNumberFormat="1" applyFont="1" applyFill="1" applyBorder="1" applyAlignment="1" applyProtection="1">
      <alignment/>
      <protection/>
    </xf>
    <xf numFmtId="166" fontId="37" fillId="0" borderId="5" xfId="15" applyNumberFormat="1" applyFont="1" applyFill="1" applyBorder="1" applyAlignment="1" applyProtection="1">
      <alignment vertical="center" wrapText="1"/>
      <protection/>
    </xf>
    <xf numFmtId="166" fontId="27" fillId="0" borderId="5" xfId="15" applyNumberFormat="1" applyFont="1" applyFill="1" applyBorder="1" applyAlignment="1" applyProtection="1">
      <alignment wrapText="1"/>
      <protection/>
    </xf>
    <xf numFmtId="166" fontId="1" fillId="0" borderId="5" xfId="15" applyNumberFormat="1" applyFont="1" applyFill="1" applyBorder="1" applyAlignment="1" applyProtection="1">
      <alignment wrapText="1"/>
      <protection/>
    </xf>
    <xf numFmtId="166" fontId="2" fillId="0" borderId="5" xfId="15" applyNumberFormat="1" applyFont="1" applyFill="1" applyBorder="1" applyAlignment="1" applyProtection="1">
      <alignment vertical="center" wrapText="1"/>
      <protection/>
    </xf>
    <xf numFmtId="166" fontId="23" fillId="0" borderId="5" xfId="15" applyNumberFormat="1" applyFont="1" applyFill="1" applyBorder="1" applyAlignment="1" applyProtection="1">
      <alignment/>
      <protection/>
    </xf>
    <xf numFmtId="166" fontId="35" fillId="0" borderId="5" xfId="15" applyNumberFormat="1" applyFont="1" applyFill="1" applyBorder="1" applyAlignment="1" applyProtection="1">
      <alignment vertical="center" wrapText="1"/>
      <protection/>
    </xf>
    <xf numFmtId="166" fontId="27" fillId="0" borderId="5" xfId="15" applyNumberFormat="1" applyFont="1" applyFill="1" applyBorder="1" applyAlignment="1" applyProtection="1">
      <alignment horizontal="center"/>
      <protection/>
    </xf>
    <xf numFmtId="166" fontId="1" fillId="0" borderId="5" xfId="15" applyNumberFormat="1" applyFont="1" applyFill="1" applyBorder="1" applyAlignment="1" applyProtection="1">
      <alignment horizontal="left" vertical="center" wrapText="1"/>
      <protection/>
    </xf>
    <xf numFmtId="166" fontId="34" fillId="0" borderId="5" xfId="15" applyNumberFormat="1" applyFont="1" applyFill="1" applyBorder="1" applyAlignment="1" applyProtection="1">
      <alignment horizontal="left" vertical="center" wrapText="1"/>
      <protection/>
    </xf>
    <xf numFmtId="0" fontId="36" fillId="0" borderId="5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7" xfId="15" applyNumberFormat="1" applyFont="1" applyFill="1" applyBorder="1" applyAlignment="1" applyProtection="1">
      <alignment vertical="center" wrapText="1"/>
      <protection/>
    </xf>
    <xf numFmtId="49" fontId="2" fillId="0" borderId="3" xfId="15" applyNumberFormat="1" applyFont="1" applyFill="1" applyBorder="1" applyAlignment="1" applyProtection="1">
      <alignment horizontal="center" vertical="center" wrapText="1"/>
      <protection/>
    </xf>
    <xf numFmtId="49" fontId="1" fillId="0" borderId="3" xfId="15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166" fontId="42" fillId="0" borderId="5" xfId="15" applyNumberFormat="1" applyFont="1" applyFill="1" applyBorder="1" applyAlignment="1" applyProtection="1">
      <alignment vertical="center" wrapText="1"/>
      <protection/>
    </xf>
    <xf numFmtId="0" fontId="43" fillId="0" borderId="5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166" fontId="43" fillId="0" borderId="5" xfId="15" applyNumberFormat="1" applyFont="1" applyFill="1" applyBorder="1" applyAlignment="1" applyProtection="1">
      <alignment vertical="center" wrapText="1"/>
      <protection/>
    </xf>
    <xf numFmtId="166" fontId="44" fillId="0" borderId="5" xfId="15" applyNumberFormat="1" applyFont="1" applyFill="1" applyBorder="1" applyAlignment="1" applyProtection="1">
      <alignment vertical="center" wrapText="1"/>
      <protection/>
    </xf>
    <xf numFmtId="166" fontId="44" fillId="0" borderId="5" xfId="15" applyNumberFormat="1" applyFont="1" applyFill="1" applyBorder="1" applyAlignment="1" applyProtection="1">
      <alignment/>
      <protection/>
    </xf>
    <xf numFmtId="166" fontId="42" fillId="0" borderId="5" xfId="15" applyNumberFormat="1" applyFont="1" applyFill="1" applyBorder="1" applyAlignment="1" applyProtection="1">
      <alignment horizontal="left" vertical="center" wrapText="1"/>
      <protection/>
    </xf>
    <xf numFmtId="49" fontId="45" fillId="0" borderId="5" xfId="0" applyNumberFormat="1" applyFont="1" applyBorder="1" applyAlignment="1">
      <alignment horizontal="center" vertical="center" wrapText="1"/>
    </xf>
    <xf numFmtId="166" fontId="45" fillId="0" borderId="5" xfId="15" applyNumberFormat="1" applyFont="1" applyFill="1" applyBorder="1" applyAlignment="1" applyProtection="1">
      <alignment vertical="center" wrapText="1"/>
      <protection/>
    </xf>
    <xf numFmtId="0" fontId="46" fillId="0" borderId="5" xfId="0" applyFont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166" fontId="46" fillId="0" borderId="5" xfId="15" applyNumberFormat="1" applyFont="1" applyFill="1" applyBorder="1" applyAlignment="1" applyProtection="1">
      <alignment vertical="center" wrapText="1"/>
      <protection/>
    </xf>
    <xf numFmtId="166" fontId="47" fillId="0" borderId="5" xfId="15" applyNumberFormat="1" applyFont="1" applyFill="1" applyBorder="1" applyAlignment="1" applyProtection="1">
      <alignment vertical="center" wrapText="1"/>
      <protection/>
    </xf>
    <xf numFmtId="166" fontId="47" fillId="0" borderId="5" xfId="15" applyNumberFormat="1" applyFont="1" applyFill="1" applyBorder="1" applyAlignment="1" applyProtection="1">
      <alignment/>
      <protection/>
    </xf>
    <xf numFmtId="166" fontId="45" fillId="0" borderId="5" xfId="15" applyNumberFormat="1" applyFont="1" applyFill="1" applyBorder="1" applyAlignment="1" applyProtection="1">
      <alignment horizontal="left" vertical="center" wrapText="1"/>
      <protection/>
    </xf>
    <xf numFmtId="0" fontId="37" fillId="0" borderId="5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166" fontId="35" fillId="0" borderId="5" xfId="15" applyNumberFormat="1" applyFont="1" applyFill="1" applyBorder="1" applyAlignment="1" applyProtection="1">
      <alignment/>
      <protection/>
    </xf>
    <xf numFmtId="166" fontId="36" fillId="0" borderId="0" xfId="15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vertical="center" wrapText="1"/>
    </xf>
    <xf numFmtId="166" fontId="36" fillId="0" borderId="7" xfId="15" applyNumberFormat="1" applyFont="1" applyFill="1" applyBorder="1" applyAlignment="1" applyProtection="1">
      <alignment/>
      <protection/>
    </xf>
    <xf numFmtId="49" fontId="2" fillId="0" borderId="20" xfId="15" applyNumberFormat="1" applyFont="1" applyFill="1" applyBorder="1" applyAlignment="1" applyProtection="1">
      <alignment horizontal="center" vertical="center" wrapText="1"/>
      <protection/>
    </xf>
    <xf numFmtId="166" fontId="2" fillId="0" borderId="20" xfId="15" applyNumberFormat="1" applyFont="1" applyFill="1" applyBorder="1" applyAlignment="1" applyProtection="1">
      <alignment/>
      <protection/>
    </xf>
    <xf numFmtId="166" fontId="36" fillId="0" borderId="20" xfId="15" applyNumberFormat="1" applyFont="1" applyFill="1" applyBorder="1" applyAlignment="1" applyProtection="1">
      <alignment/>
      <protection/>
    </xf>
    <xf numFmtId="0" fontId="3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6" fontId="2" fillId="0" borderId="14" xfId="15" applyNumberFormat="1" applyFont="1" applyFill="1" applyBorder="1" applyAlignment="1" applyProtection="1">
      <alignment/>
      <protection/>
    </xf>
    <xf numFmtId="166" fontId="2" fillId="0" borderId="15" xfId="15" applyNumberFormat="1" applyFont="1" applyFill="1" applyBorder="1" applyAlignment="1" applyProtection="1">
      <alignment/>
      <protection/>
    </xf>
    <xf numFmtId="166" fontId="36" fillId="0" borderId="14" xfId="15" applyNumberFormat="1" applyFont="1" applyFill="1" applyBorder="1" applyAlignment="1" applyProtection="1">
      <alignment/>
      <protection/>
    </xf>
    <xf numFmtId="0" fontId="36" fillId="0" borderId="14" xfId="0" applyFont="1" applyBorder="1" applyAlignment="1">
      <alignment vertical="center" wrapText="1"/>
    </xf>
    <xf numFmtId="166" fontId="1" fillId="0" borderId="14" xfId="15" applyNumberFormat="1" applyFont="1" applyFill="1" applyBorder="1" applyAlignment="1" applyProtection="1">
      <alignment/>
      <protection/>
    </xf>
    <xf numFmtId="166" fontId="2" fillId="0" borderId="16" xfId="15" applyNumberFormat="1" applyFont="1" applyFill="1" applyBorder="1" applyAlignment="1" applyProtection="1">
      <alignment/>
      <protection/>
    </xf>
    <xf numFmtId="166" fontId="2" fillId="0" borderId="17" xfId="15" applyNumberFormat="1" applyFont="1" applyFill="1" applyBorder="1" applyAlignment="1" applyProtection="1">
      <alignment/>
      <protection/>
    </xf>
    <xf numFmtId="166" fontId="2" fillId="0" borderId="18" xfId="15" applyNumberFormat="1" applyFont="1" applyFill="1" applyBorder="1" applyAlignment="1" applyProtection="1">
      <alignment/>
      <protection/>
    </xf>
    <xf numFmtId="166" fontId="34" fillId="0" borderId="0" xfId="15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6" fontId="2" fillId="0" borderId="21" xfId="15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166" fontId="1" fillId="0" borderId="15" xfId="15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vertical="center" wrapText="1"/>
    </xf>
    <xf numFmtId="166" fontId="1" fillId="0" borderId="20" xfId="15" applyNumberFormat="1" applyFont="1" applyFill="1" applyBorder="1" applyAlignment="1" applyProtection="1">
      <alignment/>
      <protection/>
    </xf>
    <xf numFmtId="166" fontId="2" fillId="0" borderId="22" xfId="15" applyNumberFormat="1" applyFont="1" applyFill="1" applyBorder="1" applyAlignment="1" applyProtection="1">
      <alignment/>
      <protection/>
    </xf>
    <xf numFmtId="49" fontId="1" fillId="0" borderId="14" xfId="15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/>
    </xf>
    <xf numFmtId="1" fontId="1" fillId="0" borderId="0" xfId="15" applyNumberFormat="1" applyFont="1" applyFill="1" applyBorder="1" applyAlignment="1" applyProtection="1">
      <alignment vertical="center" wrapText="1"/>
      <protection/>
    </xf>
    <xf numFmtId="1" fontId="2" fillId="0" borderId="0" xfId="15" applyNumberFormat="1" applyFont="1" applyFill="1" applyBorder="1" applyAlignment="1" applyProtection="1">
      <alignment vertical="center" wrapText="1"/>
      <protection/>
    </xf>
    <xf numFmtId="1" fontId="36" fillId="0" borderId="0" xfId="0" applyNumberFormat="1" applyFont="1" applyBorder="1" applyAlignment="1">
      <alignment vertical="center"/>
    </xf>
    <xf numFmtId="1" fontId="1" fillId="0" borderId="0" xfId="15" applyNumberFormat="1" applyFont="1" applyFill="1" applyBorder="1" applyAlignment="1" applyProtection="1">
      <alignment vertical="center"/>
      <protection/>
    </xf>
    <xf numFmtId="1" fontId="27" fillId="0" borderId="0" xfId="0" applyNumberFormat="1" applyFont="1" applyBorder="1" applyAlignment="1">
      <alignment vertical="center"/>
    </xf>
    <xf numFmtId="1" fontId="27" fillId="0" borderId="0" xfId="15" applyNumberFormat="1" applyFont="1" applyFill="1" applyBorder="1" applyAlignment="1" applyProtection="1">
      <alignment vertical="center" wrapText="1"/>
      <protection/>
    </xf>
    <xf numFmtId="1" fontId="27" fillId="0" borderId="0" xfId="15" applyNumberFormat="1" applyFont="1" applyFill="1" applyBorder="1" applyAlignment="1" applyProtection="1">
      <alignment vertical="center"/>
      <protection/>
    </xf>
    <xf numFmtId="1" fontId="36" fillId="0" borderId="0" xfId="15" applyNumberFormat="1" applyFont="1" applyFill="1" applyBorder="1" applyAlignment="1" applyProtection="1">
      <alignment vertical="center" wrapText="1"/>
      <protection/>
    </xf>
    <xf numFmtId="1" fontId="36" fillId="0" borderId="0" xfId="15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38" fillId="0" borderId="0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49" fontId="1" fillId="0" borderId="14" xfId="15" applyNumberFormat="1" applyFont="1" applyFill="1" applyBorder="1" applyAlignment="1" applyProtection="1">
      <alignment vertical="center" wrapText="1"/>
      <protection/>
    </xf>
    <xf numFmtId="49" fontId="2" fillId="0" borderId="15" xfId="15" applyNumberFormat="1" applyFont="1" applyFill="1" applyBorder="1" applyAlignment="1" applyProtection="1">
      <alignment vertical="center" wrapText="1"/>
      <protection/>
    </xf>
    <xf numFmtId="49" fontId="1" fillId="0" borderId="15" xfId="15" applyNumberFormat="1" applyFont="1" applyFill="1" applyBorder="1" applyAlignment="1" applyProtection="1">
      <alignment vertical="center" wrapText="1"/>
      <protection/>
    </xf>
    <xf numFmtId="166" fontId="1" fillId="0" borderId="14" xfId="15" applyNumberFormat="1" applyFont="1" applyFill="1" applyBorder="1" applyAlignment="1" applyProtection="1">
      <alignment vertical="center"/>
      <protection/>
    </xf>
    <xf numFmtId="166" fontId="1" fillId="0" borderId="15" xfId="15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 wrapText="1"/>
    </xf>
    <xf numFmtId="166" fontId="1" fillId="0" borderId="14" xfId="15" applyNumberFormat="1" applyFont="1" applyFill="1" applyBorder="1" applyAlignment="1" applyProtection="1">
      <alignment horizontal="center" vertical="center"/>
      <protection/>
    </xf>
    <xf numFmtId="49" fontId="2" fillId="0" borderId="15" xfId="15" applyNumberFormat="1" applyFont="1" applyFill="1" applyBorder="1" applyAlignment="1" applyProtection="1">
      <alignment horizontal="center" vertical="center" wrapText="1"/>
      <protection/>
    </xf>
    <xf numFmtId="166" fontId="2" fillId="0" borderId="15" xfId="15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0" xfId="0" applyFont="1" applyAlignment="1">
      <alignment/>
    </xf>
    <xf numFmtId="49" fontId="1" fillId="0" borderId="5" xfId="15" applyNumberFormat="1" applyFont="1" applyFill="1" applyBorder="1" applyAlignment="1" applyProtection="1">
      <alignment horizontal="center" wrapText="1"/>
      <protection/>
    </xf>
    <xf numFmtId="0" fontId="1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27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 wrapText="1"/>
    </xf>
    <xf numFmtId="0" fontId="3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1" fillId="0" borderId="14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49" fontId="34" fillId="0" borderId="5" xfId="15" applyNumberFormat="1" applyFont="1" applyFill="1" applyBorder="1" applyAlignment="1" applyProtection="1">
      <alignment horizontal="center" vertical="center" wrapText="1"/>
      <protection/>
    </xf>
    <xf numFmtId="0" fontId="34" fillId="0" borderId="5" xfId="0" applyFont="1" applyBorder="1" applyAlignment="1">
      <alignment/>
    </xf>
    <xf numFmtId="166" fontId="34" fillId="0" borderId="5" xfId="15" applyNumberFormat="1" applyFont="1" applyFill="1" applyBorder="1" applyAlignment="1" applyProtection="1">
      <alignment/>
      <protection/>
    </xf>
    <xf numFmtId="166" fontId="37" fillId="0" borderId="5" xfId="15" applyNumberFormat="1" applyFont="1" applyFill="1" applyBorder="1" applyAlignment="1" applyProtection="1">
      <alignment/>
      <protection/>
    </xf>
    <xf numFmtId="166" fontId="34" fillId="0" borderId="0" xfId="15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66" fontId="1" fillId="0" borderId="15" xfId="15" applyNumberFormat="1" applyFont="1" applyFill="1" applyBorder="1" applyAlignment="1" applyProtection="1">
      <alignment horizontal="center" vertical="center" wrapText="1"/>
      <protection/>
    </xf>
    <xf numFmtId="166" fontId="1" fillId="0" borderId="15" xfId="15" applyNumberFormat="1" applyFont="1" applyFill="1" applyBorder="1" applyAlignment="1" applyProtection="1">
      <alignment/>
      <protection/>
    </xf>
    <xf numFmtId="166" fontId="1" fillId="0" borderId="16" xfId="15" applyNumberFormat="1" applyFont="1" applyFill="1" applyBorder="1" applyAlignment="1" applyProtection="1">
      <alignment/>
      <protection/>
    </xf>
    <xf numFmtId="166" fontId="1" fillId="0" borderId="17" xfId="15" applyNumberFormat="1" applyFont="1" applyFill="1" applyBorder="1" applyAlignment="1" applyProtection="1">
      <alignment/>
      <protection/>
    </xf>
    <xf numFmtId="166" fontId="1" fillId="0" borderId="18" xfId="15" applyNumberFormat="1" applyFont="1" applyFill="1" applyBorder="1" applyAlignment="1" applyProtection="1">
      <alignment/>
      <protection/>
    </xf>
    <xf numFmtId="166" fontId="1" fillId="0" borderId="20" xfId="15" applyNumberFormat="1" applyFont="1" applyFill="1" applyBorder="1" applyAlignment="1" applyProtection="1">
      <alignment horizontal="center" vertical="center" wrapText="1"/>
      <protection/>
    </xf>
    <xf numFmtId="166" fontId="2" fillId="0" borderId="14" xfId="15" applyNumberFormat="1" applyFont="1" applyFill="1" applyBorder="1" applyAlignment="1" applyProtection="1">
      <alignment horizontal="center"/>
      <protection/>
    </xf>
    <xf numFmtId="166" fontId="1" fillId="0" borderId="14" xfId="15" applyNumberFormat="1" applyFont="1" applyFill="1" applyBorder="1" applyAlignment="1" applyProtection="1">
      <alignment horizontal="center"/>
      <protection/>
    </xf>
    <xf numFmtId="0" fontId="37" fillId="0" borderId="5" xfId="0" applyFont="1" applyBorder="1" applyAlignment="1">
      <alignment/>
    </xf>
    <xf numFmtId="166" fontId="35" fillId="0" borderId="5" xfId="15" applyNumberFormat="1" applyFont="1" applyFill="1" applyBorder="1" applyAlignment="1" applyProtection="1">
      <alignment horizontal="center"/>
      <protection/>
    </xf>
    <xf numFmtId="166" fontId="34" fillId="0" borderId="5" xfId="15" applyNumberFormat="1" applyFont="1" applyFill="1" applyBorder="1" applyAlignment="1" applyProtection="1">
      <alignment horizontal="center"/>
      <protection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65" fontId="1" fillId="0" borderId="0" xfId="15" applyFont="1" applyFill="1" applyBorder="1" applyAlignment="1" applyProtection="1">
      <alignment/>
      <protection/>
    </xf>
    <xf numFmtId="165" fontId="2" fillId="0" borderId="0" xfId="15" applyFont="1" applyFill="1" applyBorder="1" applyAlignment="1" applyProtection="1">
      <alignment/>
      <protection/>
    </xf>
    <xf numFmtId="165" fontId="1" fillId="0" borderId="5" xfId="15" applyFont="1" applyFill="1" applyBorder="1" applyAlignment="1" applyProtection="1">
      <alignment/>
      <protection/>
    </xf>
    <xf numFmtId="165" fontId="2" fillId="0" borderId="5" xfId="15" applyFont="1" applyFill="1" applyBorder="1" applyAlignment="1" applyProtection="1">
      <alignment/>
      <protection/>
    </xf>
    <xf numFmtId="49" fontId="1" fillId="0" borderId="12" xfId="0" applyNumberFormat="1" applyFont="1" applyBorder="1" applyAlignment="1">
      <alignment horizontal="center" vertical="center" wrapText="1"/>
    </xf>
    <xf numFmtId="166" fontId="1" fillId="0" borderId="12" xfId="15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wrapText="1"/>
    </xf>
    <xf numFmtId="165" fontId="1" fillId="0" borderId="15" xfId="15" applyFont="1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20" xfId="15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6" fontId="1" fillId="0" borderId="14" xfId="15" applyNumberFormat="1" applyFont="1" applyFill="1" applyBorder="1" applyAlignment="1" applyProtection="1">
      <alignment horizontal="center" vertical="center" wrapText="1"/>
      <protection/>
    </xf>
    <xf numFmtId="166" fontId="2" fillId="0" borderId="25" xfId="15" applyNumberFormat="1" applyFont="1" applyFill="1" applyBorder="1" applyAlignment="1" applyProtection="1">
      <alignment/>
      <protection/>
    </xf>
    <xf numFmtId="166" fontId="2" fillId="0" borderId="26" xfId="15" applyNumberFormat="1" applyFont="1" applyFill="1" applyBorder="1" applyAlignment="1" applyProtection="1">
      <alignment/>
      <protection/>
    </xf>
    <xf numFmtId="165" fontId="36" fillId="0" borderId="5" xfId="15" applyFont="1" applyFill="1" applyBorder="1" applyAlignment="1" applyProtection="1">
      <alignment/>
      <protection/>
    </xf>
    <xf numFmtId="165" fontId="36" fillId="0" borderId="15" xfId="15" applyFont="1" applyFill="1" applyBorder="1" applyAlignment="1" applyProtection="1">
      <alignment/>
      <protection/>
    </xf>
    <xf numFmtId="166" fontId="2" fillId="0" borderId="0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166" fontId="2" fillId="0" borderId="12" xfId="15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36" fillId="0" borderId="24" xfId="0" applyFont="1" applyBorder="1" applyAlignment="1">
      <alignment horizontal="center"/>
    </xf>
    <xf numFmtId="0" fontId="36" fillId="0" borderId="12" xfId="0" applyFont="1" applyBorder="1" applyAlignment="1">
      <alignment/>
    </xf>
    <xf numFmtId="166" fontId="1" fillId="0" borderId="12" xfId="15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166" fontId="6" fillId="0" borderId="5" xfId="15" applyNumberFormat="1" applyFont="1" applyFill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2" fillId="0" borderId="20" xfId="0" applyFont="1" applyBorder="1" applyAlignment="1">
      <alignment/>
    </xf>
    <xf numFmtId="166" fontId="36" fillId="0" borderId="2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0" fontId="22" fillId="0" borderId="24" xfId="0" applyFont="1" applyBorder="1" applyAlignment="1">
      <alignment horizontal="center"/>
    </xf>
    <xf numFmtId="166" fontId="1" fillId="0" borderId="14" xfId="15" applyNumberFormat="1" applyFont="1" applyFill="1" applyBorder="1" applyAlignment="1" applyProtection="1">
      <alignment horizontal="center" wrapText="1"/>
      <protection/>
    </xf>
    <xf numFmtId="166" fontId="1" fillId="0" borderId="15" xfId="15" applyNumberFormat="1" applyFont="1" applyFill="1" applyBorder="1" applyAlignment="1" applyProtection="1">
      <alignment horizontal="center" wrapText="1"/>
      <protection/>
    </xf>
    <xf numFmtId="0" fontId="1" fillId="0" borderId="15" xfId="0" applyFont="1" applyBorder="1" applyAlignment="1">
      <alignment/>
    </xf>
    <xf numFmtId="49" fontId="1" fillId="0" borderId="27" xfId="15" applyNumberFormat="1" applyFont="1" applyFill="1" applyBorder="1" applyAlignment="1" applyProtection="1">
      <alignment/>
      <protection/>
    </xf>
    <xf numFmtId="0" fontId="2" fillId="0" borderId="28" xfId="0" applyFont="1" applyBorder="1" applyAlignment="1">
      <alignment/>
    </xf>
    <xf numFmtId="166" fontId="2" fillId="0" borderId="28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166" fontId="2" fillId="0" borderId="27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36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166" fontId="36" fillId="0" borderId="13" xfId="0" applyNumberFormat="1" applyFont="1" applyBorder="1" applyAlignment="1">
      <alignment/>
    </xf>
    <xf numFmtId="0" fontId="2" fillId="0" borderId="32" xfId="0" applyFont="1" applyBorder="1" applyAlignment="1">
      <alignment/>
    </xf>
    <xf numFmtId="166" fontId="36" fillId="0" borderId="28" xfId="0" applyNumberFormat="1" applyFont="1" applyBorder="1" applyAlignment="1">
      <alignment/>
    </xf>
    <xf numFmtId="0" fontId="2" fillId="0" borderId="5" xfId="0" applyFont="1" applyBorder="1" applyAlignment="1">
      <alignment wrapText="1"/>
    </xf>
    <xf numFmtId="166" fontId="1" fillId="0" borderId="5" xfId="15" applyNumberFormat="1" applyFont="1" applyFill="1" applyBorder="1" applyAlignment="1" applyProtection="1">
      <alignment horizontal="center" vertical="justify"/>
      <protection/>
    </xf>
    <xf numFmtId="166" fontId="2" fillId="0" borderId="15" xfId="0" applyNumberFormat="1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36" fillId="0" borderId="5" xfId="0" applyFont="1" applyBorder="1" applyAlignment="1">
      <alignment horizontal="center" vertical="justify"/>
    </xf>
    <xf numFmtId="166" fontId="2" fillId="0" borderId="5" xfId="15" applyNumberFormat="1" applyFont="1" applyFill="1" applyBorder="1" applyAlignment="1" applyProtection="1">
      <alignment horizontal="center" vertical="justify"/>
      <protection/>
    </xf>
    <xf numFmtId="0" fontId="2" fillId="0" borderId="17" xfId="0" applyFont="1" applyBorder="1" applyAlignment="1">
      <alignment horizontal="center" vertical="justify"/>
    </xf>
    <xf numFmtId="166" fontId="36" fillId="0" borderId="0" xfId="15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 vertical="center"/>
    </xf>
    <xf numFmtId="1" fontId="1" fillId="0" borderId="15" xfId="15" applyNumberFormat="1" applyFont="1" applyFill="1" applyBorder="1" applyAlignment="1" applyProtection="1">
      <alignment/>
      <protection/>
    </xf>
    <xf numFmtId="1" fontId="36" fillId="0" borderId="15" xfId="15" applyNumberFormat="1" applyFont="1" applyFill="1" applyBorder="1" applyAlignment="1" applyProtection="1">
      <alignment/>
      <protection/>
    </xf>
    <xf numFmtId="1" fontId="2" fillId="0" borderId="15" xfId="15" applyNumberFormat="1" applyFont="1" applyFill="1" applyBorder="1" applyAlignment="1" applyProtection="1">
      <alignment/>
      <protection/>
    </xf>
    <xf numFmtId="166" fontId="36" fillId="0" borderId="0" xfId="15" applyNumberFormat="1" applyFont="1" applyFill="1" applyBorder="1" applyAlignment="1" applyProtection="1">
      <alignment horizontal="center"/>
      <protection/>
    </xf>
    <xf numFmtId="49" fontId="1" fillId="0" borderId="34" xfId="15" applyNumberFormat="1" applyFont="1" applyFill="1" applyBorder="1" applyAlignment="1" applyProtection="1">
      <alignment horizontal="center" vertical="center" wrapText="1"/>
      <protection/>
    </xf>
    <xf numFmtId="49" fontId="1" fillId="0" borderId="32" xfId="15" applyNumberFormat="1" applyFont="1" applyFill="1" applyBorder="1" applyAlignment="1" applyProtection="1">
      <alignment horizontal="center" vertical="center" wrapText="1"/>
      <protection/>
    </xf>
    <xf numFmtId="166" fontId="2" fillId="0" borderId="32" xfId="15" applyNumberFormat="1" applyFont="1" applyFill="1" applyBorder="1" applyAlignment="1" applyProtection="1">
      <alignment/>
      <protection/>
    </xf>
    <xf numFmtId="166" fontId="1" fillId="0" borderId="32" xfId="15" applyNumberFormat="1" applyFont="1" applyFill="1" applyBorder="1" applyAlignment="1" applyProtection="1">
      <alignment/>
      <protection/>
    </xf>
    <xf numFmtId="166" fontId="36" fillId="0" borderId="32" xfId="15" applyNumberFormat="1" applyFont="1" applyFill="1" applyBorder="1" applyAlignment="1" applyProtection="1">
      <alignment/>
      <protection/>
    </xf>
    <xf numFmtId="166" fontId="36" fillId="0" borderId="35" xfId="15" applyNumberFormat="1" applyFont="1" applyFill="1" applyBorder="1" applyAlignment="1" applyProtection="1">
      <alignment/>
      <protection/>
    </xf>
    <xf numFmtId="166" fontId="2" fillId="0" borderId="33" xfId="15" applyNumberFormat="1" applyFont="1" applyFill="1" applyBorder="1" applyAlignment="1" applyProtection="1">
      <alignment/>
      <protection/>
    </xf>
    <xf numFmtId="49" fontId="2" fillId="0" borderId="0" xfId="15" applyNumberFormat="1" applyFont="1" applyFill="1" applyBorder="1" applyAlignment="1" applyProtection="1">
      <alignment vertical="center" wrapText="1"/>
      <protection/>
    </xf>
    <xf numFmtId="49" fontId="48" fillId="0" borderId="5" xfId="0" applyNumberFormat="1" applyFont="1" applyBorder="1" applyAlignment="1">
      <alignment horizontal="center" vertical="center" wrapText="1"/>
    </xf>
    <xf numFmtId="166" fontId="48" fillId="0" borderId="5" xfId="15" applyNumberFormat="1" applyFont="1" applyFill="1" applyBorder="1" applyAlignment="1" applyProtection="1">
      <alignment/>
      <protection/>
    </xf>
    <xf numFmtId="0" fontId="49" fillId="0" borderId="5" xfId="0" applyFont="1" applyBorder="1" applyAlignment="1">
      <alignment/>
    </xf>
    <xf numFmtId="166" fontId="50" fillId="0" borderId="5" xfId="15" applyNumberFormat="1" applyFont="1" applyFill="1" applyBorder="1" applyAlignment="1" applyProtection="1">
      <alignment horizontal="center"/>
      <protection/>
    </xf>
    <xf numFmtId="166" fontId="48" fillId="0" borderId="5" xfId="15" applyNumberFormat="1" applyFont="1" applyFill="1" applyBorder="1" applyAlignment="1" applyProtection="1">
      <alignment horizontal="center"/>
      <protection/>
    </xf>
    <xf numFmtId="166" fontId="49" fillId="0" borderId="5" xfId="15" applyNumberFormat="1" applyFont="1" applyFill="1" applyBorder="1" applyAlignment="1" applyProtection="1">
      <alignment/>
      <protection/>
    </xf>
    <xf numFmtId="0" fontId="50" fillId="0" borderId="17" xfId="0" applyFont="1" applyBorder="1" applyAlignment="1">
      <alignment/>
    </xf>
    <xf numFmtId="166" fontId="42" fillId="0" borderId="5" xfId="15" applyNumberFormat="1" applyFont="1" applyFill="1" applyBorder="1" applyAlignment="1" applyProtection="1">
      <alignment/>
      <protection/>
    </xf>
    <xf numFmtId="0" fontId="43" fillId="0" borderId="5" xfId="0" applyFont="1" applyBorder="1" applyAlignment="1">
      <alignment/>
    </xf>
    <xf numFmtId="166" fontId="44" fillId="0" borderId="5" xfId="15" applyNumberFormat="1" applyFont="1" applyFill="1" applyBorder="1" applyAlignment="1" applyProtection="1">
      <alignment horizontal="center"/>
      <protection/>
    </xf>
    <xf numFmtId="166" fontId="42" fillId="0" borderId="5" xfId="15" applyNumberFormat="1" applyFont="1" applyFill="1" applyBorder="1" applyAlignment="1" applyProtection="1">
      <alignment horizontal="center"/>
      <protection/>
    </xf>
    <xf numFmtId="166" fontId="43" fillId="0" borderId="5" xfId="15" applyNumberFormat="1" applyFont="1" applyFill="1" applyBorder="1" applyAlignment="1" applyProtection="1">
      <alignment/>
      <protection/>
    </xf>
    <xf numFmtId="0" fontId="44" fillId="0" borderId="17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166" fontId="36" fillId="0" borderId="15" xfId="15" applyNumberFormat="1" applyFont="1" applyFill="1" applyBorder="1" applyAlignment="1" applyProtection="1">
      <alignment/>
      <protection/>
    </xf>
    <xf numFmtId="0" fontId="36" fillId="0" borderId="15" xfId="0" applyFont="1" applyBorder="1" applyAlignment="1">
      <alignment vertical="center" wrapText="1"/>
    </xf>
    <xf numFmtId="0" fontId="51" fillId="0" borderId="0" xfId="0" applyFont="1" applyAlignment="1">
      <alignment/>
    </xf>
    <xf numFmtId="0" fontId="36" fillId="0" borderId="0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/>
    </xf>
    <xf numFmtId="0" fontId="36" fillId="0" borderId="20" xfId="0" applyFont="1" applyBorder="1" applyAlignment="1">
      <alignment wrapText="1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4" xfId="15" applyNumberFormat="1" applyFont="1" applyFill="1" applyBorder="1" applyAlignment="1" applyProtection="1">
      <alignment horizontal="center" wrapText="1"/>
      <protection/>
    </xf>
    <xf numFmtId="166" fontId="1" fillId="0" borderId="21" xfId="15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wrapText="1"/>
    </xf>
    <xf numFmtId="166" fontId="1" fillId="0" borderId="24" xfId="15" applyNumberFormat="1" applyFont="1" applyFill="1" applyBorder="1" applyAlignment="1" applyProtection="1">
      <alignment/>
      <protection/>
    </xf>
    <xf numFmtId="0" fontId="1" fillId="0" borderId="36" xfId="0" applyFont="1" applyBorder="1" applyAlignment="1">
      <alignment/>
    </xf>
    <xf numFmtId="166" fontId="1" fillId="0" borderId="30" xfId="15" applyNumberFormat="1" applyFont="1" applyFill="1" applyBorder="1" applyAlignment="1" applyProtection="1">
      <alignment/>
      <protection/>
    </xf>
    <xf numFmtId="166" fontId="2" fillId="0" borderId="28" xfId="15" applyNumberFormat="1" applyFont="1" applyFill="1" applyBorder="1" applyAlignment="1" applyProtection="1">
      <alignment/>
      <protection/>
    </xf>
    <xf numFmtId="166" fontId="2" fillId="0" borderId="29" xfId="15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6" fontId="2" fillId="0" borderId="5" xfId="1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166" fontId="36" fillId="0" borderId="0" xfId="15" applyNumberFormat="1" applyFont="1" applyFill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166" fontId="39" fillId="0" borderId="0" xfId="15" applyNumberFormat="1" applyFont="1" applyFill="1" applyBorder="1" applyAlignment="1" applyProtection="1">
      <alignment vertical="center"/>
      <protection/>
    </xf>
    <xf numFmtId="0" fontId="3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6" fontId="36" fillId="0" borderId="0" xfId="15" applyNumberFormat="1" applyFont="1" applyFill="1" applyBorder="1" applyAlignment="1" applyProtection="1">
      <alignment horizontal="left"/>
      <protection/>
    </xf>
    <xf numFmtId="0" fontId="39" fillId="0" borderId="0" xfId="0" applyFont="1" applyAlignment="1">
      <alignment horizontal="left"/>
    </xf>
    <xf numFmtId="166" fontId="36" fillId="0" borderId="0" xfId="15" applyNumberFormat="1" applyFont="1" applyFill="1" applyBorder="1" applyAlignment="1" applyProtection="1">
      <alignment horizontal="right" vertical="center"/>
      <protection/>
    </xf>
    <xf numFmtId="3" fontId="36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3" fontId="36" fillId="0" borderId="0" xfId="15" applyNumberFormat="1" applyFont="1" applyFill="1" applyBorder="1" applyAlignment="1" applyProtection="1">
      <alignment vertical="center" wrapText="1"/>
      <protection/>
    </xf>
    <xf numFmtId="3" fontId="36" fillId="0" borderId="0" xfId="15" applyNumberFormat="1" applyFont="1" applyFill="1" applyBorder="1" applyAlignment="1" applyProtection="1">
      <alignment vertical="center"/>
      <protection/>
    </xf>
    <xf numFmtId="3" fontId="39" fillId="0" borderId="0" xfId="15" applyNumberFormat="1" applyFont="1" applyFill="1" applyBorder="1" applyAlignment="1" applyProtection="1">
      <alignment vertical="center"/>
      <protection/>
    </xf>
    <xf numFmtId="0" fontId="33" fillId="0" borderId="5" xfId="0" applyFont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0" borderId="5" xfId="0" applyFont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52" fillId="0" borderId="5" xfId="0" applyFont="1" applyBorder="1" applyAlignment="1">
      <alignment/>
    </xf>
    <xf numFmtId="0" fontId="52" fillId="0" borderId="5" xfId="0" applyFont="1" applyBorder="1" applyAlignment="1">
      <alignment/>
    </xf>
    <xf numFmtId="0" fontId="33" fillId="0" borderId="5" xfId="0" applyFont="1" applyBorder="1" applyAlignment="1">
      <alignment/>
    </xf>
    <xf numFmtId="0" fontId="52" fillId="2" borderId="5" xfId="0" applyFont="1" applyFill="1" applyBorder="1" applyAlignment="1">
      <alignment/>
    </xf>
    <xf numFmtId="0" fontId="52" fillId="0" borderId="5" xfId="0" applyFont="1" applyBorder="1" applyAlignment="1">
      <alignment horizontal="left"/>
    </xf>
    <xf numFmtId="0" fontId="33" fillId="0" borderId="5" xfId="0" applyFont="1" applyFill="1" applyBorder="1" applyAlignment="1">
      <alignment/>
    </xf>
    <xf numFmtId="0" fontId="33" fillId="2" borderId="5" xfId="0" applyFont="1" applyFill="1" applyBorder="1" applyAlignment="1">
      <alignment wrapText="1"/>
    </xf>
    <xf numFmtId="0" fontId="33" fillId="0" borderId="5" xfId="0" applyFont="1" applyFill="1" applyBorder="1" applyAlignment="1">
      <alignment wrapText="1"/>
    </xf>
    <xf numFmtId="166" fontId="20" fillId="0" borderId="0" xfId="15" applyNumberFormat="1" applyFont="1" applyFill="1" applyBorder="1" applyAlignment="1" applyProtection="1">
      <alignment horizontal="right" vertical="center" wrapText="1"/>
      <protection/>
    </xf>
    <xf numFmtId="166" fontId="53" fillId="0" borderId="0" xfId="15" applyNumberFormat="1" applyFont="1" applyFill="1" applyBorder="1" applyAlignment="1" applyProtection="1">
      <alignment vertical="center" wrapText="1"/>
      <protection/>
    </xf>
    <xf numFmtId="1" fontId="53" fillId="0" borderId="0" xfId="15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3" fillId="0" borderId="5" xfId="15" applyNumberFormat="1" applyFont="1" applyFill="1" applyBorder="1" applyAlignment="1" applyProtection="1">
      <alignment horizontal="center" vertical="center" wrapText="1"/>
      <protection/>
    </xf>
    <xf numFmtId="49" fontId="1" fillId="3" borderId="2" xfId="15" applyNumberFormat="1" applyFont="1" applyFill="1" applyBorder="1" applyAlignment="1" applyProtection="1">
      <alignment horizontal="center" vertical="center" wrapText="1"/>
      <protection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5" xfId="15" applyNumberFormat="1" applyFont="1" applyFill="1" applyBorder="1" applyAlignment="1" applyProtection="1">
      <alignment horizontal="center" vertical="center" wrapText="1"/>
      <protection/>
    </xf>
    <xf numFmtId="166" fontId="1" fillId="3" borderId="5" xfId="15" applyNumberFormat="1" applyFont="1" applyFill="1" applyBorder="1" applyAlignment="1" applyProtection="1">
      <alignment/>
      <protection/>
    </xf>
    <xf numFmtId="166" fontId="1" fillId="3" borderId="5" xfId="15" applyNumberFormat="1" applyFont="1" applyFill="1" applyBorder="1" applyAlignment="1" applyProtection="1">
      <alignment vertical="center" wrapText="1"/>
      <protection/>
    </xf>
    <xf numFmtId="0" fontId="36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66" fontId="36" fillId="3" borderId="5" xfId="15" applyNumberFormat="1" applyFont="1" applyFill="1" applyBorder="1" applyAlignment="1" applyProtection="1">
      <alignment/>
      <protection/>
    </xf>
    <xf numFmtId="166" fontId="36" fillId="3" borderId="5" xfId="15" applyNumberFormat="1" applyFont="1" applyFill="1" applyBorder="1" applyAlignment="1" applyProtection="1">
      <alignment vertical="center" wrapText="1"/>
      <protection/>
    </xf>
    <xf numFmtId="166" fontId="1" fillId="3" borderId="5" xfId="15" applyNumberFormat="1" applyFont="1" applyFill="1" applyBorder="1" applyAlignment="1" applyProtection="1">
      <alignment wrapText="1"/>
      <protection/>
    </xf>
    <xf numFmtId="166" fontId="2" fillId="3" borderId="5" xfId="15" applyNumberFormat="1" applyFont="1" applyFill="1" applyBorder="1" applyAlignment="1" applyProtection="1">
      <alignment/>
      <protection/>
    </xf>
    <xf numFmtId="166" fontId="2" fillId="3" borderId="5" xfId="15" applyNumberFormat="1" applyFont="1" applyFill="1" applyBorder="1" applyAlignment="1" applyProtection="1">
      <alignment vertical="center" wrapText="1"/>
      <protection/>
    </xf>
    <xf numFmtId="166" fontId="1" fillId="3" borderId="5" xfId="15" applyNumberFormat="1" applyFont="1" applyFill="1" applyBorder="1" applyAlignment="1" applyProtection="1">
      <alignment horizontal="left" vertical="center" wrapText="1"/>
      <protection/>
    </xf>
    <xf numFmtId="0" fontId="2" fillId="3" borderId="17" xfId="0" applyFont="1" applyFill="1" applyBorder="1" applyAlignment="1">
      <alignment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166" fontId="1" fillId="4" borderId="5" xfId="15" applyNumberFormat="1" applyFont="1" applyFill="1" applyBorder="1" applyAlignment="1" applyProtection="1">
      <alignment vertical="center" wrapText="1"/>
      <protection/>
    </xf>
    <xf numFmtId="0" fontId="36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166" fontId="36" fillId="4" borderId="5" xfId="15" applyNumberFormat="1" applyFont="1" applyFill="1" applyBorder="1" applyAlignment="1" applyProtection="1">
      <alignment vertical="center" wrapText="1"/>
      <protection/>
    </xf>
    <xf numFmtId="166" fontId="2" fillId="4" borderId="5" xfId="15" applyNumberFormat="1" applyFont="1" applyFill="1" applyBorder="1" applyAlignment="1" applyProtection="1">
      <alignment vertical="center" wrapText="1"/>
      <protection/>
    </xf>
    <xf numFmtId="166" fontId="2" fillId="4" borderId="5" xfId="15" applyNumberFormat="1" applyFont="1" applyFill="1" applyBorder="1" applyAlignment="1" applyProtection="1">
      <alignment/>
      <protection/>
    </xf>
    <xf numFmtId="166" fontId="1" fillId="4" borderId="5" xfId="15" applyNumberFormat="1" applyFont="1" applyFill="1" applyBorder="1" applyAlignment="1" applyProtection="1">
      <alignment horizontal="left" vertical="center" wrapText="1"/>
      <protection/>
    </xf>
    <xf numFmtId="0" fontId="2" fillId="4" borderId="17" xfId="0" applyFont="1" applyFill="1" applyBorder="1" applyAlignment="1">
      <alignment vertical="center" wrapText="1"/>
    </xf>
    <xf numFmtId="0" fontId="2" fillId="0" borderId="32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36" fillId="0" borderId="32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168" fontId="1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6" fontId="2" fillId="0" borderId="28" xfId="15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4" xfId="15" applyNumberFormat="1" applyFont="1" applyFill="1" applyBorder="1" applyAlignment="1" applyProtection="1">
      <alignment horizontal="center"/>
      <protection/>
    </xf>
    <xf numFmtId="49" fontId="1" fillId="0" borderId="12" xfId="1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166" fontId="1" fillId="0" borderId="5" xfId="15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166" fontId="5" fillId="0" borderId="0" xfId="1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15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/>
    </xf>
    <xf numFmtId="0" fontId="22" fillId="0" borderId="5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49" fontId="1" fillId="0" borderId="13" xfId="15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3" xfId="15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6" fontId="2" fillId="0" borderId="44" xfId="15" applyNumberFormat="1" applyFont="1" applyFill="1" applyBorder="1" applyAlignment="1" applyProtection="1">
      <alignment horizontal="center" vertical="center" wrapText="1"/>
      <protection/>
    </xf>
    <xf numFmtId="166" fontId="2" fillId="0" borderId="45" xfId="15" applyNumberFormat="1" applyFont="1" applyFill="1" applyBorder="1" applyAlignment="1" applyProtection="1">
      <alignment horizontal="center" vertical="center" wrapText="1"/>
      <protection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4" xfId="15" applyNumberFormat="1" applyFont="1" applyFill="1" applyBorder="1" applyAlignment="1" applyProtection="1">
      <alignment horizontal="center" vertical="center"/>
      <protection/>
    </xf>
    <xf numFmtId="49" fontId="1" fillId="0" borderId="30" xfId="15" applyNumberFormat="1" applyFont="1" applyFill="1" applyBorder="1" applyAlignment="1" applyProtection="1">
      <alignment horizontal="center" vertical="center"/>
      <protection/>
    </xf>
    <xf numFmtId="49" fontId="1" fillId="0" borderId="13" xfId="15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2" fillId="0" borderId="40" xfId="0" applyNumberFormat="1" applyFont="1" applyBorder="1" applyAlignment="1">
      <alignment vertical="center" textRotation="90" wrapText="1"/>
    </xf>
    <xf numFmtId="0" fontId="22" fillId="0" borderId="52" xfId="0" applyFont="1" applyBorder="1" applyAlignment="1">
      <alignment vertical="center" textRotation="90"/>
    </xf>
    <xf numFmtId="0" fontId="22" fillId="0" borderId="37" xfId="0" applyFont="1" applyBorder="1" applyAlignment="1">
      <alignment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5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166" fontId="1" fillId="0" borderId="0" xfId="1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6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4">
      <selection activeCell="B18" sqref="B18"/>
    </sheetView>
  </sheetViews>
  <sheetFormatPr defaultColWidth="9.140625" defaultRowHeight="12.75"/>
  <cols>
    <col min="1" max="1" width="5.8515625" style="1" customWidth="1"/>
    <col min="2" max="2" width="71.28125" style="1" customWidth="1"/>
    <col min="3" max="3" width="12.7109375" style="2" customWidth="1"/>
    <col min="4" max="16384" width="9.140625" style="1" customWidth="1"/>
  </cols>
  <sheetData>
    <row r="1" spans="1:3" ht="15.75">
      <c r="A1" s="708" t="s">
        <v>512</v>
      </c>
      <c r="B1" s="708"/>
      <c r="C1" s="708"/>
    </row>
    <row r="3" spans="1:3" s="6" customFormat="1" ht="31.5">
      <c r="A3" s="3" t="s">
        <v>513</v>
      </c>
      <c r="B3" s="4" t="s">
        <v>514</v>
      </c>
      <c r="C3" s="5"/>
    </row>
    <row r="4" s="6" customFormat="1" ht="15.75">
      <c r="C4" s="5"/>
    </row>
    <row r="5" spans="1:3" s="7" customFormat="1" ht="31.5">
      <c r="A5" s="7" t="s">
        <v>515</v>
      </c>
      <c r="B5" s="6" t="s">
        <v>1657</v>
      </c>
      <c r="C5" s="8"/>
    </row>
    <row r="6" spans="1:3" s="7" customFormat="1" ht="15.75">
      <c r="A6" s="7" t="s">
        <v>516</v>
      </c>
      <c r="B6" s="7" t="s">
        <v>24</v>
      </c>
      <c r="C6" s="8"/>
    </row>
    <row r="7" spans="1:3" s="7" customFormat="1" ht="15.75">
      <c r="A7" s="7" t="s">
        <v>518</v>
      </c>
      <c r="B7" s="7" t="s">
        <v>947</v>
      </c>
      <c r="C7" s="8"/>
    </row>
    <row r="8" spans="1:3" s="7" customFormat="1" ht="15.75">
      <c r="A8" s="7" t="s">
        <v>520</v>
      </c>
      <c r="B8" s="7" t="s">
        <v>1191</v>
      </c>
      <c r="C8" s="8"/>
    </row>
    <row r="9" spans="2:3" s="7" customFormat="1" ht="15.75">
      <c r="B9" s="7" t="s">
        <v>1192</v>
      </c>
      <c r="C9" s="8"/>
    </row>
    <row r="10" spans="1:3" s="7" customFormat="1" ht="15.75">
      <c r="A10" s="7" t="s">
        <v>521</v>
      </c>
      <c r="B10" s="7" t="s">
        <v>1664</v>
      </c>
      <c r="C10" s="8"/>
    </row>
    <row r="11" spans="1:3" s="7" customFormat="1" ht="15.75">
      <c r="A11" s="7" t="s">
        <v>524</v>
      </c>
      <c r="B11" s="61" t="s">
        <v>523</v>
      </c>
      <c r="C11" s="8"/>
    </row>
    <row r="12" spans="2:3" s="7" customFormat="1" ht="15.75">
      <c r="B12" s="7" t="s">
        <v>530</v>
      </c>
      <c r="C12" s="8"/>
    </row>
    <row r="13" spans="2:3" s="7" customFormat="1" ht="15.75">
      <c r="B13" s="7" t="s">
        <v>29</v>
      </c>
      <c r="C13" s="8"/>
    </row>
    <row r="14" s="7" customFormat="1" ht="15.75">
      <c r="C14" s="8"/>
    </row>
    <row r="15" spans="1:3" s="7" customFormat="1" ht="31.5">
      <c r="A15" s="7" t="s">
        <v>531</v>
      </c>
      <c r="B15" s="6" t="s">
        <v>1658</v>
      </c>
      <c r="C15" s="8"/>
    </row>
    <row r="16" spans="1:3" s="7" customFormat="1" ht="15.75">
      <c r="A16" s="7" t="s">
        <v>532</v>
      </c>
      <c r="B16" s="7" t="s">
        <v>199</v>
      </c>
      <c r="C16" s="8"/>
    </row>
    <row r="17" spans="1:3" s="7" customFormat="1" ht="15.75">
      <c r="A17" s="7" t="s">
        <v>533</v>
      </c>
      <c r="B17" s="10" t="s">
        <v>535</v>
      </c>
      <c r="C17" s="8"/>
    </row>
    <row r="18" spans="1:3" s="7" customFormat="1" ht="15.75">
      <c r="A18" s="7" t="s">
        <v>536</v>
      </c>
      <c r="B18" s="7" t="s">
        <v>470</v>
      </c>
      <c r="C18" s="8"/>
    </row>
    <row r="19" spans="1:3" s="7" customFormat="1" ht="15.75">
      <c r="A19" s="7" t="s">
        <v>541</v>
      </c>
      <c r="B19" s="7" t="s">
        <v>194</v>
      </c>
      <c r="C19" s="8"/>
    </row>
    <row r="20" spans="1:3" s="7" customFormat="1" ht="15.75">
      <c r="A20" s="7" t="s">
        <v>543</v>
      </c>
      <c r="B20" s="7" t="s">
        <v>474</v>
      </c>
      <c r="C20" s="8"/>
    </row>
    <row r="21" s="7" customFormat="1" ht="15.75">
      <c r="C21" s="8"/>
    </row>
    <row r="22" spans="1:3" s="7" customFormat="1" ht="31.5">
      <c r="A22" s="7" t="s">
        <v>546</v>
      </c>
      <c r="B22" s="6" t="s">
        <v>908</v>
      </c>
      <c r="C22" s="8"/>
    </row>
    <row r="23" spans="1:3" s="7" customFormat="1" ht="15.75">
      <c r="A23" s="7" t="s">
        <v>1024</v>
      </c>
      <c r="B23" s="6" t="s">
        <v>143</v>
      </c>
      <c r="C23" s="8"/>
    </row>
    <row r="24" spans="1:3" s="7" customFormat="1" ht="31.5">
      <c r="A24" s="7" t="s">
        <v>1026</v>
      </c>
      <c r="B24" s="6" t="s">
        <v>1025</v>
      </c>
      <c r="C24" s="8"/>
    </row>
    <row r="25" spans="1:3" s="7" customFormat="1" ht="15.75">
      <c r="A25" s="7" t="s">
        <v>547</v>
      </c>
      <c r="B25" s="11" t="s">
        <v>1213</v>
      </c>
      <c r="C25" s="8"/>
    </row>
    <row r="26" spans="1:3" s="7" customFormat="1" ht="31.5">
      <c r="A26" s="7" t="s">
        <v>548</v>
      </c>
      <c r="B26" s="12" t="s">
        <v>550</v>
      </c>
      <c r="C26" s="8"/>
    </row>
    <row r="27" spans="1:3" s="7" customFormat="1" ht="15.75">
      <c r="A27" s="7" t="s">
        <v>549</v>
      </c>
      <c r="B27" s="1" t="s">
        <v>4</v>
      </c>
      <c r="C27" s="8"/>
    </row>
    <row r="28" spans="1:5" s="7" customFormat="1" ht="15.75">
      <c r="A28" s="7" t="s">
        <v>551</v>
      </c>
      <c r="B28" s="15" t="s">
        <v>556</v>
      </c>
      <c r="C28" s="14"/>
      <c r="D28" s="14"/>
      <c r="E28" s="14"/>
    </row>
    <row r="29" spans="1:3" s="7" customFormat="1" ht="15.75">
      <c r="A29" s="7" t="s">
        <v>552</v>
      </c>
      <c r="B29" s="16" t="s">
        <v>5</v>
      </c>
      <c r="C29" s="8"/>
    </row>
    <row r="30" spans="1:3" s="7" customFormat="1" ht="15.75">
      <c r="A30" s="7" t="s">
        <v>75</v>
      </c>
      <c r="B30" s="16" t="s">
        <v>11</v>
      </c>
      <c r="C30" s="8"/>
    </row>
    <row r="31" spans="1:3" s="7" customFormat="1" ht="32.25" customHeight="1">
      <c r="A31" s="7" t="s">
        <v>553</v>
      </c>
      <c r="B31" s="16" t="s">
        <v>14</v>
      </c>
      <c r="C31" s="8"/>
    </row>
    <row r="32" spans="1:3" s="7" customFormat="1" ht="15.75">
      <c r="A32" s="17"/>
      <c r="C32" s="8"/>
    </row>
  </sheetData>
  <mergeCells count="1">
    <mergeCell ref="A1:C1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E28" sqref="E28"/>
    </sheetView>
  </sheetViews>
  <sheetFormatPr defaultColWidth="9.140625" defaultRowHeight="12.75"/>
  <cols>
    <col min="2" max="2" width="64.28125" style="0" customWidth="1"/>
  </cols>
  <sheetData>
    <row r="1" ht="12.75">
      <c r="D1" s="20" t="s">
        <v>1413</v>
      </c>
    </row>
    <row r="3" ht="12.75">
      <c r="B3" s="264" t="e">
        <f>tartalom!#REF!</f>
        <v>#REF!</v>
      </c>
    </row>
    <row r="5" spans="1:2" ht="12.75">
      <c r="A5" s="711" t="s">
        <v>1086</v>
      </c>
      <c r="B5" s="711"/>
    </row>
    <row r="6" spans="1:2" ht="12.75">
      <c r="A6" s="259"/>
      <c r="B6" s="259"/>
    </row>
    <row r="7" spans="1:2" ht="12.75">
      <c r="A7" s="260"/>
      <c r="B7" s="260" t="s">
        <v>857</v>
      </c>
    </row>
    <row r="8" spans="1:2" ht="12.75">
      <c r="A8" s="233">
        <v>360000</v>
      </c>
      <c r="B8" s="233" t="s">
        <v>858</v>
      </c>
    </row>
    <row r="9" spans="1:2" ht="12.75">
      <c r="A9" s="233">
        <v>370000</v>
      </c>
      <c r="B9" s="233" t="s">
        <v>216</v>
      </c>
    </row>
    <row r="10" spans="1:2" ht="12.75">
      <c r="A10" s="233">
        <v>381103</v>
      </c>
      <c r="B10" s="233" t="s">
        <v>860</v>
      </c>
    </row>
    <row r="11" spans="1:2" ht="12.75">
      <c r="A11" s="233">
        <v>382101</v>
      </c>
      <c r="B11" s="233" t="s">
        <v>1359</v>
      </c>
    </row>
    <row r="12" spans="1:2" ht="12.75">
      <c r="A12" s="233">
        <v>412000</v>
      </c>
      <c r="B12" s="233" t="s">
        <v>861</v>
      </c>
    </row>
    <row r="13" spans="1:2" ht="12.75">
      <c r="A13" s="233">
        <v>421100</v>
      </c>
      <c r="B13" s="233" t="s">
        <v>943</v>
      </c>
    </row>
    <row r="14" spans="1:2" ht="12.75">
      <c r="A14" s="233">
        <v>522001</v>
      </c>
      <c r="B14" s="233" t="s">
        <v>1032</v>
      </c>
    </row>
    <row r="15" spans="1:2" ht="12.75">
      <c r="A15" s="233">
        <v>680001</v>
      </c>
      <c r="B15" s="233" t="s">
        <v>1007</v>
      </c>
    </row>
    <row r="16" spans="1:2" ht="12.75">
      <c r="A16" s="233">
        <v>680002</v>
      </c>
      <c r="B16" s="233" t="s">
        <v>1006</v>
      </c>
    </row>
    <row r="17" spans="1:2" ht="12.75">
      <c r="A17" s="233">
        <v>750000</v>
      </c>
      <c r="B17" s="233" t="s">
        <v>862</v>
      </c>
    </row>
    <row r="18" spans="1:2" ht="12.75">
      <c r="A18" s="233">
        <v>813000</v>
      </c>
      <c r="B18" s="233" t="s">
        <v>863</v>
      </c>
    </row>
    <row r="19" spans="1:2" ht="12.75">
      <c r="A19" s="233">
        <v>841112</v>
      </c>
      <c r="B19" s="233" t="s">
        <v>864</v>
      </c>
    </row>
    <row r="20" spans="1:2" ht="12.75">
      <c r="A20" s="233">
        <v>841133</v>
      </c>
      <c r="B20" s="233" t="s">
        <v>1008</v>
      </c>
    </row>
    <row r="21" spans="1:2" ht="12.75">
      <c r="A21" s="233">
        <v>841154</v>
      </c>
      <c r="B21" s="233" t="s">
        <v>865</v>
      </c>
    </row>
    <row r="22" spans="1:2" ht="12.75">
      <c r="A22" s="233">
        <v>841402</v>
      </c>
      <c r="B22" s="233" t="s">
        <v>99</v>
      </c>
    </row>
    <row r="23" spans="1:2" ht="12.75">
      <c r="A23" s="233">
        <v>841403</v>
      </c>
      <c r="B23" s="233" t="s">
        <v>866</v>
      </c>
    </row>
    <row r="24" spans="1:2" ht="12.75">
      <c r="A24" s="233">
        <v>841901</v>
      </c>
      <c r="B24" s="233" t="s">
        <v>867</v>
      </c>
    </row>
    <row r="25" spans="1:2" ht="12.75">
      <c r="A25" s="233">
        <v>841906</v>
      </c>
      <c r="B25" s="233" t="s">
        <v>868</v>
      </c>
    </row>
    <row r="26" spans="1:2" ht="12.75">
      <c r="A26" s="233">
        <v>841907</v>
      </c>
      <c r="B26" s="233" t="s">
        <v>869</v>
      </c>
    </row>
    <row r="27" spans="1:2" ht="12.75">
      <c r="A27" s="233">
        <v>842541</v>
      </c>
      <c r="B27" s="233" t="s">
        <v>870</v>
      </c>
    </row>
    <row r="28" spans="1:2" ht="12.75">
      <c r="A28" s="233">
        <v>862101</v>
      </c>
      <c r="B28" s="233" t="s">
        <v>871</v>
      </c>
    </row>
    <row r="29" spans="1:2" ht="12.75">
      <c r="A29" s="233">
        <v>862231</v>
      </c>
      <c r="B29" s="261" t="s">
        <v>872</v>
      </c>
    </row>
    <row r="30" spans="1:2" ht="12.75">
      <c r="A30" s="233">
        <v>862302</v>
      </c>
      <c r="B30" s="261" t="s">
        <v>873</v>
      </c>
    </row>
    <row r="31" spans="1:2" ht="12.75">
      <c r="A31" s="233">
        <v>882111</v>
      </c>
      <c r="B31" s="233" t="s">
        <v>1389</v>
      </c>
    </row>
    <row r="32" spans="1:2" ht="12.75">
      <c r="A32" s="233">
        <v>882112</v>
      </c>
      <c r="B32" s="233" t="s">
        <v>110</v>
      </c>
    </row>
    <row r="33" spans="1:2" ht="12.75">
      <c r="A33" s="233">
        <v>882113</v>
      </c>
      <c r="B33" s="233" t="s">
        <v>112</v>
      </c>
    </row>
    <row r="34" spans="1:2" ht="12.75">
      <c r="A34" s="233">
        <v>882115</v>
      </c>
      <c r="B34" s="233" t="s">
        <v>116</v>
      </c>
    </row>
    <row r="35" spans="1:2" ht="12.75">
      <c r="A35" s="233">
        <v>882117</v>
      </c>
      <c r="B35" s="233" t="s">
        <v>120</v>
      </c>
    </row>
    <row r="36" spans="1:2" ht="12.75">
      <c r="A36" s="233">
        <v>882119</v>
      </c>
      <c r="B36" s="233" t="s">
        <v>124</v>
      </c>
    </row>
    <row r="37" spans="1:2" ht="12.75">
      <c r="A37" s="233">
        <v>882202</v>
      </c>
      <c r="B37" s="233" t="s">
        <v>136</v>
      </c>
    </row>
    <row r="38" spans="1:2" ht="12.75">
      <c r="A38" s="233">
        <v>882203</v>
      </c>
      <c r="B38" s="233" t="s">
        <v>138</v>
      </c>
    </row>
    <row r="39" spans="1:2" ht="12.75">
      <c r="A39" s="233">
        <v>889967</v>
      </c>
      <c r="B39" s="233" t="s">
        <v>592</v>
      </c>
    </row>
    <row r="40" spans="1:2" ht="12.75">
      <c r="A40" s="233">
        <v>890441</v>
      </c>
      <c r="B40" s="233" t="s">
        <v>1390</v>
      </c>
    </row>
    <row r="41" spans="1:2" ht="25.5">
      <c r="A41" s="233">
        <v>890442</v>
      </c>
      <c r="B41" s="262" t="s">
        <v>1391</v>
      </c>
    </row>
    <row r="42" spans="1:2" ht="12.75">
      <c r="A42" s="233">
        <v>890443</v>
      </c>
      <c r="B42" s="233" t="s">
        <v>1392</v>
      </c>
    </row>
    <row r="43" spans="1:2" ht="12.75">
      <c r="A43" s="233">
        <v>910502</v>
      </c>
      <c r="B43" s="261" t="s">
        <v>206</v>
      </c>
    </row>
    <row r="44" spans="1:2" ht="12.75">
      <c r="A44" s="233">
        <v>931102</v>
      </c>
      <c r="B44" s="261" t="s">
        <v>1393</v>
      </c>
    </row>
    <row r="45" spans="1:2" ht="12.75">
      <c r="A45" s="233">
        <v>960302</v>
      </c>
      <c r="B45" s="233" t="s">
        <v>1394</v>
      </c>
    </row>
    <row r="46" spans="1:2" ht="12.75">
      <c r="A46" s="233"/>
      <c r="B46" s="233"/>
    </row>
    <row r="47" spans="1:2" ht="12.75">
      <c r="A47" s="233"/>
      <c r="B47" s="260" t="s">
        <v>1395</v>
      </c>
    </row>
    <row r="48" spans="1:2" ht="12.75">
      <c r="A48" s="233">
        <v>382200</v>
      </c>
      <c r="B48" s="233" t="s">
        <v>1396</v>
      </c>
    </row>
    <row r="49" spans="1:2" ht="12.75">
      <c r="A49" s="233">
        <v>581400</v>
      </c>
      <c r="B49" s="233" t="s">
        <v>1397</v>
      </c>
    </row>
    <row r="50" spans="1:2" ht="12.75">
      <c r="A50" s="233">
        <v>602000</v>
      </c>
      <c r="B50" s="233" t="s">
        <v>1398</v>
      </c>
    </row>
    <row r="51" spans="1:2" ht="12.75">
      <c r="A51" s="233">
        <v>631000</v>
      </c>
      <c r="B51" s="233" t="s">
        <v>1399</v>
      </c>
    </row>
    <row r="52" spans="1:2" ht="12.75">
      <c r="A52" s="233">
        <v>691001</v>
      </c>
      <c r="B52" s="233" t="s">
        <v>1400</v>
      </c>
    </row>
    <row r="53" spans="1:2" ht="12.75">
      <c r="A53" s="233">
        <v>823000</v>
      </c>
      <c r="B53" s="233" t="s">
        <v>1401</v>
      </c>
    </row>
    <row r="54" spans="1:2" ht="12.75">
      <c r="A54" s="233">
        <v>823000</v>
      </c>
      <c r="B54" s="233" t="s">
        <v>1401</v>
      </c>
    </row>
    <row r="55" spans="1:2" ht="12.75">
      <c r="A55" s="233">
        <v>841192</v>
      </c>
      <c r="B55" s="261" t="s">
        <v>1402</v>
      </c>
    </row>
    <row r="56" spans="1:2" ht="12.75">
      <c r="A56" s="233">
        <v>842155</v>
      </c>
      <c r="B56" s="233" t="s">
        <v>1403</v>
      </c>
    </row>
    <row r="57" spans="1:2" ht="12.75">
      <c r="A57" s="233">
        <v>854316</v>
      </c>
      <c r="B57" s="233" t="s">
        <v>1404</v>
      </c>
    </row>
    <row r="58" spans="1:2" ht="12.75">
      <c r="A58" s="233">
        <v>882116</v>
      </c>
      <c r="B58" s="233" t="s">
        <v>118</v>
      </c>
    </row>
    <row r="59" spans="1:2" ht="12.75">
      <c r="A59" s="233">
        <v>882122</v>
      </c>
      <c r="B59" s="233" t="s">
        <v>128</v>
      </c>
    </row>
    <row r="60" spans="1:2" ht="12.75">
      <c r="A60" s="233">
        <v>882123</v>
      </c>
      <c r="B60" s="233" t="s">
        <v>1368</v>
      </c>
    </row>
    <row r="61" spans="1:2" ht="12.75">
      <c r="A61" s="233">
        <v>882124</v>
      </c>
      <c r="B61" s="233" t="s">
        <v>131</v>
      </c>
    </row>
    <row r="62" spans="1:2" ht="12.75">
      <c r="A62" s="233">
        <v>882129</v>
      </c>
      <c r="B62" s="233" t="s">
        <v>134</v>
      </c>
    </row>
    <row r="63" spans="1:2" ht="12.75">
      <c r="A63" s="233">
        <v>889942</v>
      </c>
      <c r="B63" s="233" t="s">
        <v>140</v>
      </c>
    </row>
    <row r="64" spans="1:2" ht="12.75">
      <c r="A64" s="233">
        <v>890301</v>
      </c>
      <c r="B64" s="233" t="s">
        <v>142</v>
      </c>
    </row>
    <row r="65" spans="1:2" ht="12.75">
      <c r="A65" s="233">
        <v>890302</v>
      </c>
      <c r="B65" s="233" t="s">
        <v>1410</v>
      </c>
    </row>
    <row r="66" spans="1:2" ht="12.75">
      <c r="A66" s="233">
        <v>890506</v>
      </c>
      <c r="B66" s="233" t="s">
        <v>1411</v>
      </c>
    </row>
    <row r="67" spans="1:2" ht="12.75">
      <c r="A67" s="233">
        <v>890602</v>
      </c>
      <c r="B67" s="233" t="s">
        <v>1412</v>
      </c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50">
      <selection activeCell="B23" sqref="B23"/>
    </sheetView>
  </sheetViews>
  <sheetFormatPr defaultColWidth="9.140625" defaultRowHeight="12.75"/>
  <cols>
    <col min="1" max="1" width="4.7109375" style="15" customWidth="1"/>
    <col min="2" max="2" width="67.57421875" style="15" customWidth="1"/>
    <col min="3" max="3" width="14.7109375" style="64" customWidth="1"/>
    <col min="4" max="4" width="12.7109375" style="65" customWidth="1"/>
    <col min="5" max="23" width="10.7109375" style="15" customWidth="1"/>
    <col min="24" max="16384" width="9.140625" style="15" customWidth="1"/>
  </cols>
  <sheetData>
    <row r="1" ht="15.75">
      <c r="C1" s="66" t="s">
        <v>1125</v>
      </c>
    </row>
    <row r="2" ht="15.75">
      <c r="C2" s="66"/>
    </row>
    <row r="3" spans="5:6" ht="15.75">
      <c r="E3" s="65"/>
      <c r="F3" s="65"/>
    </row>
    <row r="4" spans="1:6" ht="15.75">
      <c r="A4" s="23" t="str">
        <f>tartalom!B15</f>
        <v>Röszke Község Önkormányzatának 2014. évi kiadási előirányzatai intézményenként és összesítve</v>
      </c>
      <c r="E4" s="65"/>
      <c r="F4" s="65"/>
    </row>
    <row r="5" spans="3:6" ht="15.75">
      <c r="C5" s="51" t="s">
        <v>1416</v>
      </c>
      <c r="E5" s="65"/>
      <c r="F5" s="65"/>
    </row>
    <row r="6" spans="1:6" ht="15.75">
      <c r="A6" s="23" t="s">
        <v>599</v>
      </c>
      <c r="C6" s="67"/>
      <c r="E6" s="65"/>
      <c r="F6" s="65"/>
    </row>
    <row r="7" spans="1:3" ht="15.75">
      <c r="A7" s="37" t="s">
        <v>1482</v>
      </c>
      <c r="B7" s="15" t="s">
        <v>1033</v>
      </c>
      <c r="C7" s="64">
        <f>C24+C40+C56+C72</f>
        <v>175334</v>
      </c>
    </row>
    <row r="8" spans="1:3" ht="15.75">
      <c r="A8" s="37" t="s">
        <v>1496</v>
      </c>
      <c r="B8" s="15" t="s">
        <v>927</v>
      </c>
      <c r="C8" s="64">
        <f aca="true" t="shared" si="0" ref="C8:C19">C25+C41+C57+C73</f>
        <v>44547</v>
      </c>
    </row>
    <row r="9" spans="1:3" ht="15.75">
      <c r="A9" s="37" t="s">
        <v>369</v>
      </c>
      <c r="B9" s="15" t="s">
        <v>1021</v>
      </c>
      <c r="C9" s="64">
        <f t="shared" si="0"/>
        <v>153869</v>
      </c>
    </row>
    <row r="10" spans="1:4" s="23" customFormat="1" ht="15.75">
      <c r="A10" s="37" t="s">
        <v>469</v>
      </c>
      <c r="B10" s="70" t="s">
        <v>535</v>
      </c>
      <c r="C10" s="64">
        <f t="shared" si="0"/>
        <v>40406</v>
      </c>
      <c r="D10" s="69"/>
    </row>
    <row r="11" spans="1:3" ht="15.75">
      <c r="A11" s="37" t="s">
        <v>1253</v>
      </c>
      <c r="B11" s="9" t="s">
        <v>470</v>
      </c>
      <c r="C11" s="64">
        <f t="shared" si="0"/>
        <v>72226</v>
      </c>
    </row>
    <row r="12" spans="1:3" ht="15.75">
      <c r="A12" s="37"/>
      <c r="B12" s="600" t="s">
        <v>1693</v>
      </c>
      <c r="C12" s="602">
        <f t="shared" si="0"/>
        <v>486382</v>
      </c>
    </row>
    <row r="13" spans="1:3" ht="15.75">
      <c r="A13" s="37" t="s">
        <v>1314</v>
      </c>
      <c r="B13" s="15" t="s">
        <v>471</v>
      </c>
      <c r="C13" s="64">
        <f t="shared" si="0"/>
        <v>86233</v>
      </c>
    </row>
    <row r="14" spans="1:3" ht="15.75">
      <c r="A14" s="37" t="s">
        <v>1340</v>
      </c>
      <c r="B14" s="15" t="s">
        <v>472</v>
      </c>
      <c r="C14" s="64">
        <f t="shared" si="0"/>
        <v>14456</v>
      </c>
    </row>
    <row r="15" spans="1:3" ht="15.75">
      <c r="A15" s="37" t="s">
        <v>1283</v>
      </c>
      <c r="B15" s="70" t="s">
        <v>474</v>
      </c>
      <c r="C15" s="64">
        <f t="shared" si="0"/>
        <v>42239</v>
      </c>
    </row>
    <row r="16" spans="1:3" ht="15.75">
      <c r="A16" s="37"/>
      <c r="B16" s="573" t="s">
        <v>1694</v>
      </c>
      <c r="C16" s="602">
        <f t="shared" si="0"/>
        <v>142928</v>
      </c>
    </row>
    <row r="17" spans="1:3" ht="15.75">
      <c r="A17" s="37"/>
      <c r="B17" s="601" t="s">
        <v>1695</v>
      </c>
      <c r="C17" s="68">
        <f t="shared" si="0"/>
        <v>629310</v>
      </c>
    </row>
    <row r="18" spans="1:3" ht="15.75">
      <c r="A18" s="37" t="s">
        <v>473</v>
      </c>
      <c r="B18" s="70" t="s">
        <v>1037</v>
      </c>
      <c r="C18" s="64">
        <f t="shared" si="0"/>
        <v>192087</v>
      </c>
    </row>
    <row r="19" spans="1:3" ht="16.5" customHeight="1">
      <c r="A19" s="39"/>
      <c r="B19" s="23" t="s">
        <v>856</v>
      </c>
      <c r="C19" s="68">
        <f t="shared" si="0"/>
        <v>821397</v>
      </c>
    </row>
    <row r="20" ht="15.75">
      <c r="A20" s="37"/>
    </row>
    <row r="22" ht="15.75">
      <c r="A22" s="23" t="s">
        <v>928</v>
      </c>
    </row>
    <row r="23" ht="15.75">
      <c r="A23" s="23" t="s">
        <v>1124</v>
      </c>
    </row>
    <row r="24" spans="1:3" ht="15.75">
      <c r="A24" s="37" t="s">
        <v>1482</v>
      </c>
      <c r="B24" s="15" t="s">
        <v>1033</v>
      </c>
      <c r="C24" s="64">
        <f>'K1K2'!M36</f>
        <v>53878</v>
      </c>
    </row>
    <row r="25" spans="1:3" ht="15.75">
      <c r="A25" s="37" t="s">
        <v>1496</v>
      </c>
      <c r="B25" s="15" t="s">
        <v>927</v>
      </c>
      <c r="C25" s="64">
        <f>'K1K2'!M46</f>
        <v>11008</v>
      </c>
    </row>
    <row r="26" spans="1:3" ht="15.75">
      <c r="A26" s="37" t="s">
        <v>369</v>
      </c>
      <c r="B26" s="15" t="s">
        <v>1021</v>
      </c>
      <c r="C26" s="64">
        <f>'K3'!AS82</f>
        <v>115577</v>
      </c>
    </row>
    <row r="27" spans="1:3" ht="15.75">
      <c r="A27" s="37" t="s">
        <v>469</v>
      </c>
      <c r="B27" s="70" t="s">
        <v>535</v>
      </c>
      <c r="C27" s="64">
        <f>'K4'!U25</f>
        <v>40406</v>
      </c>
    </row>
    <row r="28" spans="1:3" ht="21.75" customHeight="1">
      <c r="A28" s="37" t="s">
        <v>1253</v>
      </c>
      <c r="B28" s="9" t="s">
        <v>470</v>
      </c>
      <c r="C28" s="64">
        <f>'K5K8K9'!AL16</f>
        <v>72226</v>
      </c>
    </row>
    <row r="29" spans="1:3" ht="16.5" customHeight="1">
      <c r="A29" s="37"/>
      <c r="B29" s="600" t="s">
        <v>1693</v>
      </c>
      <c r="C29" s="602">
        <f>SUM(C24:C28)</f>
        <v>293095</v>
      </c>
    </row>
    <row r="30" spans="1:3" ht="15.75">
      <c r="A30" s="37" t="s">
        <v>1314</v>
      </c>
      <c r="B30" s="15" t="s">
        <v>471</v>
      </c>
      <c r="C30" s="64">
        <f>'K6K7'!J26</f>
        <v>86233</v>
      </c>
    </row>
    <row r="31" spans="1:3" ht="15.75">
      <c r="A31" s="37" t="s">
        <v>1340</v>
      </c>
      <c r="B31" s="15" t="s">
        <v>472</v>
      </c>
      <c r="C31" s="64">
        <f>'K6K7'!J39</f>
        <v>14456</v>
      </c>
    </row>
    <row r="32" spans="1:3" ht="15.75">
      <c r="A32" s="37" t="s">
        <v>1283</v>
      </c>
      <c r="B32" s="70" t="s">
        <v>474</v>
      </c>
      <c r="C32" s="64">
        <f>'K5K8K9'!AL32</f>
        <v>42239</v>
      </c>
    </row>
    <row r="33" spans="1:3" ht="15.75">
      <c r="A33" s="37"/>
      <c r="B33" s="573" t="s">
        <v>1694</v>
      </c>
      <c r="C33" s="602">
        <f>SUM(C30:C32)</f>
        <v>142928</v>
      </c>
    </row>
    <row r="34" spans="1:3" ht="15.75">
      <c r="A34" s="37"/>
      <c r="B34" s="601" t="s">
        <v>1695</v>
      </c>
      <c r="C34" s="68">
        <f>C29+C33</f>
        <v>436023</v>
      </c>
    </row>
    <row r="35" spans="1:3" ht="15.75">
      <c r="A35" s="37" t="s">
        <v>473</v>
      </c>
      <c r="B35" s="70" t="s">
        <v>1037</v>
      </c>
      <c r="C35" s="64">
        <f>'K5K8K9'!AL39</f>
        <v>192087</v>
      </c>
    </row>
    <row r="36" spans="1:3" ht="15.75">
      <c r="A36" s="39"/>
      <c r="B36" s="23" t="s">
        <v>856</v>
      </c>
      <c r="C36" s="68">
        <f>C34+C35</f>
        <v>628110</v>
      </c>
    </row>
    <row r="37" ht="15.75">
      <c r="A37" s="23"/>
    </row>
    <row r="38" ht="15.75">
      <c r="A38" s="23"/>
    </row>
    <row r="39" ht="15.75">
      <c r="A39" s="23" t="s">
        <v>1123</v>
      </c>
    </row>
    <row r="40" spans="1:3" ht="15.75">
      <c r="A40" s="37" t="s">
        <v>1482</v>
      </c>
      <c r="B40" s="15" t="s">
        <v>1033</v>
      </c>
      <c r="C40" s="64">
        <f>'K1K2'!S36</f>
        <v>51517</v>
      </c>
    </row>
    <row r="41" spans="1:3" ht="15.75">
      <c r="A41" s="37" t="s">
        <v>1496</v>
      </c>
      <c r="B41" s="15" t="s">
        <v>927</v>
      </c>
      <c r="C41" s="64">
        <f>'K1K2'!S46</f>
        <v>13847</v>
      </c>
    </row>
    <row r="42" spans="1:3" ht="15.75">
      <c r="A42" s="37" t="s">
        <v>369</v>
      </c>
      <c r="B42" s="15" t="s">
        <v>1021</v>
      </c>
      <c r="C42" s="64">
        <f>'K3'!AZ82</f>
        <v>15400</v>
      </c>
    </row>
    <row r="43" spans="1:3" ht="15.75">
      <c r="A43" s="37" t="s">
        <v>469</v>
      </c>
      <c r="B43" s="70" t="s">
        <v>535</v>
      </c>
      <c r="C43" s="64">
        <v>0</v>
      </c>
    </row>
    <row r="44" spans="1:3" ht="15.75">
      <c r="A44" s="37" t="s">
        <v>1253</v>
      </c>
      <c r="B44" s="9" t="s">
        <v>470</v>
      </c>
      <c r="C44" s="64">
        <v>0</v>
      </c>
    </row>
    <row r="45" spans="1:3" ht="15.75">
      <c r="A45" s="37"/>
      <c r="B45" s="600" t="s">
        <v>1693</v>
      </c>
      <c r="C45" s="602">
        <f>SUM(C40:C44)</f>
        <v>80764</v>
      </c>
    </row>
    <row r="46" spans="1:3" ht="15.75">
      <c r="A46" s="37" t="s">
        <v>1314</v>
      </c>
      <c r="B46" s="15" t="s">
        <v>471</v>
      </c>
      <c r="C46" s="64">
        <v>0</v>
      </c>
    </row>
    <row r="47" spans="1:3" ht="15.75">
      <c r="A47" s="37" t="s">
        <v>1340</v>
      </c>
      <c r="B47" s="15" t="s">
        <v>472</v>
      </c>
      <c r="C47" s="64">
        <v>0</v>
      </c>
    </row>
    <row r="48" spans="1:3" ht="15.75">
      <c r="A48" s="37" t="s">
        <v>1283</v>
      </c>
      <c r="B48" s="70" t="s">
        <v>474</v>
      </c>
      <c r="C48" s="64">
        <v>0</v>
      </c>
    </row>
    <row r="49" spans="1:3" ht="15.75">
      <c r="A49" s="37"/>
      <c r="B49" s="573" t="s">
        <v>1694</v>
      </c>
      <c r="C49" s="64">
        <f>SUM(C46:C48)</f>
        <v>0</v>
      </c>
    </row>
    <row r="50" spans="1:3" ht="15.75">
      <c r="A50" s="37"/>
      <c r="B50" s="601" t="s">
        <v>1695</v>
      </c>
      <c r="C50" s="68">
        <f>C45+C49</f>
        <v>80764</v>
      </c>
    </row>
    <row r="51" spans="1:3" ht="15.75">
      <c r="A51" s="37" t="s">
        <v>473</v>
      </c>
      <c r="B51" s="70" t="s">
        <v>1037</v>
      </c>
      <c r="C51" s="64">
        <v>0</v>
      </c>
    </row>
    <row r="52" spans="1:3" ht="15.75">
      <c r="A52" s="39"/>
      <c r="B52" s="23" t="s">
        <v>856</v>
      </c>
      <c r="C52" s="68">
        <f>C50+C51</f>
        <v>80764</v>
      </c>
    </row>
    <row r="53" ht="15.75">
      <c r="A53" s="37"/>
    </row>
    <row r="55" spans="1:4" ht="15.75">
      <c r="A55" s="23" t="s">
        <v>948</v>
      </c>
      <c r="B55" s="72"/>
      <c r="C55" s="72"/>
      <c r="D55" s="72"/>
    </row>
    <row r="56" spans="1:3" ht="15.75">
      <c r="A56" s="37" t="s">
        <v>1482</v>
      </c>
      <c r="B56" s="15" t="s">
        <v>1033</v>
      </c>
      <c r="C56" s="64">
        <f>'K1K2'!X36</f>
        <v>9360</v>
      </c>
    </row>
    <row r="57" spans="1:3" ht="15.75">
      <c r="A57" s="37" t="s">
        <v>1496</v>
      </c>
      <c r="B57" s="15" t="s">
        <v>927</v>
      </c>
      <c r="C57" s="64">
        <f>'K1K2'!X46</f>
        <v>2878</v>
      </c>
    </row>
    <row r="58" spans="1:3" ht="15.75">
      <c r="A58" s="37" t="s">
        <v>369</v>
      </c>
      <c r="B58" s="15" t="s">
        <v>1021</v>
      </c>
      <c r="C58" s="64">
        <f>'K3'!BI82</f>
        <v>12376</v>
      </c>
    </row>
    <row r="59" spans="1:3" ht="15.75">
      <c r="A59" s="37" t="s">
        <v>469</v>
      </c>
      <c r="B59" s="70" t="s">
        <v>535</v>
      </c>
      <c r="C59" s="64">
        <v>0</v>
      </c>
    </row>
    <row r="60" spans="1:2" ht="15.75">
      <c r="A60" s="37" t="s">
        <v>1253</v>
      </c>
      <c r="B60" s="9" t="s">
        <v>470</v>
      </c>
    </row>
    <row r="61" spans="1:3" ht="15.75">
      <c r="A61" s="37"/>
      <c r="B61" s="600" t="s">
        <v>1693</v>
      </c>
      <c r="C61" s="602">
        <f>SUM(C56:C60)</f>
        <v>24614</v>
      </c>
    </row>
    <row r="62" spans="1:3" ht="15.75">
      <c r="A62" s="37" t="s">
        <v>1314</v>
      </c>
      <c r="B62" s="15" t="s">
        <v>471</v>
      </c>
      <c r="C62" s="64">
        <v>0</v>
      </c>
    </row>
    <row r="63" spans="1:3" ht="15.75">
      <c r="A63" s="37" t="s">
        <v>1340</v>
      </c>
      <c r="B63" s="15" t="s">
        <v>472</v>
      </c>
      <c r="C63" s="64">
        <v>0</v>
      </c>
    </row>
    <row r="64" spans="1:3" ht="15.75">
      <c r="A64" s="37" t="s">
        <v>1283</v>
      </c>
      <c r="B64" s="70" t="s">
        <v>474</v>
      </c>
      <c r="C64" s="64">
        <v>0</v>
      </c>
    </row>
    <row r="65" spans="1:3" ht="15.75">
      <c r="A65" s="37"/>
      <c r="B65" s="573" t="s">
        <v>1694</v>
      </c>
      <c r="C65" s="602">
        <f>SUM(C62:C64)</f>
        <v>0</v>
      </c>
    </row>
    <row r="66" spans="1:3" ht="15.75">
      <c r="A66" s="37"/>
      <c r="B66" s="601" t="s">
        <v>1695</v>
      </c>
      <c r="C66" s="64">
        <f>C61+C65</f>
        <v>24614</v>
      </c>
    </row>
    <row r="67" spans="1:3" ht="15.75">
      <c r="A67" s="37" t="s">
        <v>473</v>
      </c>
      <c r="B67" s="70" t="s">
        <v>1037</v>
      </c>
      <c r="C67" s="64">
        <v>0</v>
      </c>
    </row>
    <row r="68" spans="1:3" ht="15.75">
      <c r="A68" s="39"/>
      <c r="B68" s="23" t="s">
        <v>856</v>
      </c>
      <c r="C68" s="68">
        <f>C66+C67</f>
        <v>24614</v>
      </c>
    </row>
    <row r="69" spans="1:3" ht="15.75">
      <c r="A69" s="39"/>
      <c r="B69" s="23"/>
      <c r="C69" s="68"/>
    </row>
    <row r="70" spans="2:4" ht="15.75">
      <c r="B70" s="73"/>
      <c r="D70" s="71"/>
    </row>
    <row r="71" ht="15.75">
      <c r="A71" s="23" t="s">
        <v>52</v>
      </c>
    </row>
    <row r="72" spans="1:3" ht="15.75">
      <c r="A72" s="37" t="s">
        <v>1482</v>
      </c>
      <c r="B72" s="15" t="s">
        <v>1033</v>
      </c>
      <c r="C72" s="64">
        <f>'K1K2'!AB36</f>
        <v>60579</v>
      </c>
    </row>
    <row r="73" spans="1:3" ht="15.75">
      <c r="A73" s="37" t="s">
        <v>1496</v>
      </c>
      <c r="B73" s="15" t="s">
        <v>927</v>
      </c>
      <c r="C73" s="64">
        <f>'K1K2'!AB46</f>
        <v>16814</v>
      </c>
    </row>
    <row r="74" spans="1:3" ht="15.75">
      <c r="A74" s="37" t="s">
        <v>369</v>
      </c>
      <c r="B74" s="15" t="s">
        <v>1021</v>
      </c>
      <c r="C74" s="64">
        <f>'K3'!BM82</f>
        <v>10516</v>
      </c>
    </row>
    <row r="75" spans="1:3" ht="15.75">
      <c r="A75" s="37" t="s">
        <v>469</v>
      </c>
      <c r="B75" s="70" t="s">
        <v>535</v>
      </c>
      <c r="C75" s="64">
        <v>0</v>
      </c>
    </row>
    <row r="76" spans="1:3" ht="15.75">
      <c r="A76" s="37" t="s">
        <v>1253</v>
      </c>
      <c r="B76" s="9" t="s">
        <v>470</v>
      </c>
      <c r="C76" s="64">
        <v>0</v>
      </c>
    </row>
    <row r="77" spans="1:3" ht="15.75">
      <c r="A77" s="37"/>
      <c r="B77" s="600" t="s">
        <v>1693</v>
      </c>
      <c r="C77" s="602">
        <f>SUM(C72:C76)</f>
        <v>87909</v>
      </c>
    </row>
    <row r="78" spans="1:3" ht="15.75">
      <c r="A78" s="37" t="s">
        <v>1314</v>
      </c>
      <c r="B78" s="15" t="s">
        <v>471</v>
      </c>
      <c r="C78" s="64">
        <v>0</v>
      </c>
    </row>
    <row r="79" spans="1:3" ht="15.75">
      <c r="A79" s="37" t="s">
        <v>1340</v>
      </c>
      <c r="B79" s="15" t="s">
        <v>472</v>
      </c>
      <c r="C79" s="64">
        <v>0</v>
      </c>
    </row>
    <row r="80" spans="1:3" ht="15.75">
      <c r="A80" s="37" t="s">
        <v>1283</v>
      </c>
      <c r="B80" s="70" t="s">
        <v>474</v>
      </c>
      <c r="C80" s="64">
        <v>0</v>
      </c>
    </row>
    <row r="81" spans="1:3" ht="15.75">
      <c r="A81" s="37"/>
      <c r="B81" s="573" t="s">
        <v>1694</v>
      </c>
      <c r="C81" s="602">
        <f>SUM(C78:C80)</f>
        <v>0</v>
      </c>
    </row>
    <row r="82" spans="1:3" ht="15.75">
      <c r="A82" s="37"/>
      <c r="B82" s="601" t="s">
        <v>1695</v>
      </c>
      <c r="C82" s="68">
        <f>C77+C81</f>
        <v>87909</v>
      </c>
    </row>
    <row r="83" spans="1:3" ht="15.75">
      <c r="A83" s="37" t="s">
        <v>473</v>
      </c>
      <c r="B83" s="70" t="s">
        <v>1037</v>
      </c>
      <c r="C83" s="64">
        <v>0</v>
      </c>
    </row>
    <row r="84" spans="1:3" ht="15.75">
      <c r="A84" s="39"/>
      <c r="B84" s="23" t="s">
        <v>856</v>
      </c>
      <c r="C84" s="68">
        <f>C82+C83</f>
        <v>87909</v>
      </c>
    </row>
  </sheetData>
  <printOptions horizontalCentered="1"/>
  <pageMargins left="0.7875" right="0.7875" top="0.9840277777777778" bottom="0.9840277777777778" header="0.5118055555555556" footer="0.5118055555555556"/>
  <pageSetup fitToHeight="3" horizontalDpi="300" verticalDpi="300" orientation="portrait" paperSize="9" scale="80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7">
      <selection activeCell="D32" sqref="D32"/>
    </sheetView>
  </sheetViews>
  <sheetFormatPr defaultColWidth="9.140625" defaultRowHeight="12.75"/>
  <cols>
    <col min="1" max="1" width="4.7109375" style="37" customWidth="1"/>
    <col min="2" max="2" width="68.7109375" style="1" customWidth="1"/>
    <col min="3" max="3" width="12.7109375" style="1" customWidth="1"/>
    <col min="4" max="16384" width="9.140625" style="1" customWidth="1"/>
  </cols>
  <sheetData>
    <row r="1" ht="15.75">
      <c r="C1" s="74" t="s">
        <v>77</v>
      </c>
    </row>
    <row r="2" ht="15.75">
      <c r="C2" s="74"/>
    </row>
    <row r="4" ht="15.75">
      <c r="A4" s="40" t="str">
        <f>tartalom!B16</f>
        <v>Röszke Község Önkormányzatának 2014. évi kiadásaiból kiemelten</v>
      </c>
    </row>
    <row r="5" ht="15.75">
      <c r="A5" s="40"/>
    </row>
    <row r="6" spans="2:8" ht="15.75">
      <c r="B6" s="2"/>
      <c r="C6" s="75" t="s">
        <v>430</v>
      </c>
      <c r="D6" s="2"/>
      <c r="E6" s="2"/>
      <c r="F6" s="2"/>
      <c r="G6" s="2"/>
      <c r="H6" s="2"/>
    </row>
    <row r="7" spans="1:3" ht="15.75">
      <c r="A7" s="76" t="s">
        <v>1041</v>
      </c>
      <c r="B7" s="40"/>
      <c r="C7" s="74"/>
    </row>
    <row r="8" spans="1:3" ht="15.75">
      <c r="A8" s="1"/>
      <c r="B8" s="1" t="s">
        <v>1019</v>
      </c>
      <c r="C8" s="77">
        <v>2000</v>
      </c>
    </row>
    <row r="9" spans="1:3" ht="15.75">
      <c r="A9" s="1"/>
      <c r="B9" s="1" t="s">
        <v>883</v>
      </c>
      <c r="C9" s="77">
        <v>500</v>
      </c>
    </row>
    <row r="10" spans="1:3" ht="15.75">
      <c r="A10" s="1"/>
      <c r="B10" s="1" t="s">
        <v>884</v>
      </c>
      <c r="C10" s="77">
        <v>100</v>
      </c>
    </row>
    <row r="11" spans="1:3" ht="15.75">
      <c r="A11" s="1"/>
      <c r="B11" s="1" t="s">
        <v>885</v>
      </c>
      <c r="C11" s="77">
        <v>100</v>
      </c>
    </row>
    <row r="12" spans="1:3" ht="15.75">
      <c r="A12" s="1"/>
      <c r="B12" s="1" t="s">
        <v>886</v>
      </c>
      <c r="C12" s="77">
        <v>100</v>
      </c>
    </row>
    <row r="13" spans="1:3" ht="15.75">
      <c r="A13" s="1"/>
      <c r="B13" s="1" t="s">
        <v>887</v>
      </c>
      <c r="C13" s="77"/>
    </row>
    <row r="14" spans="1:3" ht="15.75">
      <c r="A14" s="1"/>
      <c r="B14" s="1" t="s">
        <v>76</v>
      </c>
      <c r="C14" s="77">
        <v>1270</v>
      </c>
    </row>
    <row r="15" spans="1:5" ht="15.75">
      <c r="A15" s="40"/>
      <c r="B15" s="40" t="s">
        <v>888</v>
      </c>
      <c r="C15" s="78">
        <f>SUM(C8:C14)</f>
        <v>4070</v>
      </c>
      <c r="E15" s="46"/>
    </row>
    <row r="16" spans="1:8" ht="15.75">
      <c r="A16" s="1"/>
      <c r="C16" s="77"/>
      <c r="D16" s="40"/>
      <c r="E16" s="40"/>
      <c r="F16" s="40"/>
      <c r="G16" s="40"/>
      <c r="H16" s="40"/>
    </row>
    <row r="17" spans="1:3" ht="15.75">
      <c r="A17" s="76" t="s">
        <v>78</v>
      </c>
      <c r="B17" s="40"/>
      <c r="C17" s="77"/>
    </row>
    <row r="18" spans="1:3" ht="15.75">
      <c r="A18" s="1"/>
      <c r="B18" s="1" t="s">
        <v>79</v>
      </c>
      <c r="C18" s="77">
        <v>4427</v>
      </c>
    </row>
    <row r="19" spans="1:3" ht="15.75">
      <c r="A19" s="1"/>
      <c r="B19" s="1" t="s">
        <v>594</v>
      </c>
      <c r="C19" s="77">
        <v>30</v>
      </c>
    </row>
    <row r="20" spans="1:3" ht="15.75">
      <c r="A20" s="1"/>
      <c r="B20" s="1" t="s">
        <v>975</v>
      </c>
      <c r="C20" s="77">
        <v>50</v>
      </c>
    </row>
    <row r="21" spans="1:3" ht="15.75">
      <c r="A21" s="1"/>
      <c r="B21" s="1" t="s">
        <v>976</v>
      </c>
      <c r="C21" s="77">
        <v>50</v>
      </c>
    </row>
    <row r="22" spans="1:3" ht="15.75">
      <c r="A22" s="1"/>
      <c r="B22" s="1" t="s">
        <v>977</v>
      </c>
      <c r="C22" s="77">
        <v>100</v>
      </c>
    </row>
    <row r="23" spans="1:3" ht="15.75">
      <c r="A23" s="1"/>
      <c r="B23" s="1" t="s">
        <v>978</v>
      </c>
      <c r="C23" s="77">
        <v>40</v>
      </c>
    </row>
    <row r="24" spans="1:3" ht="15.75">
      <c r="A24" s="1"/>
      <c r="B24" s="1" t="s">
        <v>979</v>
      </c>
      <c r="C24" s="77">
        <v>50</v>
      </c>
    </row>
    <row r="25" spans="1:3" ht="15.75">
      <c r="A25" s="1"/>
      <c r="B25" s="1" t="s">
        <v>980</v>
      </c>
      <c r="C25" s="77">
        <v>384</v>
      </c>
    </row>
    <row r="26" spans="1:3" ht="15.75">
      <c r="A26" s="1"/>
      <c r="B26" s="1" t="s">
        <v>572</v>
      </c>
      <c r="C26" s="77">
        <v>400</v>
      </c>
    </row>
    <row r="27" spans="1:3" ht="15.75">
      <c r="A27" s="1"/>
      <c r="B27" s="1" t="s">
        <v>573</v>
      </c>
      <c r="C27" s="77">
        <v>700</v>
      </c>
    </row>
    <row r="28" spans="1:3" ht="15.75">
      <c r="A28" s="1"/>
      <c r="B28" s="1" t="s">
        <v>574</v>
      </c>
      <c r="C28" s="77">
        <v>400</v>
      </c>
    </row>
    <row r="29" spans="1:3" ht="15.75">
      <c r="A29" s="1"/>
      <c r="B29" s="1" t="s">
        <v>837</v>
      </c>
      <c r="C29" s="77">
        <v>508</v>
      </c>
    </row>
    <row r="30" spans="1:3" ht="15.75">
      <c r="A30" s="40"/>
      <c r="B30" s="40" t="s">
        <v>80</v>
      </c>
      <c r="C30" s="78">
        <f>SUM(C18:C29)</f>
        <v>7139</v>
      </c>
    </row>
    <row r="31" spans="1:8" ht="15.75">
      <c r="A31" s="1"/>
      <c r="C31" s="77"/>
      <c r="D31" s="40"/>
      <c r="E31" s="40"/>
      <c r="F31" s="40"/>
      <c r="G31" s="40"/>
      <c r="H31" s="40"/>
    </row>
    <row r="32" spans="1:8" ht="15.75">
      <c r="A32" s="1"/>
      <c r="C32" s="77"/>
      <c r="D32" s="40"/>
      <c r="E32" s="40"/>
      <c r="F32" s="40"/>
      <c r="G32" s="40"/>
      <c r="H32" s="40"/>
    </row>
    <row r="33" spans="1:8" ht="15.75">
      <c r="A33" s="1"/>
      <c r="D33" s="40"/>
      <c r="E33" s="40"/>
      <c r="F33" s="40"/>
      <c r="G33" s="40"/>
      <c r="H33" s="40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13">
      <selection activeCell="C10" sqref="C10"/>
    </sheetView>
  </sheetViews>
  <sheetFormatPr defaultColWidth="9.140625" defaultRowHeight="12.75"/>
  <cols>
    <col min="1" max="1" width="4.7109375" style="32" customWidth="1"/>
    <col min="2" max="2" width="92.57421875" style="7" customWidth="1"/>
    <col min="3" max="3" width="14.28125" style="33" customWidth="1"/>
    <col min="4" max="16384" width="9.140625" style="7" customWidth="1"/>
  </cols>
  <sheetData>
    <row r="1" ht="15.75">
      <c r="C1" s="20" t="s">
        <v>193</v>
      </c>
    </row>
    <row r="2" ht="15.75">
      <c r="C2" s="20"/>
    </row>
    <row r="4" ht="15.75">
      <c r="B4" s="22" t="str">
        <f>tartalom!B17</f>
        <v>Ellátottak pénzbeli juttatásai</v>
      </c>
    </row>
    <row r="5" ht="15.75">
      <c r="B5" s="22"/>
    </row>
    <row r="6" ht="15.75">
      <c r="C6" s="401" t="s">
        <v>1416</v>
      </c>
    </row>
    <row r="7" spans="1:3" ht="21" customHeight="1">
      <c r="A7" s="44"/>
      <c r="B7" s="45" t="s">
        <v>122</v>
      </c>
      <c r="C7" s="33">
        <f>'K4'!U3</f>
        <v>50</v>
      </c>
    </row>
    <row r="8" spans="1:3" ht="18" customHeight="1">
      <c r="A8" s="44"/>
      <c r="B8" s="63" t="s">
        <v>1138</v>
      </c>
      <c r="C8" s="33">
        <f>'K4'!U4</f>
        <v>1398</v>
      </c>
    </row>
    <row r="9" spans="1:3" ht="16.5" customHeight="1">
      <c r="A9" s="44"/>
      <c r="B9" s="45" t="s">
        <v>1107</v>
      </c>
      <c r="C9" s="33">
        <f>'K4'!U5</f>
        <v>40</v>
      </c>
    </row>
    <row r="10" spans="1:3" ht="15.75">
      <c r="A10" s="44"/>
      <c r="B10" s="45" t="s">
        <v>1109</v>
      </c>
      <c r="C10" s="33">
        <f>'K4'!U6</f>
        <v>1150</v>
      </c>
    </row>
    <row r="11" spans="1:3" ht="15.75">
      <c r="A11" s="44"/>
      <c r="B11" s="458" t="s">
        <v>1111</v>
      </c>
      <c r="C11" s="542">
        <f>'K4'!U7</f>
        <v>2638</v>
      </c>
    </row>
    <row r="12" spans="1:3" ht="15.75">
      <c r="A12" s="44"/>
      <c r="B12" s="45" t="s">
        <v>439</v>
      </c>
      <c r="C12" s="33">
        <f>'K4'!U8</f>
        <v>4078</v>
      </c>
    </row>
    <row r="13" spans="1:3" ht="15.75">
      <c r="A13" s="44"/>
      <c r="B13" s="45" t="s">
        <v>441</v>
      </c>
      <c r="C13" s="33">
        <f>'K4'!U9</f>
        <v>1200</v>
      </c>
    </row>
    <row r="14" spans="1:3" ht="15.75">
      <c r="A14" s="44"/>
      <c r="B14" s="458" t="s">
        <v>443</v>
      </c>
      <c r="C14" s="542">
        <f>'K4'!U10</f>
        <v>5278</v>
      </c>
    </row>
    <row r="15" spans="1:3" ht="15.75">
      <c r="A15" s="44"/>
      <c r="B15" s="45" t="s">
        <v>445</v>
      </c>
      <c r="C15" s="33">
        <f>'K4'!U11</f>
        <v>13680</v>
      </c>
    </row>
    <row r="16" spans="1:3" ht="15.75">
      <c r="A16" s="44"/>
      <c r="B16" s="448" t="s">
        <v>447</v>
      </c>
      <c r="C16" s="542">
        <f>'K4'!U12</f>
        <v>13680</v>
      </c>
    </row>
    <row r="17" spans="1:3" ht="15.75">
      <c r="A17" s="44"/>
      <c r="B17" s="61" t="s">
        <v>448</v>
      </c>
      <c r="C17" s="33">
        <f>'K4'!U13</f>
        <v>5400</v>
      </c>
    </row>
    <row r="18" spans="1:3" ht="15.75">
      <c r="A18" s="44"/>
      <c r="B18" s="61" t="s">
        <v>1135</v>
      </c>
      <c r="C18" s="33">
        <f>'K4'!U14</f>
        <v>950</v>
      </c>
    </row>
    <row r="19" spans="1:3" ht="15.75">
      <c r="A19" s="44"/>
      <c r="B19" s="448" t="s">
        <v>452</v>
      </c>
      <c r="C19" s="542">
        <f>'K4'!U15</f>
        <v>6350</v>
      </c>
    </row>
    <row r="20" spans="1:3" ht="15.75">
      <c r="A20" s="44"/>
      <c r="B20" s="45" t="s">
        <v>454</v>
      </c>
      <c r="C20" s="33">
        <f>'K4'!U16</f>
        <v>5040</v>
      </c>
    </row>
    <row r="21" spans="1:3" ht="15.75">
      <c r="A21" s="44"/>
      <c r="B21" s="61" t="s">
        <v>456</v>
      </c>
      <c r="C21" s="33">
        <f>'K4'!U17</f>
        <v>1800</v>
      </c>
    </row>
    <row r="22" spans="1:3" ht="15.75">
      <c r="A22" s="44"/>
      <c r="B22" s="61" t="s">
        <v>458</v>
      </c>
      <c r="C22" s="33">
        <f>'K4'!U18</f>
        <v>300</v>
      </c>
    </row>
    <row r="23" spans="1:3" ht="15.75">
      <c r="A23" s="44"/>
      <c r="B23" s="45" t="s">
        <v>460</v>
      </c>
      <c r="C23" s="33">
        <f>'K4'!U19</f>
        <v>150</v>
      </c>
    </row>
    <row r="24" spans="1:3" ht="15.75">
      <c r="A24" s="44"/>
      <c r="B24" s="45" t="s">
        <v>462</v>
      </c>
      <c r="C24" s="33">
        <f>'K4'!U20</f>
        <v>4000</v>
      </c>
    </row>
    <row r="25" spans="1:3" s="22" customFormat="1" ht="15.75">
      <c r="A25" s="44"/>
      <c r="B25" s="45" t="s">
        <v>464</v>
      </c>
      <c r="C25" s="33">
        <f>'K4'!U21</f>
        <v>120</v>
      </c>
    </row>
    <row r="26" spans="1:3" ht="15.75">
      <c r="A26" s="44"/>
      <c r="B26" s="45" t="s">
        <v>466</v>
      </c>
      <c r="C26" s="33">
        <f>'K4'!U22</f>
        <v>850</v>
      </c>
    </row>
    <row r="27" spans="1:3" ht="15.75">
      <c r="A27" s="44"/>
      <c r="B27" s="45" t="s">
        <v>468</v>
      </c>
      <c r="C27" s="33">
        <f>'K4'!U23</f>
        <v>200</v>
      </c>
    </row>
    <row r="28" spans="1:3" ht="15.75">
      <c r="A28" s="44"/>
      <c r="B28" s="448" t="s">
        <v>1132</v>
      </c>
      <c r="C28" s="542">
        <f>'K4'!U24</f>
        <v>12460</v>
      </c>
    </row>
    <row r="29" spans="1:3" ht="15.75">
      <c r="A29" s="44"/>
      <c r="B29" s="143" t="s">
        <v>1133</v>
      </c>
      <c r="C29" s="35">
        <f>'K4'!U25</f>
        <v>40406</v>
      </c>
    </row>
    <row r="30" spans="1:3" ht="15.75">
      <c r="A30" s="33"/>
      <c r="C30" s="7"/>
    </row>
    <row r="31" spans="1:3" ht="15.75">
      <c r="A31" s="33"/>
      <c r="C31" s="7"/>
    </row>
    <row r="32" spans="1:3" ht="15.75">
      <c r="A32" s="33"/>
      <c r="C32" s="7"/>
    </row>
    <row r="33" spans="1:3" ht="15.75">
      <c r="A33" s="179"/>
      <c r="C33" s="7"/>
    </row>
    <row r="34" spans="1:3" ht="15.75">
      <c r="A34" s="33"/>
      <c r="C34" s="7"/>
    </row>
    <row r="35" spans="1:3" ht="15.75">
      <c r="A35" s="33"/>
      <c r="C35" s="7"/>
    </row>
    <row r="36" spans="1:3" ht="15.75">
      <c r="A36" s="33"/>
      <c r="C36" s="7"/>
    </row>
    <row r="37" spans="1:3" ht="15.75">
      <c r="A37" s="33"/>
      <c r="C37" s="7"/>
    </row>
    <row r="38" s="22" customFormat="1" ht="15.75">
      <c r="A38" s="35"/>
    </row>
    <row r="39" s="22" customFormat="1" ht="15.75">
      <c r="A39" s="35"/>
    </row>
    <row r="40" s="22" customFormat="1" ht="15.75">
      <c r="A40" s="35"/>
    </row>
    <row r="41" s="22" customFormat="1" ht="15.75">
      <c r="A41" s="35"/>
    </row>
    <row r="42" s="22" customFormat="1" ht="15.75">
      <c r="A42" s="35"/>
    </row>
    <row r="43" spans="1:3" ht="15.75">
      <c r="A43" s="35"/>
      <c r="C43" s="7"/>
    </row>
    <row r="44" spans="1:3" ht="15.75">
      <c r="A44" s="35"/>
      <c r="C44" s="7"/>
    </row>
    <row r="45" spans="1:3" ht="15.75">
      <c r="A45" s="33"/>
      <c r="C45" s="7"/>
    </row>
    <row r="46" spans="1:3" ht="15.75">
      <c r="A46" s="33"/>
      <c r="C46" s="7"/>
    </row>
    <row r="47" spans="1:3" ht="15.75">
      <c r="A47" s="33"/>
      <c r="C47" s="7"/>
    </row>
    <row r="48" spans="1:3" ht="15.75">
      <c r="A48" s="33"/>
      <c r="C48" s="7"/>
    </row>
    <row r="49" spans="1:3" ht="15.75">
      <c r="A49" s="33"/>
      <c r="C49" s="7"/>
    </row>
    <row r="50" s="22" customFormat="1" ht="15.75">
      <c r="A50" s="35"/>
    </row>
    <row r="54" ht="15.75">
      <c r="B54" s="10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workbookViewId="0" topLeftCell="A13">
      <selection activeCell="C14" sqref="C14"/>
    </sheetView>
  </sheetViews>
  <sheetFormatPr defaultColWidth="9.140625" defaultRowHeight="12.75"/>
  <cols>
    <col min="1" max="1" width="6.28125" style="32" customWidth="1"/>
    <col min="2" max="2" width="68.7109375" style="7" customWidth="1"/>
    <col min="3" max="3" width="12.8515625" style="33" customWidth="1"/>
    <col min="4" max="16384" width="9.140625" style="7" customWidth="1"/>
  </cols>
  <sheetData>
    <row r="1" ht="15.75">
      <c r="C1" s="20" t="s">
        <v>198</v>
      </c>
    </row>
    <row r="2" ht="15.75">
      <c r="C2" s="20"/>
    </row>
    <row r="4" ht="15.75">
      <c r="B4" s="22" t="str">
        <f>tartalom!B18</f>
        <v>Egyéb működési célú kiadások</v>
      </c>
    </row>
    <row r="5" ht="15.75">
      <c r="B5" s="22"/>
    </row>
    <row r="6" ht="15.75">
      <c r="B6" s="22"/>
    </row>
    <row r="7" spans="1:3" ht="15.75">
      <c r="A7" s="44"/>
      <c r="C7" s="20" t="s">
        <v>1416</v>
      </c>
    </row>
    <row r="8" spans="1:3" ht="15.75">
      <c r="A8" s="283"/>
      <c r="B8" s="378" t="s">
        <v>1231</v>
      </c>
      <c r="C8" s="542">
        <f>'K5K8K9'!AL3</f>
        <v>0</v>
      </c>
    </row>
    <row r="9" spans="1:3" ht="15.75">
      <c r="A9" s="44"/>
      <c r="B9" s="63" t="s">
        <v>1233</v>
      </c>
      <c r="C9" s="33">
        <f>'K5K8K9'!AL4</f>
        <v>2000</v>
      </c>
    </row>
    <row r="10" spans="1:3" ht="15.75">
      <c r="A10" s="283"/>
      <c r="B10" s="282" t="s">
        <v>1276</v>
      </c>
      <c r="C10" s="542">
        <f>'K5K8K9'!AL5</f>
        <v>2000</v>
      </c>
    </row>
    <row r="11" spans="1:3" ht="15.75">
      <c r="A11" s="44"/>
      <c r="B11" s="10" t="s">
        <v>1236</v>
      </c>
      <c r="C11" s="33">
        <f>'K5K8K9'!AL6</f>
        <v>0</v>
      </c>
    </row>
    <row r="12" spans="1:3" ht="15.75">
      <c r="A12" s="44"/>
      <c r="B12" s="63" t="s">
        <v>1237</v>
      </c>
      <c r="C12" s="33">
        <f>'K5K8K9'!AL7</f>
        <v>17936</v>
      </c>
    </row>
    <row r="13" spans="1:3" ht="15.75">
      <c r="A13" s="283"/>
      <c r="B13" s="282" t="s">
        <v>1275</v>
      </c>
      <c r="C13" s="542">
        <f>'K5K8K9'!AL8</f>
        <v>17936</v>
      </c>
    </row>
    <row r="14" spans="1:3" ht="15.75">
      <c r="A14" s="44"/>
      <c r="B14" s="63" t="s">
        <v>1241</v>
      </c>
      <c r="C14" s="33">
        <f>'K5K8K9'!AL9</f>
        <v>11125</v>
      </c>
    </row>
    <row r="15" spans="1:3" s="22" customFormat="1" ht="15.75">
      <c r="A15" s="44"/>
      <c r="B15" s="10" t="s">
        <v>1243</v>
      </c>
      <c r="C15" s="33">
        <f>'K5K8K9'!AL10</f>
        <v>0</v>
      </c>
    </row>
    <row r="16" spans="1:3" s="22" customFormat="1" ht="15.75">
      <c r="A16" s="44"/>
      <c r="B16" s="9" t="s">
        <v>1245</v>
      </c>
      <c r="C16" s="33">
        <f>'K5K8K9'!AL11</f>
        <v>0</v>
      </c>
    </row>
    <row r="17" spans="1:3" ht="15.75">
      <c r="A17" s="283"/>
      <c r="B17" s="282" t="s">
        <v>1274</v>
      </c>
      <c r="C17" s="542">
        <f>'K5K8K9'!AL12</f>
        <v>11125</v>
      </c>
    </row>
    <row r="18" spans="1:3" ht="15.75">
      <c r="A18" s="44"/>
      <c r="B18" s="10" t="s">
        <v>1248</v>
      </c>
      <c r="C18" s="33">
        <f>'K5K8K9'!AL13</f>
        <v>41165</v>
      </c>
    </row>
    <row r="19" spans="1:3" ht="15.75">
      <c r="A19" s="44"/>
      <c r="B19" s="10" t="s">
        <v>1250</v>
      </c>
      <c r="C19" s="33">
        <f>'K5K8K9'!AL14</f>
        <v>0</v>
      </c>
    </row>
    <row r="20" spans="1:3" s="22" customFormat="1" ht="15.75">
      <c r="A20" s="283"/>
      <c r="B20" s="378" t="s">
        <v>1252</v>
      </c>
      <c r="C20" s="542">
        <f>'K5K8K9'!AL15</f>
        <v>41165</v>
      </c>
    </row>
    <row r="21" spans="1:3" ht="15.75">
      <c r="A21" s="36"/>
      <c r="B21" s="50" t="s">
        <v>191</v>
      </c>
      <c r="C21" s="35">
        <f>'K5K8K9'!AL16</f>
        <v>72226</v>
      </c>
    </row>
    <row r="22" spans="1:2" ht="15.75">
      <c r="A22" s="36"/>
      <c r="B22" s="50"/>
    </row>
    <row r="23" spans="1:3" ht="15.75">
      <c r="A23" s="32" t="s">
        <v>515</v>
      </c>
      <c r="B23" s="7" t="s">
        <v>1205</v>
      </c>
      <c r="C23" s="33">
        <v>3500</v>
      </c>
    </row>
    <row r="24" spans="1:3" ht="15.75">
      <c r="A24" s="32" t="s">
        <v>531</v>
      </c>
      <c r="B24" s="7" t="s">
        <v>1206</v>
      </c>
      <c r="C24" s="33">
        <v>1000</v>
      </c>
    </row>
    <row r="25" spans="1:3" ht="15.75">
      <c r="A25" s="32" t="s">
        <v>546</v>
      </c>
      <c r="B25" s="7" t="s">
        <v>1207</v>
      </c>
      <c r="C25" s="33">
        <v>4000</v>
      </c>
    </row>
    <row r="26" spans="1:3" ht="15.75">
      <c r="A26" s="32" t="s">
        <v>547</v>
      </c>
      <c r="B26" s="7" t="s">
        <v>1208</v>
      </c>
      <c r="C26" s="33">
        <v>750</v>
      </c>
    </row>
    <row r="27" spans="1:3" ht="15.75">
      <c r="A27" s="32" t="s">
        <v>548</v>
      </c>
      <c r="B27" s="7" t="s">
        <v>1076</v>
      </c>
      <c r="C27" s="33">
        <v>150</v>
      </c>
    </row>
    <row r="28" spans="1:3" ht="15.75">
      <c r="A28" s="32" t="s">
        <v>549</v>
      </c>
      <c r="B28" s="6" t="s">
        <v>1209</v>
      </c>
      <c r="C28" s="33">
        <v>860</v>
      </c>
    </row>
    <row r="29" spans="1:3" ht="15.75">
      <c r="A29" s="32" t="s">
        <v>551</v>
      </c>
      <c r="B29" s="6" t="s">
        <v>1210</v>
      </c>
      <c r="C29" s="33">
        <v>265</v>
      </c>
    </row>
    <row r="30" spans="1:3" ht="15.75">
      <c r="A30" s="32" t="s">
        <v>552</v>
      </c>
      <c r="B30" s="7" t="s">
        <v>1077</v>
      </c>
      <c r="C30" s="33">
        <v>150</v>
      </c>
    </row>
    <row r="31" spans="1:3" ht="15.75">
      <c r="A31" s="32" t="s">
        <v>553</v>
      </c>
      <c r="B31" s="7" t="s">
        <v>395</v>
      </c>
      <c r="C31" s="33">
        <v>150</v>
      </c>
    </row>
    <row r="32" spans="1:3" ht="15.75">
      <c r="A32" s="32" t="s">
        <v>555</v>
      </c>
      <c r="B32" s="7" t="s">
        <v>190</v>
      </c>
      <c r="C32" s="33">
        <v>300</v>
      </c>
    </row>
    <row r="33" spans="1:3" ht="15.75">
      <c r="A33" s="34"/>
      <c r="B33" s="31" t="s">
        <v>192</v>
      </c>
      <c r="C33" s="35">
        <f>SUM(C23:C32)</f>
        <v>11125</v>
      </c>
    </row>
    <row r="45" ht="15.75">
      <c r="B45" s="6"/>
    </row>
    <row r="46" ht="15.75">
      <c r="B46" s="6"/>
    </row>
    <row r="48" ht="15.75">
      <c r="B48" s="6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9">
      <selection activeCell="E42" sqref="E42"/>
    </sheetView>
  </sheetViews>
  <sheetFormatPr defaultColWidth="9.140625" defaultRowHeight="12.75"/>
  <cols>
    <col min="1" max="1" width="4.7109375" style="37" customWidth="1"/>
    <col min="2" max="2" width="67.57421875" style="1" customWidth="1"/>
    <col min="3" max="3" width="14.7109375" style="37" customWidth="1"/>
    <col min="4" max="16384" width="9.140625" style="1" customWidth="1"/>
  </cols>
  <sheetData>
    <row r="1" ht="15.75">
      <c r="C1" s="20" t="s">
        <v>196</v>
      </c>
    </row>
    <row r="2" ht="15.75">
      <c r="C2" s="20"/>
    </row>
    <row r="4" ht="15.75">
      <c r="B4" s="40" t="str">
        <f>tartalom!B19</f>
        <v>Beruházások, felújítások</v>
      </c>
    </row>
    <row r="5" ht="15.75">
      <c r="B5" s="40"/>
    </row>
    <row r="6" spans="2:3" ht="15.75">
      <c r="B6" s="40"/>
      <c r="C6" s="401" t="s">
        <v>1416</v>
      </c>
    </row>
    <row r="7" spans="1:3" ht="15.75">
      <c r="A7" s="44"/>
      <c r="B7" s="10" t="s">
        <v>1286</v>
      </c>
      <c r="C7" s="55">
        <f>'K6K7'!J4</f>
        <v>0</v>
      </c>
    </row>
    <row r="8" spans="1:3" ht="15.75">
      <c r="A8" s="44"/>
      <c r="B8" s="10" t="s">
        <v>1288</v>
      </c>
      <c r="C8" s="55">
        <f>'K6K7'!J5</f>
        <v>0</v>
      </c>
    </row>
    <row r="9" spans="1:3" ht="15.75">
      <c r="A9" s="44"/>
      <c r="B9" s="282" t="s">
        <v>1290</v>
      </c>
      <c r="C9" s="56">
        <f>'K6K7'!J6</f>
        <v>0</v>
      </c>
    </row>
    <row r="10" spans="1:3" ht="15.75">
      <c r="A10" s="44"/>
      <c r="B10" s="10" t="s">
        <v>1292</v>
      </c>
      <c r="C10" s="55">
        <f>'K6K7'!J7</f>
        <v>0</v>
      </c>
    </row>
    <row r="11" spans="1:3" ht="15.75">
      <c r="A11" s="44"/>
      <c r="B11" s="10" t="s">
        <v>605</v>
      </c>
      <c r="C11" s="55">
        <f>'K6K7'!J8</f>
        <v>2800</v>
      </c>
    </row>
    <row r="12" spans="1:3" ht="15.75">
      <c r="A12" s="36"/>
      <c r="B12" s="10" t="s">
        <v>607</v>
      </c>
      <c r="C12" s="55">
        <f>'K6K7'!J9</f>
        <v>0</v>
      </c>
    </row>
    <row r="13" spans="1:3" ht="15.75">
      <c r="A13" s="44"/>
      <c r="B13" s="10" t="s">
        <v>609</v>
      </c>
      <c r="C13" s="55">
        <f>'K6K7'!J10</f>
        <v>0</v>
      </c>
    </row>
    <row r="14" spans="1:3" ht="15.75">
      <c r="A14" s="44"/>
      <c r="B14" s="10" t="s">
        <v>611</v>
      </c>
      <c r="C14" s="55">
        <f>'K6K7'!J11</f>
        <v>50122</v>
      </c>
    </row>
    <row r="15" spans="1:3" ht="15.75">
      <c r="A15" s="44"/>
      <c r="B15" s="10" t="s">
        <v>613</v>
      </c>
      <c r="C15" s="55">
        <f>'K6K7'!J12</f>
        <v>0</v>
      </c>
    </row>
    <row r="16" spans="1:3" ht="15.75">
      <c r="A16" s="44"/>
      <c r="B16" s="282" t="s">
        <v>615</v>
      </c>
      <c r="C16" s="604">
        <f>'K6K7'!J13</f>
        <v>52922</v>
      </c>
    </row>
    <row r="17" spans="1:3" ht="15.75">
      <c r="A17" s="44"/>
      <c r="B17" s="10" t="s">
        <v>616</v>
      </c>
      <c r="C17" s="55">
        <f>'K6K7'!J14</f>
        <v>0</v>
      </c>
    </row>
    <row r="18" spans="1:3" ht="15.75">
      <c r="A18" s="44"/>
      <c r="B18" s="10" t="s">
        <v>437</v>
      </c>
      <c r="C18" s="55">
        <f>'K6K7'!J15</f>
        <v>0</v>
      </c>
    </row>
    <row r="19" spans="1:3" ht="15.75">
      <c r="A19" s="36"/>
      <c r="B19" s="282" t="s">
        <v>1295</v>
      </c>
      <c r="C19" s="604">
        <f>'K6K7'!J16</f>
        <v>0</v>
      </c>
    </row>
    <row r="20" spans="1:3" ht="15.75">
      <c r="A20" s="44"/>
      <c r="B20" s="10" t="s">
        <v>1296</v>
      </c>
      <c r="C20" s="55">
        <f>'K6K7'!J17</f>
        <v>8802</v>
      </c>
    </row>
    <row r="21" spans="1:3" ht="15.75">
      <c r="A21" s="36"/>
      <c r="B21" s="10" t="s">
        <v>1299</v>
      </c>
      <c r="C21" s="55">
        <f>'K6K7'!J18</f>
        <v>0</v>
      </c>
    </row>
    <row r="22" spans="1:3" ht="15.75">
      <c r="A22" s="44"/>
      <c r="B22" s="10" t="s">
        <v>1301</v>
      </c>
      <c r="C22" s="55">
        <f>'K6K7'!J19</f>
        <v>6693</v>
      </c>
    </row>
    <row r="23" spans="1:3" ht="15.75">
      <c r="A23" s="44"/>
      <c r="B23" s="282" t="s">
        <v>1303</v>
      </c>
      <c r="C23" s="604">
        <f>'K6K7'!J20</f>
        <v>15495</v>
      </c>
    </row>
    <row r="24" spans="1:3" ht="15.75">
      <c r="A24" s="36"/>
      <c r="B24" s="282" t="s">
        <v>1305</v>
      </c>
      <c r="C24" s="604">
        <f>'K6K7'!J21</f>
        <v>100</v>
      </c>
    </row>
    <row r="25" spans="1:3" ht="15.75">
      <c r="A25" s="36"/>
      <c r="B25" s="282" t="s">
        <v>1307</v>
      </c>
      <c r="C25" s="604">
        <f>'K6K7'!J22</f>
        <v>0</v>
      </c>
    </row>
    <row r="26" spans="1:3" ht="15.75">
      <c r="A26" s="44"/>
      <c r="B26" s="10" t="s">
        <v>1309</v>
      </c>
      <c r="C26" s="55">
        <f>'K6K7'!J23</f>
        <v>0</v>
      </c>
    </row>
    <row r="27" spans="1:3" ht="15.75">
      <c r="A27" s="44"/>
      <c r="B27" s="10" t="s">
        <v>1311</v>
      </c>
      <c r="C27" s="55">
        <f>'K6K7'!J24</f>
        <v>17716</v>
      </c>
    </row>
    <row r="28" spans="1:3" ht="15.75">
      <c r="A28" s="44"/>
      <c r="B28" s="10" t="s">
        <v>1313</v>
      </c>
      <c r="C28" s="55">
        <f>'K6K7'!J25</f>
        <v>17716</v>
      </c>
    </row>
    <row r="29" spans="1:3" ht="15.75">
      <c r="A29" s="44"/>
      <c r="B29" s="31" t="s">
        <v>197</v>
      </c>
      <c r="C29" s="56">
        <f>'K6K7'!J26</f>
        <v>86233</v>
      </c>
    </row>
    <row r="30" spans="1:3" ht="15.75">
      <c r="A30" s="36"/>
      <c r="B30" s="31"/>
      <c r="C30" s="55">
        <f>'K6K7'!J27</f>
        <v>0</v>
      </c>
    </row>
    <row r="31" spans="1:3" ht="15.75">
      <c r="A31" s="36"/>
      <c r="B31" s="10" t="s">
        <v>1319</v>
      </c>
      <c r="C31" s="55">
        <f>'K6K7'!J28</f>
        <v>7874</v>
      </c>
    </row>
    <row r="32" spans="2:3" ht="15.75">
      <c r="B32" s="10" t="s">
        <v>1321</v>
      </c>
      <c r="C32" s="55">
        <f>'K6K7'!J29</f>
        <v>3508</v>
      </c>
    </row>
    <row r="33" spans="2:3" ht="15.75">
      <c r="B33" s="282" t="s">
        <v>1337</v>
      </c>
      <c r="C33" s="604">
        <f>'K6K7'!J30</f>
        <v>11382</v>
      </c>
    </row>
    <row r="34" spans="2:3" ht="15.75">
      <c r="B34" s="10" t="s">
        <v>1324</v>
      </c>
      <c r="C34" s="55">
        <f>'K6K7'!J31</f>
        <v>0</v>
      </c>
    </row>
    <row r="35" spans="2:3" ht="15.75">
      <c r="B35" s="282" t="s">
        <v>1326</v>
      </c>
      <c r="C35" s="604">
        <f>'K6K7'!J32</f>
        <v>0</v>
      </c>
    </row>
    <row r="36" spans="2:3" ht="15.75">
      <c r="B36" s="166" t="s">
        <v>1328</v>
      </c>
      <c r="C36" s="55">
        <f>'K6K7'!J33</f>
        <v>0</v>
      </c>
    </row>
    <row r="37" spans="2:3" ht="15.75">
      <c r="B37" s="166" t="s">
        <v>1330</v>
      </c>
      <c r="C37" s="55">
        <f>'K6K7'!J34</f>
        <v>0</v>
      </c>
    </row>
    <row r="38" spans="2:3" ht="15.75">
      <c r="B38" s="284" t="s">
        <v>1338</v>
      </c>
      <c r="C38" s="604">
        <f>'K6K7'!J35</f>
        <v>0</v>
      </c>
    </row>
    <row r="39" spans="2:3" ht="15.75">
      <c r="B39" s="169" t="s">
        <v>1334</v>
      </c>
      <c r="C39" s="55">
        <f>'K6K7'!J36</f>
        <v>0</v>
      </c>
    </row>
    <row r="40" spans="2:3" ht="15.75">
      <c r="B40" s="169" t="s">
        <v>1336</v>
      </c>
      <c r="C40" s="55">
        <f>'K6K7'!J37</f>
        <v>3074</v>
      </c>
    </row>
    <row r="41" spans="2:3" ht="15.75">
      <c r="B41" s="285" t="s">
        <v>1339</v>
      </c>
      <c r="C41" s="604">
        <f>'K6K7'!J38</f>
        <v>3074</v>
      </c>
    </row>
    <row r="42" spans="2:3" ht="15.75">
      <c r="B42" s="168" t="s">
        <v>1341</v>
      </c>
      <c r="C42" s="56">
        <f>'K6K7'!J39</f>
        <v>14456</v>
      </c>
    </row>
    <row r="43" ht="15.75">
      <c r="B43" s="12"/>
    </row>
    <row r="45" ht="15.75">
      <c r="B45" s="12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 topLeftCell="A1">
      <selection activeCell="E14" sqref="E14"/>
    </sheetView>
  </sheetViews>
  <sheetFormatPr defaultColWidth="9.140625" defaultRowHeight="12.75"/>
  <cols>
    <col min="1" max="1" width="4.7109375" style="82" customWidth="1"/>
    <col min="2" max="2" width="68.7109375" style="83" customWidth="1"/>
    <col min="3" max="3" width="12.7109375" style="84" customWidth="1"/>
    <col min="4" max="16384" width="9.140625" style="83" customWidth="1"/>
  </cols>
  <sheetData>
    <row r="1" spans="1:3" ht="15.75">
      <c r="A1" s="37"/>
      <c r="B1" s="1"/>
      <c r="C1" s="20" t="s">
        <v>195</v>
      </c>
    </row>
    <row r="2" spans="1:3" ht="15.75">
      <c r="A2" s="37"/>
      <c r="B2" s="1"/>
      <c r="C2" s="20"/>
    </row>
    <row r="3" spans="1:3" ht="15.75">
      <c r="A3" s="37"/>
      <c r="B3" s="1"/>
      <c r="C3" s="41"/>
    </row>
    <row r="4" spans="1:3" ht="15.75">
      <c r="A4" s="37"/>
      <c r="B4" s="40" t="str">
        <f>tartalom!B20</f>
        <v>Egyéb felhalmozási célú kiadások</v>
      </c>
      <c r="C4" s="41"/>
    </row>
    <row r="5" spans="1:3" ht="15.75">
      <c r="A5" s="37"/>
      <c r="B5" s="40"/>
      <c r="C5" s="41"/>
    </row>
    <row r="6" spans="1:3" ht="15.75">
      <c r="A6" s="37"/>
      <c r="B6" s="40"/>
      <c r="C6" s="41"/>
    </row>
    <row r="7" spans="1:3" ht="15.75">
      <c r="A7" s="37"/>
      <c r="B7" s="1"/>
      <c r="C7" s="20" t="s">
        <v>1416</v>
      </c>
    </row>
    <row r="8" spans="1:3" ht="15.75">
      <c r="A8" s="32"/>
      <c r="B8" s="63" t="s">
        <v>1255</v>
      </c>
      <c r="C8" s="41">
        <f>'K5K8K9'!AL19</f>
        <v>0</v>
      </c>
    </row>
    <row r="9" spans="1:3" ht="15.75">
      <c r="A9" s="32"/>
      <c r="B9" s="282" t="s">
        <v>1273</v>
      </c>
      <c r="C9" s="547">
        <f>'K5K8K9'!AL20</f>
        <v>0</v>
      </c>
    </row>
    <row r="10" spans="1:3" ht="15.75">
      <c r="A10" s="32"/>
      <c r="B10" s="10" t="s">
        <v>1259</v>
      </c>
      <c r="C10" s="41">
        <f>'K5K8K9'!AL21</f>
        <v>8184</v>
      </c>
    </row>
    <row r="11" spans="1:3" ht="31.5">
      <c r="A11" s="32"/>
      <c r="B11" s="63" t="s">
        <v>1656</v>
      </c>
      <c r="C11" s="41">
        <f>'K5K8K9'!AL22</f>
        <v>33055</v>
      </c>
    </row>
    <row r="12" spans="1:3" ht="15.75">
      <c r="A12" s="32"/>
      <c r="B12" s="378" t="s">
        <v>1262</v>
      </c>
      <c r="C12" s="547">
        <f>'K5K8K9'!AL23</f>
        <v>41239</v>
      </c>
    </row>
    <row r="13" spans="1:3" ht="15.75">
      <c r="A13" s="32"/>
      <c r="B13" s="10" t="s">
        <v>1264</v>
      </c>
      <c r="C13" s="41">
        <f>'K5K8K9'!AL24</f>
        <v>0</v>
      </c>
    </row>
    <row r="14" spans="1:3" s="85" customFormat="1" ht="15.75">
      <c r="A14" s="34"/>
      <c r="B14" s="9" t="s">
        <v>1266</v>
      </c>
      <c r="C14" s="41">
        <f>'K5K8K9'!AL25</f>
        <v>0</v>
      </c>
    </row>
    <row r="15" spans="1:3" s="85" customFormat="1" ht="15.75">
      <c r="A15" s="34"/>
      <c r="B15" s="10" t="s">
        <v>1268</v>
      </c>
      <c r="C15" s="41">
        <f>'K5K8K9'!AL26</f>
        <v>0</v>
      </c>
    </row>
    <row r="16" spans="1:3" ht="15.75">
      <c r="A16" s="37"/>
      <c r="B16" s="10" t="s">
        <v>1270</v>
      </c>
      <c r="C16" s="41">
        <f>'K5K8K9'!AL27</f>
        <v>0</v>
      </c>
    </row>
    <row r="17" spans="2:3" ht="15.75">
      <c r="B17" s="573" t="s">
        <v>1272</v>
      </c>
      <c r="C17" s="547">
        <f>'K5K8K9'!AL28</f>
        <v>0</v>
      </c>
    </row>
    <row r="18" spans="1:3" ht="15.75">
      <c r="A18" s="37"/>
      <c r="B18" s="10" t="s">
        <v>1278</v>
      </c>
      <c r="C18" s="41">
        <f>'K5K8K9'!AL29</f>
        <v>1000</v>
      </c>
    </row>
    <row r="19" spans="1:3" ht="15.75">
      <c r="A19" s="37"/>
      <c r="B19" s="282" t="s">
        <v>1280</v>
      </c>
      <c r="C19" s="547">
        <f>'K5K8K9'!AL30</f>
        <v>1000</v>
      </c>
    </row>
    <row r="20" spans="1:3" ht="15.75">
      <c r="A20" s="37"/>
      <c r="B20" s="282" t="s">
        <v>1655</v>
      </c>
      <c r="C20" s="547">
        <f>'K5K8K9'!AL31</f>
        <v>0</v>
      </c>
    </row>
    <row r="21" spans="1:3" ht="15.75">
      <c r="A21" s="37"/>
      <c r="B21" s="168" t="s">
        <v>1284</v>
      </c>
      <c r="C21" s="43">
        <f>'K5K8K9'!AL32</f>
        <v>42239</v>
      </c>
    </row>
    <row r="25" ht="15.75">
      <c r="B25" s="86"/>
    </row>
    <row r="26" ht="15.75">
      <c r="B26" s="86"/>
    </row>
    <row r="28" ht="15.75">
      <c r="B28" s="86"/>
    </row>
    <row r="40" ht="15.75">
      <c r="B40" s="86"/>
    </row>
    <row r="41" ht="15.75">
      <c r="B41" s="86"/>
    </row>
    <row r="43" ht="15.75">
      <c r="B43" s="86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09"/>
  <sheetViews>
    <sheetView workbookViewId="0" topLeftCell="A181">
      <selection activeCell="G156" sqref="G156"/>
    </sheetView>
  </sheetViews>
  <sheetFormatPr defaultColWidth="9.140625" defaultRowHeight="12.75"/>
  <cols>
    <col min="1" max="1" width="8.7109375" style="87" customWidth="1"/>
    <col min="2" max="2" width="62.7109375" style="1" customWidth="1"/>
    <col min="3" max="3" width="14.7109375" style="59" customWidth="1"/>
    <col min="4" max="16384" width="9.140625" style="1" customWidth="1"/>
  </cols>
  <sheetData>
    <row r="1" ht="15.75">
      <c r="C1" s="20" t="s">
        <v>1216</v>
      </c>
    </row>
    <row r="2" ht="15.75">
      <c r="C2" s="20"/>
    </row>
    <row r="3" ht="15.75">
      <c r="C3" s="41"/>
    </row>
    <row r="4" spans="2:3" ht="15.75">
      <c r="B4" s="40" t="e">
        <f>tartalom!#REF!</f>
        <v>#REF!</v>
      </c>
      <c r="C4" s="41"/>
    </row>
    <row r="5" spans="2:3" ht="15.75">
      <c r="B5" s="40"/>
      <c r="C5" s="41"/>
    </row>
    <row r="6" ht="15.75">
      <c r="C6" s="24" t="s">
        <v>430</v>
      </c>
    </row>
    <row r="7" spans="1:3" ht="15.75">
      <c r="A7" s="88" t="s">
        <v>214</v>
      </c>
      <c r="B7" s="53" t="s">
        <v>215</v>
      </c>
      <c r="C7" s="89"/>
    </row>
    <row r="8" spans="2:3" ht="15.75">
      <c r="B8" s="10" t="s">
        <v>542</v>
      </c>
      <c r="C8" s="55" t="e">
        <f>'K6K7'!#REF!</f>
        <v>#REF!</v>
      </c>
    </row>
    <row r="9" spans="1:3" s="40" customFormat="1" ht="15.75">
      <c r="A9" s="90" t="s">
        <v>214</v>
      </c>
      <c r="B9" s="40" t="s">
        <v>965</v>
      </c>
      <c r="C9" s="56" t="e">
        <f>SUM(C8)</f>
        <v>#REF!</v>
      </c>
    </row>
    <row r="10" ht="15.75">
      <c r="C10" s="20"/>
    </row>
    <row r="11" spans="1:3" ht="15.75">
      <c r="A11" s="88" t="s">
        <v>217</v>
      </c>
      <c r="B11" s="53" t="s">
        <v>216</v>
      </c>
      <c r="C11" s="54"/>
    </row>
    <row r="12" spans="1:3" ht="15.75">
      <c r="A12" s="93"/>
      <c r="B12" s="1" t="s">
        <v>1030</v>
      </c>
      <c r="C12" s="55" t="e">
        <f>'K3'!#REF!</f>
        <v>#REF!</v>
      </c>
    </row>
    <row r="13" spans="2:3" ht="15.75">
      <c r="B13" s="10" t="s">
        <v>1087</v>
      </c>
      <c r="C13" s="55">
        <f>'K5K8K9'!C25</f>
        <v>0</v>
      </c>
    </row>
    <row r="14" spans="1:3" s="40" customFormat="1" ht="15.75">
      <c r="A14" s="90" t="s">
        <v>218</v>
      </c>
      <c r="B14" s="40" t="s">
        <v>965</v>
      </c>
      <c r="C14" s="56" t="e">
        <f>SUM(C12:C13)</f>
        <v>#REF!</v>
      </c>
    </row>
    <row r="15" ht="15.75">
      <c r="C15" s="55"/>
    </row>
    <row r="16" spans="1:3" ht="15.75">
      <c r="A16" s="88" t="s">
        <v>1358</v>
      </c>
      <c r="B16" s="53" t="s">
        <v>1359</v>
      </c>
      <c r="C16" s="89"/>
    </row>
    <row r="17" spans="2:3" ht="15.75">
      <c r="B17" s="1" t="s">
        <v>1030</v>
      </c>
      <c r="C17" s="55" t="e">
        <f>'K3'!#REF!</f>
        <v>#REF!</v>
      </c>
    </row>
    <row r="18" spans="1:3" ht="15.75">
      <c r="A18" s="90" t="s">
        <v>1358</v>
      </c>
      <c r="B18" s="40" t="s">
        <v>965</v>
      </c>
      <c r="C18" s="56" t="e">
        <f>SUM(C17)</f>
        <v>#REF!</v>
      </c>
    </row>
    <row r="19" ht="15.75">
      <c r="C19" s="55"/>
    </row>
    <row r="20" spans="1:3" ht="15.75">
      <c r="A20" s="88" t="s">
        <v>219</v>
      </c>
      <c r="B20" s="60" t="s">
        <v>941</v>
      </c>
      <c r="C20" s="91"/>
    </row>
    <row r="21" spans="1:3" ht="15.75">
      <c r="A21" s="93"/>
      <c r="B21" s="1" t="s">
        <v>1030</v>
      </c>
      <c r="C21" s="59" t="e">
        <f>'K3'!#REF!</f>
        <v>#REF!</v>
      </c>
    </row>
    <row r="22" spans="2:3" ht="15.75">
      <c r="B22" s="10" t="s">
        <v>542</v>
      </c>
      <c r="C22" s="59" t="e">
        <f>'K6K7'!#REF!+'K6K7'!#REF!</f>
        <v>#REF!</v>
      </c>
    </row>
    <row r="23" spans="1:3" s="40" customFormat="1" ht="15.75">
      <c r="A23" s="90" t="s">
        <v>219</v>
      </c>
      <c r="B23" s="40" t="s">
        <v>965</v>
      </c>
      <c r="C23" s="48" t="e">
        <f>SUM(C21:C22)</f>
        <v>#REF!</v>
      </c>
    </row>
    <row r="25" spans="1:3" ht="15.75">
      <c r="A25" s="88" t="s">
        <v>942</v>
      </c>
      <c r="B25" s="53" t="s">
        <v>943</v>
      </c>
      <c r="C25" s="91"/>
    </row>
    <row r="26" spans="2:3" ht="15.75">
      <c r="B26" s="10" t="s">
        <v>542</v>
      </c>
      <c r="C26" s="59" t="e">
        <f>'K6K7'!#REF!</f>
        <v>#REF!</v>
      </c>
    </row>
    <row r="27" spans="1:3" s="40" customFormat="1" ht="15.75">
      <c r="A27" s="90" t="s">
        <v>942</v>
      </c>
      <c r="B27" s="40" t="s">
        <v>965</v>
      </c>
      <c r="C27" s="48" t="e">
        <f>SUM(C26)</f>
        <v>#REF!</v>
      </c>
    </row>
    <row r="28" spans="1:3" s="40" customFormat="1" ht="15.75">
      <c r="A28" s="90"/>
      <c r="C28" s="48"/>
    </row>
    <row r="29" spans="1:3" s="40" customFormat="1" ht="15.75">
      <c r="A29" s="218" t="s">
        <v>944</v>
      </c>
      <c r="B29" s="213" t="s">
        <v>1032</v>
      </c>
      <c r="C29" s="219"/>
    </row>
    <row r="30" spans="1:3" s="40" customFormat="1" ht="15.75">
      <c r="A30" s="90"/>
      <c r="B30" s="1" t="s">
        <v>1030</v>
      </c>
      <c r="C30" s="59" t="e">
        <f>'K3'!#REF!</f>
        <v>#REF!</v>
      </c>
    </row>
    <row r="31" spans="1:3" s="40" customFormat="1" ht="15.75">
      <c r="A31" s="90" t="s">
        <v>944</v>
      </c>
      <c r="B31" s="40" t="s">
        <v>965</v>
      </c>
      <c r="C31" s="48" t="e">
        <f>C30</f>
        <v>#REF!</v>
      </c>
    </row>
    <row r="32" spans="1:3" s="40" customFormat="1" ht="15.75">
      <c r="A32" s="90"/>
      <c r="C32" s="48"/>
    </row>
    <row r="33" spans="1:3" s="40" customFormat="1" ht="15.75">
      <c r="A33" s="218" t="s">
        <v>945</v>
      </c>
      <c r="B33" s="213" t="s">
        <v>92</v>
      </c>
      <c r="C33" s="214"/>
    </row>
    <row r="34" spans="1:3" s="40" customFormat="1" ht="15.75">
      <c r="A34" s="90"/>
      <c r="B34" s="1" t="s">
        <v>1030</v>
      </c>
      <c r="C34" s="59" t="e">
        <f>'K3'!#REF!</f>
        <v>#REF!</v>
      </c>
    </row>
    <row r="35" spans="1:3" s="40" customFormat="1" ht="15.75">
      <c r="A35" s="90" t="s">
        <v>945</v>
      </c>
      <c r="B35" s="40" t="s">
        <v>965</v>
      </c>
      <c r="C35" s="48" t="e">
        <f>C34</f>
        <v>#REF!</v>
      </c>
    </row>
    <row r="37" spans="1:3" ht="15.75">
      <c r="A37" s="218" t="s">
        <v>93</v>
      </c>
      <c r="B37" s="213" t="s">
        <v>94</v>
      </c>
      <c r="C37" s="219"/>
    </row>
    <row r="38" spans="2:3" ht="15.75">
      <c r="B38" s="1" t="s">
        <v>1030</v>
      </c>
      <c r="C38" s="59" t="e">
        <f>'K3'!#REF!</f>
        <v>#REF!</v>
      </c>
    </row>
    <row r="39" spans="1:3" ht="15.75">
      <c r="A39" s="90" t="s">
        <v>93</v>
      </c>
      <c r="B39" s="40" t="s">
        <v>965</v>
      </c>
      <c r="C39" s="48" t="e">
        <f>C38</f>
        <v>#REF!</v>
      </c>
    </row>
    <row r="40" spans="1:3" ht="15.75">
      <c r="A40" s="90"/>
      <c r="B40" s="40"/>
      <c r="C40" s="48"/>
    </row>
    <row r="41" spans="1:3" ht="15.75">
      <c r="A41" s="218" t="s">
        <v>537</v>
      </c>
      <c r="B41" s="213" t="s">
        <v>538</v>
      </c>
      <c r="C41" s="219"/>
    </row>
    <row r="42" spans="2:3" ht="15.75">
      <c r="B42" s="1" t="s">
        <v>1030</v>
      </c>
      <c r="C42" s="59" t="e">
        <f>'K3'!#REF!</f>
        <v>#REF!</v>
      </c>
    </row>
    <row r="43" spans="1:3" ht="15.75">
      <c r="A43" s="90" t="s">
        <v>527</v>
      </c>
      <c r="B43" s="40" t="s">
        <v>965</v>
      </c>
      <c r="C43" s="48">
        <v>138</v>
      </c>
    </row>
    <row r="44" spans="1:2" ht="15.75">
      <c r="A44" s="90"/>
      <c r="B44" s="40"/>
    </row>
    <row r="45" spans="1:3" ht="15.75">
      <c r="A45" s="218" t="s">
        <v>95</v>
      </c>
      <c r="B45" s="213" t="s">
        <v>96</v>
      </c>
      <c r="C45" s="219"/>
    </row>
    <row r="46" spans="1:3" ht="15.75">
      <c r="A46" s="90"/>
      <c r="B46" s="1" t="s">
        <v>1030</v>
      </c>
      <c r="C46" s="59" t="e">
        <f>'K3'!#REF!</f>
        <v>#REF!</v>
      </c>
    </row>
    <row r="47" spans="1:3" ht="17.25" customHeight="1">
      <c r="A47" s="90" t="s">
        <v>95</v>
      </c>
      <c r="B47" s="40" t="s">
        <v>965</v>
      </c>
      <c r="C47" s="48" t="e">
        <f>C46</f>
        <v>#REF!</v>
      </c>
    </row>
    <row r="48" ht="11.25" customHeight="1"/>
    <row r="49" spans="1:3" ht="15.75">
      <c r="A49" s="88" t="s">
        <v>97</v>
      </c>
      <c r="B49" s="53" t="s">
        <v>967</v>
      </c>
      <c r="C49" s="91"/>
    </row>
    <row r="50" spans="2:3" ht="15.75">
      <c r="B50" s="1" t="s">
        <v>1033</v>
      </c>
      <c r="C50" s="59" t="e">
        <f>'K1K2'!#REF!</f>
        <v>#REF!</v>
      </c>
    </row>
    <row r="51" spans="2:3" ht="15.75">
      <c r="B51" s="1" t="s">
        <v>1034</v>
      </c>
      <c r="C51" s="59">
        <f>'K1K2'!N46</f>
        <v>13847</v>
      </c>
    </row>
    <row r="52" spans="2:3" ht="15.75">
      <c r="B52" s="1" t="s">
        <v>1030</v>
      </c>
      <c r="C52" s="59" t="e">
        <f>'K3'!#REF!</f>
        <v>#REF!</v>
      </c>
    </row>
    <row r="53" spans="2:3" ht="15.75">
      <c r="B53" s="10" t="s">
        <v>542</v>
      </c>
      <c r="C53" s="59" t="e">
        <f>'K6K7'!#REF!</f>
        <v>#REF!</v>
      </c>
    </row>
    <row r="54" spans="2:3" ht="15.75">
      <c r="B54" s="15" t="s">
        <v>877</v>
      </c>
      <c r="C54" s="59">
        <f>2kiadás!C20</f>
        <v>0</v>
      </c>
    </row>
    <row r="55" spans="2:3" ht="15.75">
      <c r="B55" s="15" t="s">
        <v>878</v>
      </c>
      <c r="C55" s="59">
        <v>0</v>
      </c>
    </row>
    <row r="56" spans="2:3" ht="15.75">
      <c r="B56" s="15" t="s">
        <v>879</v>
      </c>
      <c r="C56" s="59">
        <v>0</v>
      </c>
    </row>
    <row r="57" spans="2:3" ht="15.75">
      <c r="B57" s="15" t="s">
        <v>968</v>
      </c>
      <c r="C57" s="59">
        <f>'K9'!H7</f>
        <v>0</v>
      </c>
    </row>
    <row r="58" spans="2:3" ht="15.75">
      <c r="B58" s="15" t="s">
        <v>1037</v>
      </c>
      <c r="C58" s="59">
        <f>'K9'!C28</f>
        <v>0</v>
      </c>
    </row>
    <row r="59" spans="1:3" s="40" customFormat="1" ht="15.75">
      <c r="A59" s="90" t="s">
        <v>97</v>
      </c>
      <c r="B59" s="40" t="s">
        <v>965</v>
      </c>
      <c r="C59" s="48" t="e">
        <f>SUM(C50:C58)</f>
        <v>#REF!</v>
      </c>
    </row>
    <row r="61" spans="1:3" ht="15.75">
      <c r="A61" s="88" t="s">
        <v>98</v>
      </c>
      <c r="B61" s="92" t="s">
        <v>99</v>
      </c>
      <c r="C61" s="91"/>
    </row>
    <row r="62" spans="2:3" ht="15.75">
      <c r="B62" s="1" t="s">
        <v>1030</v>
      </c>
      <c r="C62" s="59" t="e">
        <f>'K3'!#REF!</f>
        <v>#REF!</v>
      </c>
    </row>
    <row r="63" spans="1:3" s="40" customFormat="1" ht="15.75">
      <c r="A63" s="90" t="s">
        <v>98</v>
      </c>
      <c r="B63" s="40" t="s">
        <v>965</v>
      </c>
      <c r="C63" s="48" t="e">
        <f>SUM(C62:C62)</f>
        <v>#REF!</v>
      </c>
    </row>
    <row r="65" spans="1:3" ht="15.75">
      <c r="A65" s="88" t="s">
        <v>100</v>
      </c>
      <c r="B65" s="53" t="s">
        <v>1012</v>
      </c>
      <c r="C65" s="91"/>
    </row>
    <row r="66" spans="1:3" ht="15.75">
      <c r="A66" s="93"/>
      <c r="B66" s="1" t="s">
        <v>1030</v>
      </c>
      <c r="C66" s="59" t="e">
        <f>'K3'!#REF!</f>
        <v>#REF!</v>
      </c>
    </row>
    <row r="67" spans="1:3" ht="15.75">
      <c r="A67" s="93"/>
      <c r="B67" s="9" t="s">
        <v>534</v>
      </c>
      <c r="C67" s="59" t="e">
        <f>'K5K8K9'!#REF!</f>
        <v>#REF!</v>
      </c>
    </row>
    <row r="68" spans="1:2" ht="15.75">
      <c r="A68" s="93"/>
      <c r="B68" s="10" t="s">
        <v>542</v>
      </c>
    </row>
    <row r="69" spans="1:3" s="40" customFormat="1" ht="15.75">
      <c r="A69" s="94" t="s">
        <v>100</v>
      </c>
      <c r="B69" s="40" t="s">
        <v>965</v>
      </c>
      <c r="C69" s="48" t="e">
        <f>SUM(C66:C68)</f>
        <v>#REF!</v>
      </c>
    </row>
    <row r="70" spans="1:3" s="40" customFormat="1" ht="15.75">
      <c r="A70" s="94"/>
      <c r="C70" s="48"/>
    </row>
    <row r="71" spans="1:3" ht="15.75">
      <c r="A71" s="88" t="s">
        <v>101</v>
      </c>
      <c r="B71" s="95" t="s">
        <v>102</v>
      </c>
      <c r="C71" s="91"/>
    </row>
    <row r="72" spans="1:3" ht="15.75">
      <c r="A72" s="96"/>
      <c r="B72" s="61" t="s">
        <v>1035</v>
      </c>
      <c r="C72" s="59">
        <f>'K9'!D14</f>
        <v>4000</v>
      </c>
    </row>
    <row r="73" spans="1:3" ht="15.75">
      <c r="A73" s="96"/>
      <c r="B73" s="61" t="s">
        <v>1036</v>
      </c>
      <c r="C73" s="59">
        <f>'K9'!D15</f>
        <v>2000</v>
      </c>
    </row>
    <row r="74" spans="1:2" ht="15.75">
      <c r="A74" s="93"/>
      <c r="B74" s="61" t="s">
        <v>1037</v>
      </c>
    </row>
    <row r="75" spans="1:3" ht="15.75">
      <c r="A75" s="94" t="s">
        <v>101</v>
      </c>
      <c r="B75" s="40" t="s">
        <v>965</v>
      </c>
      <c r="C75" s="48">
        <f>SUM(C72:C74)</f>
        <v>6000</v>
      </c>
    </row>
    <row r="77" spans="1:3" ht="15.75">
      <c r="A77" s="88" t="s">
        <v>103</v>
      </c>
      <c r="B77" s="60" t="s">
        <v>104</v>
      </c>
      <c r="C77" s="91"/>
    </row>
    <row r="78" spans="2:3" ht="15.75">
      <c r="B78" s="9" t="s">
        <v>539</v>
      </c>
      <c r="C78" s="59" t="e">
        <f>'K5K8K9'!#REF!</f>
        <v>#REF!</v>
      </c>
    </row>
    <row r="79" spans="1:256" s="40" customFormat="1" ht="15.75">
      <c r="A79" s="90" t="s">
        <v>103</v>
      </c>
      <c r="B79" s="40" t="s">
        <v>965</v>
      </c>
      <c r="C79" s="48" t="e">
        <f>SUM(C78:C78)</f>
        <v>#REF!</v>
      </c>
      <c r="IV79" s="58"/>
    </row>
    <row r="81" spans="1:3" ht="15.75">
      <c r="A81" s="88" t="s">
        <v>105</v>
      </c>
      <c r="B81" s="60" t="s">
        <v>106</v>
      </c>
      <c r="C81" s="91"/>
    </row>
    <row r="82" spans="2:3" ht="15.75">
      <c r="B82" s="9" t="s">
        <v>534</v>
      </c>
      <c r="C82" s="59">
        <v>0</v>
      </c>
    </row>
    <row r="83" spans="1:3" s="40" customFormat="1" ht="15.75">
      <c r="A83" s="94" t="s">
        <v>105</v>
      </c>
      <c r="B83" s="40" t="s">
        <v>965</v>
      </c>
      <c r="C83" s="48">
        <f>SUM(C82)</f>
        <v>0</v>
      </c>
    </row>
    <row r="85" spans="1:3" ht="15.75">
      <c r="A85" s="88" t="s">
        <v>107</v>
      </c>
      <c r="B85" s="60" t="s">
        <v>108</v>
      </c>
      <c r="C85" s="91"/>
    </row>
    <row r="86" spans="2:3" ht="15.75">
      <c r="B86" s="9" t="s">
        <v>534</v>
      </c>
      <c r="C86" s="59">
        <f>'K5K8K9'!L28</f>
        <v>0</v>
      </c>
    </row>
    <row r="87" spans="1:3" s="40" customFormat="1" ht="15.75">
      <c r="A87" s="90" t="s">
        <v>107</v>
      </c>
      <c r="B87" s="40" t="s">
        <v>965</v>
      </c>
      <c r="C87" s="48">
        <f>SUM(C86:C86)</f>
        <v>0</v>
      </c>
    </row>
    <row r="89" spans="1:3" ht="15.75">
      <c r="A89" s="88" t="s">
        <v>109</v>
      </c>
      <c r="B89" s="60" t="s">
        <v>110</v>
      </c>
      <c r="C89" s="91"/>
    </row>
    <row r="90" spans="2:3" ht="15.75">
      <c r="B90" s="9" t="s">
        <v>534</v>
      </c>
      <c r="C90" s="59">
        <f>'K5K8K9'!M28</f>
        <v>0</v>
      </c>
    </row>
    <row r="91" spans="1:3" s="40" customFormat="1" ht="15.75">
      <c r="A91" s="90" t="s">
        <v>109</v>
      </c>
      <c r="B91" s="40" t="s">
        <v>965</v>
      </c>
      <c r="C91" s="48">
        <f>SUM(C90)</f>
        <v>0</v>
      </c>
    </row>
    <row r="92" spans="1:3" s="40" customFormat="1" ht="15.75">
      <c r="A92" s="90"/>
      <c r="C92" s="48"/>
    </row>
    <row r="93" spans="1:3" s="40" customFormat="1" ht="15.75">
      <c r="A93" s="88" t="s">
        <v>111</v>
      </c>
      <c r="B93" s="60" t="s">
        <v>112</v>
      </c>
      <c r="C93" s="91"/>
    </row>
    <row r="94" spans="1:3" s="40" customFormat="1" ht="15.75">
      <c r="A94" s="87"/>
      <c r="B94" s="9" t="s">
        <v>534</v>
      </c>
      <c r="C94" s="59">
        <f>'K5K8K9'!N28</f>
        <v>0</v>
      </c>
    </row>
    <row r="95" spans="1:3" s="40" customFormat="1" ht="15.75">
      <c r="A95" s="90" t="s">
        <v>111</v>
      </c>
      <c r="B95" s="40" t="s">
        <v>965</v>
      </c>
      <c r="C95" s="48">
        <f>SUM(C94)</f>
        <v>0</v>
      </c>
    </row>
    <row r="96" spans="1:3" s="40" customFormat="1" ht="15.75">
      <c r="A96" s="90"/>
      <c r="C96" s="48"/>
    </row>
    <row r="97" spans="1:3" s="40" customFormat="1" ht="15.75">
      <c r="A97" s="88" t="s">
        <v>113</v>
      </c>
      <c r="B97" s="60" t="s">
        <v>114</v>
      </c>
      <c r="C97" s="91"/>
    </row>
    <row r="98" spans="1:3" s="40" customFormat="1" ht="15.75">
      <c r="A98" s="87"/>
      <c r="B98" s="9" t="s">
        <v>534</v>
      </c>
      <c r="C98" s="59">
        <f>'K5K8K9'!O28</f>
        <v>0</v>
      </c>
    </row>
    <row r="99" spans="1:3" s="40" customFormat="1" ht="15.75">
      <c r="A99" s="90" t="s">
        <v>113</v>
      </c>
      <c r="B99" s="40" t="s">
        <v>965</v>
      </c>
      <c r="C99" s="48">
        <f>SUM(C98)</f>
        <v>0</v>
      </c>
    </row>
    <row r="100" spans="1:3" s="40" customFormat="1" ht="15.75">
      <c r="A100" s="90"/>
      <c r="C100" s="48"/>
    </row>
    <row r="101" spans="1:3" s="40" customFormat="1" ht="15.75">
      <c r="A101" s="88" t="s">
        <v>115</v>
      </c>
      <c r="B101" s="60" t="s">
        <v>116</v>
      </c>
      <c r="C101" s="91"/>
    </row>
    <row r="102" spans="1:3" s="40" customFormat="1" ht="15.75">
      <c r="A102" s="93"/>
      <c r="B102" s="1" t="s">
        <v>1034</v>
      </c>
      <c r="C102" s="59">
        <f>'K1K2'!O46</f>
        <v>0</v>
      </c>
    </row>
    <row r="103" spans="1:3" s="40" customFormat="1" ht="15.75">
      <c r="A103" s="87"/>
      <c r="B103" s="9" t="s">
        <v>534</v>
      </c>
      <c r="C103" s="59">
        <f>'K5K8K9'!P28</f>
        <v>0</v>
      </c>
    </row>
    <row r="104" spans="1:3" s="40" customFormat="1" ht="15.75">
      <c r="A104" s="90" t="s">
        <v>115</v>
      </c>
      <c r="B104" s="40" t="s">
        <v>965</v>
      </c>
      <c r="C104" s="48">
        <f>SUM(C102:C103)</f>
        <v>0</v>
      </c>
    </row>
    <row r="105" spans="1:3" s="40" customFormat="1" ht="15.75">
      <c r="A105" s="90"/>
      <c r="C105" s="48"/>
    </row>
    <row r="106" spans="1:3" s="40" customFormat="1" ht="15.75">
      <c r="A106" s="88" t="s">
        <v>117</v>
      </c>
      <c r="B106" s="60" t="s">
        <v>118</v>
      </c>
      <c r="C106" s="91"/>
    </row>
    <row r="107" spans="1:3" s="40" customFormat="1" ht="15.75">
      <c r="A107" s="93"/>
      <c r="B107" s="1" t="s">
        <v>1034</v>
      </c>
      <c r="C107" s="59">
        <f>'K1K2'!P46</f>
        <v>0</v>
      </c>
    </row>
    <row r="108" spans="1:3" s="40" customFormat="1" ht="15.75">
      <c r="A108" s="87"/>
      <c r="B108" s="9" t="s">
        <v>534</v>
      </c>
      <c r="C108" s="59">
        <f>'K5K8K9'!Q28</f>
        <v>0</v>
      </c>
    </row>
    <row r="109" spans="1:3" s="40" customFormat="1" ht="15.75">
      <c r="A109" s="90" t="s">
        <v>117</v>
      </c>
      <c r="B109" s="40" t="s">
        <v>965</v>
      </c>
      <c r="C109" s="48">
        <f>SUM(C107:C108)</f>
        <v>0</v>
      </c>
    </row>
    <row r="110" spans="1:3" s="40" customFormat="1" ht="15.75">
      <c r="A110" s="90"/>
      <c r="C110" s="48"/>
    </row>
    <row r="111" spans="1:3" s="40" customFormat="1" ht="15.75">
      <c r="A111" s="88" t="s">
        <v>119</v>
      </c>
      <c r="B111" s="60" t="s">
        <v>120</v>
      </c>
      <c r="C111" s="91"/>
    </row>
    <row r="112" spans="1:3" s="40" customFormat="1" ht="15.75">
      <c r="A112" s="87"/>
      <c r="B112" s="9" t="s">
        <v>534</v>
      </c>
      <c r="C112" s="59">
        <f>'K5K8K9'!R28</f>
        <v>0</v>
      </c>
    </row>
    <row r="113" spans="1:3" s="40" customFormat="1" ht="15.75">
      <c r="A113" s="90" t="s">
        <v>119</v>
      </c>
      <c r="B113" s="40" t="s">
        <v>965</v>
      </c>
      <c r="C113" s="48">
        <f>SUM(C112)</f>
        <v>0</v>
      </c>
    </row>
    <row r="114" spans="1:3" s="40" customFormat="1" ht="15.75">
      <c r="A114" s="90"/>
      <c r="C114" s="48"/>
    </row>
    <row r="115" spans="1:3" s="40" customFormat="1" ht="0.75" customHeight="1">
      <c r="A115" s="88" t="s">
        <v>121</v>
      </c>
      <c r="B115" s="60" t="s">
        <v>122</v>
      </c>
      <c r="C115" s="91"/>
    </row>
    <row r="116" spans="1:3" s="40" customFormat="1" ht="15.75">
      <c r="A116" s="90"/>
      <c r="C116" s="48"/>
    </row>
    <row r="117" spans="1:3" s="40" customFormat="1" ht="15.75">
      <c r="A117" s="88" t="s">
        <v>123</v>
      </c>
      <c r="B117" s="60" t="s">
        <v>124</v>
      </c>
      <c r="C117" s="91"/>
    </row>
    <row r="118" spans="1:3" s="40" customFormat="1" ht="15.75">
      <c r="A118" s="87"/>
      <c r="B118" s="9" t="s">
        <v>534</v>
      </c>
      <c r="C118" s="59">
        <f>'K5K8K9'!T28</f>
        <v>0</v>
      </c>
    </row>
    <row r="119" spans="1:3" s="40" customFormat="1" ht="15.75">
      <c r="A119" s="90" t="s">
        <v>123</v>
      </c>
      <c r="B119" s="40" t="s">
        <v>965</v>
      </c>
      <c r="C119" s="48">
        <f>SUM(C118)</f>
        <v>0</v>
      </c>
    </row>
    <row r="120" spans="1:3" s="40" customFormat="1" ht="15.75">
      <c r="A120" s="90"/>
      <c r="C120" s="48"/>
    </row>
    <row r="121" spans="1:3" s="40" customFormat="1" ht="15.75">
      <c r="A121" s="88" t="s">
        <v>125</v>
      </c>
      <c r="B121" s="60" t="s">
        <v>126</v>
      </c>
      <c r="C121" s="91"/>
    </row>
    <row r="122" spans="1:3" s="40" customFormat="1" ht="15.75">
      <c r="A122" s="90"/>
      <c r="B122" s="9" t="s">
        <v>534</v>
      </c>
      <c r="C122" s="59"/>
    </row>
    <row r="123" spans="1:3" s="40" customFormat="1" ht="15.75">
      <c r="A123" s="90" t="s">
        <v>125</v>
      </c>
      <c r="B123" s="40" t="s">
        <v>965</v>
      </c>
      <c r="C123" s="48">
        <v>0</v>
      </c>
    </row>
    <row r="125" spans="1:3" ht="15.75">
      <c r="A125" s="88" t="s">
        <v>127</v>
      </c>
      <c r="B125" s="60" t="s">
        <v>128</v>
      </c>
      <c r="C125" s="91" t="e">
        <f>'K5K8K9'!#REF!</f>
        <v>#REF!</v>
      </c>
    </row>
    <row r="126" spans="2:3" ht="15.75">
      <c r="B126" s="9" t="s">
        <v>534</v>
      </c>
      <c r="C126" s="59">
        <f>'K5K8K9'!V28</f>
        <v>0</v>
      </c>
    </row>
    <row r="127" spans="1:3" s="40" customFormat="1" ht="15.75">
      <c r="A127" s="90" t="s">
        <v>127</v>
      </c>
      <c r="B127" s="40" t="s">
        <v>965</v>
      </c>
      <c r="C127" s="48">
        <f>SUM(C126:C126)</f>
        <v>0</v>
      </c>
    </row>
    <row r="128" spans="1:3" s="40" customFormat="1" ht="15.75">
      <c r="A128" s="97"/>
      <c r="C128" s="48"/>
    </row>
    <row r="129" spans="1:3" s="40" customFormat="1" ht="15.75">
      <c r="A129" s="88" t="s">
        <v>129</v>
      </c>
      <c r="B129" s="60" t="s">
        <v>1368</v>
      </c>
      <c r="C129" s="91"/>
    </row>
    <row r="130" spans="1:3" s="40" customFormat="1" ht="15.75">
      <c r="A130" s="87"/>
      <c r="B130" s="9" t="s">
        <v>534</v>
      </c>
      <c r="C130" s="59">
        <f>'K5K8K9'!W28</f>
        <v>0</v>
      </c>
    </row>
    <row r="131" spans="1:3" s="40" customFormat="1" ht="15.75">
      <c r="A131" s="90" t="s">
        <v>129</v>
      </c>
      <c r="B131" s="40" t="s">
        <v>965</v>
      </c>
      <c r="C131" s="48">
        <f>SUM(C130:C130)</f>
        <v>0</v>
      </c>
    </row>
    <row r="132" spans="1:3" s="40" customFormat="1" ht="15.75">
      <c r="A132" s="97"/>
      <c r="C132" s="48"/>
    </row>
    <row r="133" spans="1:3" s="40" customFormat="1" ht="15.75">
      <c r="A133" s="88" t="s">
        <v>130</v>
      </c>
      <c r="B133" s="60" t="s">
        <v>131</v>
      </c>
      <c r="C133" s="91"/>
    </row>
    <row r="134" spans="1:3" s="40" customFormat="1" ht="15.75">
      <c r="A134" s="87"/>
      <c r="B134" s="9" t="s">
        <v>534</v>
      </c>
      <c r="C134" s="59">
        <f>'K5K8K9'!X28</f>
        <v>0</v>
      </c>
    </row>
    <row r="135" spans="1:3" s="40" customFormat="1" ht="15.75">
      <c r="A135" s="90" t="s">
        <v>130</v>
      </c>
      <c r="B135" s="40" t="s">
        <v>965</v>
      </c>
      <c r="C135" s="48">
        <f>SUM(C134:C134)</f>
        <v>0</v>
      </c>
    </row>
    <row r="136" spans="1:3" s="40" customFormat="1" ht="15.75">
      <c r="A136" s="90"/>
      <c r="C136" s="48"/>
    </row>
    <row r="137" spans="1:3" s="40" customFormat="1" ht="15.75">
      <c r="A137" s="88" t="s">
        <v>132</v>
      </c>
      <c r="B137" s="60" t="s">
        <v>592</v>
      </c>
      <c r="C137" s="91"/>
    </row>
    <row r="138" spans="1:3" s="40" customFormat="1" ht="15.75">
      <c r="A138" s="87"/>
      <c r="B138" s="9" t="s">
        <v>534</v>
      </c>
      <c r="C138" s="59" t="e">
        <f>'K4'!#REF!</f>
        <v>#REF!</v>
      </c>
    </row>
    <row r="139" spans="1:3" s="40" customFormat="1" ht="15.75">
      <c r="A139" s="90" t="s">
        <v>132</v>
      </c>
      <c r="B139" s="40" t="s">
        <v>965</v>
      </c>
      <c r="C139" s="48" t="e">
        <f>SUM(C138:C138)</f>
        <v>#REF!</v>
      </c>
    </row>
    <row r="140" spans="1:3" s="40" customFormat="1" ht="15.75">
      <c r="A140" s="90"/>
      <c r="C140" s="48"/>
    </row>
    <row r="141" spans="1:3" s="40" customFormat="1" ht="15.75">
      <c r="A141" s="88" t="s">
        <v>133</v>
      </c>
      <c r="B141" s="60" t="s">
        <v>134</v>
      </c>
      <c r="C141" s="91"/>
    </row>
    <row r="142" spans="1:3" s="40" customFormat="1" ht="15.75">
      <c r="A142" s="90"/>
      <c r="B142" s="9" t="s">
        <v>534</v>
      </c>
      <c r="C142" s="59" t="e">
        <f>'K5K8K9'!#REF!</f>
        <v>#REF!</v>
      </c>
    </row>
    <row r="143" spans="1:3" s="40" customFormat="1" ht="15.75">
      <c r="A143" s="90"/>
      <c r="B143" s="9" t="s">
        <v>539</v>
      </c>
      <c r="C143" s="59" t="e">
        <f>'K5K8K9'!#REF!</f>
        <v>#REF!</v>
      </c>
    </row>
    <row r="144" spans="1:3" s="40" customFormat="1" ht="15.75">
      <c r="A144" s="90" t="s">
        <v>133</v>
      </c>
      <c r="B144" s="40" t="s">
        <v>965</v>
      </c>
      <c r="C144" s="48" t="e">
        <f>C142+C143</f>
        <v>#REF!</v>
      </c>
    </row>
    <row r="145" spans="1:3" s="40" customFormat="1" ht="15.75">
      <c r="A145" s="90"/>
      <c r="C145" s="48"/>
    </row>
    <row r="146" spans="1:3" s="40" customFormat="1" ht="15.75">
      <c r="A146" s="88" t="s">
        <v>135</v>
      </c>
      <c r="B146" s="60" t="s">
        <v>136</v>
      </c>
      <c r="C146" s="91"/>
    </row>
    <row r="147" spans="1:3" s="40" customFormat="1" ht="15.75">
      <c r="A147" s="90"/>
      <c r="B147" s="9" t="s">
        <v>534</v>
      </c>
      <c r="C147" s="59">
        <f>'K5K8K9'!AA28</f>
        <v>0</v>
      </c>
    </row>
    <row r="148" spans="1:3" s="40" customFormat="1" ht="15.75">
      <c r="A148" s="90" t="s">
        <v>135</v>
      </c>
      <c r="B148" s="40" t="s">
        <v>965</v>
      </c>
      <c r="C148" s="48">
        <v>600</v>
      </c>
    </row>
    <row r="149" spans="1:3" s="40" customFormat="1" ht="15.75">
      <c r="A149" s="90"/>
      <c r="C149" s="48"/>
    </row>
    <row r="150" spans="1:3" s="40" customFormat="1" ht="15.75">
      <c r="A150" s="88" t="s">
        <v>137</v>
      </c>
      <c r="B150" s="60" t="s">
        <v>138</v>
      </c>
      <c r="C150" s="91"/>
    </row>
    <row r="151" spans="1:3" s="40" customFormat="1" ht="15.75">
      <c r="A151" s="90"/>
      <c r="B151" s="9" t="s">
        <v>534</v>
      </c>
      <c r="C151" s="59">
        <f>'K5K8K9'!AB28</f>
        <v>0</v>
      </c>
    </row>
    <row r="152" spans="1:3" s="40" customFormat="1" ht="15.75">
      <c r="A152" s="90" t="s">
        <v>137</v>
      </c>
      <c r="B152" s="40" t="s">
        <v>965</v>
      </c>
      <c r="C152" s="48">
        <v>300</v>
      </c>
    </row>
    <row r="153" spans="1:3" s="40" customFormat="1" ht="15.75">
      <c r="A153" s="90"/>
      <c r="C153" s="48"/>
    </row>
    <row r="154" spans="1:3" s="40" customFormat="1" ht="15.75">
      <c r="A154" s="88" t="s">
        <v>139</v>
      </c>
      <c r="B154" s="60" t="s">
        <v>140</v>
      </c>
      <c r="C154" s="91"/>
    </row>
    <row r="155" spans="1:3" s="40" customFormat="1" ht="15.75">
      <c r="A155" s="93"/>
      <c r="B155" s="10" t="s">
        <v>41</v>
      </c>
      <c r="C155" s="59">
        <f>'K5K8K9'!AC25</f>
        <v>0</v>
      </c>
    </row>
    <row r="156" spans="1:3" s="40" customFormat="1" ht="15.75">
      <c r="A156" s="90"/>
      <c r="B156" s="9" t="s">
        <v>534</v>
      </c>
      <c r="C156" s="59">
        <f>'K5K8K9'!Q38</f>
        <v>0</v>
      </c>
    </row>
    <row r="157" spans="1:3" s="40" customFormat="1" ht="15.75">
      <c r="A157" s="90"/>
      <c r="B157" s="9" t="s">
        <v>968</v>
      </c>
      <c r="C157" s="59">
        <f>'K9'!F12</f>
        <v>500</v>
      </c>
    </row>
    <row r="158" spans="1:3" s="40" customFormat="1" ht="15.75">
      <c r="A158" s="90" t="s">
        <v>139</v>
      </c>
      <c r="B158" s="40" t="s">
        <v>965</v>
      </c>
      <c r="C158" s="48">
        <f>SUM(C155:C157)</f>
        <v>500</v>
      </c>
    </row>
    <row r="159" spans="1:3" s="40" customFormat="1" ht="15.75">
      <c r="A159" s="90"/>
      <c r="C159" s="48"/>
    </row>
    <row r="160" spans="1:3" ht="15.75">
      <c r="A160" s="200" t="s">
        <v>141</v>
      </c>
      <c r="B160" s="60" t="s">
        <v>142</v>
      </c>
      <c r="C160" s="91"/>
    </row>
    <row r="161" spans="1:3" ht="15.75">
      <c r="A161" s="93"/>
      <c r="B161" s="15" t="s">
        <v>878</v>
      </c>
      <c r="C161" s="59">
        <f>'K5K8K9'!AD22</f>
        <v>0</v>
      </c>
    </row>
    <row r="162" spans="1:3" s="40" customFormat="1" ht="15.75">
      <c r="A162" s="90" t="s">
        <v>141</v>
      </c>
      <c r="B162" s="40" t="s">
        <v>965</v>
      </c>
      <c r="C162" s="48">
        <f>SUM(C161:C161)</f>
        <v>0</v>
      </c>
    </row>
    <row r="163" spans="1:3" s="40" customFormat="1" ht="15.75">
      <c r="A163" s="90"/>
      <c r="C163" s="48"/>
    </row>
    <row r="164" spans="1:3" s="40" customFormat="1" ht="15.75">
      <c r="A164" s="88" t="s">
        <v>371</v>
      </c>
      <c r="B164" s="60" t="s">
        <v>372</v>
      </c>
      <c r="C164" s="91"/>
    </row>
    <row r="165" spans="1:3" s="40" customFormat="1" ht="15.75">
      <c r="A165" s="90"/>
      <c r="B165" s="1" t="s">
        <v>1033</v>
      </c>
      <c r="C165" s="59" t="e">
        <f>'K1K2'!#REF!</f>
        <v>#REF!</v>
      </c>
    </row>
    <row r="166" spans="1:3" s="40" customFormat="1" ht="15.75">
      <c r="A166" s="90"/>
      <c r="B166" s="1" t="s">
        <v>1034</v>
      </c>
      <c r="C166" s="59">
        <f>'K1K2'!Q46</f>
        <v>0</v>
      </c>
    </row>
    <row r="167" ht="15.75">
      <c r="B167" s="1" t="s">
        <v>1030</v>
      </c>
    </row>
    <row r="168" spans="1:3" ht="15.75">
      <c r="A168" s="90" t="s">
        <v>371</v>
      </c>
      <c r="B168" s="40" t="s">
        <v>965</v>
      </c>
      <c r="C168" s="48" t="e">
        <f>SUM(C165:C167)</f>
        <v>#REF!</v>
      </c>
    </row>
    <row r="169" spans="1:3" ht="15.75">
      <c r="A169" s="90"/>
      <c r="B169" s="40"/>
      <c r="C169" s="48"/>
    </row>
    <row r="170" spans="1:3" ht="15.75">
      <c r="A170" s="218" t="s">
        <v>509</v>
      </c>
      <c r="B170" s="213" t="s">
        <v>510</v>
      </c>
      <c r="C170" s="214"/>
    </row>
    <row r="171" spans="1:3" ht="15.75">
      <c r="A171" s="90"/>
      <c r="B171" s="1" t="s">
        <v>1033</v>
      </c>
      <c r="C171" s="59" t="e">
        <f>'K1K2'!#REF!</f>
        <v>#REF!</v>
      </c>
    </row>
    <row r="172" spans="1:3" ht="15.75">
      <c r="A172" s="90"/>
      <c r="B172" s="1" t="s">
        <v>1034</v>
      </c>
      <c r="C172" s="59">
        <f>'K1K2'!R46</f>
        <v>0</v>
      </c>
    </row>
    <row r="173" spans="1:3" ht="15.75">
      <c r="A173" s="90"/>
      <c r="B173" s="1" t="s">
        <v>1030</v>
      </c>
      <c r="C173" s="48"/>
    </row>
    <row r="174" spans="1:3" ht="15.75">
      <c r="A174" s="90" t="s">
        <v>509</v>
      </c>
      <c r="B174" s="40" t="s">
        <v>965</v>
      </c>
      <c r="C174" s="48" t="e">
        <f>SUM(C171:C173)</f>
        <v>#REF!</v>
      </c>
    </row>
    <row r="176" spans="1:3" ht="15.75">
      <c r="A176" s="218" t="s">
        <v>200</v>
      </c>
      <c r="B176" s="213" t="s">
        <v>201</v>
      </c>
      <c r="C176" s="219"/>
    </row>
    <row r="177" spans="2:3" ht="15.75">
      <c r="B177" s="1" t="s">
        <v>1030</v>
      </c>
      <c r="C177" s="59">
        <v>0</v>
      </c>
    </row>
    <row r="178" spans="1:2" ht="15.75">
      <c r="A178" s="90" t="s">
        <v>202</v>
      </c>
      <c r="B178" s="40" t="s">
        <v>965</v>
      </c>
    </row>
    <row r="180" spans="1:3" ht="15.75">
      <c r="A180" s="88" t="s">
        <v>203</v>
      </c>
      <c r="B180" s="60" t="s">
        <v>204</v>
      </c>
      <c r="C180" s="91"/>
    </row>
    <row r="181" spans="1:3" ht="15.75">
      <c r="A181" s="93"/>
      <c r="B181" s="1" t="s">
        <v>1033</v>
      </c>
      <c r="C181" s="59" t="e">
        <f>'K1K2'!#REF!</f>
        <v>#REF!</v>
      </c>
    </row>
    <row r="182" spans="1:3" ht="15.75">
      <c r="A182" s="93"/>
      <c r="B182" s="1" t="s">
        <v>1034</v>
      </c>
      <c r="C182" s="59">
        <f>'K1K2'!T46</f>
        <v>1194</v>
      </c>
    </row>
    <row r="183" spans="1:3" ht="15.75">
      <c r="A183" s="93"/>
      <c r="B183" s="1" t="s">
        <v>1030</v>
      </c>
      <c r="C183" s="59" t="e">
        <f>'K3'!#REF!</f>
        <v>#REF!</v>
      </c>
    </row>
    <row r="184" spans="1:3" ht="15.75">
      <c r="A184" s="93"/>
      <c r="B184" s="10" t="s">
        <v>542</v>
      </c>
      <c r="C184" s="59">
        <v>0</v>
      </c>
    </row>
    <row r="185" spans="1:3" ht="15.75">
      <c r="A185" s="93"/>
      <c r="B185" s="61" t="s">
        <v>1035</v>
      </c>
      <c r="C185" s="59">
        <f>'K9'!H14</f>
        <v>0</v>
      </c>
    </row>
    <row r="186" spans="1:3" s="40" customFormat="1" ht="15.75">
      <c r="A186" s="94" t="s">
        <v>203</v>
      </c>
      <c r="B186" s="40" t="s">
        <v>965</v>
      </c>
      <c r="C186" s="48" t="e">
        <f>SUM(C181:C185)</f>
        <v>#REF!</v>
      </c>
    </row>
    <row r="187" spans="1:2" ht="15.75">
      <c r="A187" s="93"/>
      <c r="B187" s="40"/>
    </row>
    <row r="188" spans="1:3" ht="15.75">
      <c r="A188" s="88" t="s">
        <v>205</v>
      </c>
      <c r="B188" s="60" t="s">
        <v>206</v>
      </c>
      <c r="C188" s="91"/>
    </row>
    <row r="189" spans="2:3" ht="15.75">
      <c r="B189" s="1" t="s">
        <v>1033</v>
      </c>
      <c r="C189" s="59" t="e">
        <f>'K1K2'!#REF!</f>
        <v>#REF!</v>
      </c>
    </row>
    <row r="190" spans="2:3" ht="15.75">
      <c r="B190" s="1" t="s">
        <v>1034</v>
      </c>
      <c r="C190" s="59">
        <f>'K1K2'!W46</f>
        <v>1044</v>
      </c>
    </row>
    <row r="191" spans="2:3" ht="15.75">
      <c r="B191" s="1" t="s">
        <v>1030</v>
      </c>
      <c r="C191" s="59" t="e">
        <f>'K3'!#REF!</f>
        <v>#REF!</v>
      </c>
    </row>
    <row r="192" spans="2:3" ht="15.75">
      <c r="B192" s="10" t="s">
        <v>542</v>
      </c>
      <c r="C192" s="59" t="e">
        <f>'K6K7'!#REF!</f>
        <v>#REF!</v>
      </c>
    </row>
    <row r="193" spans="2:3" ht="15.75">
      <c r="B193" s="61" t="s">
        <v>1035</v>
      </c>
      <c r="C193" s="59">
        <f>'K9'!G14</f>
        <v>0</v>
      </c>
    </row>
    <row r="194" spans="1:3" s="40" customFormat="1" ht="15.75">
      <c r="A194" s="90" t="s">
        <v>205</v>
      </c>
      <c r="B194" s="40" t="s">
        <v>965</v>
      </c>
      <c r="C194" s="48" t="e">
        <f>SUM(C189:C193)</f>
        <v>#REF!</v>
      </c>
    </row>
    <row r="195" ht="15.75">
      <c r="B195" s="40"/>
    </row>
    <row r="196" spans="1:3" ht="15.75">
      <c r="A196" s="88" t="s">
        <v>207</v>
      </c>
      <c r="B196" s="60" t="s">
        <v>208</v>
      </c>
      <c r="C196" s="91"/>
    </row>
    <row r="197" spans="2:3" ht="15.75">
      <c r="B197" s="1" t="s">
        <v>220</v>
      </c>
      <c r="C197" s="59" t="e">
        <f>'K3'!#REF!</f>
        <v>#REF!</v>
      </c>
    </row>
    <row r="198" spans="1:3" s="40" customFormat="1" ht="15.75">
      <c r="A198" s="90" t="s">
        <v>207</v>
      </c>
      <c r="B198" s="40" t="s">
        <v>965</v>
      </c>
      <c r="C198" s="48" t="e">
        <f>SUM(C197:C197)</f>
        <v>#REF!</v>
      </c>
    </row>
    <row r="200" spans="1:3" s="40" customFormat="1" ht="15.75">
      <c r="A200" s="90"/>
      <c r="B200" s="40" t="s">
        <v>1038</v>
      </c>
      <c r="C200" s="48" t="e">
        <f>D198+C9+C14+C18+C23+C27+C31+C35+C39+C43+C47+C59+C63+C69+C75+C79+C83+C87+C91+C95+C99+C104+C109+C113+C119+C123+C127+C131+C135+C139+C144+C148+C152+C158+C162+C168+C174+C178+C186+C194+C198</f>
        <v>#REF!</v>
      </c>
    </row>
    <row r="209" ht="15.75">
      <c r="B209" s="10"/>
    </row>
  </sheetData>
  <printOptions horizontalCentered="1"/>
  <pageMargins left="0.7875" right="0.7875" top="0.9840277777777778" bottom="0.9840277777777778" header="0.5118055555555556" footer="0.5118055555555556"/>
  <pageSetup fitToHeight="4" horizontalDpi="300" verticalDpi="300" orientation="portrait" paperSize="9" scale="87" r:id="rId1"/>
  <rowBreaks count="3" manualBreakCount="3">
    <brk id="48" max="255" man="1"/>
    <brk id="99" max="255" man="1"/>
    <brk id="15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workbookViewId="0" topLeftCell="I102">
      <selection activeCell="K111" sqref="K111"/>
    </sheetView>
  </sheetViews>
  <sheetFormatPr defaultColWidth="9.140625" defaultRowHeight="12.75"/>
  <cols>
    <col min="2" max="2" width="64.28125" style="0" customWidth="1"/>
    <col min="3" max="3" width="13.57421875" style="0" customWidth="1"/>
    <col min="4" max="4" width="14.00390625" style="0" customWidth="1"/>
    <col min="5" max="5" width="12.57421875" style="0" customWidth="1"/>
    <col min="6" max="6" width="10.7109375" style="0" customWidth="1"/>
    <col min="7" max="7" width="12.421875" style="0" customWidth="1"/>
    <col min="8" max="9" width="13.00390625" style="0" customWidth="1"/>
    <col min="10" max="10" width="10.421875" style="0" customWidth="1"/>
    <col min="11" max="11" width="10.8515625" style="0" customWidth="1"/>
    <col min="12" max="12" width="9.7109375" style="0" customWidth="1"/>
    <col min="13" max="13" width="10.00390625" style="0" customWidth="1"/>
    <col min="15" max="15" width="11.00390625" style="0" customWidth="1"/>
  </cols>
  <sheetData>
    <row r="1" spans="3:4" ht="12.75">
      <c r="C1" s="20" t="s">
        <v>1414</v>
      </c>
      <c r="D1" s="20"/>
    </row>
    <row r="3" ht="15.75">
      <c r="B3" s="40"/>
    </row>
    <row r="4" ht="15.75">
      <c r="B4" s="40"/>
    </row>
    <row r="5" spans="1:3" ht="12.75">
      <c r="A5" s="711"/>
      <c r="B5" s="711"/>
      <c r="C5" s="226"/>
    </row>
    <row r="6" spans="1:15" ht="12.75">
      <c r="A6" s="260"/>
      <c r="B6" s="712" t="s">
        <v>1086</v>
      </c>
      <c r="C6" s="712"/>
      <c r="D6" s="713" t="s">
        <v>85</v>
      </c>
      <c r="E6" s="716" t="s">
        <v>929</v>
      </c>
      <c r="F6" s="716" t="s">
        <v>930</v>
      </c>
      <c r="G6" s="234" t="s">
        <v>932</v>
      </c>
      <c r="H6" s="712" t="s">
        <v>933</v>
      </c>
      <c r="I6" s="712"/>
      <c r="J6" s="712" t="s">
        <v>1064</v>
      </c>
      <c r="K6" s="712"/>
      <c r="L6" s="713" t="s">
        <v>940</v>
      </c>
      <c r="M6" s="715" t="s">
        <v>937</v>
      </c>
      <c r="N6" s="715"/>
      <c r="O6" s="713" t="s">
        <v>939</v>
      </c>
    </row>
    <row r="7" spans="1:15" ht="51" customHeight="1">
      <c r="A7" s="260"/>
      <c r="B7" s="260" t="s">
        <v>931</v>
      </c>
      <c r="C7" s="266" t="s">
        <v>1415</v>
      </c>
      <c r="D7" s="714"/>
      <c r="E7" s="716"/>
      <c r="F7" s="716"/>
      <c r="G7" s="266" t="s">
        <v>1385</v>
      </c>
      <c r="H7" s="268" t="s">
        <v>934</v>
      </c>
      <c r="I7" s="268" t="s">
        <v>935</v>
      </c>
      <c r="J7" s="269" t="s">
        <v>934</v>
      </c>
      <c r="K7" s="269" t="s">
        <v>936</v>
      </c>
      <c r="L7" s="713"/>
      <c r="M7" s="267" t="s">
        <v>558</v>
      </c>
      <c r="N7" s="270" t="s">
        <v>938</v>
      </c>
      <c r="O7" s="713"/>
    </row>
    <row r="8" spans="1:15" ht="12.75">
      <c r="A8" s="233">
        <v>360000</v>
      </c>
      <c r="B8" s="233" t="s">
        <v>858</v>
      </c>
      <c r="C8" s="233">
        <v>1159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2.75">
      <c r="A9" s="233">
        <v>370000</v>
      </c>
      <c r="B9" s="233" t="s">
        <v>216</v>
      </c>
      <c r="C9" s="233">
        <v>19534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12.75">
      <c r="A10" s="233">
        <v>381103</v>
      </c>
      <c r="B10" s="233" t="s">
        <v>860</v>
      </c>
      <c r="C10" s="233">
        <v>0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2.75">
      <c r="A11" s="233">
        <v>382101</v>
      </c>
      <c r="B11" s="233" t="s">
        <v>1359</v>
      </c>
      <c r="C11" s="233">
        <v>186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</row>
    <row r="12" spans="1:15" ht="12.75">
      <c r="A12" s="233">
        <v>412000</v>
      </c>
      <c r="B12" s="233" t="s">
        <v>861</v>
      </c>
      <c r="C12" s="233">
        <v>6465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</row>
    <row r="13" spans="1:15" ht="12.75">
      <c r="A13" s="233">
        <v>421100</v>
      </c>
      <c r="B13" s="233" t="s">
        <v>943</v>
      </c>
      <c r="C13" s="233">
        <v>6357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</row>
    <row r="14" spans="1:15" ht="12.75">
      <c r="A14" s="233">
        <v>522001</v>
      </c>
      <c r="B14" s="233" t="s">
        <v>1032</v>
      </c>
      <c r="C14" s="233">
        <v>2160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spans="1:15" ht="12.75">
      <c r="A15" s="233">
        <v>680001</v>
      </c>
      <c r="B15" s="233" t="s">
        <v>1007</v>
      </c>
      <c r="C15" s="233">
        <v>205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</row>
    <row r="16" spans="1:15" ht="12.75">
      <c r="A16" s="233">
        <v>680002</v>
      </c>
      <c r="B16" s="233" t="s">
        <v>1006</v>
      </c>
      <c r="C16" s="233">
        <v>3115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</row>
    <row r="17" spans="1:15" ht="12.75">
      <c r="A17" s="233">
        <v>750000</v>
      </c>
      <c r="B17" s="233" t="s">
        <v>862</v>
      </c>
      <c r="C17" s="233">
        <v>0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</row>
    <row r="18" spans="1:15" ht="12.75">
      <c r="A18" s="233">
        <v>813000</v>
      </c>
      <c r="B18" s="233" t="s">
        <v>863</v>
      </c>
      <c r="C18" s="233">
        <v>349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</row>
    <row r="19" spans="1:15" ht="12.75">
      <c r="A19" s="233">
        <v>841112</v>
      </c>
      <c r="B19" s="233" t="s">
        <v>864</v>
      </c>
      <c r="C19" s="233">
        <v>0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</row>
    <row r="20" spans="1:15" ht="12.75">
      <c r="A20" s="233">
        <v>841133</v>
      </c>
      <c r="B20" s="233" t="s">
        <v>1008</v>
      </c>
      <c r="C20" s="233">
        <v>1147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</row>
    <row r="21" spans="1:15" ht="12.75">
      <c r="A21" s="233">
        <v>841154</v>
      </c>
      <c r="B21" s="233" t="s">
        <v>865</v>
      </c>
      <c r="C21" s="233">
        <v>0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</row>
    <row r="22" spans="1:15" ht="12.75">
      <c r="A22" s="233">
        <v>841402</v>
      </c>
      <c r="B22" s="233" t="s">
        <v>99</v>
      </c>
      <c r="C22" s="233">
        <v>8255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</row>
    <row r="23" spans="1:15" ht="12.75">
      <c r="A23" s="233">
        <v>841403</v>
      </c>
      <c r="B23" s="233" t="s">
        <v>866</v>
      </c>
      <c r="C23" s="233">
        <f>2081+667+1761+638+28819+1700+540</f>
        <v>36206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</row>
    <row r="24" spans="1:15" ht="12.75">
      <c r="A24" s="233">
        <v>841901</v>
      </c>
      <c r="B24" s="233" t="s">
        <v>1417</v>
      </c>
      <c r="C24" s="233">
        <v>92106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</row>
    <row r="25" spans="1:15" ht="12.75">
      <c r="A25" s="233">
        <v>841906</v>
      </c>
      <c r="B25" s="233" t="s">
        <v>868</v>
      </c>
      <c r="C25" s="233">
        <v>0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</row>
    <row r="26" spans="1:15" ht="12.75">
      <c r="A26" s="233">
        <v>841907</v>
      </c>
      <c r="B26" s="233" t="s">
        <v>1418</v>
      </c>
      <c r="C26" s="233">
        <v>98143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</row>
    <row r="27" spans="1:15" ht="12.75">
      <c r="A27" s="233">
        <v>842541</v>
      </c>
      <c r="B27" s="233" t="s">
        <v>870</v>
      </c>
      <c r="C27" s="233">
        <v>635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</row>
    <row r="28" spans="1:15" ht="12.75">
      <c r="A28" s="233">
        <v>862101</v>
      </c>
      <c r="B28" s="233" t="s">
        <v>871</v>
      </c>
      <c r="C28" s="233">
        <v>0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1:15" ht="12.75">
      <c r="A29" s="233">
        <v>862231</v>
      </c>
      <c r="B29" s="261" t="s">
        <v>872</v>
      </c>
      <c r="C29" s="233">
        <v>0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5" ht="12.75">
      <c r="A30" s="233">
        <v>862302</v>
      </c>
      <c r="B30" s="261" t="s">
        <v>873</v>
      </c>
      <c r="C30" s="233">
        <v>0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  <row r="31" spans="1:15" ht="12.75">
      <c r="A31" s="233">
        <v>882111</v>
      </c>
      <c r="B31" s="233" t="s">
        <v>1389</v>
      </c>
      <c r="C31" s="233">
        <v>18630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1:15" ht="12.75">
      <c r="A32" s="233">
        <v>882112</v>
      </c>
      <c r="B32" s="233" t="s">
        <v>110</v>
      </c>
      <c r="C32" s="233">
        <v>156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</row>
    <row r="33" spans="1:15" ht="12.75">
      <c r="A33" s="233">
        <v>882113</v>
      </c>
      <c r="B33" s="233" t="s">
        <v>112</v>
      </c>
      <c r="C33" s="233">
        <v>5676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</row>
    <row r="34" spans="1:15" ht="12.75">
      <c r="A34" s="233">
        <v>882115</v>
      </c>
      <c r="B34" s="233" t="s">
        <v>116</v>
      </c>
      <c r="C34" s="233">
        <v>531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1:15" ht="12.75">
      <c r="A35" s="233">
        <v>882117</v>
      </c>
      <c r="B35" s="233" t="s">
        <v>120</v>
      </c>
      <c r="C35" s="233">
        <v>1300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1:15" ht="12.75">
      <c r="A36" s="233">
        <v>882119</v>
      </c>
      <c r="B36" s="233" t="s">
        <v>124</v>
      </c>
      <c r="C36" s="233">
        <v>40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</row>
    <row r="37" spans="1:15" ht="12.75">
      <c r="A37" s="233">
        <v>882202</v>
      </c>
      <c r="B37" s="233" t="s">
        <v>136</v>
      </c>
      <c r="C37" s="233">
        <v>1200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</row>
    <row r="38" spans="1:15" ht="12.75">
      <c r="A38" s="233">
        <v>882203</v>
      </c>
      <c r="B38" s="233" t="s">
        <v>138</v>
      </c>
      <c r="C38" s="233">
        <v>150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</row>
    <row r="39" spans="1:15" ht="12.75">
      <c r="A39" s="233">
        <v>889967</v>
      </c>
      <c r="B39" s="233" t="s">
        <v>592</v>
      </c>
      <c r="C39" s="233">
        <v>330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</row>
    <row r="40" spans="1:15" ht="12.75">
      <c r="A40" s="233">
        <v>890441</v>
      </c>
      <c r="B40" s="233" t="s">
        <v>1390</v>
      </c>
      <c r="C40" s="233">
        <v>0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</row>
    <row r="41" spans="1:15" ht="26.25" customHeight="1">
      <c r="A41" s="233">
        <v>890442</v>
      </c>
      <c r="B41" s="262" t="s">
        <v>1391</v>
      </c>
      <c r="C41" s="233">
        <f>12614+1853</f>
        <v>14467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</row>
    <row r="42" spans="1:15" ht="12.75">
      <c r="A42" s="233">
        <v>890443</v>
      </c>
      <c r="B42" s="233" t="s">
        <v>1392</v>
      </c>
      <c r="C42" s="233">
        <v>0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</row>
    <row r="43" spans="1:15" ht="12.75">
      <c r="A43" s="233">
        <v>910502</v>
      </c>
      <c r="B43" s="261" t="s">
        <v>206</v>
      </c>
      <c r="C43" s="233">
        <f>1368+369+640</f>
        <v>2377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</row>
    <row r="44" spans="1:15" ht="12.75">
      <c r="A44" s="233">
        <v>931102</v>
      </c>
      <c r="B44" s="261" t="s">
        <v>1393</v>
      </c>
      <c r="C44" s="233">
        <v>1915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</row>
    <row r="45" spans="1:15" ht="12.75">
      <c r="A45" s="233">
        <v>960302</v>
      </c>
      <c r="B45" s="233" t="s">
        <v>1394</v>
      </c>
      <c r="C45" s="233">
        <v>440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</row>
    <row r="46" spans="1:15" ht="12.75">
      <c r="A46" s="233">
        <v>889942</v>
      </c>
      <c r="B46" s="233" t="s">
        <v>140</v>
      </c>
      <c r="C46" s="233">
        <v>1000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</row>
    <row r="47" spans="1:15" ht="12.75">
      <c r="A47" s="233"/>
      <c r="B47" s="234" t="s">
        <v>68</v>
      </c>
      <c r="C47" s="234">
        <f>SUM(C8:C46)</f>
        <v>324234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</row>
    <row r="48" spans="1:15" ht="12.75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</row>
    <row r="49" spans="1:15" ht="12.75">
      <c r="A49" s="233"/>
      <c r="B49" s="260" t="s">
        <v>82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</row>
    <row r="50" spans="1:15" ht="12.75">
      <c r="A50" s="233">
        <v>382200</v>
      </c>
      <c r="B50" s="233" t="s">
        <v>1396</v>
      </c>
      <c r="C50" s="233">
        <v>1159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</row>
    <row r="51" spans="1:15" ht="12.75">
      <c r="A51" s="233">
        <v>581400</v>
      </c>
      <c r="B51" s="233" t="s">
        <v>1397</v>
      </c>
      <c r="C51" s="233">
        <v>994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</row>
    <row r="52" spans="1:15" ht="12.75">
      <c r="A52" s="233">
        <v>602000</v>
      </c>
      <c r="B52" s="233" t="s">
        <v>1398</v>
      </c>
      <c r="C52" s="233">
        <v>350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</row>
    <row r="53" spans="1:15" ht="12.75">
      <c r="A53" s="233">
        <v>631000</v>
      </c>
      <c r="B53" s="233" t="s">
        <v>1399</v>
      </c>
      <c r="C53" s="233">
        <v>160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</row>
    <row r="54" spans="1:15" ht="12.75">
      <c r="A54" s="233">
        <v>691001</v>
      </c>
      <c r="B54" s="233" t="s">
        <v>1400</v>
      </c>
      <c r="C54" s="233">
        <v>300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</row>
    <row r="55" spans="1:15" ht="12.75">
      <c r="A55" s="233">
        <v>692000</v>
      </c>
      <c r="B55" s="233" t="s">
        <v>1419</v>
      </c>
      <c r="C55" s="233">
        <v>480</v>
      </c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</row>
    <row r="56" spans="1:15" ht="12.75">
      <c r="A56" s="233">
        <v>823000</v>
      </c>
      <c r="B56" s="233" t="s">
        <v>1401</v>
      </c>
      <c r="C56" s="233">
        <v>0</v>
      </c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</row>
    <row r="57" spans="1:15" ht="12.75">
      <c r="A57" s="233">
        <v>841192</v>
      </c>
      <c r="B57" s="261" t="s">
        <v>1402</v>
      </c>
      <c r="C57" s="233">
        <v>1410</v>
      </c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</row>
    <row r="58" spans="1:15" ht="12.75">
      <c r="A58" s="233">
        <v>842155</v>
      </c>
      <c r="B58" s="233" t="s">
        <v>1403</v>
      </c>
      <c r="C58" s="233">
        <v>0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</row>
    <row r="59" spans="1:15" ht="12.75">
      <c r="A59" s="233">
        <v>854316</v>
      </c>
      <c r="B59" s="233" t="s">
        <v>1404</v>
      </c>
      <c r="C59" s="233">
        <v>800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</row>
    <row r="60" spans="1:15" ht="12.75">
      <c r="A60" s="233">
        <v>882116</v>
      </c>
      <c r="B60" s="233" t="s">
        <v>118</v>
      </c>
      <c r="C60" s="233">
        <v>3600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</row>
    <row r="61" spans="1:15" ht="12.75">
      <c r="A61" s="233">
        <v>882122</v>
      </c>
      <c r="B61" s="233" t="s">
        <v>128</v>
      </c>
      <c r="C61" s="233">
        <v>2100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</row>
    <row r="62" spans="1:15" ht="12.75">
      <c r="A62" s="233">
        <v>882123</v>
      </c>
      <c r="B62" s="233" t="s">
        <v>1368</v>
      </c>
      <c r="C62" s="233">
        <v>300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</row>
    <row r="63" spans="1:15" ht="12.75">
      <c r="A63" s="233">
        <v>882124</v>
      </c>
      <c r="B63" s="233" t="s">
        <v>131</v>
      </c>
      <c r="C63" s="233">
        <v>50</v>
      </c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</row>
    <row r="64" spans="1:15" ht="12.75">
      <c r="A64" s="233">
        <v>882129</v>
      </c>
      <c r="B64" s="233" t="s">
        <v>134</v>
      </c>
      <c r="C64" s="233">
        <f>3500+120+200</f>
        <v>3820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</row>
    <row r="65" spans="1:15" ht="12.75">
      <c r="A65" s="233">
        <v>890301</v>
      </c>
      <c r="B65" s="233" t="s">
        <v>142</v>
      </c>
      <c r="C65" s="233">
        <v>11575</v>
      </c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</row>
    <row r="66" spans="1:15" ht="12.75">
      <c r="A66" s="233">
        <v>890302</v>
      </c>
      <c r="B66" s="233" t="s">
        <v>1410</v>
      </c>
      <c r="C66" s="233">
        <v>750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</row>
    <row r="67" spans="1:15" ht="12.75">
      <c r="A67" s="233">
        <v>890506</v>
      </c>
      <c r="B67" s="233" t="s">
        <v>1411</v>
      </c>
      <c r="C67" s="233">
        <v>0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</row>
    <row r="68" spans="1:15" ht="12.75">
      <c r="A68" s="233">
        <v>890602</v>
      </c>
      <c r="B68" s="233" t="s">
        <v>1412</v>
      </c>
      <c r="C68" s="233">
        <v>0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</row>
    <row r="69" spans="1:15" ht="12.75">
      <c r="A69" s="233"/>
      <c r="B69" s="234" t="s">
        <v>39</v>
      </c>
      <c r="C69" s="234">
        <f>SUM(C50:C68)</f>
        <v>27848</v>
      </c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</row>
    <row r="70" spans="1:15" ht="12.75">
      <c r="A70" s="233"/>
      <c r="B70" s="234" t="s">
        <v>926</v>
      </c>
      <c r="C70" s="234">
        <f>C47+C69</f>
        <v>352082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</row>
    <row r="71" spans="1:15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</row>
    <row r="72" spans="1:15" ht="12.75">
      <c r="A72" s="233"/>
      <c r="B72" s="260" t="s">
        <v>589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</row>
    <row r="73" spans="1:15" ht="25.5">
      <c r="A73" s="260"/>
      <c r="B73" s="260" t="s">
        <v>857</v>
      </c>
      <c r="C73" s="263" t="s">
        <v>1415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</row>
    <row r="74" spans="1:15" ht="12.75">
      <c r="A74" s="233">
        <v>680002</v>
      </c>
      <c r="B74" s="233" t="s">
        <v>1006</v>
      </c>
      <c r="C74" s="233">
        <v>5650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</row>
    <row r="75" spans="1:15" ht="12.75">
      <c r="A75" s="233">
        <v>691001</v>
      </c>
      <c r="B75" s="233" t="s">
        <v>1400</v>
      </c>
      <c r="C75" s="233">
        <v>50</v>
      </c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</row>
    <row r="76" spans="1:15" ht="12.75">
      <c r="A76" s="233">
        <v>692000</v>
      </c>
      <c r="B76" s="233" t="s">
        <v>780</v>
      </c>
      <c r="C76" s="233">
        <v>0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</row>
    <row r="77" spans="1:15" ht="12.75">
      <c r="A77" s="233">
        <v>841112</v>
      </c>
      <c r="B77" s="233" t="s">
        <v>864</v>
      </c>
      <c r="C77" s="233">
        <v>0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</row>
    <row r="78" spans="1:15" ht="12.75">
      <c r="A78" s="233">
        <v>841114</v>
      </c>
      <c r="B78" s="233" t="s">
        <v>781</v>
      </c>
      <c r="C78" s="233">
        <v>0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</row>
    <row r="79" spans="1:15" ht="12.75">
      <c r="A79" s="233">
        <v>841115</v>
      </c>
      <c r="B79" s="233" t="s">
        <v>782</v>
      </c>
      <c r="C79" s="233">
        <v>0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</row>
    <row r="80" spans="1:15" ht="12.75">
      <c r="A80" s="233">
        <v>841117</v>
      </c>
      <c r="B80" s="233" t="s">
        <v>783</v>
      </c>
      <c r="C80" s="233">
        <v>0</v>
      </c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</row>
    <row r="81" spans="1:15" ht="12.75">
      <c r="A81" s="233">
        <v>841118</v>
      </c>
      <c r="B81" s="233" t="s">
        <v>784</v>
      </c>
      <c r="C81" s="233">
        <v>0</v>
      </c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</row>
    <row r="82" spans="1:15" ht="12.75">
      <c r="A82" s="233">
        <v>841126</v>
      </c>
      <c r="B82" s="233" t="s">
        <v>36</v>
      </c>
      <c r="C82" s="233">
        <f>48964+13145+8915</f>
        <v>71024</v>
      </c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</row>
    <row r="83" spans="1:15" ht="12.75">
      <c r="A83" s="233">
        <v>841173</v>
      </c>
      <c r="B83" s="233" t="s">
        <v>37</v>
      </c>
      <c r="C83" s="233">
        <v>0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</row>
    <row r="84" spans="1:15" ht="12.75">
      <c r="A84" s="233">
        <v>841907</v>
      </c>
      <c r="B84" s="233" t="s">
        <v>869</v>
      </c>
      <c r="C84" s="233">
        <v>0</v>
      </c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</row>
    <row r="85" spans="1:15" ht="12.75">
      <c r="A85" s="233">
        <v>842421</v>
      </c>
      <c r="B85" s="233" t="s">
        <v>38</v>
      </c>
      <c r="C85" s="233">
        <v>0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</row>
    <row r="86" spans="1:15" ht="12.75">
      <c r="A86" s="233">
        <v>862231</v>
      </c>
      <c r="B86" s="261" t="s">
        <v>872</v>
      </c>
      <c r="C86" s="233">
        <v>64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</row>
    <row r="87" spans="1:15" ht="12.75">
      <c r="A87" s="233"/>
      <c r="B87" s="234" t="s">
        <v>68</v>
      </c>
      <c r="C87" s="234">
        <f>SUM(C74:C86)</f>
        <v>76788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</row>
    <row r="88" spans="1:15" ht="12.75">
      <c r="A88" s="233"/>
      <c r="B88" s="234" t="s">
        <v>955</v>
      </c>
      <c r="C88" s="234">
        <v>76788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</row>
    <row r="89" spans="1:15" ht="12.75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</row>
    <row r="90" spans="1:15" ht="12.75">
      <c r="A90" s="712" t="s">
        <v>948</v>
      </c>
      <c r="B90" s="712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</row>
    <row r="91" spans="1:15" ht="25.5">
      <c r="A91" s="260"/>
      <c r="B91" s="260" t="s">
        <v>857</v>
      </c>
      <c r="C91" s="263" t="s">
        <v>1415</v>
      </c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</row>
    <row r="92" spans="1:15" ht="12.75">
      <c r="A92" s="233">
        <v>680002</v>
      </c>
      <c r="B92" s="233" t="s">
        <v>1006</v>
      </c>
      <c r="C92" s="233">
        <v>3000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</row>
    <row r="93" spans="1:15" ht="12.75">
      <c r="A93" s="233">
        <v>862231</v>
      </c>
      <c r="B93" s="261" t="s">
        <v>872</v>
      </c>
      <c r="C93" s="233">
        <v>19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</row>
    <row r="94" spans="1:15" ht="12.75">
      <c r="A94" s="233">
        <v>910121</v>
      </c>
      <c r="B94" s="233" t="s">
        <v>201</v>
      </c>
      <c r="C94" s="233">
        <v>126</v>
      </c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</row>
    <row r="95" spans="1:15" ht="12.75">
      <c r="A95" s="233">
        <v>910123</v>
      </c>
      <c r="B95" s="233" t="s">
        <v>204</v>
      </c>
      <c r="C95" s="233">
        <f>4216+1165+340</f>
        <v>5721</v>
      </c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</row>
    <row r="96" spans="1:15" ht="12.75">
      <c r="A96" s="233">
        <v>910502</v>
      </c>
      <c r="B96" s="233" t="s">
        <v>206</v>
      </c>
      <c r="C96" s="233">
        <f>3328+910+2495</f>
        <v>6733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</row>
    <row r="97" spans="1:15" ht="12.75">
      <c r="A97" s="233"/>
      <c r="B97" s="234" t="s">
        <v>68</v>
      </c>
      <c r="C97" s="234">
        <f>C92+C93+C94+C95+C96</f>
        <v>15599</v>
      </c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</row>
    <row r="98" spans="1:15" ht="12.75">
      <c r="A98" s="233"/>
      <c r="B98" s="234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</row>
    <row r="99" spans="1:15" ht="12.75">
      <c r="A99" s="233"/>
      <c r="B99" s="260" t="s">
        <v>40</v>
      </c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</row>
    <row r="100" spans="1:15" ht="12.75">
      <c r="A100" s="233">
        <v>493909</v>
      </c>
      <c r="B100" s="233" t="s">
        <v>949</v>
      </c>
      <c r="C100" s="233">
        <v>0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</row>
    <row r="101" spans="1:15" ht="12.75">
      <c r="A101" s="233">
        <v>841907</v>
      </c>
      <c r="B101" s="233" t="s">
        <v>869</v>
      </c>
      <c r="C101" s="233">
        <v>0</v>
      </c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</row>
    <row r="102" spans="1:15" ht="12.75">
      <c r="A102" s="233">
        <v>841191</v>
      </c>
      <c r="B102" s="261" t="s">
        <v>950</v>
      </c>
      <c r="C102" s="233">
        <v>51</v>
      </c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</row>
    <row r="103" spans="1:15" ht="12.75">
      <c r="A103" s="233">
        <v>841192</v>
      </c>
      <c r="B103" s="261" t="s">
        <v>1402</v>
      </c>
      <c r="C103" s="233">
        <v>6145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</row>
    <row r="104" spans="1:15" ht="12.75">
      <c r="A104" s="233">
        <v>900400</v>
      </c>
      <c r="B104" s="261" t="s">
        <v>954</v>
      </c>
      <c r="C104" s="233">
        <v>460</v>
      </c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</row>
    <row r="105" spans="1:15" ht="12.75">
      <c r="A105" s="233"/>
      <c r="B105" s="234" t="s">
        <v>39</v>
      </c>
      <c r="C105" s="234">
        <f>SUM(C100:C104)</f>
        <v>6656</v>
      </c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</row>
    <row r="106" spans="1:15" ht="25.5">
      <c r="A106" s="233"/>
      <c r="B106" s="265" t="s">
        <v>956</v>
      </c>
      <c r="C106" s="234">
        <f>C97+C105</f>
        <v>22255</v>
      </c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</row>
    <row r="107" spans="1:15" ht="12.75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</row>
    <row r="108" spans="1:15" ht="12.75">
      <c r="A108" s="233"/>
      <c r="B108" s="234" t="s">
        <v>81</v>
      </c>
      <c r="C108" s="234">
        <f>C70+C88+C106</f>
        <v>451125</v>
      </c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</row>
  </sheetData>
  <mergeCells count="11">
    <mergeCell ref="L6:L7"/>
    <mergeCell ref="M6:N6"/>
    <mergeCell ref="O6:O7"/>
    <mergeCell ref="E6:E7"/>
    <mergeCell ref="F6:F7"/>
    <mergeCell ref="H6:I6"/>
    <mergeCell ref="J6:K6"/>
    <mergeCell ref="A5:B5"/>
    <mergeCell ref="A90:B90"/>
    <mergeCell ref="B6:C6"/>
    <mergeCell ref="D6:D7"/>
  </mergeCells>
  <printOptions/>
  <pageMargins left="0.75" right="0.75" top="1" bottom="1" header="0.5" footer="0.5"/>
  <pageSetup fitToHeight="2" fitToWidth="1" horizontalDpi="600" verticalDpi="600" orientation="landscape" paperSize="9" scale="58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selection activeCell="C20" sqref="C20"/>
    </sheetView>
  </sheetViews>
  <sheetFormatPr defaultColWidth="9.140625" defaultRowHeight="12.75"/>
  <cols>
    <col min="1" max="1" width="4.7109375" style="1" customWidth="1"/>
    <col min="2" max="2" width="45.7109375" style="1" customWidth="1"/>
    <col min="3" max="3" width="16.421875" style="59" customWidth="1"/>
    <col min="4" max="4" width="4.7109375" style="1" customWidth="1"/>
    <col min="5" max="5" width="45.7109375" style="1" customWidth="1"/>
    <col min="6" max="6" width="15.57421875" style="59" customWidth="1"/>
    <col min="7" max="16384" width="9.140625" style="1" customWidth="1"/>
  </cols>
  <sheetData>
    <row r="1" ht="15.75">
      <c r="F1" s="66" t="s">
        <v>55</v>
      </c>
    </row>
    <row r="2" ht="15.75">
      <c r="F2" s="66"/>
    </row>
    <row r="4" spans="1:6" ht="15.75">
      <c r="A4" s="40" t="str">
        <f>tartalom!B22</f>
        <v>Röszke Község Önkormányzat 2014. évi költségvetésének bevételi és kiadási előirányzatai mérlegszerűen</v>
      </c>
      <c r="F4" s="51"/>
    </row>
    <row r="5" ht="15.75">
      <c r="F5" s="1"/>
    </row>
    <row r="6" spans="1:6" s="7" customFormat="1" ht="15.75">
      <c r="A6" s="40"/>
      <c r="B6" s="1"/>
      <c r="C6" s="59"/>
      <c r="D6" s="1"/>
      <c r="E6" s="1"/>
      <c r="F6" s="66" t="s">
        <v>1416</v>
      </c>
    </row>
    <row r="7" spans="1:6" s="7" customFormat="1" ht="18.75">
      <c r="A7" s="717" t="s">
        <v>907</v>
      </c>
      <c r="B7" s="717"/>
      <c r="C7" s="717"/>
      <c r="D7" s="717"/>
      <c r="E7" s="717"/>
      <c r="F7" s="717"/>
    </row>
    <row r="8" spans="1:6" s="7" customFormat="1" ht="15.75">
      <c r="A8" s="39"/>
      <c r="B8" s="98"/>
      <c r="C8" s="99"/>
      <c r="D8" s="98"/>
      <c r="E8" s="98"/>
      <c r="F8" s="98"/>
    </row>
    <row r="9" spans="1:6" s="7" customFormat="1" ht="15.75">
      <c r="A9" s="11"/>
      <c r="B9" s="6"/>
      <c r="C9" s="18"/>
      <c r="D9" s="11"/>
      <c r="E9" s="15" t="s">
        <v>1033</v>
      </c>
      <c r="F9" s="18">
        <f>2kiadás!C7</f>
        <v>175334</v>
      </c>
    </row>
    <row r="10" spans="1:6" s="7" customFormat="1" ht="31.5">
      <c r="A10" s="11"/>
      <c r="B10" s="6" t="s">
        <v>20</v>
      </c>
      <c r="C10" s="18">
        <f>1bevétel!C8</f>
        <v>174536</v>
      </c>
      <c r="D10" s="11"/>
      <c r="E10" s="73" t="s">
        <v>927</v>
      </c>
      <c r="F10" s="18">
        <f>2kiadás!C8</f>
        <v>44547</v>
      </c>
    </row>
    <row r="11" spans="1:6" s="7" customFormat="1" ht="15.75">
      <c r="A11" s="11"/>
      <c r="B11" s="6" t="s">
        <v>947</v>
      </c>
      <c r="C11" s="18">
        <f>1bevétel!C9</f>
        <v>269750</v>
      </c>
      <c r="D11" s="11"/>
      <c r="E11" s="15" t="s">
        <v>1021</v>
      </c>
      <c r="F11" s="18">
        <f>2kiadás!C9</f>
        <v>153869</v>
      </c>
    </row>
    <row r="12" spans="1:6" s="7" customFormat="1" ht="15.75">
      <c r="A12" s="11"/>
      <c r="B12" s="6" t="s">
        <v>24</v>
      </c>
      <c r="C12" s="18">
        <f>1bevétel!C10</f>
        <v>23366</v>
      </c>
      <c r="D12" s="11"/>
      <c r="E12" s="70" t="s">
        <v>535</v>
      </c>
      <c r="F12" s="18">
        <f>2kiadás!C10</f>
        <v>40406</v>
      </c>
    </row>
    <row r="13" spans="1:6" s="7" customFormat="1" ht="15.75">
      <c r="A13" s="11"/>
      <c r="B13" s="6" t="s">
        <v>523</v>
      </c>
      <c r="C13" s="18">
        <f>1bevétel!C11</f>
        <v>0</v>
      </c>
      <c r="D13" s="11"/>
      <c r="E13" s="9" t="s">
        <v>470</v>
      </c>
      <c r="F13" s="18">
        <f>2kiadás!C11</f>
        <v>72226</v>
      </c>
    </row>
    <row r="14" spans="1:6" s="7" customFormat="1" ht="15.75">
      <c r="A14" s="11"/>
      <c r="B14" s="596" t="s">
        <v>1690</v>
      </c>
      <c r="C14" s="597">
        <f>1bevétel!C12</f>
        <v>467652</v>
      </c>
      <c r="D14" s="11"/>
      <c r="E14" s="600" t="s">
        <v>1693</v>
      </c>
      <c r="F14" s="597">
        <f>2kiadás!C12</f>
        <v>486382</v>
      </c>
    </row>
    <row r="15" spans="1:6" s="7" customFormat="1" ht="15.75">
      <c r="A15" s="11"/>
      <c r="B15" s="6" t="s">
        <v>25</v>
      </c>
      <c r="C15" s="18">
        <f>1bevétel!C13</f>
        <v>630</v>
      </c>
      <c r="D15" s="11"/>
      <c r="E15" s="15" t="s">
        <v>471</v>
      </c>
      <c r="F15" s="18">
        <f>2kiadás!C13</f>
        <v>86233</v>
      </c>
    </row>
    <row r="16" spans="1:6" s="7" customFormat="1" ht="31.5">
      <c r="A16" s="11"/>
      <c r="B16" s="6" t="s">
        <v>21</v>
      </c>
      <c r="C16" s="18">
        <f>1bevétel!C14</f>
        <v>23090</v>
      </c>
      <c r="D16" s="11"/>
      <c r="E16" s="15" t="s">
        <v>472</v>
      </c>
      <c r="F16" s="18">
        <f>2kiadás!C14</f>
        <v>14456</v>
      </c>
    </row>
    <row r="17" spans="1:6" s="7" customFormat="1" ht="15.75">
      <c r="A17" s="11"/>
      <c r="B17" s="6" t="s">
        <v>530</v>
      </c>
      <c r="C17" s="18">
        <f>1bevétel!C15</f>
        <v>154</v>
      </c>
      <c r="D17" s="11"/>
      <c r="E17" s="70" t="s">
        <v>474</v>
      </c>
      <c r="F17" s="18">
        <f>2kiadás!C15</f>
        <v>42239</v>
      </c>
    </row>
    <row r="18" spans="2:6" s="7" customFormat="1" ht="15.75">
      <c r="B18" s="596" t="s">
        <v>1692</v>
      </c>
      <c r="C18" s="597">
        <f>1bevétel!C16</f>
        <v>23874</v>
      </c>
      <c r="D18" s="11"/>
      <c r="E18" s="573" t="s">
        <v>1694</v>
      </c>
      <c r="F18" s="597">
        <f>2kiadás!C16</f>
        <v>142928</v>
      </c>
    </row>
    <row r="19" spans="2:6" s="7" customFormat="1" ht="15.75">
      <c r="B19" s="26" t="s">
        <v>1691</v>
      </c>
      <c r="C19" s="27">
        <f>1bevétel!C17</f>
        <v>491526</v>
      </c>
      <c r="D19" s="11"/>
      <c r="E19" s="601" t="s">
        <v>1695</v>
      </c>
      <c r="F19" s="27">
        <f>2kiadás!C17</f>
        <v>629310</v>
      </c>
    </row>
    <row r="20" spans="2:6" s="7" customFormat="1" ht="31.5" customHeight="1">
      <c r="B20" s="6" t="s">
        <v>29</v>
      </c>
      <c r="C20" s="18">
        <f>1bevétel!C18</f>
        <v>329871</v>
      </c>
      <c r="D20" s="11"/>
      <c r="E20" s="70" t="s">
        <v>1037</v>
      </c>
      <c r="F20" s="18">
        <f>2kiadás!C18</f>
        <v>192087</v>
      </c>
    </row>
    <row r="21" spans="1:6" s="7" customFormat="1" ht="18.75">
      <c r="A21" s="100"/>
      <c r="B21" s="598" t="s">
        <v>1014</v>
      </c>
      <c r="C21" s="599">
        <f>1bevétel!C19</f>
        <v>821397</v>
      </c>
      <c r="D21" s="100"/>
      <c r="E21" s="603" t="s">
        <v>856</v>
      </c>
      <c r="F21" s="599">
        <f>2kiadás!C19</f>
        <v>821397</v>
      </c>
    </row>
    <row r="22" s="7" customFormat="1" ht="15.75">
      <c r="C22" s="18"/>
    </row>
    <row r="23" s="7" customFormat="1" ht="15.75">
      <c r="C23" s="27"/>
    </row>
    <row r="24" spans="1:6" s="7" customFormat="1" ht="15.75">
      <c r="A24" s="709"/>
      <c r="B24" s="709"/>
      <c r="C24" s="709"/>
      <c r="D24" s="709"/>
      <c r="E24" s="709"/>
      <c r="F24" s="709"/>
    </row>
    <row r="25" spans="1:6" s="7" customFormat="1" ht="15.75">
      <c r="A25" s="34"/>
      <c r="B25" s="34"/>
      <c r="C25" s="35"/>
      <c r="D25" s="34"/>
      <c r="E25" s="34"/>
      <c r="F25" s="34"/>
    </row>
    <row r="26" spans="1:6" s="7" customFormat="1" ht="15.75">
      <c r="A26" s="11"/>
      <c r="B26" s="13"/>
      <c r="C26" s="18"/>
      <c r="D26" s="11"/>
      <c r="E26" s="13"/>
      <c r="F26" s="18"/>
    </row>
    <row r="27" spans="1:6" s="7" customFormat="1" ht="15.75">
      <c r="A27" s="11"/>
      <c r="B27" s="13"/>
      <c r="C27" s="18"/>
      <c r="D27" s="11"/>
      <c r="E27" s="9"/>
      <c r="F27" s="18"/>
    </row>
    <row r="28" spans="1:6" s="7" customFormat="1" ht="15.75">
      <c r="A28" s="11"/>
      <c r="B28" s="12"/>
      <c r="C28" s="18"/>
      <c r="D28" s="11"/>
      <c r="E28" s="13"/>
      <c r="F28" s="18"/>
    </row>
    <row r="29" spans="1:6" s="7" customFormat="1" ht="15.75">
      <c r="A29" s="11"/>
      <c r="B29" s="13"/>
      <c r="C29" s="18"/>
      <c r="D29" s="11"/>
      <c r="E29" s="13"/>
      <c r="F29" s="18"/>
    </row>
    <row r="30" spans="1:6" s="7" customFormat="1" ht="15.75">
      <c r="A30" s="11"/>
      <c r="B30" s="13"/>
      <c r="C30" s="18"/>
      <c r="D30" s="11"/>
      <c r="E30" s="13"/>
      <c r="F30" s="18"/>
    </row>
    <row r="31" spans="1:6" s="7" customFormat="1" ht="15.75">
      <c r="A31" s="11"/>
      <c r="B31" s="29"/>
      <c r="C31" s="18"/>
      <c r="D31" s="11"/>
      <c r="E31" s="9"/>
      <c r="F31" s="18"/>
    </row>
    <row r="32" spans="1:6" s="7" customFormat="1" ht="15.75">
      <c r="A32" s="11"/>
      <c r="B32" s="13"/>
      <c r="C32" s="18"/>
      <c r="D32" s="11"/>
      <c r="E32" s="9"/>
      <c r="F32" s="18"/>
    </row>
    <row r="33" spans="1:6" s="7" customFormat="1" ht="15.75">
      <c r="A33" s="11"/>
      <c r="B33" s="13"/>
      <c r="C33" s="18"/>
      <c r="D33" s="11"/>
      <c r="E33" s="70"/>
      <c r="F33" s="18"/>
    </row>
    <row r="34" spans="1:6" s="7" customFormat="1" ht="15.75">
      <c r="A34" s="11"/>
      <c r="B34" s="13"/>
      <c r="C34" s="18"/>
      <c r="D34" s="11"/>
      <c r="E34" s="9"/>
      <c r="F34" s="18"/>
    </row>
    <row r="35" spans="1:6" s="7" customFormat="1" ht="15.75">
      <c r="A35" s="11"/>
      <c r="B35" s="29"/>
      <c r="C35" s="18"/>
      <c r="D35" s="100"/>
      <c r="E35" s="101"/>
      <c r="F35" s="27"/>
    </row>
    <row r="36" spans="1:6" s="7" customFormat="1" ht="15.75">
      <c r="A36" s="11"/>
      <c r="B36" s="70"/>
      <c r="C36" s="18"/>
      <c r="D36" s="100"/>
      <c r="E36" s="101"/>
      <c r="F36" s="27"/>
    </row>
    <row r="37" spans="1:6" s="7" customFormat="1" ht="15.75">
      <c r="A37" s="100"/>
      <c r="B37" s="101"/>
      <c r="C37" s="27"/>
      <c r="D37" s="100"/>
      <c r="E37" s="101"/>
      <c r="F37" s="27"/>
    </row>
    <row r="38" spans="1:6" s="7" customFormat="1" ht="15.75">
      <c r="A38" s="100"/>
      <c r="C38" s="18"/>
      <c r="D38" s="100"/>
      <c r="E38" s="101"/>
      <c r="F38" s="27"/>
    </row>
    <row r="39" spans="1:6" s="7" customFormat="1" ht="15.75">
      <c r="A39" s="718"/>
      <c r="B39" s="719"/>
      <c r="C39" s="719"/>
      <c r="D39" s="719"/>
      <c r="E39" s="719"/>
      <c r="F39" s="719"/>
    </row>
    <row r="40" spans="1:6" s="7" customFormat="1" ht="15.75">
      <c r="A40" s="100"/>
      <c r="B40" s="101"/>
      <c r="C40" s="18"/>
      <c r="D40" s="11"/>
      <c r="E40" s="1"/>
      <c r="F40" s="1"/>
    </row>
    <row r="41" spans="1:6" s="7" customFormat="1" ht="15.75">
      <c r="A41" s="100"/>
      <c r="B41" s="101"/>
      <c r="C41" s="27"/>
      <c r="D41" s="22"/>
      <c r="E41" s="101"/>
      <c r="F41" s="27"/>
    </row>
    <row r="42" spans="1:6" s="7" customFormat="1" ht="15.75">
      <c r="A42" s="11"/>
      <c r="B42" s="1"/>
      <c r="C42" s="59"/>
      <c r="D42" s="1"/>
      <c r="E42" s="1"/>
      <c r="F42" s="59"/>
    </row>
    <row r="43" spans="1:6" s="7" customFormat="1" ht="15.75">
      <c r="A43" s="1"/>
      <c r="B43" s="1"/>
      <c r="C43" s="59"/>
      <c r="D43" s="1"/>
      <c r="E43" s="1"/>
      <c r="F43" s="59"/>
    </row>
    <row r="44" spans="1:6" s="7" customFormat="1" ht="15.75">
      <c r="A44" s="1"/>
      <c r="B44" s="1"/>
      <c r="C44" s="59"/>
      <c r="D44" s="1"/>
      <c r="E44" s="1"/>
      <c r="F44" s="59"/>
    </row>
    <row r="45" spans="1:6" s="7" customFormat="1" ht="15.75">
      <c r="A45" s="1"/>
      <c r="B45" s="1"/>
      <c r="C45" s="59"/>
      <c r="D45" s="1"/>
      <c r="E45" s="1"/>
      <c r="F45" s="59"/>
    </row>
  </sheetData>
  <mergeCells count="3">
    <mergeCell ref="A7:F7"/>
    <mergeCell ref="A24:F24"/>
    <mergeCell ref="A39:F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4">
      <selection activeCell="C33" sqref="C33"/>
    </sheetView>
  </sheetViews>
  <sheetFormatPr defaultColWidth="9.140625" defaultRowHeight="12.75"/>
  <cols>
    <col min="1" max="1" width="4.7109375" style="6" customWidth="1"/>
    <col min="2" max="2" width="69.57421875" style="6" customWidth="1"/>
    <col min="3" max="3" width="14.7109375" style="18" customWidth="1"/>
    <col min="4" max="4" width="10.7109375" style="6" customWidth="1"/>
    <col min="5" max="5" width="10.7109375" style="19" customWidth="1"/>
    <col min="6" max="22" width="10.7109375" style="6" customWidth="1"/>
    <col min="23" max="16384" width="9.140625" style="6" customWidth="1"/>
  </cols>
  <sheetData>
    <row r="1" ht="15.75">
      <c r="C1" s="20" t="s">
        <v>1660</v>
      </c>
    </row>
    <row r="2" ht="15.75">
      <c r="C2" s="20"/>
    </row>
    <row r="3" ht="15.75">
      <c r="C3" s="21"/>
    </row>
    <row r="4" ht="15.75">
      <c r="A4" s="22" t="str">
        <f>tartalom!B5</f>
        <v>Röszke Község Önkormányzatának 2014. évi bevételi előirányzati intézményenként és összesítve</v>
      </c>
    </row>
    <row r="5" ht="15.75">
      <c r="A5" s="22"/>
    </row>
    <row r="6" spans="3:4" ht="15.75">
      <c r="C6" s="20" t="s">
        <v>1416</v>
      </c>
      <c r="D6" s="19"/>
    </row>
    <row r="7" spans="1:4" ht="15.75">
      <c r="A7" s="23" t="s">
        <v>1525</v>
      </c>
      <c r="C7" s="24"/>
      <c r="D7" s="19"/>
    </row>
    <row r="8" spans="1:3" ht="15.75">
      <c r="A8" s="4" t="s">
        <v>1547</v>
      </c>
      <c r="B8" s="6" t="s">
        <v>20</v>
      </c>
      <c r="C8" s="18">
        <f>C23+C38+C53+C68</f>
        <v>174536</v>
      </c>
    </row>
    <row r="9" spans="1:3" ht="15.75">
      <c r="A9" s="4" t="s">
        <v>22</v>
      </c>
      <c r="B9" s="6" t="s">
        <v>947</v>
      </c>
      <c r="C9" s="18">
        <f aca="true" t="shared" si="0" ref="C9:C19">C24+C39+C54+C69</f>
        <v>269750</v>
      </c>
    </row>
    <row r="10" spans="1:3" ht="15.75">
      <c r="A10" s="4" t="s">
        <v>17</v>
      </c>
      <c r="B10" s="6" t="s">
        <v>24</v>
      </c>
      <c r="C10" s="18">
        <f t="shared" si="0"/>
        <v>23366</v>
      </c>
    </row>
    <row r="11" spans="1:3" ht="15.75">
      <c r="A11" s="4" t="s">
        <v>26</v>
      </c>
      <c r="B11" s="6" t="s">
        <v>523</v>
      </c>
      <c r="C11" s="18">
        <f t="shared" si="0"/>
        <v>0</v>
      </c>
    </row>
    <row r="12" spans="1:5" s="26" customFormat="1" ht="15.75">
      <c r="A12" s="4"/>
      <c r="B12" s="596" t="s">
        <v>1690</v>
      </c>
      <c r="C12" s="597">
        <f t="shared" si="0"/>
        <v>467652</v>
      </c>
      <c r="E12" s="28"/>
    </row>
    <row r="13" spans="1:3" ht="15.75">
      <c r="A13" s="4" t="s">
        <v>23</v>
      </c>
      <c r="B13" s="6" t="s">
        <v>25</v>
      </c>
      <c r="C13" s="18">
        <f t="shared" si="0"/>
        <v>630</v>
      </c>
    </row>
    <row r="14" spans="1:3" ht="15.75">
      <c r="A14" s="4" t="s">
        <v>1598</v>
      </c>
      <c r="B14" s="6" t="s">
        <v>21</v>
      </c>
      <c r="C14" s="18">
        <f t="shared" si="0"/>
        <v>23090</v>
      </c>
    </row>
    <row r="15" spans="1:3" ht="15.75">
      <c r="A15" s="4" t="s">
        <v>27</v>
      </c>
      <c r="B15" s="6" t="s">
        <v>530</v>
      </c>
      <c r="C15" s="18">
        <f t="shared" si="0"/>
        <v>154</v>
      </c>
    </row>
    <row r="16" spans="1:3" ht="15.75">
      <c r="A16" s="4"/>
      <c r="B16" s="596" t="s">
        <v>1692</v>
      </c>
      <c r="C16" s="597">
        <f t="shared" si="0"/>
        <v>23874</v>
      </c>
    </row>
    <row r="17" spans="1:3" ht="15.75">
      <c r="A17" s="4"/>
      <c r="B17" s="26" t="s">
        <v>1691</v>
      </c>
      <c r="C17" s="27">
        <f t="shared" si="0"/>
        <v>491526</v>
      </c>
    </row>
    <row r="18" spans="1:3" ht="15.75">
      <c r="A18" s="4" t="s">
        <v>28</v>
      </c>
      <c r="B18" s="6" t="s">
        <v>29</v>
      </c>
      <c r="C18" s="18">
        <f t="shared" si="0"/>
        <v>329871</v>
      </c>
    </row>
    <row r="19" spans="1:3" ht="15.75">
      <c r="A19" s="4"/>
      <c r="B19" s="22" t="s">
        <v>1014</v>
      </c>
      <c r="C19" s="27">
        <f t="shared" si="0"/>
        <v>821397</v>
      </c>
    </row>
    <row r="20" spans="1:2" ht="15.75">
      <c r="A20" s="4"/>
      <c r="B20" s="22"/>
    </row>
    <row r="21" spans="1:2" ht="15.75">
      <c r="A21" s="4"/>
      <c r="B21" s="22"/>
    </row>
    <row r="22" ht="15.75">
      <c r="A22" s="22" t="s">
        <v>1086</v>
      </c>
    </row>
    <row r="23" spans="1:3" ht="15.75">
      <c r="A23" s="4" t="s">
        <v>1547</v>
      </c>
      <c r="B23" s="6" t="s">
        <v>20</v>
      </c>
      <c r="C23" s="18">
        <f>'B1B2'!L24</f>
        <v>174536</v>
      </c>
    </row>
    <row r="24" spans="1:3" ht="15.75">
      <c r="A24" s="4" t="s">
        <v>22</v>
      </c>
      <c r="B24" s="6" t="s">
        <v>947</v>
      </c>
      <c r="C24" s="18">
        <f>'B3'!E28</f>
        <v>269750</v>
      </c>
    </row>
    <row r="25" spans="1:3" ht="15.75">
      <c r="A25" s="4" t="s">
        <v>17</v>
      </c>
      <c r="B25" s="6" t="s">
        <v>24</v>
      </c>
      <c r="C25" s="18">
        <f>'B4'!J47</f>
        <v>22166</v>
      </c>
    </row>
    <row r="26" spans="1:3" ht="15.75">
      <c r="A26" s="4" t="s">
        <v>26</v>
      </c>
      <c r="B26" s="6" t="s">
        <v>523</v>
      </c>
      <c r="C26" s="18">
        <f>'B6B7B8'!K14</f>
        <v>0</v>
      </c>
    </row>
    <row r="27" spans="1:3" ht="15.75">
      <c r="A27" s="4"/>
      <c r="B27" s="596" t="s">
        <v>1690</v>
      </c>
      <c r="C27" s="597">
        <f>C23+C24+C25+C26</f>
        <v>466452</v>
      </c>
    </row>
    <row r="28" spans="1:3" ht="15.75">
      <c r="A28" s="4" t="s">
        <v>23</v>
      </c>
      <c r="B28" s="6" t="s">
        <v>25</v>
      </c>
      <c r="C28" s="18">
        <f>'B5'!W15</f>
        <v>630</v>
      </c>
    </row>
    <row r="29" spans="1:3" ht="15.75">
      <c r="A29" s="4" t="s">
        <v>1598</v>
      </c>
      <c r="B29" s="6" t="s">
        <v>21</v>
      </c>
      <c r="C29" s="18">
        <f>'B1B2'!L39</f>
        <v>23090</v>
      </c>
    </row>
    <row r="30" spans="1:3" ht="15.75">
      <c r="A30" s="4" t="s">
        <v>27</v>
      </c>
      <c r="B30" s="6" t="s">
        <v>530</v>
      </c>
      <c r="C30" s="18">
        <f>'B6B7B8'!K23</f>
        <v>154</v>
      </c>
    </row>
    <row r="31" spans="1:3" ht="15.75">
      <c r="A31" s="4"/>
      <c r="B31" s="596" t="s">
        <v>1692</v>
      </c>
      <c r="C31" s="597">
        <f>C28+C29+C30</f>
        <v>23874</v>
      </c>
    </row>
    <row r="32" spans="1:3" ht="15.75">
      <c r="A32" s="4"/>
      <c r="B32" s="26" t="s">
        <v>1691</v>
      </c>
      <c r="C32" s="27">
        <f>C27+C31</f>
        <v>490326</v>
      </c>
    </row>
    <row r="33" spans="1:3" ht="15.75">
      <c r="A33" s="4" t="s">
        <v>28</v>
      </c>
      <c r="B33" s="6" t="s">
        <v>29</v>
      </c>
      <c r="C33" s="18">
        <f>'B6B7B8'!K39</f>
        <v>137784</v>
      </c>
    </row>
    <row r="34" spans="1:3" ht="15.75">
      <c r="A34" s="4"/>
      <c r="B34" s="22" t="s">
        <v>1014</v>
      </c>
      <c r="C34" s="27">
        <f>C32+C33</f>
        <v>628110</v>
      </c>
    </row>
    <row r="35" spans="1:2" ht="15.75">
      <c r="A35" s="4"/>
      <c r="B35" s="22"/>
    </row>
    <row r="36" ht="15.75">
      <c r="A36" s="22"/>
    </row>
    <row r="37" spans="1:5" s="26" customFormat="1" ht="15.75">
      <c r="A37" s="22" t="s">
        <v>404</v>
      </c>
      <c r="C37" s="27"/>
      <c r="E37" s="28"/>
    </row>
    <row r="38" spans="1:3" ht="15.75">
      <c r="A38" s="4" t="s">
        <v>1547</v>
      </c>
      <c r="B38" s="6" t="s">
        <v>20</v>
      </c>
      <c r="C38" s="18">
        <f>'B1B2'!P24</f>
        <v>0</v>
      </c>
    </row>
    <row r="39" spans="1:3" ht="15.75">
      <c r="A39" s="4" t="s">
        <v>22</v>
      </c>
      <c r="B39" s="6" t="s">
        <v>947</v>
      </c>
      <c r="C39" s="18">
        <v>0</v>
      </c>
    </row>
    <row r="40" spans="1:4" ht="15.75">
      <c r="A40" s="4" t="s">
        <v>17</v>
      </c>
      <c r="B40" s="6" t="s">
        <v>24</v>
      </c>
      <c r="C40" s="18">
        <f>'B4'!M47</f>
        <v>600</v>
      </c>
      <c r="D40" s="30"/>
    </row>
    <row r="41" spans="1:3" ht="15.75">
      <c r="A41" s="4" t="s">
        <v>26</v>
      </c>
      <c r="B41" s="6" t="s">
        <v>523</v>
      </c>
      <c r="C41" s="18">
        <f>'B6B7B8'!L14</f>
        <v>0</v>
      </c>
    </row>
    <row r="42" spans="1:3" ht="15.75">
      <c r="A42" s="4"/>
      <c r="B42" s="596" t="s">
        <v>1690</v>
      </c>
      <c r="C42" s="597">
        <f>C38+C39+C40+C41</f>
        <v>600</v>
      </c>
    </row>
    <row r="43" spans="1:3" ht="15.75">
      <c r="A43" s="4" t="s">
        <v>23</v>
      </c>
      <c r="B43" s="6" t="s">
        <v>25</v>
      </c>
      <c r="C43" s="18">
        <f>'B5'!W30</f>
        <v>0</v>
      </c>
    </row>
    <row r="44" spans="1:3" ht="15.75">
      <c r="A44" s="4" t="s">
        <v>1598</v>
      </c>
      <c r="B44" s="6" t="s">
        <v>21</v>
      </c>
      <c r="C44" s="18">
        <f>'B1B2'!P39</f>
        <v>0</v>
      </c>
    </row>
    <row r="45" spans="1:3" ht="15.75">
      <c r="A45" s="4" t="s">
        <v>27</v>
      </c>
      <c r="B45" s="6" t="s">
        <v>530</v>
      </c>
      <c r="C45" s="18">
        <f>'B6B7B8'!L23</f>
        <v>0</v>
      </c>
    </row>
    <row r="46" spans="1:3" ht="15.75">
      <c r="A46" s="4"/>
      <c r="B46" s="596" t="s">
        <v>1692</v>
      </c>
      <c r="C46" s="597">
        <f>C43+C44+C45</f>
        <v>0</v>
      </c>
    </row>
    <row r="47" spans="1:3" ht="15.75">
      <c r="A47" s="4"/>
      <c r="B47" s="26" t="s">
        <v>1691</v>
      </c>
      <c r="C47" s="27">
        <f>C42+C46</f>
        <v>600</v>
      </c>
    </row>
    <row r="48" spans="1:3" ht="15.75">
      <c r="A48" s="4" t="s">
        <v>28</v>
      </c>
      <c r="B48" s="6" t="s">
        <v>29</v>
      </c>
      <c r="C48" s="18">
        <f>'B6B7B8'!L39</f>
        <v>80164</v>
      </c>
    </row>
    <row r="49" spans="1:3" ht="15.75">
      <c r="A49" s="4"/>
      <c r="B49" s="22" t="s">
        <v>1014</v>
      </c>
      <c r="C49" s="27">
        <f>C47+C48</f>
        <v>80764</v>
      </c>
    </row>
    <row r="50" spans="1:3" ht="15.75">
      <c r="A50" s="4"/>
      <c r="B50" s="22"/>
      <c r="C50" s="27"/>
    </row>
    <row r="51" spans="1:3" ht="15.75">
      <c r="A51" s="4"/>
      <c r="B51" s="22"/>
      <c r="C51" s="27"/>
    </row>
    <row r="52" spans="1:5" s="26" customFormat="1" ht="15.75">
      <c r="A52" s="22" t="s">
        <v>420</v>
      </c>
      <c r="C52" s="27"/>
      <c r="E52" s="28"/>
    </row>
    <row r="53" spans="1:3" ht="15.75">
      <c r="A53" s="4" t="s">
        <v>1547</v>
      </c>
      <c r="B53" s="6" t="s">
        <v>20</v>
      </c>
      <c r="C53" s="18">
        <f>'B1B2'!U24</f>
        <v>0</v>
      </c>
    </row>
    <row r="54" spans="1:3" ht="15.75">
      <c r="A54" s="4" t="s">
        <v>22</v>
      </c>
      <c r="B54" s="6" t="s">
        <v>947</v>
      </c>
      <c r="C54" s="18">
        <v>0</v>
      </c>
    </row>
    <row r="55" spans="1:3" ht="15.75">
      <c r="A55" s="4" t="s">
        <v>17</v>
      </c>
      <c r="B55" s="6" t="s">
        <v>24</v>
      </c>
      <c r="C55" s="18">
        <f>'B4'!O47</f>
        <v>600</v>
      </c>
    </row>
    <row r="56" spans="1:3" ht="15.75">
      <c r="A56" s="4" t="s">
        <v>26</v>
      </c>
      <c r="B56" s="6" t="s">
        <v>523</v>
      </c>
      <c r="C56" s="18">
        <f>'B6B7B8'!M14</f>
        <v>0</v>
      </c>
    </row>
    <row r="57" spans="1:3" ht="15.75">
      <c r="A57" s="4"/>
      <c r="B57" s="596" t="s">
        <v>1690</v>
      </c>
      <c r="C57" s="597">
        <f>C53+C54+C55+C56</f>
        <v>600</v>
      </c>
    </row>
    <row r="58" spans="1:3" ht="15.75">
      <c r="A58" s="4" t="s">
        <v>23</v>
      </c>
      <c r="B58" s="6" t="s">
        <v>25</v>
      </c>
      <c r="C58" s="18">
        <f>'B5'!W52</f>
        <v>0</v>
      </c>
    </row>
    <row r="59" spans="1:3" ht="15.75">
      <c r="A59" s="4" t="s">
        <v>1598</v>
      </c>
      <c r="B59" s="6" t="s">
        <v>21</v>
      </c>
      <c r="C59" s="18">
        <f>'B1B2'!U39</f>
        <v>0</v>
      </c>
    </row>
    <row r="60" spans="1:3" ht="15.75">
      <c r="A60" s="4" t="s">
        <v>27</v>
      </c>
      <c r="B60" s="6" t="s">
        <v>530</v>
      </c>
      <c r="C60" s="18">
        <f>'B6B7B8'!M23</f>
        <v>0</v>
      </c>
    </row>
    <row r="61" spans="1:3" ht="15.75">
      <c r="A61" s="4"/>
      <c r="B61" s="596" t="s">
        <v>1692</v>
      </c>
      <c r="C61" s="597">
        <f>C58+C59+C60</f>
        <v>0</v>
      </c>
    </row>
    <row r="62" spans="1:3" ht="15.75">
      <c r="A62" s="4"/>
      <c r="B62" s="26" t="s">
        <v>1691</v>
      </c>
      <c r="C62" s="27">
        <f>C57+C61</f>
        <v>600</v>
      </c>
    </row>
    <row r="63" spans="1:3" ht="15.75">
      <c r="A63" s="4" t="s">
        <v>28</v>
      </c>
      <c r="B63" s="6" t="s">
        <v>29</v>
      </c>
      <c r="C63" s="18">
        <f>'B6B7B8'!M39</f>
        <v>24014</v>
      </c>
    </row>
    <row r="64" spans="1:3" ht="15.75">
      <c r="A64" s="4"/>
      <c r="B64" s="22" t="s">
        <v>1014</v>
      </c>
      <c r="C64" s="27">
        <f>C62+C63</f>
        <v>24614</v>
      </c>
    </row>
    <row r="65" spans="1:3" ht="15.75">
      <c r="A65" s="4"/>
      <c r="B65" s="22"/>
      <c r="C65" s="27"/>
    </row>
    <row r="66" spans="1:3" ht="15.75">
      <c r="A66" s="26"/>
      <c r="B66" s="26"/>
      <c r="C66" s="27"/>
    </row>
    <row r="67" ht="15.75">
      <c r="A67" s="23" t="s">
        <v>52</v>
      </c>
    </row>
    <row r="68" spans="1:3" ht="15.75">
      <c r="A68" s="4" t="s">
        <v>1547</v>
      </c>
      <c r="B68" s="6" t="s">
        <v>20</v>
      </c>
      <c r="C68" s="18">
        <f>'B1B2'!W24</f>
        <v>0</v>
      </c>
    </row>
    <row r="69" spans="1:3" ht="15.75">
      <c r="A69" s="4" t="s">
        <v>22</v>
      </c>
      <c r="B69" s="6" t="s">
        <v>947</v>
      </c>
      <c r="C69" s="18">
        <v>0</v>
      </c>
    </row>
    <row r="70" spans="1:3" ht="15.75">
      <c r="A70" s="4" t="s">
        <v>17</v>
      </c>
      <c r="B70" s="6" t="s">
        <v>24</v>
      </c>
      <c r="C70" s="18">
        <f>'B4'!Q47</f>
        <v>0</v>
      </c>
    </row>
    <row r="71" spans="1:3" ht="15.75">
      <c r="A71" s="4" t="s">
        <v>26</v>
      </c>
      <c r="B71" s="6" t="s">
        <v>523</v>
      </c>
      <c r="C71" s="18">
        <f>'B6B7B8'!N14</f>
        <v>0</v>
      </c>
    </row>
    <row r="72" spans="1:3" ht="15.75">
      <c r="A72" s="4"/>
      <c r="B72" s="596" t="s">
        <v>1690</v>
      </c>
      <c r="C72" s="597">
        <f>C68+C69+C70+C71</f>
        <v>0</v>
      </c>
    </row>
    <row r="73" spans="1:3" ht="15.75">
      <c r="A73" s="4" t="s">
        <v>23</v>
      </c>
      <c r="B73" s="6" t="s">
        <v>25</v>
      </c>
      <c r="C73" s="18">
        <f>'B5'!W68</f>
        <v>0</v>
      </c>
    </row>
    <row r="74" spans="1:3" ht="15.75">
      <c r="A74" s="4" t="s">
        <v>1598</v>
      </c>
      <c r="B74" s="6" t="s">
        <v>21</v>
      </c>
      <c r="C74" s="18">
        <f>'B1B2'!W39</f>
        <v>0</v>
      </c>
    </row>
    <row r="75" spans="1:3" ht="15.75">
      <c r="A75" s="4" t="s">
        <v>27</v>
      </c>
      <c r="B75" s="6" t="s">
        <v>530</v>
      </c>
      <c r="C75" s="18">
        <f>'B6B7B8'!N23</f>
        <v>0</v>
      </c>
    </row>
    <row r="76" spans="1:3" ht="15.75">
      <c r="A76" s="4"/>
      <c r="B76" s="596" t="s">
        <v>1692</v>
      </c>
      <c r="C76" s="597">
        <f>C73+C74+C75</f>
        <v>0</v>
      </c>
    </row>
    <row r="77" spans="1:3" ht="15.75">
      <c r="A77" s="4"/>
      <c r="B77" s="26" t="s">
        <v>1691</v>
      </c>
      <c r="C77" s="27">
        <f>C72+C76</f>
        <v>0</v>
      </c>
    </row>
    <row r="78" spans="1:3" ht="15.75">
      <c r="A78" s="4" t="s">
        <v>28</v>
      </c>
      <c r="B78" s="6" t="s">
        <v>29</v>
      </c>
      <c r="C78" s="18">
        <f>'B6B7B8'!N39</f>
        <v>87909</v>
      </c>
    </row>
    <row r="79" spans="1:3" ht="15.75">
      <c r="A79" s="4"/>
      <c r="B79" s="22" t="s">
        <v>1014</v>
      </c>
      <c r="C79" s="27">
        <f>C77+C78</f>
        <v>87909</v>
      </c>
    </row>
  </sheetData>
  <printOptions horizontalCentered="1"/>
  <pageMargins left="0.7875" right="0.7875" top="0.9840277777777778" bottom="0.9840277777777778" header="0.5118055555555556" footer="0.5118055555555556"/>
  <pageSetup fitToHeight="3" horizontalDpi="300" verticalDpi="300" orientation="portrait" paperSize="9" scale="87" r:id="rId1"/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9"/>
  <sheetViews>
    <sheetView workbookViewId="0" topLeftCell="A25">
      <selection activeCell="C47" sqref="C47"/>
    </sheetView>
  </sheetViews>
  <sheetFormatPr defaultColWidth="9.140625" defaultRowHeight="12.75"/>
  <cols>
    <col min="1" max="1" width="4.7109375" style="1" customWidth="1"/>
    <col min="2" max="2" width="66.7109375" style="1" customWidth="1"/>
    <col min="3" max="3" width="14.7109375" style="59" customWidth="1"/>
    <col min="4" max="4" width="9.140625" style="1" customWidth="1"/>
    <col min="5" max="5" width="11.421875" style="1" customWidth="1"/>
    <col min="6" max="16384" width="9.140625" style="1" customWidth="1"/>
  </cols>
  <sheetData>
    <row r="1" ht="15.75">
      <c r="C1" s="66" t="s">
        <v>1217</v>
      </c>
    </row>
    <row r="3" ht="15.75">
      <c r="B3" s="40" t="e">
        <f>tartalom!#REF!</f>
        <v>#REF!</v>
      </c>
    </row>
    <row r="4" ht="15.75">
      <c r="C4" s="67" t="s">
        <v>1039</v>
      </c>
    </row>
    <row r="5" ht="15.75">
      <c r="A5" s="40" t="s">
        <v>404</v>
      </c>
    </row>
    <row r="6" spans="1:3" ht="15.75">
      <c r="A6" s="4" t="s">
        <v>515</v>
      </c>
      <c r="B6" s="6" t="s">
        <v>405</v>
      </c>
      <c r="C6" s="59">
        <f>1bevétel!C38</f>
        <v>0</v>
      </c>
    </row>
    <row r="7" spans="1:3" ht="15.75">
      <c r="A7" s="4" t="s">
        <v>531</v>
      </c>
      <c r="B7" s="6" t="s">
        <v>519</v>
      </c>
      <c r="C7" s="59">
        <f>1bevétel!C39</f>
        <v>0</v>
      </c>
    </row>
    <row r="8" spans="1:3" ht="15.75">
      <c r="A8" s="4" t="s">
        <v>546</v>
      </c>
      <c r="B8" s="6" t="s">
        <v>408</v>
      </c>
      <c r="C8" s="59">
        <f>1bevétel!C40</f>
        <v>600</v>
      </c>
    </row>
    <row r="9" spans="1:3" ht="15.75">
      <c r="A9" s="4" t="s">
        <v>547</v>
      </c>
      <c r="B9" s="6" t="s">
        <v>522</v>
      </c>
      <c r="C9" s="59">
        <f>1bevétel!C41</f>
        <v>0</v>
      </c>
    </row>
    <row r="10" spans="1:3" ht="15.75">
      <c r="A10" s="4" t="s">
        <v>548</v>
      </c>
      <c r="B10" s="6" t="s">
        <v>409</v>
      </c>
      <c r="C10" s="59">
        <f>1bevétel!C42</f>
        <v>600</v>
      </c>
    </row>
    <row r="11" spans="1:3" ht="15.75">
      <c r="A11" s="4" t="s">
        <v>549</v>
      </c>
      <c r="B11" s="6" t="s">
        <v>382</v>
      </c>
      <c r="C11" s="59">
        <f>1bevétel!C43</f>
        <v>0</v>
      </c>
    </row>
    <row r="12" spans="1:3" ht="15.75">
      <c r="A12" s="25" t="s">
        <v>551</v>
      </c>
      <c r="B12" s="26" t="s">
        <v>410</v>
      </c>
      <c r="C12" s="48">
        <f>SUM(C6:C11)</f>
        <v>1200</v>
      </c>
    </row>
    <row r="13" spans="1:3" ht="15.75">
      <c r="A13" s="4" t="s">
        <v>552</v>
      </c>
      <c r="B13" s="6" t="s">
        <v>411</v>
      </c>
      <c r="C13" s="59">
        <f>1bevétel!C46</f>
        <v>0</v>
      </c>
    </row>
    <row r="14" spans="1:3" ht="15.75">
      <c r="A14" s="4" t="s">
        <v>553</v>
      </c>
      <c r="B14" s="6" t="s">
        <v>414</v>
      </c>
      <c r="C14" s="59" t="e">
        <f>1bevétel!#REF!</f>
        <v>#REF!</v>
      </c>
    </row>
    <row r="15" spans="1:3" ht="15.75">
      <c r="A15" s="4" t="s">
        <v>555</v>
      </c>
      <c r="B15" s="6" t="s">
        <v>415</v>
      </c>
      <c r="C15" s="59" t="e">
        <f>1bevétel!#REF!</f>
        <v>#REF!</v>
      </c>
    </row>
    <row r="16" spans="1:3" ht="15.75">
      <c r="A16" s="4" t="s">
        <v>557</v>
      </c>
      <c r="B16" s="6" t="s">
        <v>416</v>
      </c>
      <c r="C16" s="59" t="e">
        <f>1bevétel!#REF!</f>
        <v>#REF!</v>
      </c>
    </row>
    <row r="17" spans="1:3" ht="15.75">
      <c r="A17" s="4" t="s">
        <v>374</v>
      </c>
      <c r="B17" s="6" t="s">
        <v>528</v>
      </c>
      <c r="C17" s="59" t="e">
        <f>1bevétel!#REF!</f>
        <v>#REF!</v>
      </c>
    </row>
    <row r="18" spans="1:3" ht="15.75">
      <c r="A18" s="4" t="s">
        <v>375</v>
      </c>
      <c r="B18" s="6" t="s">
        <v>529</v>
      </c>
      <c r="C18" s="59" t="e">
        <f>1bevétel!#REF!</f>
        <v>#REF!</v>
      </c>
    </row>
    <row r="19" spans="1:3" ht="15.75">
      <c r="A19" s="4" t="s">
        <v>376</v>
      </c>
      <c r="B19" s="6" t="s">
        <v>417</v>
      </c>
      <c r="C19" s="59" t="e">
        <f>1bevétel!#REF!</f>
        <v>#REF!</v>
      </c>
    </row>
    <row r="20" spans="1:3" ht="30">
      <c r="A20" s="4" t="s">
        <v>377</v>
      </c>
      <c r="B20" s="29" t="s">
        <v>399</v>
      </c>
      <c r="C20" s="59" t="e">
        <f>1bevétel!#REF!</f>
        <v>#REF!</v>
      </c>
    </row>
    <row r="21" spans="1:3" ht="15.75">
      <c r="A21" s="4" t="s">
        <v>378</v>
      </c>
      <c r="B21" s="6" t="s">
        <v>401</v>
      </c>
      <c r="C21" s="59" t="e">
        <f>1bevétel!#REF!</f>
        <v>#REF!</v>
      </c>
    </row>
    <row r="22" spans="1:3" ht="15.75">
      <c r="A22" s="25" t="s">
        <v>379</v>
      </c>
      <c r="B22" s="26" t="s">
        <v>418</v>
      </c>
      <c r="C22" s="48" t="e">
        <f>SUM(C13:C21)</f>
        <v>#REF!</v>
      </c>
    </row>
    <row r="23" spans="1:3" ht="15.75">
      <c r="A23" s="25" t="s">
        <v>380</v>
      </c>
      <c r="B23" s="26" t="s">
        <v>419</v>
      </c>
      <c r="C23" s="48" t="e">
        <f>+C12+C22</f>
        <v>#REF!</v>
      </c>
    </row>
    <row r="25" spans="1:3" ht="15.75">
      <c r="A25" s="37" t="s">
        <v>515</v>
      </c>
      <c r="B25" s="15" t="s">
        <v>1015</v>
      </c>
      <c r="C25" s="59">
        <f>2kiadás!C40</f>
        <v>51517</v>
      </c>
    </row>
    <row r="26" spans="1:3" ht="15.75">
      <c r="A26" s="37" t="s">
        <v>531</v>
      </c>
      <c r="B26" s="15" t="s">
        <v>1016</v>
      </c>
      <c r="C26" s="59">
        <f>2kiadás!C41</f>
        <v>13847</v>
      </c>
    </row>
    <row r="27" spans="1:3" ht="15.75">
      <c r="A27" s="37" t="s">
        <v>546</v>
      </c>
      <c r="B27" s="15" t="s">
        <v>1017</v>
      </c>
      <c r="C27" s="59">
        <f>2kiadás!C42</f>
        <v>15400</v>
      </c>
    </row>
    <row r="28" spans="1:3" ht="15.75">
      <c r="A28" s="39" t="s">
        <v>547</v>
      </c>
      <c r="B28" s="23" t="s">
        <v>1018</v>
      </c>
      <c r="C28" s="48">
        <f>2kiadás!C43</f>
        <v>0</v>
      </c>
    </row>
    <row r="29" spans="1:3" ht="15.75">
      <c r="A29" s="37" t="s">
        <v>548</v>
      </c>
      <c r="B29" s="15" t="s">
        <v>1020</v>
      </c>
      <c r="C29" s="59">
        <f>2kiadás!C44</f>
        <v>0</v>
      </c>
    </row>
    <row r="30" spans="1:3" ht="15.75">
      <c r="A30" s="37" t="s">
        <v>549</v>
      </c>
      <c r="B30" s="15" t="s">
        <v>1021</v>
      </c>
      <c r="C30" s="59">
        <f>2kiadás!C46</f>
        <v>0</v>
      </c>
    </row>
    <row r="31" spans="1:3" ht="15.75">
      <c r="A31" s="37" t="s">
        <v>551</v>
      </c>
      <c r="B31" s="15" t="s">
        <v>1022</v>
      </c>
      <c r="C31" s="59">
        <f>2kiadás!C47</f>
        <v>0</v>
      </c>
    </row>
    <row r="32" spans="1:3" ht="15.75">
      <c r="A32" s="37" t="s">
        <v>552</v>
      </c>
      <c r="B32" s="9" t="s">
        <v>534</v>
      </c>
      <c r="C32" s="59">
        <f>2kiadás!C48</f>
        <v>0</v>
      </c>
    </row>
    <row r="33" spans="1:3" ht="15.75">
      <c r="A33" s="37" t="s">
        <v>553</v>
      </c>
      <c r="B33" s="70" t="s">
        <v>535</v>
      </c>
      <c r="C33" s="59">
        <f>2kiadás!C51</f>
        <v>0</v>
      </c>
    </row>
    <row r="34" spans="1:3" ht="15.75">
      <c r="A34" s="37" t="s">
        <v>555</v>
      </c>
      <c r="B34" s="15" t="s">
        <v>877</v>
      </c>
      <c r="C34" s="59">
        <f>2kiadás!C52</f>
        <v>80764</v>
      </c>
    </row>
    <row r="35" spans="1:3" ht="15.75">
      <c r="A35" s="37" t="s">
        <v>557</v>
      </c>
      <c r="B35" s="15" t="s">
        <v>878</v>
      </c>
      <c r="C35" s="59">
        <f>2kiadás!C53</f>
        <v>0</v>
      </c>
    </row>
    <row r="36" spans="1:3" ht="15.75">
      <c r="A36" s="37" t="s">
        <v>374</v>
      </c>
      <c r="B36" s="15" t="s">
        <v>778</v>
      </c>
      <c r="C36" s="59" t="e">
        <f>2kiadás!#REF!</f>
        <v>#REF!</v>
      </c>
    </row>
    <row r="37" spans="1:3" ht="15.75">
      <c r="A37" s="39" t="s">
        <v>375</v>
      </c>
      <c r="B37" s="23" t="s">
        <v>1045</v>
      </c>
      <c r="C37" s="48" t="e">
        <f>SUM(C28:C36)</f>
        <v>#REF!</v>
      </c>
    </row>
    <row r="38" spans="1:3" ht="15.75">
      <c r="A38" s="37" t="s">
        <v>376</v>
      </c>
      <c r="B38" s="15" t="s">
        <v>542</v>
      </c>
      <c r="C38" s="59" t="e">
        <f>2kiadás!#REF!</f>
        <v>#REF!</v>
      </c>
    </row>
    <row r="39" spans="1:3" ht="15.75">
      <c r="A39" s="37" t="s">
        <v>377</v>
      </c>
      <c r="B39" s="15" t="s">
        <v>879</v>
      </c>
      <c r="C39" s="59" t="e">
        <f>2kiadás!#REF!</f>
        <v>#REF!</v>
      </c>
    </row>
    <row r="40" spans="1:3" ht="15.75">
      <c r="A40" s="37" t="s">
        <v>378</v>
      </c>
      <c r="B40" s="15" t="s">
        <v>1165</v>
      </c>
      <c r="C40" s="59" t="e">
        <f>2kiadás!#REF!</f>
        <v>#REF!</v>
      </c>
    </row>
    <row r="41" spans="1:3" ht="15.75">
      <c r="A41" s="37" t="s">
        <v>379</v>
      </c>
      <c r="B41" s="15" t="s">
        <v>393</v>
      </c>
      <c r="C41" s="59" t="e">
        <f>2kiadás!#REF!</f>
        <v>#REF!</v>
      </c>
    </row>
    <row r="42" spans="1:3" ht="15.75">
      <c r="A42" s="37" t="s">
        <v>380</v>
      </c>
      <c r="B42" s="15" t="s">
        <v>874</v>
      </c>
      <c r="C42" s="59" t="e">
        <f>2kiadás!#REF!</f>
        <v>#REF!</v>
      </c>
    </row>
    <row r="43" spans="1:3" ht="15.75">
      <c r="A43" s="37" t="s">
        <v>381</v>
      </c>
      <c r="B43" s="15" t="s">
        <v>875</v>
      </c>
      <c r="C43" s="59" t="e">
        <f>2kiadás!#REF!</f>
        <v>#REF!</v>
      </c>
    </row>
    <row r="44" spans="1:3" ht="15.75">
      <c r="A44" s="37" t="s">
        <v>383</v>
      </c>
      <c r="B44" s="15" t="s">
        <v>876</v>
      </c>
      <c r="C44" s="59" t="e">
        <f>2kiadás!#REF!</f>
        <v>#REF!</v>
      </c>
    </row>
    <row r="45" spans="1:3" ht="15.75" customHeight="1">
      <c r="A45" s="39" t="s">
        <v>384</v>
      </c>
      <c r="B45" s="23" t="s">
        <v>47</v>
      </c>
      <c r="C45" s="48" t="e">
        <f>SUM(C38:C44)</f>
        <v>#REF!</v>
      </c>
    </row>
    <row r="46" spans="1:3" ht="15.75">
      <c r="A46" s="39" t="s">
        <v>385</v>
      </c>
      <c r="B46" s="23" t="s">
        <v>889</v>
      </c>
      <c r="C46" s="48" t="e">
        <f>SUM(C45,C37)</f>
        <v>#REF!</v>
      </c>
    </row>
    <row r="47" spans="1:3" ht="15.75">
      <c r="A47" s="37" t="s">
        <v>386</v>
      </c>
      <c r="B47" s="1" t="s">
        <v>1046</v>
      </c>
      <c r="C47" s="59">
        <f>+C54</f>
        <v>0</v>
      </c>
    </row>
    <row r="48" spans="1:3" ht="15.75">
      <c r="A48" s="39" t="s">
        <v>387</v>
      </c>
      <c r="B48" s="40" t="s">
        <v>890</v>
      </c>
      <c r="C48" s="48" t="e">
        <f>+C46+C47</f>
        <v>#REF!</v>
      </c>
    </row>
    <row r="50" spans="1:2" ht="15.75">
      <c r="A50" s="22" t="s">
        <v>1047</v>
      </c>
      <c r="B50" s="26"/>
    </row>
    <row r="51" spans="1:3" ht="15.75">
      <c r="A51" s="4" t="s">
        <v>515</v>
      </c>
      <c r="B51" s="6" t="s">
        <v>405</v>
      </c>
      <c r="C51" s="59">
        <f>1bevétel!C53</f>
        <v>0</v>
      </c>
    </row>
    <row r="52" spans="1:3" ht="15.75">
      <c r="A52" s="4" t="s">
        <v>531</v>
      </c>
      <c r="B52" s="6" t="s">
        <v>522</v>
      </c>
      <c r="C52" s="59">
        <f>1bevétel!C54</f>
        <v>0</v>
      </c>
    </row>
    <row r="53" spans="1:3" ht="15.75">
      <c r="A53" s="37" t="s">
        <v>546</v>
      </c>
      <c r="B53" s="7" t="s">
        <v>1048</v>
      </c>
      <c r="C53" s="59">
        <v>0</v>
      </c>
    </row>
    <row r="54" spans="1:3" ht="15.75">
      <c r="A54" s="37" t="s">
        <v>547</v>
      </c>
      <c r="B54" s="1" t="s">
        <v>1049</v>
      </c>
      <c r="C54" s="59">
        <f>1bevétel!C56</f>
        <v>0</v>
      </c>
    </row>
    <row r="55" spans="1:3" ht="15.75">
      <c r="A55" s="39" t="s">
        <v>548</v>
      </c>
      <c r="B55" s="26" t="s">
        <v>45</v>
      </c>
      <c r="C55" s="48">
        <f>SUM(C51:C54)</f>
        <v>0</v>
      </c>
    </row>
    <row r="56" spans="1:3" ht="15.75">
      <c r="A56" s="37" t="s">
        <v>549</v>
      </c>
      <c r="B56" s="6" t="s">
        <v>529</v>
      </c>
      <c r="C56" s="59">
        <f>1bevétel!C58</f>
        <v>0</v>
      </c>
    </row>
    <row r="57" spans="1:3" ht="15.75">
      <c r="A57" s="39" t="s">
        <v>551</v>
      </c>
      <c r="B57" s="26" t="s">
        <v>1043</v>
      </c>
      <c r="C57" s="48">
        <f>1bevétel!C61</f>
        <v>0</v>
      </c>
    </row>
    <row r="58" spans="1:3" ht="15.75">
      <c r="A58" s="39" t="s">
        <v>552</v>
      </c>
      <c r="B58" s="26" t="s">
        <v>46</v>
      </c>
      <c r="C58" s="48">
        <f>+C55+C57</f>
        <v>0</v>
      </c>
    </row>
    <row r="60" spans="1:3" ht="15.75">
      <c r="A60" s="37" t="s">
        <v>515</v>
      </c>
      <c r="B60" s="15" t="s">
        <v>1015</v>
      </c>
      <c r="C60" s="59">
        <f>2kiadás!C56</f>
        <v>9360</v>
      </c>
    </row>
    <row r="61" spans="1:3" ht="15.75">
      <c r="A61" s="37" t="s">
        <v>531</v>
      </c>
      <c r="B61" s="15" t="s">
        <v>1016</v>
      </c>
      <c r="C61" s="59">
        <f>2kiadás!C57</f>
        <v>2878</v>
      </c>
    </row>
    <row r="62" spans="1:3" ht="15.75">
      <c r="A62" s="37" t="s">
        <v>546</v>
      </c>
      <c r="B62" s="15" t="s">
        <v>1017</v>
      </c>
      <c r="C62" s="59">
        <f>2kiadás!C58</f>
        <v>12376</v>
      </c>
    </row>
    <row r="63" spans="1:3" ht="15.75">
      <c r="A63" s="39" t="s">
        <v>547</v>
      </c>
      <c r="B63" s="23" t="s">
        <v>1018</v>
      </c>
      <c r="C63" s="48">
        <f>2kiadás!C59</f>
        <v>0</v>
      </c>
    </row>
    <row r="64" spans="1:3" ht="15.75">
      <c r="A64" s="37" t="s">
        <v>548</v>
      </c>
      <c r="B64" s="15" t="s">
        <v>1020</v>
      </c>
      <c r="C64" s="59">
        <f>2kiadás!C60</f>
        <v>0</v>
      </c>
    </row>
    <row r="65" spans="1:3" ht="15.75">
      <c r="A65" s="37" t="s">
        <v>549</v>
      </c>
      <c r="B65" s="15" t="s">
        <v>1021</v>
      </c>
      <c r="C65" s="59">
        <f>2kiadás!C62</f>
        <v>0</v>
      </c>
    </row>
    <row r="66" spans="1:3" ht="15.75">
      <c r="A66" s="37" t="s">
        <v>551</v>
      </c>
      <c r="B66" s="15" t="s">
        <v>1022</v>
      </c>
      <c r="C66" s="59">
        <f>2kiadás!C63</f>
        <v>0</v>
      </c>
    </row>
    <row r="67" spans="1:3" ht="15.75">
      <c r="A67" s="37" t="s">
        <v>552</v>
      </c>
      <c r="B67" s="15" t="s">
        <v>1050</v>
      </c>
      <c r="C67" s="59">
        <f>2kiadás!C68</f>
        <v>24614</v>
      </c>
    </row>
    <row r="68" spans="1:3" ht="15.75">
      <c r="A68" s="39" t="s">
        <v>552</v>
      </c>
      <c r="B68" s="23" t="s">
        <v>1051</v>
      </c>
      <c r="C68" s="48">
        <f>SUM(C63:C67)</f>
        <v>24614</v>
      </c>
    </row>
    <row r="69" spans="1:3" ht="15.75">
      <c r="A69" s="37" t="s">
        <v>553</v>
      </c>
      <c r="B69" s="15" t="s">
        <v>542</v>
      </c>
      <c r="C69" s="59" t="e">
        <f>2kiadás!#REF!</f>
        <v>#REF!</v>
      </c>
    </row>
    <row r="70" spans="1:3" ht="15.75">
      <c r="A70" s="39" t="s">
        <v>555</v>
      </c>
      <c r="B70" s="23" t="s">
        <v>1044</v>
      </c>
      <c r="C70" s="48" t="e">
        <f>2kiadás!#REF!</f>
        <v>#REF!</v>
      </c>
    </row>
    <row r="71" spans="1:3" ht="15.75">
      <c r="A71" s="39" t="s">
        <v>557</v>
      </c>
      <c r="B71" s="23" t="s">
        <v>1052</v>
      </c>
      <c r="C71" s="48" t="e">
        <f>+C68+C70</f>
        <v>#REF!</v>
      </c>
    </row>
    <row r="72" spans="1:3" ht="15.75">
      <c r="A72" s="39"/>
      <c r="B72" s="23"/>
      <c r="C72" s="48"/>
    </row>
    <row r="73" spans="1:3" ht="15.75">
      <c r="A73" s="721" t="s">
        <v>851</v>
      </c>
      <c r="B73" s="722"/>
      <c r="C73" s="722"/>
    </row>
    <row r="74" spans="1:3" ht="15.75">
      <c r="A74" s="4" t="s">
        <v>515</v>
      </c>
      <c r="B74" s="6" t="s">
        <v>405</v>
      </c>
      <c r="C74" s="48" t="e">
        <f>1bevétel!#REF!</f>
        <v>#REF!</v>
      </c>
    </row>
    <row r="75" spans="1:3" ht="15.75">
      <c r="A75" s="25" t="s">
        <v>531</v>
      </c>
      <c r="B75" s="26" t="s">
        <v>852</v>
      </c>
      <c r="C75" s="48" t="e">
        <f>1bevétel!#REF!</f>
        <v>#REF!</v>
      </c>
    </row>
    <row r="76" spans="1:3" ht="15.75">
      <c r="A76" s="25" t="s">
        <v>546</v>
      </c>
      <c r="B76" s="26" t="s">
        <v>853</v>
      </c>
      <c r="C76" s="48" t="e">
        <f>1bevétel!#REF!</f>
        <v>#REF!</v>
      </c>
    </row>
    <row r="77" spans="1:3" ht="15.75">
      <c r="A77" s="39"/>
      <c r="B77" s="23"/>
      <c r="C77" s="48"/>
    </row>
    <row r="78" spans="1:3" ht="15.75">
      <c r="A78" s="37" t="s">
        <v>515</v>
      </c>
      <c r="B78" s="15" t="s">
        <v>1021</v>
      </c>
      <c r="C78" s="48" t="e">
        <f>2kiadás!#REF!</f>
        <v>#REF!</v>
      </c>
    </row>
    <row r="79" spans="1:3" ht="15.75">
      <c r="A79" s="39" t="s">
        <v>531</v>
      </c>
      <c r="B79" s="23" t="s">
        <v>855</v>
      </c>
      <c r="C79" s="48" t="e">
        <f>2kiadás!#REF!</f>
        <v>#REF!</v>
      </c>
    </row>
    <row r="80" spans="1:3" ht="15.75">
      <c r="A80" s="39" t="s">
        <v>546</v>
      </c>
      <c r="B80" s="23" t="s">
        <v>856</v>
      </c>
      <c r="C80" s="48" t="e">
        <f>2kiadás!#REF!</f>
        <v>#REF!</v>
      </c>
    </row>
    <row r="81" spans="1:3" ht="15.75">
      <c r="A81" s="39"/>
      <c r="B81" s="23"/>
      <c r="C81" s="48"/>
    </row>
    <row r="83" spans="1:3" ht="30.75" customHeight="1">
      <c r="A83" s="720" t="s">
        <v>1055</v>
      </c>
      <c r="B83" s="720"/>
      <c r="C83" s="720"/>
    </row>
    <row r="84" spans="1:3" ht="15.75">
      <c r="A84" s="4" t="s">
        <v>515</v>
      </c>
      <c r="B84" s="6" t="s">
        <v>405</v>
      </c>
      <c r="C84" s="59">
        <v>9350</v>
      </c>
    </row>
    <row r="85" spans="1:3" ht="15.75">
      <c r="A85" s="37" t="s">
        <v>531</v>
      </c>
      <c r="B85" s="7" t="s">
        <v>1048</v>
      </c>
      <c r="C85" s="59">
        <v>50775</v>
      </c>
    </row>
    <row r="86" spans="1:3" ht="15.75">
      <c r="A86" s="37" t="s">
        <v>546</v>
      </c>
      <c r="B86" s="1" t="s">
        <v>1049</v>
      </c>
      <c r="C86" s="59">
        <v>45883</v>
      </c>
    </row>
    <row r="87" spans="1:3" ht="15.75">
      <c r="A87" s="37" t="s">
        <v>547</v>
      </c>
      <c r="B87" s="1" t="s">
        <v>394</v>
      </c>
      <c r="C87" s="59">
        <v>0</v>
      </c>
    </row>
    <row r="88" spans="1:3" ht="15.75">
      <c r="A88" s="39" t="s">
        <v>548</v>
      </c>
      <c r="B88" s="26" t="s">
        <v>422</v>
      </c>
      <c r="C88" s="48">
        <f>SUM(C84:C87)</f>
        <v>106008</v>
      </c>
    </row>
    <row r="89" spans="1:3" ht="15.75">
      <c r="A89" s="37" t="s">
        <v>549</v>
      </c>
      <c r="B89" s="6" t="s">
        <v>529</v>
      </c>
      <c r="C89" s="59" t="e">
        <f>1bevétel!#REF!</f>
        <v>#REF!</v>
      </c>
    </row>
    <row r="90" spans="1:3" ht="15.75">
      <c r="A90" s="37" t="s">
        <v>551</v>
      </c>
      <c r="B90" s="1" t="s">
        <v>1056</v>
      </c>
      <c r="C90" s="59" t="e">
        <f>1bevétel!#REF!</f>
        <v>#REF!</v>
      </c>
    </row>
    <row r="91" spans="1:3" ht="15.75">
      <c r="A91" s="39" t="s">
        <v>552</v>
      </c>
      <c r="B91" s="26" t="s">
        <v>1057</v>
      </c>
      <c r="C91" s="48" t="e">
        <f>SUM(C89:C90)</f>
        <v>#REF!</v>
      </c>
    </row>
    <row r="92" spans="1:3" ht="15.75" customHeight="1">
      <c r="A92" s="39" t="s">
        <v>553</v>
      </c>
      <c r="B92" s="26" t="s">
        <v>1058</v>
      </c>
      <c r="C92" s="48" t="e">
        <f>+C88+C91</f>
        <v>#REF!</v>
      </c>
    </row>
    <row r="93" ht="18" customHeight="1"/>
    <row r="94" spans="1:3" ht="15.75">
      <c r="A94" s="37" t="s">
        <v>515</v>
      </c>
      <c r="B94" s="15" t="s">
        <v>1015</v>
      </c>
      <c r="C94" s="59">
        <v>41058</v>
      </c>
    </row>
    <row r="95" spans="1:3" ht="15.75">
      <c r="A95" s="37" t="s">
        <v>531</v>
      </c>
      <c r="B95" s="15" t="s">
        <v>1016</v>
      </c>
      <c r="C95" s="59">
        <v>8205</v>
      </c>
    </row>
    <row r="96" spans="1:3" ht="15.75">
      <c r="A96" s="37" t="s">
        <v>546</v>
      </c>
      <c r="B96" s="15" t="s">
        <v>1017</v>
      </c>
      <c r="C96" s="59" t="e">
        <f>2kiadás!#REF!</f>
        <v>#REF!</v>
      </c>
    </row>
    <row r="97" spans="1:3" ht="16.5" customHeight="1">
      <c r="A97" s="39" t="s">
        <v>547</v>
      </c>
      <c r="B97" s="23" t="s">
        <v>1018</v>
      </c>
      <c r="C97" s="48" t="e">
        <f>2kiadás!#REF!</f>
        <v>#REF!</v>
      </c>
    </row>
    <row r="98" spans="1:3" ht="15.75" customHeight="1">
      <c r="A98" s="37" t="s">
        <v>548</v>
      </c>
      <c r="B98" s="15" t="s">
        <v>1020</v>
      </c>
      <c r="C98" s="59" t="e">
        <f>2kiadás!#REF!</f>
        <v>#REF!</v>
      </c>
    </row>
    <row r="99" spans="1:3" ht="15.75" customHeight="1">
      <c r="A99" s="37" t="s">
        <v>549</v>
      </c>
      <c r="B99" s="15" t="s">
        <v>1021</v>
      </c>
      <c r="C99" s="59" t="e">
        <f>2kiadás!#REF!</f>
        <v>#REF!</v>
      </c>
    </row>
    <row r="100" spans="1:3" ht="15.75">
      <c r="A100" s="37" t="s">
        <v>551</v>
      </c>
      <c r="B100" s="15" t="s">
        <v>1022</v>
      </c>
      <c r="C100" s="59" t="e">
        <f>2kiadás!#REF!</f>
        <v>#REF!</v>
      </c>
    </row>
    <row r="101" spans="1:3" ht="15.75">
      <c r="A101" s="37" t="s">
        <v>552</v>
      </c>
      <c r="B101" s="15" t="s">
        <v>877</v>
      </c>
      <c r="C101" s="59" t="e">
        <f>2kiadás!#REF!</f>
        <v>#REF!</v>
      </c>
    </row>
    <row r="102" spans="1:3" ht="15.75">
      <c r="A102" s="37" t="s">
        <v>553</v>
      </c>
      <c r="B102" s="15" t="s">
        <v>878</v>
      </c>
      <c r="C102" s="59" t="e">
        <f>2kiadás!#REF!</f>
        <v>#REF!</v>
      </c>
    </row>
    <row r="103" spans="1:3" ht="15.75">
      <c r="A103" s="39" t="s">
        <v>555</v>
      </c>
      <c r="B103" s="23" t="s">
        <v>880</v>
      </c>
      <c r="C103" s="48" t="e">
        <f>2kiadás!#REF!</f>
        <v>#REF!</v>
      </c>
    </row>
    <row r="104" spans="1:3" ht="15.75">
      <c r="A104" s="37" t="s">
        <v>557</v>
      </c>
      <c r="B104" s="15" t="s">
        <v>542</v>
      </c>
      <c r="C104" s="59" t="e">
        <f>2kiadás!#REF!</f>
        <v>#REF!</v>
      </c>
    </row>
    <row r="105" spans="1:3" ht="15.75">
      <c r="A105" s="37" t="s">
        <v>374</v>
      </c>
      <c r="B105" s="15" t="s">
        <v>544</v>
      </c>
      <c r="C105" s="59" t="e">
        <f>2kiadás!#REF!</f>
        <v>#REF!</v>
      </c>
    </row>
    <row r="106" spans="1:3" ht="15.75">
      <c r="A106" s="37" t="s">
        <v>375</v>
      </c>
      <c r="B106" s="15" t="s">
        <v>879</v>
      </c>
      <c r="C106" s="59" t="e">
        <f>2kiadás!#REF!</f>
        <v>#REF!</v>
      </c>
    </row>
    <row r="107" spans="1:3" ht="15.75">
      <c r="A107" s="39" t="s">
        <v>376</v>
      </c>
      <c r="B107" s="23" t="s">
        <v>881</v>
      </c>
      <c r="C107" s="48" t="e">
        <f>2kiadás!#REF!</f>
        <v>#REF!</v>
      </c>
    </row>
    <row r="108" spans="1:3" ht="15.75">
      <c r="A108" s="39" t="s">
        <v>377</v>
      </c>
      <c r="B108" s="23" t="s">
        <v>882</v>
      </c>
      <c r="C108" s="48" t="e">
        <f>2kiadás!#REF!</f>
        <v>#REF!</v>
      </c>
    </row>
    <row r="109" ht="15.75">
      <c r="B109" s="15"/>
    </row>
    <row r="110" spans="1:3" ht="30.75" customHeight="1">
      <c r="A110" s="720" t="s">
        <v>1059</v>
      </c>
      <c r="B110" s="720"/>
      <c r="C110" s="720"/>
    </row>
    <row r="111" spans="1:3" ht="15.75">
      <c r="A111" s="4" t="s">
        <v>515</v>
      </c>
      <c r="B111" s="6" t="s">
        <v>405</v>
      </c>
      <c r="C111" s="59">
        <v>4625</v>
      </c>
    </row>
    <row r="112" spans="1:3" ht="15.75">
      <c r="A112" s="37" t="s">
        <v>531</v>
      </c>
      <c r="B112" s="7" t="s">
        <v>1048</v>
      </c>
      <c r="C112" s="59">
        <v>32685</v>
      </c>
    </row>
    <row r="113" spans="1:3" ht="15.75">
      <c r="A113" s="37" t="s">
        <v>546</v>
      </c>
      <c r="B113" s="1" t="s">
        <v>1049</v>
      </c>
      <c r="C113" s="59">
        <v>33725</v>
      </c>
    </row>
    <row r="114" spans="1:3" ht="15.75">
      <c r="A114" s="37" t="s">
        <v>547</v>
      </c>
      <c r="B114" s="1" t="s">
        <v>425</v>
      </c>
      <c r="C114" s="59">
        <v>0</v>
      </c>
    </row>
    <row r="115" spans="1:3" ht="15.75">
      <c r="A115" s="39" t="s">
        <v>548</v>
      </c>
      <c r="B115" s="26" t="s">
        <v>422</v>
      </c>
      <c r="C115" s="48">
        <f>SUM(C111:C114)</f>
        <v>71035</v>
      </c>
    </row>
    <row r="116" spans="1:3" ht="15.75">
      <c r="A116" s="39" t="s">
        <v>549</v>
      </c>
      <c r="B116" s="26" t="s">
        <v>1043</v>
      </c>
      <c r="C116" s="48" t="e">
        <f>1bevétel!#REF!</f>
        <v>#REF!</v>
      </c>
    </row>
    <row r="117" spans="1:3" ht="15.75">
      <c r="A117" s="39" t="s">
        <v>551</v>
      </c>
      <c r="B117" s="26" t="s">
        <v>1060</v>
      </c>
      <c r="C117" s="48" t="e">
        <f>+C115+C116</f>
        <v>#REF!</v>
      </c>
    </row>
    <row r="118" spans="1:5" ht="15.75">
      <c r="A118" s="40"/>
      <c r="E118" s="38"/>
    </row>
    <row r="119" spans="1:3" ht="15.75">
      <c r="A119" s="37" t="s">
        <v>515</v>
      </c>
      <c r="B119" s="15" t="s">
        <v>1015</v>
      </c>
      <c r="C119" s="59" t="e">
        <f>2kiadás!#REF!</f>
        <v>#REF!</v>
      </c>
    </row>
    <row r="120" spans="1:3" ht="15.75">
      <c r="A120" s="37" t="s">
        <v>531</v>
      </c>
      <c r="B120" s="15" t="s">
        <v>1016</v>
      </c>
      <c r="C120" s="59" t="e">
        <f>2kiadás!#REF!</f>
        <v>#REF!</v>
      </c>
    </row>
    <row r="121" spans="1:3" ht="15.75">
      <c r="A121" s="37" t="s">
        <v>546</v>
      </c>
      <c r="B121" s="15" t="s">
        <v>1017</v>
      </c>
      <c r="C121" s="59" t="e">
        <f>2kiadás!#REF!</f>
        <v>#REF!</v>
      </c>
    </row>
    <row r="122" spans="1:3" ht="15.75">
      <c r="A122" s="39" t="s">
        <v>547</v>
      </c>
      <c r="B122" s="23" t="s">
        <v>1018</v>
      </c>
      <c r="C122" s="48" t="e">
        <f>2kiadás!#REF!</f>
        <v>#REF!</v>
      </c>
    </row>
    <row r="123" spans="1:3" ht="15.75">
      <c r="A123" s="37" t="s">
        <v>548</v>
      </c>
      <c r="B123" s="15" t="s">
        <v>1020</v>
      </c>
      <c r="C123" s="59" t="e">
        <f>2kiadás!#REF!</f>
        <v>#REF!</v>
      </c>
    </row>
    <row r="124" spans="1:3" ht="15.75">
      <c r="A124" s="37" t="s">
        <v>549</v>
      </c>
      <c r="B124" s="15" t="s">
        <v>1021</v>
      </c>
      <c r="C124" s="59" t="e">
        <f>2kiadás!#REF!</f>
        <v>#REF!</v>
      </c>
    </row>
    <row r="125" spans="1:3" ht="15.75">
      <c r="A125" s="37" t="s">
        <v>551</v>
      </c>
      <c r="B125" s="15" t="s">
        <v>1022</v>
      </c>
      <c r="C125" s="59" t="e">
        <f>2kiadás!#REF!</f>
        <v>#REF!</v>
      </c>
    </row>
    <row r="126" spans="1:3" ht="15.75">
      <c r="A126" s="39" t="s">
        <v>552</v>
      </c>
      <c r="B126" s="23" t="s">
        <v>1061</v>
      </c>
      <c r="C126" s="48" t="e">
        <f>SUM(C122:C125)</f>
        <v>#REF!</v>
      </c>
    </row>
    <row r="127" spans="1:3" ht="15.75">
      <c r="A127" s="37" t="s">
        <v>553</v>
      </c>
      <c r="B127" s="15" t="s">
        <v>542</v>
      </c>
      <c r="C127" s="59">
        <v>0</v>
      </c>
    </row>
    <row r="128" spans="1:3" ht="15.75">
      <c r="A128" s="39" t="s">
        <v>555</v>
      </c>
      <c r="B128" s="23" t="s">
        <v>1044</v>
      </c>
      <c r="C128" s="48" t="e">
        <f>2kiadás!#REF!</f>
        <v>#REF!</v>
      </c>
    </row>
    <row r="129" spans="1:3" ht="15.75">
      <c r="A129" s="39" t="s">
        <v>557</v>
      </c>
      <c r="B129" s="23" t="s">
        <v>1052</v>
      </c>
      <c r="C129" s="48" t="e">
        <f>+C126+C128</f>
        <v>#REF!</v>
      </c>
    </row>
    <row r="131" spans="1:3" ht="30.75" customHeight="1">
      <c r="A131" s="720" t="s">
        <v>1062</v>
      </c>
      <c r="B131" s="720"/>
      <c r="C131" s="720"/>
    </row>
    <row r="132" spans="1:3" ht="15.75">
      <c r="A132" s="4" t="s">
        <v>515</v>
      </c>
      <c r="B132" s="6" t="s">
        <v>405</v>
      </c>
      <c r="C132" s="59">
        <v>806</v>
      </c>
    </row>
    <row r="133" spans="1:3" ht="15.75">
      <c r="A133" s="37" t="s">
        <v>531</v>
      </c>
      <c r="B133" s="7" t="s">
        <v>1048</v>
      </c>
      <c r="C133" s="59">
        <v>8178</v>
      </c>
    </row>
    <row r="134" spans="1:3" ht="15.75">
      <c r="A134" s="37" t="s">
        <v>546</v>
      </c>
      <c r="B134" s="1" t="s">
        <v>1049</v>
      </c>
      <c r="C134" s="59">
        <v>5966</v>
      </c>
    </row>
    <row r="135" spans="1:3" ht="15.75">
      <c r="A135" s="37" t="s">
        <v>547</v>
      </c>
      <c r="B135" s="1" t="s">
        <v>425</v>
      </c>
      <c r="C135" s="59">
        <v>0</v>
      </c>
    </row>
    <row r="136" spans="1:3" ht="15.75">
      <c r="A136" s="39" t="s">
        <v>548</v>
      </c>
      <c r="B136" s="26" t="s">
        <v>422</v>
      </c>
      <c r="C136" s="48">
        <f>SUM(C132:C135)</f>
        <v>14950</v>
      </c>
    </row>
    <row r="137" spans="1:3" ht="15.75">
      <c r="A137" s="39" t="s">
        <v>549</v>
      </c>
      <c r="B137" s="26" t="s">
        <v>1043</v>
      </c>
      <c r="C137" s="48">
        <v>0</v>
      </c>
    </row>
    <row r="138" spans="1:3" ht="15.75">
      <c r="A138" s="39" t="s">
        <v>551</v>
      </c>
      <c r="B138" s="26" t="s">
        <v>1060</v>
      </c>
      <c r="C138" s="48">
        <f>+C136+C137</f>
        <v>14950</v>
      </c>
    </row>
    <row r="139" spans="1:5" ht="15.75">
      <c r="A139" s="40"/>
      <c r="E139" s="38"/>
    </row>
    <row r="140" spans="1:3" ht="15.75">
      <c r="A140" s="37" t="s">
        <v>515</v>
      </c>
      <c r="B140" s="15" t="s">
        <v>1015</v>
      </c>
      <c r="C140" s="59">
        <v>7333</v>
      </c>
    </row>
    <row r="141" spans="1:3" ht="15.75">
      <c r="A141" s="37" t="s">
        <v>531</v>
      </c>
      <c r="B141" s="15" t="s">
        <v>1016</v>
      </c>
      <c r="C141" s="59">
        <v>1451</v>
      </c>
    </row>
    <row r="142" spans="1:3" ht="15.75">
      <c r="A142" s="37" t="s">
        <v>546</v>
      </c>
      <c r="B142" s="15" t="s">
        <v>1017</v>
      </c>
      <c r="C142" s="59">
        <v>0</v>
      </c>
    </row>
    <row r="143" spans="1:3" ht="15.75">
      <c r="A143" s="39" t="s">
        <v>547</v>
      </c>
      <c r="B143" s="23" t="s">
        <v>1018</v>
      </c>
      <c r="C143" s="48">
        <v>8784</v>
      </c>
    </row>
    <row r="144" spans="1:3" ht="15.75">
      <c r="A144" s="37" t="s">
        <v>548</v>
      </c>
      <c r="B144" s="15" t="s">
        <v>1020</v>
      </c>
      <c r="C144" s="59">
        <v>2355</v>
      </c>
    </row>
    <row r="145" spans="1:3" ht="15.75">
      <c r="A145" s="37" t="s">
        <v>549</v>
      </c>
      <c r="B145" s="15" t="s">
        <v>1021</v>
      </c>
      <c r="C145" s="59">
        <v>3751</v>
      </c>
    </row>
    <row r="146" spans="1:3" ht="15.75">
      <c r="A146" s="37" t="s">
        <v>551</v>
      </c>
      <c r="B146" s="15" t="s">
        <v>1022</v>
      </c>
      <c r="C146" s="59">
        <v>60</v>
      </c>
    </row>
    <row r="147" spans="1:3" ht="15.75">
      <c r="A147" s="39" t="s">
        <v>552</v>
      </c>
      <c r="B147" s="23" t="s">
        <v>1061</v>
      </c>
      <c r="C147" s="48">
        <f>SUM(C143:C146)</f>
        <v>14950</v>
      </c>
    </row>
    <row r="148" spans="1:3" ht="15.75">
      <c r="A148" s="39" t="s">
        <v>553</v>
      </c>
      <c r="B148" s="23" t="s">
        <v>1044</v>
      </c>
      <c r="C148" s="48">
        <v>0</v>
      </c>
    </row>
    <row r="149" spans="1:3" ht="15.75">
      <c r="A149" s="39" t="s">
        <v>555</v>
      </c>
      <c r="B149" s="23" t="s">
        <v>1063</v>
      </c>
      <c r="C149" s="48">
        <f>+C147+C148</f>
        <v>14950</v>
      </c>
    </row>
    <row r="151" spans="1:3" ht="30" customHeight="1">
      <c r="A151" s="720" t="s">
        <v>1066</v>
      </c>
      <c r="B151" s="720"/>
      <c r="C151" s="720"/>
    </row>
    <row r="152" spans="1:3" ht="15.75">
      <c r="A152" s="4" t="s">
        <v>515</v>
      </c>
      <c r="B152" s="6" t="s">
        <v>405</v>
      </c>
      <c r="C152" s="18">
        <v>5490</v>
      </c>
    </row>
    <row r="153" spans="1:3" ht="15.75">
      <c r="A153" s="4" t="s">
        <v>531</v>
      </c>
      <c r="B153" s="6" t="s">
        <v>424</v>
      </c>
      <c r="C153" s="18">
        <v>16872</v>
      </c>
    </row>
    <row r="154" spans="1:3" ht="15.75">
      <c r="A154" s="4" t="s">
        <v>546</v>
      </c>
      <c r="B154" s="6" t="s">
        <v>426</v>
      </c>
      <c r="C154" s="18">
        <v>0</v>
      </c>
    </row>
    <row r="155" spans="1:3" ht="31.5">
      <c r="A155" s="4" t="s">
        <v>547</v>
      </c>
      <c r="B155" s="6" t="s">
        <v>427</v>
      </c>
      <c r="C155" s="18">
        <v>5280</v>
      </c>
    </row>
    <row r="156" spans="1:3" ht="15.75">
      <c r="A156" s="4" t="s">
        <v>548</v>
      </c>
      <c r="B156" s="6" t="s">
        <v>409</v>
      </c>
      <c r="C156" s="18">
        <v>0</v>
      </c>
    </row>
    <row r="157" spans="1:3" ht="15.75">
      <c r="A157" s="4" t="s">
        <v>549</v>
      </c>
      <c r="B157" s="6" t="s">
        <v>421</v>
      </c>
      <c r="C157" s="18">
        <v>15157</v>
      </c>
    </row>
    <row r="158" spans="1:3" ht="15.75">
      <c r="A158" s="25" t="s">
        <v>551</v>
      </c>
      <c r="B158" s="26" t="s">
        <v>410</v>
      </c>
      <c r="C158" s="27">
        <f>SUM(C152:C157)</f>
        <v>42799</v>
      </c>
    </row>
    <row r="159" spans="1:3" ht="15.75">
      <c r="A159" s="4" t="s">
        <v>552</v>
      </c>
      <c r="B159" s="6" t="s">
        <v>529</v>
      </c>
      <c r="C159" s="18">
        <v>0</v>
      </c>
    </row>
    <row r="160" spans="1:3" ht="15.75">
      <c r="A160" s="4" t="s">
        <v>553</v>
      </c>
      <c r="B160" s="6" t="s">
        <v>417</v>
      </c>
      <c r="C160" s="18">
        <v>0</v>
      </c>
    </row>
    <row r="161" spans="1:3" ht="15.75">
      <c r="A161" s="4" t="s">
        <v>555</v>
      </c>
      <c r="B161" s="29" t="s">
        <v>423</v>
      </c>
      <c r="C161" s="18">
        <v>0</v>
      </c>
    </row>
    <row r="162" spans="1:3" ht="15.75">
      <c r="A162" s="25" t="s">
        <v>557</v>
      </c>
      <c r="B162" s="26" t="s">
        <v>428</v>
      </c>
      <c r="C162" s="27">
        <f>SUM(C159:C161)</f>
        <v>0</v>
      </c>
    </row>
    <row r="163" spans="1:3" ht="15.75">
      <c r="A163" s="25" t="s">
        <v>374</v>
      </c>
      <c r="B163" s="26" t="s">
        <v>429</v>
      </c>
      <c r="C163" s="27">
        <f>+C158+C162</f>
        <v>42799</v>
      </c>
    </row>
    <row r="165" spans="1:3" ht="15.75">
      <c r="A165" s="37" t="s">
        <v>515</v>
      </c>
      <c r="B165" s="15" t="s">
        <v>1015</v>
      </c>
      <c r="C165" s="64">
        <v>15379</v>
      </c>
    </row>
    <row r="166" spans="1:3" ht="15.75">
      <c r="A166" s="37" t="s">
        <v>531</v>
      </c>
      <c r="B166" s="15" t="s">
        <v>1016</v>
      </c>
      <c r="C166" s="64">
        <v>2660</v>
      </c>
    </row>
    <row r="167" spans="1:3" ht="15.75">
      <c r="A167" s="37" t="s">
        <v>546</v>
      </c>
      <c r="B167" s="15" t="s">
        <v>1017</v>
      </c>
      <c r="C167" s="64">
        <v>408</v>
      </c>
    </row>
    <row r="168" spans="1:3" ht="15.75">
      <c r="A168" s="39" t="s">
        <v>547</v>
      </c>
      <c r="B168" s="23" t="s">
        <v>1018</v>
      </c>
      <c r="C168" s="68">
        <f>SUM(C165:C167)</f>
        <v>18447</v>
      </c>
    </row>
    <row r="169" spans="1:3" ht="15.75">
      <c r="A169" s="37" t="s">
        <v>548</v>
      </c>
      <c r="B169" s="15" t="s">
        <v>1020</v>
      </c>
      <c r="C169" s="64">
        <v>4583</v>
      </c>
    </row>
    <row r="170" spans="1:3" ht="15.75">
      <c r="A170" s="37" t="s">
        <v>549</v>
      </c>
      <c r="B170" s="15" t="s">
        <v>1021</v>
      </c>
      <c r="C170" s="64">
        <v>17419</v>
      </c>
    </row>
    <row r="171" spans="1:3" ht="15.75">
      <c r="A171" s="37" t="s">
        <v>551</v>
      </c>
      <c r="B171" s="15" t="s">
        <v>1022</v>
      </c>
      <c r="C171" s="64">
        <v>634</v>
      </c>
    </row>
    <row r="172" spans="1:3" ht="15.75">
      <c r="A172" s="37" t="s">
        <v>552</v>
      </c>
      <c r="B172" s="15" t="s">
        <v>877</v>
      </c>
      <c r="C172" s="64">
        <v>0</v>
      </c>
    </row>
    <row r="173" spans="1:3" ht="15.75">
      <c r="A173" s="37" t="s">
        <v>553</v>
      </c>
      <c r="B173" s="15" t="s">
        <v>1212</v>
      </c>
      <c r="C173" s="64">
        <v>1716</v>
      </c>
    </row>
    <row r="174" spans="1:3" ht="15.75">
      <c r="A174" s="39" t="s">
        <v>555</v>
      </c>
      <c r="B174" s="23" t="s">
        <v>880</v>
      </c>
      <c r="C174" s="68">
        <f>SUM(C168:C173)</f>
        <v>42799</v>
      </c>
    </row>
    <row r="175" spans="1:3" ht="15.75">
      <c r="A175" s="37" t="s">
        <v>557</v>
      </c>
      <c r="B175" s="15" t="s">
        <v>542</v>
      </c>
      <c r="C175" s="64">
        <v>0</v>
      </c>
    </row>
    <row r="176" spans="1:3" ht="15.75">
      <c r="A176" s="37" t="s">
        <v>374</v>
      </c>
      <c r="B176" s="15" t="s">
        <v>544</v>
      </c>
      <c r="C176" s="64">
        <v>0</v>
      </c>
    </row>
    <row r="177" spans="1:3" ht="15.75">
      <c r="A177" s="37" t="s">
        <v>375</v>
      </c>
      <c r="B177" s="15" t="s">
        <v>879</v>
      </c>
      <c r="C177" s="64">
        <v>0</v>
      </c>
    </row>
    <row r="178" spans="1:3" ht="15.75">
      <c r="A178" s="39" t="s">
        <v>376</v>
      </c>
      <c r="B178" s="23" t="s">
        <v>881</v>
      </c>
      <c r="C178" s="68">
        <f>SUM(C175:C177)</f>
        <v>0</v>
      </c>
    </row>
    <row r="179" spans="1:3" ht="15.75">
      <c r="A179" s="39" t="s">
        <v>377</v>
      </c>
      <c r="B179" s="23" t="s">
        <v>882</v>
      </c>
      <c r="C179" s="68">
        <f>+C174+C178</f>
        <v>42799</v>
      </c>
    </row>
  </sheetData>
  <mergeCells count="5">
    <mergeCell ref="A151:C151"/>
    <mergeCell ref="A73:C73"/>
    <mergeCell ref="A83:C83"/>
    <mergeCell ref="A110:C110"/>
    <mergeCell ref="A131:C131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76" r:id="rId1"/>
  <rowBreaks count="3" manualBreakCount="3">
    <brk id="48" max="255" man="1"/>
    <brk id="92" max="255" man="1"/>
    <brk id="15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D4">
      <selection activeCell="G8" sqref="G8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17.28125" style="0" customWidth="1"/>
    <col min="4" max="4" width="17.57421875" style="0" customWidth="1"/>
    <col min="5" max="5" width="15.421875" style="0" customWidth="1"/>
    <col min="6" max="6" width="4.7109375" style="0" customWidth="1"/>
    <col min="7" max="7" width="45.7109375" style="0" customWidth="1"/>
    <col min="8" max="8" width="16.57421875" style="0" customWidth="1"/>
    <col min="9" max="9" width="17.28125" style="0" customWidth="1"/>
    <col min="10" max="10" width="13.8515625" style="0" customWidth="1"/>
  </cols>
  <sheetData>
    <row r="1" ht="12.75">
      <c r="J1" s="66" t="s">
        <v>1166</v>
      </c>
    </row>
    <row r="2" ht="12.75">
      <c r="B2" s="264" t="str">
        <f>tartalom!B23</f>
        <v>Bevételek és kiadások Áht. 102. § (3) bekezdése szerinti mérleg</v>
      </c>
    </row>
    <row r="3" spans="1:10" ht="15.75">
      <c r="A3" s="708" t="s">
        <v>3</v>
      </c>
      <c r="B3" s="708"/>
      <c r="C3" s="708"/>
      <c r="D3" s="708"/>
      <c r="E3" s="708"/>
      <c r="F3" s="708"/>
      <c r="G3" s="708"/>
      <c r="H3" s="708"/>
      <c r="I3" s="708"/>
      <c r="J3" s="8" t="s">
        <v>1416</v>
      </c>
    </row>
    <row r="4" spans="1:10" ht="34.5" customHeight="1">
      <c r="A4" s="39"/>
      <c r="B4" s="6"/>
      <c r="C4" s="278" t="s">
        <v>0</v>
      </c>
      <c r="D4" s="279" t="s">
        <v>1</v>
      </c>
      <c r="E4" s="279" t="s">
        <v>2</v>
      </c>
      <c r="F4" s="98"/>
      <c r="G4" s="98"/>
      <c r="H4" s="278" t="s">
        <v>0</v>
      </c>
      <c r="I4" s="279" t="s">
        <v>1</v>
      </c>
      <c r="J4" s="279" t="s">
        <v>2</v>
      </c>
    </row>
    <row r="5" spans="1:10" ht="30" customHeight="1">
      <c r="A5" s="11"/>
      <c r="B5" s="6"/>
      <c r="C5" s="272"/>
      <c r="D5" s="273"/>
      <c r="E5" s="18"/>
      <c r="F5" s="11"/>
      <c r="G5" s="15" t="s">
        <v>1033</v>
      </c>
      <c r="H5" s="274">
        <v>76757</v>
      </c>
      <c r="I5" s="273">
        <v>87506</v>
      </c>
      <c r="J5" s="274">
        <f>3mérleg!F9</f>
        <v>175334</v>
      </c>
    </row>
    <row r="6" spans="1:10" ht="29.25" customHeight="1">
      <c r="A6" s="11"/>
      <c r="B6" s="6" t="s">
        <v>20</v>
      </c>
      <c r="C6" s="272">
        <v>170924</v>
      </c>
      <c r="D6" s="273">
        <v>144209</v>
      </c>
      <c r="E6" s="18">
        <f>3mérleg!C10</f>
        <v>174536</v>
      </c>
      <c r="F6" s="11"/>
      <c r="G6" s="73" t="s">
        <v>927</v>
      </c>
      <c r="H6" s="274">
        <v>21006</v>
      </c>
      <c r="I6" s="273">
        <v>23618</v>
      </c>
      <c r="J6" s="274">
        <f>3mérleg!F10</f>
        <v>44547</v>
      </c>
    </row>
    <row r="7" spans="1:10" ht="21.75" customHeight="1">
      <c r="A7" s="11"/>
      <c r="B7" s="6" t="s">
        <v>947</v>
      </c>
      <c r="C7" s="275">
        <v>305952</v>
      </c>
      <c r="D7" s="273">
        <v>285981</v>
      </c>
      <c r="E7" s="18">
        <f>3mérleg!C11</f>
        <v>269750</v>
      </c>
      <c r="F7" s="11"/>
      <c r="G7" s="15" t="s">
        <v>1021</v>
      </c>
      <c r="H7" s="274">
        <v>63959</v>
      </c>
      <c r="I7" s="273">
        <v>102296</v>
      </c>
      <c r="J7" s="274">
        <f>3mérleg!F11</f>
        <v>153869</v>
      </c>
    </row>
    <row r="8" spans="1:10" ht="30" customHeight="1">
      <c r="A8" s="11"/>
      <c r="B8" s="6" t="s">
        <v>24</v>
      </c>
      <c r="C8" s="275">
        <v>7056</v>
      </c>
      <c r="D8" s="273">
        <v>15795</v>
      </c>
      <c r="E8" s="18">
        <f>3mérleg!C12</f>
        <v>23366</v>
      </c>
      <c r="F8" s="11"/>
      <c r="G8" s="70" t="s">
        <v>535</v>
      </c>
      <c r="H8" s="274">
        <v>41640</v>
      </c>
      <c r="I8" s="273">
        <v>38114</v>
      </c>
      <c r="J8" s="274">
        <f>3mérleg!F12</f>
        <v>40406</v>
      </c>
    </row>
    <row r="9" spans="1:10" ht="23.25" customHeight="1">
      <c r="A9" s="11"/>
      <c r="B9" s="6" t="s">
        <v>523</v>
      </c>
      <c r="C9" s="275">
        <v>42012</v>
      </c>
      <c r="D9" s="273">
        <v>0</v>
      </c>
      <c r="E9" s="18">
        <f>3mérleg!C13</f>
        <v>0</v>
      </c>
      <c r="F9" s="11"/>
      <c r="G9" s="9" t="s">
        <v>470</v>
      </c>
      <c r="H9" s="274">
        <v>226110</v>
      </c>
      <c r="I9" s="273">
        <v>150947</v>
      </c>
      <c r="J9" s="274">
        <f>3mérleg!F13</f>
        <v>72226</v>
      </c>
    </row>
    <row r="10" spans="1:10" ht="25.5" customHeight="1">
      <c r="A10" s="11"/>
      <c r="B10" s="596" t="s">
        <v>1690</v>
      </c>
      <c r="C10" s="607">
        <v>525944</v>
      </c>
      <c r="D10" s="608">
        <v>445985</v>
      </c>
      <c r="E10" s="597">
        <f>3mérleg!C14</f>
        <v>467652</v>
      </c>
      <c r="F10" s="11"/>
      <c r="G10" s="600" t="s">
        <v>1693</v>
      </c>
      <c r="H10" s="605">
        <v>429472</v>
      </c>
      <c r="I10" s="608">
        <v>402481</v>
      </c>
      <c r="J10" s="605">
        <f>3mérleg!F14</f>
        <v>486382</v>
      </c>
    </row>
    <row r="11" spans="1:10" ht="29.25" customHeight="1">
      <c r="A11" s="11"/>
      <c r="B11" s="6" t="s">
        <v>25</v>
      </c>
      <c r="C11" s="275">
        <v>1103</v>
      </c>
      <c r="D11" s="273">
        <v>2783</v>
      </c>
      <c r="E11" s="18">
        <f>3mérleg!C15</f>
        <v>630</v>
      </c>
      <c r="F11" s="11"/>
      <c r="G11" s="15" t="s">
        <v>471</v>
      </c>
      <c r="H11" s="274">
        <v>10730</v>
      </c>
      <c r="I11" s="273">
        <v>10552</v>
      </c>
      <c r="J11" s="274">
        <f>3mérleg!F15</f>
        <v>86233</v>
      </c>
    </row>
    <row r="12" spans="1:10" ht="30.75" customHeight="1">
      <c r="A12" s="11"/>
      <c r="B12" s="6" t="s">
        <v>21</v>
      </c>
      <c r="C12" s="275">
        <v>40261</v>
      </c>
      <c r="D12" s="273">
        <v>2440</v>
      </c>
      <c r="E12" s="18">
        <f>3mérleg!C16</f>
        <v>23090</v>
      </c>
      <c r="F12" s="11"/>
      <c r="G12" s="15" t="s">
        <v>472</v>
      </c>
      <c r="H12" s="274">
        <v>31969</v>
      </c>
      <c r="I12" s="273">
        <v>16139</v>
      </c>
      <c r="J12" s="274">
        <f>3mérleg!F16</f>
        <v>14456</v>
      </c>
    </row>
    <row r="13" spans="1:10" ht="28.5" customHeight="1">
      <c r="A13" s="11"/>
      <c r="B13" s="6" t="s">
        <v>530</v>
      </c>
      <c r="C13" s="275">
        <v>14438</v>
      </c>
      <c r="D13" s="273">
        <v>244</v>
      </c>
      <c r="E13" s="18">
        <f>3mérleg!C17</f>
        <v>154</v>
      </c>
      <c r="F13" s="11"/>
      <c r="G13" s="70" t="s">
        <v>474</v>
      </c>
      <c r="H13" s="274">
        <v>3282</v>
      </c>
      <c r="I13" s="273">
        <v>7214</v>
      </c>
      <c r="J13" s="274">
        <f>3mérleg!F17</f>
        <v>42239</v>
      </c>
    </row>
    <row r="14" spans="1:10" ht="21.75" customHeight="1">
      <c r="A14" s="7"/>
      <c r="B14" s="596" t="s">
        <v>1692</v>
      </c>
      <c r="C14" s="605">
        <v>55802</v>
      </c>
      <c r="D14" s="608">
        <v>5467</v>
      </c>
      <c r="E14" s="597">
        <f>3mérleg!C18</f>
        <v>23874</v>
      </c>
      <c r="F14" s="11"/>
      <c r="G14" s="573" t="s">
        <v>1694</v>
      </c>
      <c r="H14" s="605">
        <v>45981</v>
      </c>
      <c r="I14" s="608">
        <v>33905</v>
      </c>
      <c r="J14" s="605">
        <f>3mérleg!F18</f>
        <v>142928</v>
      </c>
    </row>
    <row r="15" spans="1:10" ht="24.75" customHeight="1">
      <c r="A15" s="7"/>
      <c r="B15" s="26" t="s">
        <v>1691</v>
      </c>
      <c r="C15" s="277">
        <v>581746</v>
      </c>
      <c r="D15" s="276">
        <v>451452</v>
      </c>
      <c r="E15" s="27">
        <f>3mérleg!C19</f>
        <v>491526</v>
      </c>
      <c r="F15" s="11"/>
      <c r="G15" s="601" t="s">
        <v>1695</v>
      </c>
      <c r="H15" s="277">
        <v>475453</v>
      </c>
      <c r="I15" s="276">
        <v>436386</v>
      </c>
      <c r="J15" s="277">
        <f>3mérleg!F19</f>
        <v>629310</v>
      </c>
    </row>
    <row r="16" spans="1:10" ht="27.75" customHeight="1">
      <c r="A16" s="7"/>
      <c r="B16" s="6" t="s">
        <v>29</v>
      </c>
      <c r="C16" s="274">
        <v>-529</v>
      </c>
      <c r="D16" s="273">
        <v>185621</v>
      </c>
      <c r="E16" s="18">
        <f>3mérleg!C20</f>
        <v>329871</v>
      </c>
      <c r="F16" s="11"/>
      <c r="G16" s="70" t="s">
        <v>1037</v>
      </c>
      <c r="H16" s="274">
        <v>40855</v>
      </c>
      <c r="I16" s="273">
        <v>129963</v>
      </c>
      <c r="J16" s="274">
        <f>3mérleg!F20</f>
        <v>192087</v>
      </c>
    </row>
    <row r="17" spans="1:10" ht="32.25" customHeight="1">
      <c r="A17" s="7"/>
      <c r="B17" s="598" t="s">
        <v>1014</v>
      </c>
      <c r="C17" s="606">
        <v>581217</v>
      </c>
      <c r="D17" s="609">
        <v>637073</v>
      </c>
      <c r="E17" s="599">
        <f>3mérleg!C21</f>
        <v>821397</v>
      </c>
      <c r="F17" s="11"/>
      <c r="G17" s="603" t="s">
        <v>856</v>
      </c>
      <c r="H17" s="606">
        <v>516308</v>
      </c>
      <c r="I17" s="609">
        <v>566349</v>
      </c>
      <c r="J17" s="606">
        <f>3mérleg!F21</f>
        <v>821397</v>
      </c>
    </row>
    <row r="18" spans="1:10" ht="24" customHeight="1">
      <c r="A18" s="7"/>
      <c r="B18" s="7"/>
      <c r="C18" s="274"/>
      <c r="D18" s="273"/>
      <c r="E18" s="273"/>
      <c r="F18" s="11"/>
      <c r="G18" s="9"/>
      <c r="H18" s="274"/>
      <c r="I18" s="273"/>
      <c r="J18" s="274"/>
    </row>
  </sheetData>
  <mergeCells count="1">
    <mergeCell ref="A3:I3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D13">
      <selection activeCell="F36" sqref="F36"/>
    </sheetView>
  </sheetViews>
  <sheetFormatPr defaultColWidth="9.140625" defaultRowHeight="12.75"/>
  <cols>
    <col min="2" max="2" width="64.28125" style="0" customWidth="1"/>
    <col min="3" max="3" width="13.57421875" style="0" customWidth="1"/>
    <col min="4" max="4" width="14.00390625" style="0" customWidth="1"/>
    <col min="5" max="5" width="16.57421875" style="0" customWidth="1"/>
    <col min="6" max="6" width="15.8515625" style="0" customWidth="1"/>
    <col min="7" max="7" width="15.140625" style="0" customWidth="1"/>
    <col min="8" max="8" width="17.28125" style="0" customWidth="1"/>
    <col min="9" max="9" width="13.00390625" style="0" hidden="1" customWidth="1"/>
    <col min="10" max="10" width="14.57421875" style="0" customWidth="1"/>
    <col min="11" max="11" width="10.8515625" style="0" hidden="1" customWidth="1"/>
    <col min="12" max="12" width="15.57421875" style="0" customWidth="1"/>
    <col min="13" max="13" width="10.00390625" style="0" hidden="1" customWidth="1"/>
    <col min="14" max="14" width="14.421875" style="0" customWidth="1"/>
    <col min="15" max="15" width="13.7109375" style="0" customWidth="1"/>
  </cols>
  <sheetData>
    <row r="1" ht="12.75">
      <c r="O1" s="66" t="s">
        <v>896</v>
      </c>
    </row>
    <row r="2" ht="12.75">
      <c r="B2" s="264" t="str">
        <f>tartalom!B24</f>
        <v>Röszke Község Önkormányzata kötelező, önként vállalt, államigazgatási feladatai ellátásának költségvetési forrásai és kiadásai</v>
      </c>
    </row>
    <row r="3" ht="12.75">
      <c r="O3" s="226" t="s">
        <v>1416</v>
      </c>
    </row>
    <row r="4" spans="1:15" ht="12.75" customHeight="1">
      <c r="A4" s="610"/>
      <c r="B4" s="727" t="s">
        <v>1124</v>
      </c>
      <c r="C4" s="727"/>
      <c r="D4" s="728" t="s">
        <v>743</v>
      </c>
      <c r="E4" s="705" t="s">
        <v>1197</v>
      </c>
      <c r="F4" s="704" t="s">
        <v>947</v>
      </c>
      <c r="G4" s="704" t="s">
        <v>24</v>
      </c>
      <c r="H4" s="704" t="s">
        <v>523</v>
      </c>
      <c r="I4" s="25" t="s">
        <v>523</v>
      </c>
      <c r="J4" s="723" t="s">
        <v>1199</v>
      </c>
      <c r="K4" s="724"/>
      <c r="L4" s="704" t="s">
        <v>1198</v>
      </c>
      <c r="M4" s="723" t="s">
        <v>1201</v>
      </c>
      <c r="N4" s="724"/>
      <c r="O4" s="704" t="s">
        <v>1200</v>
      </c>
    </row>
    <row r="5" spans="1:15" ht="75.75" customHeight="1">
      <c r="A5" s="610"/>
      <c r="B5" s="610" t="s">
        <v>931</v>
      </c>
      <c r="C5" s="613" t="s">
        <v>742</v>
      </c>
      <c r="D5" s="729"/>
      <c r="E5" s="706"/>
      <c r="F5" s="704"/>
      <c r="G5" s="704"/>
      <c r="H5" s="704"/>
      <c r="I5" s="25" t="s">
        <v>523</v>
      </c>
      <c r="J5" s="725"/>
      <c r="K5" s="726"/>
      <c r="L5" s="704"/>
      <c r="M5" s="725"/>
      <c r="N5" s="726"/>
      <c r="O5" s="704"/>
    </row>
    <row r="6" spans="1:15" ht="15.75">
      <c r="A6" s="617">
        <v>11130</v>
      </c>
      <c r="B6" s="617" t="s">
        <v>1172</v>
      </c>
      <c r="C6" s="271">
        <v>1010</v>
      </c>
      <c r="D6" s="271">
        <f aca="true" t="shared" si="0" ref="D6:D28">SUM(E6:O6)</f>
        <v>1010</v>
      </c>
      <c r="E6" s="617"/>
      <c r="F6" s="617">
        <v>1010</v>
      </c>
      <c r="G6" s="617"/>
      <c r="H6" s="617"/>
      <c r="I6" s="617"/>
      <c r="J6" s="617"/>
      <c r="K6" s="617"/>
      <c r="L6" s="617"/>
      <c r="M6" s="617"/>
      <c r="N6" s="617"/>
      <c r="O6" s="617"/>
    </row>
    <row r="7" spans="1:15" ht="15.75">
      <c r="A7" s="617">
        <v>11220</v>
      </c>
      <c r="B7" s="617" t="s">
        <v>1167</v>
      </c>
      <c r="C7" s="271">
        <v>675</v>
      </c>
      <c r="D7" s="271">
        <f t="shared" si="0"/>
        <v>675</v>
      </c>
      <c r="E7" s="617"/>
      <c r="F7" s="617">
        <v>675</v>
      </c>
      <c r="G7" s="617"/>
      <c r="H7" s="617"/>
      <c r="I7" s="617"/>
      <c r="J7" s="617"/>
      <c r="K7" s="617"/>
      <c r="L7" s="617"/>
      <c r="M7" s="617"/>
      <c r="N7" s="617"/>
      <c r="O7" s="617"/>
    </row>
    <row r="8" spans="1:15" ht="15.75">
      <c r="A8" s="617">
        <v>13320</v>
      </c>
      <c r="B8" s="617" t="s">
        <v>1169</v>
      </c>
      <c r="C8" s="271">
        <v>438</v>
      </c>
      <c r="D8" s="271">
        <f t="shared" si="0"/>
        <v>438</v>
      </c>
      <c r="E8" s="617"/>
      <c r="F8" s="617">
        <v>438</v>
      </c>
      <c r="G8" s="617"/>
      <c r="H8" s="617"/>
      <c r="I8" s="617"/>
      <c r="J8" s="617"/>
      <c r="K8" s="617"/>
      <c r="L8" s="617"/>
      <c r="M8" s="617"/>
      <c r="N8" s="617"/>
      <c r="O8" s="617"/>
    </row>
    <row r="9" spans="1:15" ht="15.75">
      <c r="A9" s="617">
        <v>13350</v>
      </c>
      <c r="B9" s="617" t="s">
        <v>1170</v>
      </c>
      <c r="C9" s="271">
        <f>3683+8600+14006</f>
        <v>26289</v>
      </c>
      <c r="D9" s="271">
        <f t="shared" si="0"/>
        <v>26289</v>
      </c>
      <c r="E9" s="617"/>
      <c r="F9" s="617">
        <v>630</v>
      </c>
      <c r="G9" s="617">
        <v>2059</v>
      </c>
      <c r="H9" s="617"/>
      <c r="I9" s="617"/>
      <c r="J9" s="617">
        <v>630</v>
      </c>
      <c r="K9" s="617"/>
      <c r="L9" s="617"/>
      <c r="M9" s="617"/>
      <c r="N9" s="617"/>
      <c r="O9" s="617">
        <v>22970</v>
      </c>
    </row>
    <row r="10" spans="1:15" ht="15.75">
      <c r="A10" s="617">
        <v>18010</v>
      </c>
      <c r="B10" s="617" t="s">
        <v>739</v>
      </c>
      <c r="C10" s="271">
        <v>2000</v>
      </c>
      <c r="D10" s="271">
        <f t="shared" si="0"/>
        <v>2000</v>
      </c>
      <c r="E10" s="617"/>
      <c r="F10" s="617">
        <v>2000</v>
      </c>
      <c r="G10" s="617"/>
      <c r="H10" s="617"/>
      <c r="I10" s="617"/>
      <c r="J10" s="617"/>
      <c r="K10" s="617"/>
      <c r="L10" s="617"/>
      <c r="M10" s="617"/>
      <c r="N10" s="617"/>
      <c r="O10" s="617"/>
    </row>
    <row r="11" spans="1:15" ht="15.75">
      <c r="A11" s="617">
        <v>18030</v>
      </c>
      <c r="B11" s="617" t="s">
        <v>740</v>
      </c>
      <c r="C11" s="271">
        <f>17458+192087</f>
        <v>209545</v>
      </c>
      <c r="D11" s="271">
        <f t="shared" si="0"/>
        <v>209545</v>
      </c>
      <c r="E11" s="617">
        <v>70593</v>
      </c>
      <c r="F11" s="617">
        <v>138952</v>
      </c>
      <c r="G11" s="617"/>
      <c r="H11" s="617"/>
      <c r="I11" s="617"/>
      <c r="J11" s="617"/>
      <c r="K11" s="617"/>
      <c r="L11" s="617"/>
      <c r="M11" s="617"/>
      <c r="N11" s="617"/>
      <c r="O11" s="617"/>
    </row>
    <row r="12" spans="1:15" ht="15.75">
      <c r="A12" s="617">
        <v>41232</v>
      </c>
      <c r="B12" s="617" t="s">
        <v>1171</v>
      </c>
      <c r="C12" s="271">
        <f>21306+2927+1434+297</f>
        <v>25964</v>
      </c>
      <c r="D12" s="271">
        <f t="shared" si="0"/>
        <v>25964</v>
      </c>
      <c r="E12" s="617">
        <v>24725</v>
      </c>
      <c r="F12" s="617"/>
      <c r="G12" s="617"/>
      <c r="H12" s="617"/>
      <c r="I12" s="617"/>
      <c r="J12" s="617"/>
      <c r="K12" s="617"/>
      <c r="L12" s="617">
        <v>1239</v>
      </c>
      <c r="M12" s="617"/>
      <c r="N12" s="617"/>
      <c r="O12" s="617"/>
    </row>
    <row r="13" spans="1:15" ht="15.75">
      <c r="A13" s="617">
        <v>41233</v>
      </c>
      <c r="B13" s="617" t="s">
        <v>1405</v>
      </c>
      <c r="C13" s="271">
        <f>9887+1385</f>
        <v>11272</v>
      </c>
      <c r="D13" s="271">
        <f t="shared" si="0"/>
        <v>11272</v>
      </c>
      <c r="E13" s="617">
        <v>8979</v>
      </c>
      <c r="F13" s="617">
        <v>2293</v>
      </c>
      <c r="G13" s="617"/>
      <c r="H13" s="617"/>
      <c r="I13" s="617"/>
      <c r="J13" s="617"/>
      <c r="K13" s="617"/>
      <c r="L13" s="617"/>
      <c r="M13" s="617"/>
      <c r="N13" s="617"/>
      <c r="O13" s="617"/>
    </row>
    <row r="14" spans="1:15" ht="15.75">
      <c r="A14" s="617">
        <v>45120</v>
      </c>
      <c r="B14" s="617" t="s">
        <v>943</v>
      </c>
      <c r="C14" s="271">
        <f>7110+50100</f>
        <v>57210</v>
      </c>
      <c r="D14" s="271">
        <f t="shared" si="0"/>
        <v>57210</v>
      </c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>
        <f>50100+7110</f>
        <v>57210</v>
      </c>
    </row>
    <row r="15" spans="1:15" ht="15.75">
      <c r="A15" s="617">
        <v>45160</v>
      </c>
      <c r="B15" s="617" t="s">
        <v>1032</v>
      </c>
      <c r="C15" s="271">
        <v>635</v>
      </c>
      <c r="D15" s="271">
        <f t="shared" si="0"/>
        <v>635</v>
      </c>
      <c r="E15" s="617"/>
      <c r="F15" s="617">
        <v>635</v>
      </c>
      <c r="G15" s="617"/>
      <c r="H15" s="617"/>
      <c r="I15" s="617"/>
      <c r="J15" s="617"/>
      <c r="K15" s="617"/>
      <c r="L15" s="617"/>
      <c r="M15" s="617"/>
      <c r="N15" s="617"/>
      <c r="O15" s="617"/>
    </row>
    <row r="16" spans="1:15" ht="15.75">
      <c r="A16" s="617">
        <v>47410</v>
      </c>
      <c r="B16" s="617" t="s">
        <v>1173</v>
      </c>
      <c r="C16" s="271">
        <v>635</v>
      </c>
      <c r="D16" s="271">
        <f t="shared" si="0"/>
        <v>635</v>
      </c>
      <c r="E16" s="617"/>
      <c r="F16" s="617">
        <v>635</v>
      </c>
      <c r="G16" s="617"/>
      <c r="H16" s="617"/>
      <c r="I16" s="617"/>
      <c r="J16" s="617"/>
      <c r="K16" s="617"/>
      <c r="L16" s="617"/>
      <c r="M16" s="617"/>
      <c r="N16" s="617"/>
      <c r="O16" s="617"/>
    </row>
    <row r="17" spans="1:15" ht="15.75">
      <c r="A17" s="617">
        <v>51030</v>
      </c>
      <c r="B17" s="617" t="s">
        <v>1174</v>
      </c>
      <c r="C17" s="271">
        <f>318+394+1914</f>
        <v>2626</v>
      </c>
      <c r="D17" s="271">
        <f t="shared" si="0"/>
        <v>2626</v>
      </c>
      <c r="E17" s="617"/>
      <c r="F17" s="617">
        <v>712</v>
      </c>
      <c r="G17" s="617"/>
      <c r="H17" s="617"/>
      <c r="I17" s="617"/>
      <c r="J17" s="617"/>
      <c r="K17" s="617"/>
      <c r="L17" s="617"/>
      <c r="M17" s="617"/>
      <c r="N17" s="617"/>
      <c r="O17" s="617">
        <v>1914</v>
      </c>
    </row>
    <row r="18" spans="1:15" ht="15.75">
      <c r="A18" s="617">
        <v>52020</v>
      </c>
      <c r="B18" s="617" t="s">
        <v>216</v>
      </c>
      <c r="C18" s="271">
        <f>84+29982+450+1143</f>
        <v>31659</v>
      </c>
      <c r="D18" s="271">
        <f t="shared" si="0"/>
        <v>31659</v>
      </c>
      <c r="E18" s="617"/>
      <c r="F18" s="617">
        <v>1227</v>
      </c>
      <c r="G18" s="617"/>
      <c r="H18" s="617"/>
      <c r="I18" s="617"/>
      <c r="J18" s="617"/>
      <c r="K18" s="617"/>
      <c r="L18" s="617">
        <v>1140</v>
      </c>
      <c r="M18" s="617"/>
      <c r="N18" s="617"/>
      <c r="O18" s="617">
        <f>450+29982-1140</f>
        <v>29292</v>
      </c>
    </row>
    <row r="19" spans="1:15" ht="15.75">
      <c r="A19" s="617">
        <v>61030</v>
      </c>
      <c r="B19" s="617" t="s">
        <v>1175</v>
      </c>
      <c r="C19" s="271">
        <v>1000</v>
      </c>
      <c r="D19" s="271">
        <f t="shared" si="0"/>
        <v>1000</v>
      </c>
      <c r="E19" s="617"/>
      <c r="F19" s="617"/>
      <c r="G19" s="617"/>
      <c r="H19" s="617"/>
      <c r="I19" s="617"/>
      <c r="J19" s="617"/>
      <c r="K19" s="617"/>
      <c r="L19" s="617"/>
      <c r="M19" s="617"/>
      <c r="N19" s="617">
        <v>154</v>
      </c>
      <c r="O19" s="617">
        <v>846</v>
      </c>
    </row>
    <row r="20" spans="1:15" ht="15.75">
      <c r="A20" s="617">
        <v>62020</v>
      </c>
      <c r="B20" s="617" t="s">
        <v>735</v>
      </c>
      <c r="C20" s="271">
        <f>2930+27236</f>
        <v>30166</v>
      </c>
      <c r="D20" s="271">
        <f t="shared" si="0"/>
        <v>30166</v>
      </c>
      <c r="E20" s="617"/>
      <c r="F20" s="617">
        <v>6936</v>
      </c>
      <c r="G20" s="617">
        <v>994</v>
      </c>
      <c r="H20" s="617"/>
      <c r="I20" s="617"/>
      <c r="J20" s="617"/>
      <c r="K20" s="617"/>
      <c r="L20" s="617">
        <v>20711</v>
      </c>
      <c r="M20" s="617"/>
      <c r="N20" s="617"/>
      <c r="O20" s="617">
        <v>1525</v>
      </c>
    </row>
    <row r="21" spans="1:15" ht="15.75">
      <c r="A21" s="617">
        <v>63020</v>
      </c>
      <c r="B21" s="617" t="s">
        <v>1176</v>
      </c>
      <c r="C21" s="271">
        <v>1159</v>
      </c>
      <c r="D21" s="271">
        <f t="shared" si="0"/>
        <v>1159</v>
      </c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>
        <v>1159</v>
      </c>
    </row>
    <row r="22" spans="1:15" ht="15.75">
      <c r="A22" s="617">
        <v>64010</v>
      </c>
      <c r="B22" s="617" t="s">
        <v>99</v>
      </c>
      <c r="C22" s="271">
        <v>9779</v>
      </c>
      <c r="D22" s="271">
        <f t="shared" si="0"/>
        <v>9779</v>
      </c>
      <c r="E22" s="617"/>
      <c r="F22" s="617">
        <v>9779</v>
      </c>
      <c r="G22" s="617"/>
      <c r="H22" s="617"/>
      <c r="I22" s="617"/>
      <c r="J22" s="617"/>
      <c r="K22" s="617"/>
      <c r="L22" s="617"/>
      <c r="M22" s="617"/>
      <c r="N22" s="617"/>
      <c r="O22" s="617"/>
    </row>
    <row r="23" spans="1:15" ht="15.75">
      <c r="A23" s="617">
        <v>66010</v>
      </c>
      <c r="B23" s="617" t="s">
        <v>96</v>
      </c>
      <c r="C23" s="271">
        <v>2211</v>
      </c>
      <c r="D23" s="271">
        <f t="shared" si="0"/>
        <v>2211</v>
      </c>
      <c r="E23" s="617"/>
      <c r="F23" s="617">
        <v>2211</v>
      </c>
      <c r="G23" s="617"/>
      <c r="H23" s="617"/>
      <c r="I23" s="617"/>
      <c r="J23" s="617"/>
      <c r="K23" s="617"/>
      <c r="L23" s="617"/>
      <c r="M23" s="617"/>
      <c r="N23" s="617"/>
      <c r="O23" s="617"/>
    </row>
    <row r="24" spans="1:15" ht="15.75">
      <c r="A24" s="617">
        <v>66020</v>
      </c>
      <c r="B24" s="617" t="s">
        <v>1177</v>
      </c>
      <c r="C24" s="271">
        <f>12698+3823+23601+1074</f>
        <v>41196</v>
      </c>
      <c r="D24" s="271">
        <f t="shared" si="0"/>
        <v>41196</v>
      </c>
      <c r="E24" s="617">
        <v>32365</v>
      </c>
      <c r="F24" s="617">
        <v>8243</v>
      </c>
      <c r="G24" s="617">
        <v>456</v>
      </c>
      <c r="H24" s="617"/>
      <c r="I24" s="617"/>
      <c r="J24" s="617"/>
      <c r="K24" s="617"/>
      <c r="L24" s="617"/>
      <c r="M24" s="617"/>
      <c r="N24" s="617"/>
      <c r="O24" s="617">
        <f>1074-942</f>
        <v>132</v>
      </c>
    </row>
    <row r="25" spans="1:15" ht="15.75">
      <c r="A25" s="617">
        <v>74011</v>
      </c>
      <c r="B25" s="618" t="s">
        <v>872</v>
      </c>
      <c r="C25" s="271">
        <v>60</v>
      </c>
      <c r="D25" s="271">
        <f t="shared" si="0"/>
        <v>60</v>
      </c>
      <c r="E25" s="617"/>
      <c r="F25" s="617">
        <v>60</v>
      </c>
      <c r="G25" s="617"/>
      <c r="H25" s="617"/>
      <c r="I25" s="617"/>
      <c r="J25" s="617"/>
      <c r="K25" s="617"/>
      <c r="L25" s="617"/>
      <c r="M25" s="617"/>
      <c r="N25" s="617"/>
      <c r="O25" s="617"/>
    </row>
    <row r="26" spans="1:15" ht="15.75">
      <c r="A26" s="617">
        <v>81030</v>
      </c>
      <c r="B26" s="617" t="s">
        <v>1178</v>
      </c>
      <c r="C26" s="271">
        <f>1672+461+1715+4445</f>
        <v>8293</v>
      </c>
      <c r="D26" s="271">
        <f t="shared" si="0"/>
        <v>8293</v>
      </c>
      <c r="E26" s="617"/>
      <c r="F26" s="617">
        <v>7928</v>
      </c>
      <c r="G26" s="617">
        <v>365</v>
      </c>
      <c r="H26" s="617"/>
      <c r="I26" s="617"/>
      <c r="J26" s="617"/>
      <c r="K26" s="617"/>
      <c r="L26" s="617"/>
      <c r="M26" s="617"/>
      <c r="N26" s="617"/>
      <c r="O26" s="617"/>
    </row>
    <row r="27" spans="1:15" ht="15.75">
      <c r="A27" s="617">
        <v>82092</v>
      </c>
      <c r="B27" s="617" t="s">
        <v>1179</v>
      </c>
      <c r="C27" s="271">
        <f>1416+382</f>
        <v>1798</v>
      </c>
      <c r="D27" s="271">
        <f t="shared" si="0"/>
        <v>1798</v>
      </c>
      <c r="E27" s="617">
        <v>1251</v>
      </c>
      <c r="F27" s="617">
        <v>547</v>
      </c>
      <c r="G27" s="617"/>
      <c r="H27" s="617"/>
      <c r="I27" s="617"/>
      <c r="J27" s="617"/>
      <c r="K27" s="617"/>
      <c r="L27" s="617"/>
      <c r="M27" s="617"/>
      <c r="N27" s="617"/>
      <c r="O27" s="617"/>
    </row>
    <row r="28" spans="1:15" ht="15.75">
      <c r="A28" s="617">
        <v>86020</v>
      </c>
      <c r="B28" s="617" t="s">
        <v>736</v>
      </c>
      <c r="C28" s="271">
        <v>876</v>
      </c>
      <c r="D28" s="271">
        <f t="shared" si="0"/>
        <v>876</v>
      </c>
      <c r="E28" s="617"/>
      <c r="F28" s="617">
        <v>876</v>
      </c>
      <c r="G28" s="617"/>
      <c r="H28" s="617"/>
      <c r="I28" s="617"/>
      <c r="J28" s="617"/>
      <c r="K28" s="617"/>
      <c r="L28" s="617"/>
      <c r="M28" s="617"/>
      <c r="N28" s="617"/>
      <c r="O28" s="617"/>
    </row>
    <row r="29" spans="1:15" ht="15.75">
      <c r="A29" s="617">
        <v>96010</v>
      </c>
      <c r="B29" s="617" t="s">
        <v>1186</v>
      </c>
      <c r="C29" s="271">
        <v>16198</v>
      </c>
      <c r="D29" s="271">
        <f aca="true" t="shared" si="1" ref="D29:D35">SUM(E29:O29)</f>
        <v>16198</v>
      </c>
      <c r="E29" s="617">
        <v>5706</v>
      </c>
      <c r="F29" s="617">
        <v>3494</v>
      </c>
      <c r="G29" s="617">
        <v>6998</v>
      </c>
      <c r="H29" s="617"/>
      <c r="I29" s="617"/>
      <c r="J29" s="617"/>
      <c r="K29" s="617"/>
      <c r="L29" s="617"/>
      <c r="M29" s="617"/>
      <c r="N29" s="617"/>
      <c r="O29" s="617"/>
    </row>
    <row r="30" spans="1:15" ht="15.75">
      <c r="A30" s="617">
        <v>96020</v>
      </c>
      <c r="B30" s="617" t="s">
        <v>1187</v>
      </c>
      <c r="C30" s="271">
        <v>20818</v>
      </c>
      <c r="D30" s="271">
        <f t="shared" si="1"/>
        <v>20818</v>
      </c>
      <c r="E30" s="617">
        <v>9139</v>
      </c>
      <c r="F30" s="617">
        <v>5079</v>
      </c>
      <c r="G30" s="617">
        <v>6600</v>
      </c>
      <c r="H30" s="617"/>
      <c r="I30" s="617"/>
      <c r="J30" s="617"/>
      <c r="K30" s="617"/>
      <c r="L30" s="617"/>
      <c r="M30" s="617"/>
      <c r="N30" s="617"/>
      <c r="O30" s="617"/>
    </row>
    <row r="31" spans="1:15" ht="15.75">
      <c r="A31" s="617">
        <v>104030</v>
      </c>
      <c r="B31" s="617" t="s">
        <v>1189</v>
      </c>
      <c r="C31" s="271">
        <v>3339</v>
      </c>
      <c r="D31" s="271">
        <f t="shared" si="1"/>
        <v>3339</v>
      </c>
      <c r="E31" s="617"/>
      <c r="F31" s="617">
        <v>1420</v>
      </c>
      <c r="G31" s="617">
        <v>1919</v>
      </c>
      <c r="H31" s="617"/>
      <c r="I31" s="617"/>
      <c r="J31" s="617"/>
      <c r="K31" s="617"/>
      <c r="L31" s="617"/>
      <c r="M31" s="617"/>
      <c r="N31" s="617"/>
      <c r="O31" s="617"/>
    </row>
    <row r="32" spans="1:15" ht="15.75">
      <c r="A32" s="617">
        <v>104051</v>
      </c>
      <c r="B32" s="617" t="s">
        <v>1190</v>
      </c>
      <c r="C32" s="271">
        <v>1488</v>
      </c>
      <c r="D32" s="271">
        <f t="shared" si="1"/>
        <v>1488</v>
      </c>
      <c r="E32" s="617">
        <v>1438</v>
      </c>
      <c r="F32" s="617">
        <v>50</v>
      </c>
      <c r="G32" s="617"/>
      <c r="H32" s="617"/>
      <c r="I32" s="617"/>
      <c r="J32" s="617"/>
      <c r="K32" s="617"/>
      <c r="L32" s="617"/>
      <c r="M32" s="617"/>
      <c r="N32" s="617"/>
      <c r="O32" s="617"/>
    </row>
    <row r="33" spans="1:15" ht="15.75">
      <c r="A33" s="617">
        <v>105010</v>
      </c>
      <c r="B33" s="617" t="s">
        <v>1194</v>
      </c>
      <c r="C33" s="271">
        <v>18720</v>
      </c>
      <c r="D33" s="271">
        <f t="shared" si="1"/>
        <v>18720</v>
      </c>
      <c r="E33" s="617">
        <v>15480</v>
      </c>
      <c r="F33" s="617">
        <v>3240</v>
      </c>
      <c r="G33" s="617"/>
      <c r="H33" s="617"/>
      <c r="I33" s="617"/>
      <c r="J33" s="617"/>
      <c r="K33" s="617"/>
      <c r="L33" s="617"/>
      <c r="M33" s="617"/>
      <c r="N33" s="617"/>
      <c r="O33" s="617"/>
    </row>
    <row r="34" spans="1:15" ht="15.75">
      <c r="A34" s="617">
        <v>106020</v>
      </c>
      <c r="B34" s="617" t="s">
        <v>1195</v>
      </c>
      <c r="C34" s="271">
        <v>6350</v>
      </c>
      <c r="D34" s="271">
        <f t="shared" si="1"/>
        <v>6350</v>
      </c>
      <c r="E34" s="617">
        <v>4860</v>
      </c>
      <c r="F34" s="617">
        <v>1490</v>
      </c>
      <c r="G34" s="617"/>
      <c r="H34" s="617"/>
      <c r="I34" s="617"/>
      <c r="J34" s="617"/>
      <c r="K34" s="617"/>
      <c r="L34" s="617"/>
      <c r="M34" s="617"/>
      <c r="N34" s="617"/>
      <c r="O34" s="617"/>
    </row>
    <row r="35" spans="1:15" ht="15.75">
      <c r="A35" s="617">
        <v>900070</v>
      </c>
      <c r="B35" s="618" t="s">
        <v>741</v>
      </c>
      <c r="C35" s="271">
        <v>41165</v>
      </c>
      <c r="D35" s="271">
        <f t="shared" si="1"/>
        <v>41165</v>
      </c>
      <c r="E35" s="617"/>
      <c r="F35" s="617">
        <v>18429</v>
      </c>
      <c r="G35" s="617"/>
      <c r="H35" s="617"/>
      <c r="I35" s="617"/>
      <c r="J35" s="617"/>
      <c r="K35" s="617"/>
      <c r="L35" s="617"/>
      <c r="M35" s="617"/>
      <c r="N35" s="617"/>
      <c r="O35" s="617">
        <v>22736</v>
      </c>
    </row>
    <row r="36" spans="1:15" ht="15.75">
      <c r="A36" s="617"/>
      <c r="B36" s="619" t="s">
        <v>68</v>
      </c>
      <c r="C36" s="271">
        <f aca="true" t="shared" si="2" ref="C36:O36">SUM(C6:C35)</f>
        <v>574574</v>
      </c>
      <c r="D36" s="271">
        <f t="shared" si="2"/>
        <v>574574</v>
      </c>
      <c r="E36" s="619">
        <f t="shared" si="2"/>
        <v>174536</v>
      </c>
      <c r="F36" s="619">
        <f t="shared" si="2"/>
        <v>218989</v>
      </c>
      <c r="G36" s="619">
        <f t="shared" si="2"/>
        <v>19391</v>
      </c>
      <c r="H36" s="619">
        <f t="shared" si="2"/>
        <v>0</v>
      </c>
      <c r="I36" s="619">
        <f t="shared" si="2"/>
        <v>0</v>
      </c>
      <c r="J36" s="619">
        <f t="shared" si="2"/>
        <v>630</v>
      </c>
      <c r="K36" s="619">
        <f t="shared" si="2"/>
        <v>0</v>
      </c>
      <c r="L36" s="619">
        <f t="shared" si="2"/>
        <v>23090</v>
      </c>
      <c r="M36" s="619">
        <f t="shared" si="2"/>
        <v>0</v>
      </c>
      <c r="N36" s="619">
        <f t="shared" si="2"/>
        <v>154</v>
      </c>
      <c r="O36" s="619">
        <f t="shared" si="2"/>
        <v>137784</v>
      </c>
    </row>
    <row r="37" spans="1:15" ht="12.75" customHeight="1">
      <c r="A37" s="617"/>
      <c r="B37" s="610" t="s">
        <v>82</v>
      </c>
      <c r="C37" s="620"/>
      <c r="D37" s="728" t="s">
        <v>743</v>
      </c>
      <c r="E37" s="705" t="s">
        <v>1197</v>
      </c>
      <c r="F37" s="704" t="s">
        <v>947</v>
      </c>
      <c r="G37" s="707" t="s">
        <v>24</v>
      </c>
      <c r="H37" s="707" t="s">
        <v>523</v>
      </c>
      <c r="I37" s="25" t="s">
        <v>523</v>
      </c>
      <c r="J37" s="723" t="s">
        <v>1199</v>
      </c>
      <c r="K37" s="724"/>
      <c r="L37" s="704" t="s">
        <v>1198</v>
      </c>
      <c r="M37" s="723" t="s">
        <v>1201</v>
      </c>
      <c r="N37" s="724"/>
      <c r="O37" s="704" t="s">
        <v>1200</v>
      </c>
    </row>
    <row r="38" spans="1:15" ht="51" customHeight="1">
      <c r="A38" s="617"/>
      <c r="B38" s="610"/>
      <c r="C38" s="613" t="s">
        <v>742</v>
      </c>
      <c r="D38" s="729"/>
      <c r="E38" s="706"/>
      <c r="F38" s="704"/>
      <c r="G38" s="704"/>
      <c r="H38" s="704"/>
      <c r="I38" s="25" t="s">
        <v>523</v>
      </c>
      <c r="J38" s="725"/>
      <c r="K38" s="726"/>
      <c r="L38" s="704"/>
      <c r="M38" s="725"/>
      <c r="N38" s="726"/>
      <c r="O38" s="704"/>
    </row>
    <row r="39" spans="1:15" ht="16.5" customHeight="1">
      <c r="A39" s="617">
        <v>11320</v>
      </c>
      <c r="B39" s="621" t="s">
        <v>1168</v>
      </c>
      <c r="C39" s="613">
        <f>50+26+50</f>
        <v>126</v>
      </c>
      <c r="D39" s="271">
        <f aca="true" t="shared" si="3" ref="D39:D53">SUM(E39:O39)</f>
        <v>126</v>
      </c>
      <c r="E39" s="614"/>
      <c r="F39" s="612">
        <v>126</v>
      </c>
      <c r="G39" s="612"/>
      <c r="H39" s="612"/>
      <c r="I39" s="25"/>
      <c r="J39" s="615"/>
      <c r="K39" s="616"/>
      <c r="L39" s="612"/>
      <c r="M39" s="615"/>
      <c r="N39" s="616"/>
      <c r="O39" s="612"/>
    </row>
    <row r="40" spans="1:15" ht="16.5" customHeight="1">
      <c r="A40" s="617">
        <v>16080</v>
      </c>
      <c r="B40" s="617" t="s">
        <v>1402</v>
      </c>
      <c r="C40" s="613">
        <f>500+256+1600</f>
        <v>2356</v>
      </c>
      <c r="D40" s="271">
        <f t="shared" si="3"/>
        <v>2356</v>
      </c>
      <c r="E40" s="614"/>
      <c r="F40" s="612">
        <v>2356</v>
      </c>
      <c r="G40" s="612"/>
      <c r="H40" s="612"/>
      <c r="I40" s="25"/>
      <c r="J40" s="615"/>
      <c r="K40" s="616"/>
      <c r="L40" s="612"/>
      <c r="M40" s="615"/>
      <c r="N40" s="616"/>
      <c r="O40" s="612"/>
    </row>
    <row r="41" spans="1:15" ht="15.75">
      <c r="A41" s="617">
        <v>46040</v>
      </c>
      <c r="B41" s="617" t="s">
        <v>734</v>
      </c>
      <c r="C41" s="271">
        <v>160</v>
      </c>
      <c r="D41" s="271">
        <f t="shared" si="3"/>
        <v>160</v>
      </c>
      <c r="E41" s="617"/>
      <c r="F41" s="617">
        <v>160</v>
      </c>
      <c r="G41" s="617"/>
      <c r="H41" s="617"/>
      <c r="I41" s="617"/>
      <c r="J41" s="617"/>
      <c r="K41" s="617"/>
      <c r="L41" s="617"/>
      <c r="M41" s="617"/>
      <c r="N41" s="617"/>
      <c r="O41" s="617"/>
    </row>
    <row r="42" spans="1:15" ht="15.75">
      <c r="A42" s="617">
        <v>83030</v>
      </c>
      <c r="B42" s="617" t="s">
        <v>1180</v>
      </c>
      <c r="C42" s="271">
        <v>1155</v>
      </c>
      <c r="D42" s="271">
        <f t="shared" si="3"/>
        <v>1155</v>
      </c>
      <c r="E42" s="617"/>
      <c r="F42" s="617">
        <v>1155</v>
      </c>
      <c r="G42" s="617"/>
      <c r="H42" s="617"/>
      <c r="I42" s="617"/>
      <c r="J42" s="617"/>
      <c r="K42" s="617"/>
      <c r="L42" s="617"/>
      <c r="M42" s="617"/>
      <c r="N42" s="617"/>
      <c r="O42" s="617"/>
    </row>
    <row r="43" spans="1:15" ht="15.75">
      <c r="A43" s="617">
        <v>83050</v>
      </c>
      <c r="B43" s="617" t="s">
        <v>1181</v>
      </c>
      <c r="C43" s="271">
        <v>360</v>
      </c>
      <c r="D43" s="271">
        <f t="shared" si="3"/>
        <v>360</v>
      </c>
      <c r="E43" s="617"/>
      <c r="F43" s="617">
        <v>360</v>
      </c>
      <c r="G43" s="617"/>
      <c r="H43" s="617"/>
      <c r="I43" s="617"/>
      <c r="J43" s="617"/>
      <c r="K43" s="617"/>
      <c r="L43" s="617"/>
      <c r="M43" s="617"/>
      <c r="N43" s="617"/>
      <c r="O43" s="617"/>
    </row>
    <row r="44" spans="1:15" ht="15.75">
      <c r="A44" s="617">
        <v>84031</v>
      </c>
      <c r="B44" s="617" t="s">
        <v>142</v>
      </c>
      <c r="C44" s="271">
        <v>10375</v>
      </c>
      <c r="D44" s="271">
        <f t="shared" si="3"/>
        <v>10375</v>
      </c>
      <c r="E44" s="617"/>
      <c r="F44" s="617">
        <v>10375</v>
      </c>
      <c r="G44" s="617"/>
      <c r="H44" s="617"/>
      <c r="I44" s="617"/>
      <c r="J44" s="617"/>
      <c r="K44" s="617"/>
      <c r="L44" s="617"/>
      <c r="M44" s="617"/>
      <c r="N44" s="617"/>
      <c r="O44" s="617"/>
    </row>
    <row r="45" spans="1:15" ht="15.75">
      <c r="A45" s="617">
        <v>84032</v>
      </c>
      <c r="B45" s="617" t="s">
        <v>1182</v>
      </c>
      <c r="C45" s="271">
        <v>750</v>
      </c>
      <c r="D45" s="271">
        <f t="shared" si="3"/>
        <v>750</v>
      </c>
      <c r="E45" s="617"/>
      <c r="F45" s="617">
        <v>750</v>
      </c>
      <c r="G45" s="617"/>
      <c r="H45" s="617"/>
      <c r="I45" s="617"/>
      <c r="J45" s="617"/>
      <c r="K45" s="617"/>
      <c r="L45" s="617"/>
      <c r="M45" s="617"/>
      <c r="N45" s="617"/>
      <c r="O45" s="617"/>
    </row>
    <row r="46" spans="1:15" ht="15.75">
      <c r="A46" s="617">
        <v>84060</v>
      </c>
      <c r="B46" s="617" t="s">
        <v>1183</v>
      </c>
      <c r="C46" s="271">
        <v>1200</v>
      </c>
      <c r="D46" s="271">
        <f t="shared" si="3"/>
        <v>1200</v>
      </c>
      <c r="E46" s="617"/>
      <c r="F46" s="617">
        <v>1200</v>
      </c>
      <c r="G46" s="617"/>
      <c r="H46" s="617"/>
      <c r="I46" s="617"/>
      <c r="J46" s="617"/>
      <c r="K46" s="617"/>
      <c r="L46" s="617"/>
      <c r="M46" s="617"/>
      <c r="N46" s="617"/>
      <c r="O46" s="617"/>
    </row>
    <row r="47" spans="1:15" ht="15.75">
      <c r="A47" s="617">
        <v>91220</v>
      </c>
      <c r="B47" s="618" t="s">
        <v>1184</v>
      </c>
      <c r="C47" s="271">
        <f>4048+6167</f>
        <v>10215</v>
      </c>
      <c r="D47" s="271">
        <f t="shared" si="3"/>
        <v>10215</v>
      </c>
      <c r="E47" s="617"/>
      <c r="F47" s="617">
        <v>10215</v>
      </c>
      <c r="G47" s="617"/>
      <c r="H47" s="617"/>
      <c r="I47" s="617"/>
      <c r="J47" s="617"/>
      <c r="K47" s="617"/>
      <c r="L47" s="617"/>
      <c r="M47" s="617"/>
      <c r="N47" s="617"/>
      <c r="O47" s="617"/>
    </row>
    <row r="48" spans="1:15" ht="15.75">
      <c r="A48" s="617">
        <v>92120</v>
      </c>
      <c r="B48" s="618" t="s">
        <v>1185</v>
      </c>
      <c r="C48" s="271">
        <f>4049+6167</f>
        <v>10216</v>
      </c>
      <c r="D48" s="271">
        <f t="shared" si="3"/>
        <v>10216</v>
      </c>
      <c r="E48" s="617"/>
      <c r="F48" s="617">
        <v>10216</v>
      </c>
      <c r="G48" s="617"/>
      <c r="H48" s="617"/>
      <c r="I48" s="617"/>
      <c r="J48" s="617"/>
      <c r="K48" s="617"/>
      <c r="L48" s="617"/>
      <c r="M48" s="617"/>
      <c r="N48" s="617"/>
      <c r="O48" s="617"/>
    </row>
    <row r="49" spans="1:15" ht="15.75">
      <c r="A49" s="617">
        <v>101150</v>
      </c>
      <c r="B49" s="618" t="s">
        <v>1188</v>
      </c>
      <c r="C49" s="271">
        <v>5278</v>
      </c>
      <c r="D49" s="271">
        <f t="shared" si="3"/>
        <v>5278</v>
      </c>
      <c r="E49" s="617"/>
      <c r="F49" s="617">
        <v>5278</v>
      </c>
      <c r="G49" s="617"/>
      <c r="H49" s="617"/>
      <c r="I49" s="617"/>
      <c r="J49" s="617"/>
      <c r="K49" s="617"/>
      <c r="L49" s="617"/>
      <c r="M49" s="617"/>
      <c r="N49" s="617"/>
      <c r="O49" s="617"/>
    </row>
    <row r="50" spans="1:15" ht="15.75">
      <c r="A50" s="617">
        <v>103010</v>
      </c>
      <c r="B50" s="618" t="s">
        <v>738</v>
      </c>
      <c r="C50" s="271">
        <v>300</v>
      </c>
      <c r="D50" s="271">
        <f t="shared" si="3"/>
        <v>300</v>
      </c>
      <c r="E50" s="617"/>
      <c r="F50" s="617">
        <v>300</v>
      </c>
      <c r="G50" s="617"/>
      <c r="H50" s="617"/>
      <c r="I50" s="617"/>
      <c r="J50" s="617"/>
      <c r="K50" s="617"/>
      <c r="L50" s="617"/>
      <c r="M50" s="617"/>
      <c r="N50" s="617"/>
      <c r="O50" s="617"/>
    </row>
    <row r="51" spans="1:15" ht="15.75">
      <c r="A51" s="617">
        <v>104060</v>
      </c>
      <c r="B51" s="618" t="s">
        <v>1193</v>
      </c>
      <c r="C51" s="271">
        <v>1150</v>
      </c>
      <c r="D51" s="271">
        <f t="shared" si="3"/>
        <v>1150</v>
      </c>
      <c r="E51" s="617"/>
      <c r="F51" s="617">
        <v>1150</v>
      </c>
      <c r="G51" s="617"/>
      <c r="H51" s="617"/>
      <c r="I51" s="617"/>
      <c r="J51" s="617"/>
      <c r="K51" s="617"/>
      <c r="L51" s="617"/>
      <c r="M51" s="617"/>
      <c r="N51" s="617"/>
      <c r="O51" s="617"/>
    </row>
    <row r="52" spans="1:15" ht="15.75">
      <c r="A52" s="617">
        <v>107060</v>
      </c>
      <c r="B52" s="617" t="s">
        <v>1196</v>
      </c>
      <c r="C52" s="271">
        <v>7120</v>
      </c>
      <c r="D52" s="271">
        <f t="shared" si="3"/>
        <v>7120</v>
      </c>
      <c r="E52" s="617"/>
      <c r="F52" s="617">
        <v>7120</v>
      </c>
      <c r="G52" s="617"/>
      <c r="H52" s="617"/>
      <c r="I52" s="617"/>
      <c r="J52" s="617"/>
      <c r="K52" s="617"/>
      <c r="L52" s="617"/>
      <c r="M52" s="617"/>
      <c r="N52" s="617"/>
      <c r="O52" s="617"/>
    </row>
    <row r="53" spans="1:15" ht="15.75">
      <c r="A53" s="617">
        <v>900080</v>
      </c>
      <c r="B53" s="617" t="s">
        <v>895</v>
      </c>
      <c r="C53" s="271">
        <v>2775</v>
      </c>
      <c r="D53" s="271">
        <f t="shared" si="3"/>
        <v>2775</v>
      </c>
      <c r="E53" s="617"/>
      <c r="F53" s="617"/>
      <c r="G53" s="617">
        <v>2775</v>
      </c>
      <c r="H53" s="617"/>
      <c r="I53" s="617"/>
      <c r="J53" s="617"/>
      <c r="K53" s="617"/>
      <c r="L53" s="617"/>
      <c r="M53" s="617"/>
      <c r="N53" s="617"/>
      <c r="O53" s="617"/>
    </row>
    <row r="54" spans="1:15" ht="15.75">
      <c r="A54" s="617"/>
      <c r="B54" s="619" t="s">
        <v>39</v>
      </c>
      <c r="C54" s="271">
        <f>SUM(C39:C53)</f>
        <v>53536</v>
      </c>
      <c r="D54" s="271">
        <f>SUM(D39:D53)</f>
        <v>53536</v>
      </c>
      <c r="E54" s="622">
        <f aca="true" t="shared" si="4" ref="E54:O54">SUM(E39:E53)</f>
        <v>0</v>
      </c>
      <c r="F54" s="622">
        <f t="shared" si="4"/>
        <v>50761</v>
      </c>
      <c r="G54" s="622">
        <f t="shared" si="4"/>
        <v>2775</v>
      </c>
      <c r="H54" s="622">
        <f t="shared" si="4"/>
        <v>0</v>
      </c>
      <c r="I54" s="622">
        <f t="shared" si="4"/>
        <v>0</v>
      </c>
      <c r="J54" s="622">
        <f t="shared" si="4"/>
        <v>0</v>
      </c>
      <c r="K54" s="622">
        <f t="shared" si="4"/>
        <v>0</v>
      </c>
      <c r="L54" s="622">
        <f t="shared" si="4"/>
        <v>0</v>
      </c>
      <c r="M54" s="622">
        <f t="shared" si="4"/>
        <v>0</v>
      </c>
      <c r="N54" s="622">
        <f t="shared" si="4"/>
        <v>0</v>
      </c>
      <c r="O54" s="622">
        <f t="shared" si="4"/>
        <v>0</v>
      </c>
    </row>
    <row r="55" spans="1:15" ht="15.75">
      <c r="A55" s="617"/>
      <c r="B55" s="271" t="s">
        <v>926</v>
      </c>
      <c r="C55" s="271">
        <f aca="true" t="shared" si="5" ref="C55:O55">C36+C54</f>
        <v>628110</v>
      </c>
      <c r="D55" s="271">
        <f t="shared" si="5"/>
        <v>628110</v>
      </c>
      <c r="E55" s="271">
        <f t="shared" si="5"/>
        <v>174536</v>
      </c>
      <c r="F55" s="271">
        <f t="shared" si="5"/>
        <v>269750</v>
      </c>
      <c r="G55" s="271">
        <f t="shared" si="5"/>
        <v>22166</v>
      </c>
      <c r="H55" s="271">
        <f t="shared" si="5"/>
        <v>0</v>
      </c>
      <c r="I55" s="271">
        <f t="shared" si="5"/>
        <v>0</v>
      </c>
      <c r="J55" s="271">
        <f t="shared" si="5"/>
        <v>630</v>
      </c>
      <c r="K55" s="271">
        <f t="shared" si="5"/>
        <v>0</v>
      </c>
      <c r="L55" s="271">
        <f t="shared" si="5"/>
        <v>23090</v>
      </c>
      <c r="M55" s="271">
        <f t="shared" si="5"/>
        <v>0</v>
      </c>
      <c r="N55" s="271">
        <f t="shared" si="5"/>
        <v>154</v>
      </c>
      <c r="O55" s="271">
        <f t="shared" si="5"/>
        <v>137784</v>
      </c>
    </row>
    <row r="56" spans="1:15" ht="15">
      <c r="A56" s="617"/>
      <c r="B56" s="617"/>
      <c r="C56" s="620"/>
      <c r="D56" s="620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</row>
    <row r="57" spans="1:15" ht="15.75">
      <c r="A57" s="617"/>
      <c r="B57" s="611" t="s">
        <v>1123</v>
      </c>
      <c r="C57" s="620"/>
      <c r="D57" s="728" t="s">
        <v>743</v>
      </c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</row>
    <row r="58" spans="1:15" ht="47.25">
      <c r="A58" s="610"/>
      <c r="B58" s="610" t="s">
        <v>857</v>
      </c>
      <c r="C58" s="613" t="s">
        <v>742</v>
      </c>
      <c r="D58" s="729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</row>
    <row r="59" spans="1:15" ht="15.75">
      <c r="A59" s="617">
        <v>11130</v>
      </c>
      <c r="B59" s="617" t="s">
        <v>1172</v>
      </c>
      <c r="C59" s="271">
        <f>51517+13847+15200</f>
        <v>80564</v>
      </c>
      <c r="D59" s="271">
        <f>SUM(E59:O59)</f>
        <v>80564</v>
      </c>
      <c r="E59" s="617"/>
      <c r="F59" s="617"/>
      <c r="G59" s="617">
        <v>600</v>
      </c>
      <c r="H59" s="617"/>
      <c r="I59" s="617"/>
      <c r="J59" s="617"/>
      <c r="K59" s="617"/>
      <c r="L59" s="617"/>
      <c r="M59" s="617"/>
      <c r="N59" s="617"/>
      <c r="O59" s="617">
        <v>79964</v>
      </c>
    </row>
    <row r="60" spans="1:15" ht="15.75">
      <c r="A60" s="617">
        <v>16030</v>
      </c>
      <c r="B60" s="617" t="s">
        <v>737</v>
      </c>
      <c r="C60" s="271">
        <v>150</v>
      </c>
      <c r="D60" s="271">
        <f>SUM(E60:O60)</f>
        <v>150</v>
      </c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>
        <v>150</v>
      </c>
    </row>
    <row r="61" spans="1:15" ht="15.75" customHeight="1">
      <c r="A61" s="617">
        <v>74011</v>
      </c>
      <c r="B61" s="618" t="s">
        <v>872</v>
      </c>
      <c r="C61" s="271">
        <v>50</v>
      </c>
      <c r="D61" s="271">
        <f>SUM(E61:O61)</f>
        <v>50</v>
      </c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7">
        <v>50</v>
      </c>
    </row>
    <row r="62" spans="1:15" ht="15.75">
      <c r="A62" s="617"/>
      <c r="B62" s="619" t="s">
        <v>68</v>
      </c>
      <c r="C62" s="271">
        <f aca="true" t="shared" si="6" ref="C62:O62">SUM(C59:C61)</f>
        <v>80764</v>
      </c>
      <c r="D62" s="271">
        <f t="shared" si="6"/>
        <v>80764</v>
      </c>
      <c r="E62" s="619">
        <f t="shared" si="6"/>
        <v>0</v>
      </c>
      <c r="F62" s="619">
        <f t="shared" si="6"/>
        <v>0</v>
      </c>
      <c r="G62" s="619">
        <f t="shared" si="6"/>
        <v>600</v>
      </c>
      <c r="H62" s="619">
        <f t="shared" si="6"/>
        <v>0</v>
      </c>
      <c r="I62" s="619">
        <f t="shared" si="6"/>
        <v>0</v>
      </c>
      <c r="J62" s="619">
        <f t="shared" si="6"/>
        <v>0</v>
      </c>
      <c r="K62" s="619">
        <f t="shared" si="6"/>
        <v>0</v>
      </c>
      <c r="L62" s="619">
        <f t="shared" si="6"/>
        <v>0</v>
      </c>
      <c r="M62" s="619">
        <f t="shared" si="6"/>
        <v>0</v>
      </c>
      <c r="N62" s="619">
        <f t="shared" si="6"/>
        <v>0</v>
      </c>
      <c r="O62" s="619">
        <f t="shared" si="6"/>
        <v>80164</v>
      </c>
    </row>
    <row r="63" spans="1:15" ht="15.75">
      <c r="A63" s="617"/>
      <c r="B63" s="271" t="s">
        <v>955</v>
      </c>
      <c r="C63" s="271">
        <f>C62</f>
        <v>80764</v>
      </c>
      <c r="D63" s="271">
        <f>D62</f>
        <v>80764</v>
      </c>
      <c r="E63" s="271">
        <f aca="true" t="shared" si="7" ref="E63:O63">E62</f>
        <v>0</v>
      </c>
      <c r="F63" s="271">
        <f t="shared" si="7"/>
        <v>0</v>
      </c>
      <c r="G63" s="271">
        <f t="shared" si="7"/>
        <v>600</v>
      </c>
      <c r="H63" s="271">
        <f t="shared" si="7"/>
        <v>0</v>
      </c>
      <c r="I63" s="271">
        <f t="shared" si="7"/>
        <v>0</v>
      </c>
      <c r="J63" s="271">
        <f t="shared" si="7"/>
        <v>0</v>
      </c>
      <c r="K63" s="271">
        <f t="shared" si="7"/>
        <v>0</v>
      </c>
      <c r="L63" s="271">
        <f t="shared" si="7"/>
        <v>0</v>
      </c>
      <c r="M63" s="271">
        <f t="shared" si="7"/>
        <v>0</v>
      </c>
      <c r="N63" s="271">
        <f t="shared" si="7"/>
        <v>0</v>
      </c>
      <c r="O63" s="271">
        <f t="shared" si="7"/>
        <v>80164</v>
      </c>
    </row>
    <row r="64" spans="1:15" ht="15.75">
      <c r="A64" s="617"/>
      <c r="B64" s="617"/>
      <c r="C64" s="620"/>
      <c r="D64" s="620"/>
      <c r="E64" s="617"/>
      <c r="F64" s="617"/>
      <c r="G64" s="617"/>
      <c r="H64" s="617"/>
      <c r="I64" s="617"/>
      <c r="J64" s="617"/>
      <c r="K64" s="617"/>
      <c r="L64" s="619"/>
      <c r="M64" s="617"/>
      <c r="N64" s="617"/>
      <c r="O64" s="617"/>
    </row>
    <row r="65" spans="1:15" ht="15.75">
      <c r="A65" s="727" t="s">
        <v>948</v>
      </c>
      <c r="B65" s="727"/>
      <c r="C65" s="620"/>
      <c r="D65" s="728" t="s">
        <v>743</v>
      </c>
      <c r="E65" s="617"/>
      <c r="F65" s="617"/>
      <c r="G65" s="617"/>
      <c r="H65" s="617"/>
      <c r="I65" s="617"/>
      <c r="J65" s="617"/>
      <c r="K65" s="617"/>
      <c r="L65" s="617"/>
      <c r="M65" s="617"/>
      <c r="N65" s="617"/>
      <c r="O65" s="617"/>
    </row>
    <row r="66" spans="1:15" ht="47.25">
      <c r="A66" s="610"/>
      <c r="B66" s="610" t="s">
        <v>857</v>
      </c>
      <c r="C66" s="613" t="s">
        <v>742</v>
      </c>
      <c r="D66" s="729"/>
      <c r="E66" s="617"/>
      <c r="F66" s="617"/>
      <c r="G66" s="617"/>
      <c r="H66" s="617"/>
      <c r="I66" s="617"/>
      <c r="J66" s="617"/>
      <c r="K66" s="617"/>
      <c r="L66" s="617"/>
      <c r="M66" s="617"/>
      <c r="N66" s="617"/>
      <c r="O66" s="617"/>
    </row>
    <row r="67" spans="1:15" ht="15.75">
      <c r="A67" s="617">
        <v>74011</v>
      </c>
      <c r="B67" s="618" t="s">
        <v>872</v>
      </c>
      <c r="C67" s="271">
        <v>20</v>
      </c>
      <c r="D67" s="271">
        <f aca="true" t="shared" si="8" ref="D67:D72">SUM(E67:O67)</f>
        <v>20</v>
      </c>
      <c r="E67" s="617"/>
      <c r="F67" s="617"/>
      <c r="G67" s="617"/>
      <c r="H67" s="617"/>
      <c r="I67" s="617"/>
      <c r="J67" s="617"/>
      <c r="K67" s="617"/>
      <c r="L67" s="617"/>
      <c r="M67" s="617"/>
      <c r="N67" s="617"/>
      <c r="O67" s="617">
        <v>20</v>
      </c>
    </row>
    <row r="68" spans="1:15" ht="15.75">
      <c r="A68" s="617">
        <v>82042</v>
      </c>
      <c r="B68" s="617" t="s">
        <v>201</v>
      </c>
      <c r="C68" s="271">
        <v>384</v>
      </c>
      <c r="D68" s="271">
        <f t="shared" si="8"/>
        <v>384</v>
      </c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>
        <v>384</v>
      </c>
    </row>
    <row r="69" spans="1:15" ht="15.75">
      <c r="A69" s="617">
        <v>82044</v>
      </c>
      <c r="B69" s="617" t="s">
        <v>204</v>
      </c>
      <c r="C69" s="271">
        <f>4356+1194+64</f>
        <v>5614</v>
      </c>
      <c r="D69" s="271">
        <f t="shared" si="8"/>
        <v>5614</v>
      </c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>
        <v>5614</v>
      </c>
    </row>
    <row r="70" spans="1:15" ht="15.75">
      <c r="A70" s="617">
        <v>82091</v>
      </c>
      <c r="B70" s="617" t="s">
        <v>1406</v>
      </c>
      <c r="C70" s="271">
        <f>50+26+508</f>
        <v>584</v>
      </c>
      <c r="D70" s="271">
        <f t="shared" si="8"/>
        <v>584</v>
      </c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>
        <v>584</v>
      </c>
    </row>
    <row r="71" spans="1:15" ht="15.75">
      <c r="A71" s="617">
        <v>82092</v>
      </c>
      <c r="B71" s="617" t="s">
        <v>1407</v>
      </c>
      <c r="C71" s="271">
        <f>3754+1044+5725</f>
        <v>10523</v>
      </c>
      <c r="D71" s="271">
        <f t="shared" si="8"/>
        <v>10523</v>
      </c>
      <c r="E71" s="617"/>
      <c r="F71" s="617"/>
      <c r="G71" s="617">
        <v>600</v>
      </c>
      <c r="H71" s="617"/>
      <c r="I71" s="617"/>
      <c r="J71" s="617"/>
      <c r="K71" s="617"/>
      <c r="L71" s="617"/>
      <c r="M71" s="617"/>
      <c r="N71" s="617"/>
      <c r="O71" s="617">
        <v>9923</v>
      </c>
    </row>
    <row r="72" spans="1:15" ht="15.75">
      <c r="A72" s="617"/>
      <c r="B72" s="619" t="s">
        <v>68</v>
      </c>
      <c r="C72" s="271">
        <f>SUM(C67:C71)</f>
        <v>17125</v>
      </c>
      <c r="D72" s="271">
        <f t="shared" si="8"/>
        <v>17125</v>
      </c>
      <c r="E72" s="271">
        <f>SUM(E67:E71)</f>
        <v>0</v>
      </c>
      <c r="F72" s="271">
        <f aca="true" t="shared" si="9" ref="F72:O72">SUM(F67:F71)</f>
        <v>0</v>
      </c>
      <c r="G72" s="271">
        <f t="shared" si="9"/>
        <v>600</v>
      </c>
      <c r="H72" s="271">
        <f t="shared" si="9"/>
        <v>0</v>
      </c>
      <c r="I72" s="271">
        <f t="shared" si="9"/>
        <v>0</v>
      </c>
      <c r="J72" s="271">
        <f t="shared" si="9"/>
        <v>0</v>
      </c>
      <c r="K72" s="271">
        <f t="shared" si="9"/>
        <v>0</v>
      </c>
      <c r="L72" s="271">
        <f t="shared" si="9"/>
        <v>0</v>
      </c>
      <c r="M72" s="271">
        <f t="shared" si="9"/>
        <v>0</v>
      </c>
      <c r="N72" s="271">
        <f t="shared" si="9"/>
        <v>0</v>
      </c>
      <c r="O72" s="271">
        <f t="shared" si="9"/>
        <v>16525</v>
      </c>
    </row>
    <row r="73" spans="1:15" ht="15.75">
      <c r="A73" s="617"/>
      <c r="B73" s="610" t="s">
        <v>40</v>
      </c>
      <c r="C73" s="620"/>
      <c r="D73" s="62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</row>
    <row r="74" spans="1:15" ht="15.75">
      <c r="A74" s="617">
        <v>16080</v>
      </c>
      <c r="B74" s="618" t="s">
        <v>1402</v>
      </c>
      <c r="C74" s="271">
        <f>1200+614+5675</f>
        <v>7489</v>
      </c>
      <c r="D74" s="271">
        <f>SUM(E74:O74)</f>
        <v>7489</v>
      </c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>
        <v>7489</v>
      </c>
    </row>
    <row r="75" spans="1:15" ht="15.75">
      <c r="A75" s="617"/>
      <c r="B75" s="619" t="s">
        <v>39</v>
      </c>
      <c r="C75" s="271">
        <f aca="true" t="shared" si="10" ref="C75:O75">SUM(C74:C74)</f>
        <v>7489</v>
      </c>
      <c r="D75" s="271">
        <f t="shared" si="10"/>
        <v>7489</v>
      </c>
      <c r="E75" s="271">
        <f t="shared" si="10"/>
        <v>0</v>
      </c>
      <c r="F75" s="271">
        <f t="shared" si="10"/>
        <v>0</v>
      </c>
      <c r="G75" s="271">
        <f t="shared" si="10"/>
        <v>0</v>
      </c>
      <c r="H75" s="271">
        <f t="shared" si="10"/>
        <v>0</v>
      </c>
      <c r="I75" s="271">
        <f t="shared" si="10"/>
        <v>0</v>
      </c>
      <c r="J75" s="271">
        <f t="shared" si="10"/>
        <v>0</v>
      </c>
      <c r="K75" s="271">
        <f t="shared" si="10"/>
        <v>0</v>
      </c>
      <c r="L75" s="271">
        <f t="shared" si="10"/>
        <v>0</v>
      </c>
      <c r="M75" s="271">
        <f t="shared" si="10"/>
        <v>0</v>
      </c>
      <c r="N75" s="271">
        <f t="shared" si="10"/>
        <v>0</v>
      </c>
      <c r="O75" s="271">
        <f t="shared" si="10"/>
        <v>7489</v>
      </c>
    </row>
    <row r="76" spans="1:15" ht="31.5">
      <c r="A76" s="617"/>
      <c r="B76" s="623" t="s">
        <v>956</v>
      </c>
      <c r="C76" s="271">
        <f aca="true" t="shared" si="11" ref="C76:O76">C72+C75</f>
        <v>24614</v>
      </c>
      <c r="D76" s="271">
        <f t="shared" si="11"/>
        <v>24614</v>
      </c>
      <c r="E76" s="271">
        <f t="shared" si="11"/>
        <v>0</v>
      </c>
      <c r="F76" s="271">
        <f t="shared" si="11"/>
        <v>0</v>
      </c>
      <c r="G76" s="271">
        <f t="shared" si="11"/>
        <v>600</v>
      </c>
      <c r="H76" s="271">
        <f t="shared" si="11"/>
        <v>0</v>
      </c>
      <c r="I76" s="271">
        <f t="shared" si="11"/>
        <v>0</v>
      </c>
      <c r="J76" s="271">
        <f t="shared" si="11"/>
        <v>0</v>
      </c>
      <c r="K76" s="271">
        <f t="shared" si="11"/>
        <v>0</v>
      </c>
      <c r="L76" s="271">
        <f t="shared" si="11"/>
        <v>0</v>
      </c>
      <c r="M76" s="271">
        <f t="shared" si="11"/>
        <v>0</v>
      </c>
      <c r="N76" s="271">
        <f t="shared" si="11"/>
        <v>0</v>
      </c>
      <c r="O76" s="271">
        <f t="shared" si="11"/>
        <v>24014</v>
      </c>
    </row>
    <row r="77" spans="1:15" ht="15.75">
      <c r="A77" s="617"/>
      <c r="B77" s="624"/>
      <c r="C77" s="271"/>
      <c r="D77" s="271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</row>
    <row r="78" spans="1:15" ht="15.75">
      <c r="A78" s="727" t="s">
        <v>52</v>
      </c>
      <c r="B78" s="727"/>
      <c r="C78" s="620"/>
      <c r="D78" s="728" t="s">
        <v>743</v>
      </c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</row>
    <row r="79" spans="1:15" ht="47.25">
      <c r="A79" s="610"/>
      <c r="B79" s="610" t="s">
        <v>857</v>
      </c>
      <c r="C79" s="613" t="s">
        <v>742</v>
      </c>
      <c r="D79" s="729"/>
      <c r="E79" s="622"/>
      <c r="F79" s="622"/>
      <c r="G79" s="622"/>
      <c r="H79" s="622"/>
      <c r="I79" s="622"/>
      <c r="J79" s="622"/>
      <c r="K79" s="622"/>
      <c r="L79" s="622"/>
      <c r="M79" s="622"/>
      <c r="N79" s="622"/>
      <c r="O79" s="622"/>
    </row>
    <row r="80" spans="1:15" ht="15.75">
      <c r="A80" s="617">
        <v>91110</v>
      </c>
      <c r="B80" s="617" t="s">
        <v>1408</v>
      </c>
      <c r="C80" s="271">
        <f>50934+14043+1533</f>
        <v>66510</v>
      </c>
      <c r="D80" s="271">
        <f>SUM(E80:O80)</f>
        <v>66510</v>
      </c>
      <c r="E80" s="622"/>
      <c r="F80" s="622"/>
      <c r="G80" s="622"/>
      <c r="H80" s="622"/>
      <c r="I80" s="622"/>
      <c r="J80" s="622"/>
      <c r="K80" s="622"/>
      <c r="L80" s="622"/>
      <c r="M80" s="622"/>
      <c r="N80" s="622"/>
      <c r="O80" s="622">
        <v>66510</v>
      </c>
    </row>
    <row r="81" spans="1:15" ht="15.75">
      <c r="A81" s="617">
        <v>91140</v>
      </c>
      <c r="B81" s="617" t="s">
        <v>1409</v>
      </c>
      <c r="C81" s="271">
        <f>45+24+8198</f>
        <v>8267</v>
      </c>
      <c r="D81" s="271">
        <f>SUM(E81:O81)</f>
        <v>8267</v>
      </c>
      <c r="E81" s="622"/>
      <c r="F81" s="622"/>
      <c r="G81" s="622"/>
      <c r="H81" s="622"/>
      <c r="I81" s="622"/>
      <c r="J81" s="622"/>
      <c r="K81" s="622"/>
      <c r="L81" s="622"/>
      <c r="M81" s="622"/>
      <c r="N81" s="622"/>
      <c r="O81" s="622">
        <v>8267</v>
      </c>
    </row>
    <row r="82" spans="1:15" ht="15.75">
      <c r="A82" s="617">
        <v>104030</v>
      </c>
      <c r="B82" s="617" t="s">
        <v>1189</v>
      </c>
      <c r="C82" s="271">
        <f>9600+2747+785</f>
        <v>13132</v>
      </c>
      <c r="D82" s="271">
        <f>SUM(E82:O82)</f>
        <v>13132</v>
      </c>
      <c r="E82" s="622"/>
      <c r="F82" s="622"/>
      <c r="G82" s="622"/>
      <c r="H82" s="622"/>
      <c r="I82" s="622"/>
      <c r="J82" s="622"/>
      <c r="K82" s="622"/>
      <c r="L82" s="622"/>
      <c r="M82" s="622"/>
      <c r="N82" s="622"/>
      <c r="O82" s="622">
        <v>13132</v>
      </c>
    </row>
    <row r="83" spans="1:15" ht="15.75">
      <c r="A83" s="617"/>
      <c r="B83" s="619" t="s">
        <v>68</v>
      </c>
      <c r="C83" s="271">
        <f>SUM(C80:C82)</f>
        <v>87909</v>
      </c>
      <c r="D83" s="271">
        <f aca="true" t="shared" si="12" ref="D83:O83">SUM(D80:D82)</f>
        <v>87909</v>
      </c>
      <c r="E83" s="271">
        <f t="shared" si="12"/>
        <v>0</v>
      </c>
      <c r="F83" s="271">
        <f t="shared" si="12"/>
        <v>0</v>
      </c>
      <c r="G83" s="271">
        <f t="shared" si="12"/>
        <v>0</v>
      </c>
      <c r="H83" s="271">
        <f t="shared" si="12"/>
        <v>0</v>
      </c>
      <c r="I83" s="271">
        <f t="shared" si="12"/>
        <v>0</v>
      </c>
      <c r="J83" s="271">
        <f t="shared" si="12"/>
        <v>0</v>
      </c>
      <c r="K83" s="271">
        <f t="shared" si="12"/>
        <v>0</v>
      </c>
      <c r="L83" s="271">
        <f t="shared" si="12"/>
        <v>0</v>
      </c>
      <c r="M83" s="271">
        <f t="shared" si="12"/>
        <v>0</v>
      </c>
      <c r="N83" s="271">
        <f t="shared" si="12"/>
        <v>0</v>
      </c>
      <c r="O83" s="271">
        <f t="shared" si="12"/>
        <v>87909</v>
      </c>
    </row>
    <row r="84" spans="1:15" ht="25.5" customHeight="1">
      <c r="A84" s="617"/>
      <c r="B84" s="623" t="s">
        <v>744</v>
      </c>
      <c r="C84" s="271">
        <f>C83</f>
        <v>87909</v>
      </c>
      <c r="D84" s="271">
        <f aca="true" t="shared" si="13" ref="D84:O84">D83</f>
        <v>87909</v>
      </c>
      <c r="E84" s="271">
        <f t="shared" si="13"/>
        <v>0</v>
      </c>
      <c r="F84" s="271">
        <f t="shared" si="13"/>
        <v>0</v>
      </c>
      <c r="G84" s="271">
        <f t="shared" si="13"/>
        <v>0</v>
      </c>
      <c r="H84" s="271">
        <f t="shared" si="13"/>
        <v>0</v>
      </c>
      <c r="I84" s="271">
        <f t="shared" si="13"/>
        <v>0</v>
      </c>
      <c r="J84" s="271">
        <f t="shared" si="13"/>
        <v>0</v>
      </c>
      <c r="K84" s="271">
        <f t="shared" si="13"/>
        <v>0</v>
      </c>
      <c r="L84" s="271">
        <f t="shared" si="13"/>
        <v>0</v>
      </c>
      <c r="M84" s="271">
        <f t="shared" si="13"/>
        <v>0</v>
      </c>
      <c r="N84" s="271">
        <f t="shared" si="13"/>
        <v>0</v>
      </c>
      <c r="O84" s="271">
        <f t="shared" si="13"/>
        <v>87909</v>
      </c>
    </row>
    <row r="85" spans="1:15" ht="24" customHeight="1">
      <c r="A85" s="617"/>
      <c r="B85" s="271" t="s">
        <v>81</v>
      </c>
      <c r="C85" s="271">
        <f aca="true" t="shared" si="14" ref="C85:O85">C55+C63+C76+C84</f>
        <v>821397</v>
      </c>
      <c r="D85" s="271">
        <f t="shared" si="14"/>
        <v>821397</v>
      </c>
      <c r="E85" s="271">
        <f t="shared" si="14"/>
        <v>174536</v>
      </c>
      <c r="F85" s="271">
        <f t="shared" si="14"/>
        <v>269750</v>
      </c>
      <c r="G85" s="271">
        <f t="shared" si="14"/>
        <v>23366</v>
      </c>
      <c r="H85" s="271">
        <f t="shared" si="14"/>
        <v>0</v>
      </c>
      <c r="I85" s="271">
        <f t="shared" si="14"/>
        <v>0</v>
      </c>
      <c r="J85" s="271">
        <f t="shared" si="14"/>
        <v>630</v>
      </c>
      <c r="K85" s="271">
        <f t="shared" si="14"/>
        <v>0</v>
      </c>
      <c r="L85" s="271">
        <f t="shared" si="14"/>
        <v>23090</v>
      </c>
      <c r="M85" s="271">
        <f t="shared" si="14"/>
        <v>0</v>
      </c>
      <c r="N85" s="271">
        <f t="shared" si="14"/>
        <v>154</v>
      </c>
      <c r="O85" s="271">
        <f t="shared" si="14"/>
        <v>329871</v>
      </c>
    </row>
  </sheetData>
  <mergeCells count="24">
    <mergeCell ref="D65:D66"/>
    <mergeCell ref="O4:O5"/>
    <mergeCell ref="A65:B65"/>
    <mergeCell ref="F4:F5"/>
    <mergeCell ref="L4:L5"/>
    <mergeCell ref="B4:C4"/>
    <mergeCell ref="D4:D5"/>
    <mergeCell ref="E4:E5"/>
    <mergeCell ref="O37:O38"/>
    <mergeCell ref="D57:D58"/>
    <mergeCell ref="F37:F38"/>
    <mergeCell ref="G37:G38"/>
    <mergeCell ref="H37:H38"/>
    <mergeCell ref="J37:K38"/>
    <mergeCell ref="M37:N38"/>
    <mergeCell ref="A78:B78"/>
    <mergeCell ref="D78:D79"/>
    <mergeCell ref="G4:G5"/>
    <mergeCell ref="H4:H5"/>
    <mergeCell ref="J4:K5"/>
    <mergeCell ref="M4:N5"/>
    <mergeCell ref="L37:L38"/>
    <mergeCell ref="D37:D38"/>
    <mergeCell ref="E37:E38"/>
  </mergeCells>
  <printOptions/>
  <pageMargins left="0.75" right="0.75" top="1" bottom="1" header="0.5" footer="0.5"/>
  <pageSetup fitToHeight="2" fitToWidth="1" horizontalDpi="600" verticalDpi="600" orientation="portrait" paperSize="9" scale="3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G24" sqref="G24"/>
    </sheetView>
  </sheetViews>
  <sheetFormatPr defaultColWidth="9.140625" defaultRowHeight="12.75"/>
  <cols>
    <col min="1" max="1" width="4.7109375" style="46" customWidth="1"/>
    <col min="2" max="2" width="55.7109375" style="46" customWidth="1"/>
    <col min="3" max="3" width="0" style="37" hidden="1" customWidth="1"/>
    <col min="4" max="4" width="30.7109375" style="46" customWidth="1"/>
    <col min="5" max="6" width="12.7109375" style="59" customWidth="1"/>
    <col min="7" max="7" width="14.7109375" style="59" customWidth="1"/>
    <col min="8" max="8" width="9.140625" style="102" customWidth="1"/>
    <col min="9" max="9" width="9.140625" style="46" customWidth="1"/>
    <col min="10" max="12" width="9.140625" style="102" customWidth="1"/>
    <col min="13" max="16384" width="9.140625" style="46" customWidth="1"/>
  </cols>
  <sheetData>
    <row r="1" ht="15.75">
      <c r="G1" s="66" t="s">
        <v>762</v>
      </c>
    </row>
    <row r="2" ht="15.75">
      <c r="G2" s="66"/>
    </row>
    <row r="4" spans="2:13" ht="15.75">
      <c r="B4" s="695" t="str">
        <f>tartalom!B25</f>
        <v>Felhalmozások (felújítások célonként, felhalmozási kiadások-beruházások feladatonként) és forrásaik</v>
      </c>
      <c r="C4" s="722"/>
      <c r="D4" s="722"/>
      <c r="E4" s="722"/>
      <c r="F4" s="43"/>
      <c r="G4" s="43"/>
      <c r="I4" s="39"/>
      <c r="M4" s="39"/>
    </row>
    <row r="5" spans="2:13" ht="15.75">
      <c r="B5" s="103"/>
      <c r="C5" s="39"/>
      <c r="D5" s="39"/>
      <c r="E5" s="43"/>
      <c r="F5" s="43"/>
      <c r="G5" s="43"/>
      <c r="I5" s="39"/>
      <c r="M5" s="39"/>
    </row>
    <row r="6" ht="15.75">
      <c r="G6" s="66" t="s">
        <v>1416</v>
      </c>
    </row>
    <row r="7" spans="1:12" s="7" customFormat="1" ht="15.75">
      <c r="A7" s="697"/>
      <c r="B7" s="698" t="s">
        <v>1067</v>
      </c>
      <c r="C7" s="182"/>
      <c r="D7" s="698" t="s">
        <v>1068</v>
      </c>
      <c r="E7" s="698"/>
      <c r="F7" s="696" t="s">
        <v>1069</v>
      </c>
      <c r="G7" s="696" t="s">
        <v>965</v>
      </c>
      <c r="H7" s="104"/>
      <c r="J7" s="104"/>
      <c r="K7" s="104"/>
      <c r="L7" s="104"/>
    </row>
    <row r="8" spans="1:12" s="7" customFormat="1" ht="15.75">
      <c r="A8" s="697"/>
      <c r="B8" s="698"/>
      <c r="C8" s="182"/>
      <c r="D8" s="182" t="s">
        <v>1067</v>
      </c>
      <c r="E8" s="183" t="s">
        <v>1070</v>
      </c>
      <c r="F8" s="696"/>
      <c r="G8" s="696"/>
      <c r="H8" s="104"/>
      <c r="J8" s="104"/>
      <c r="K8" s="104"/>
      <c r="L8" s="104"/>
    </row>
    <row r="9" spans="1:12" s="7" customFormat="1" ht="15.75">
      <c r="A9" s="182" t="s">
        <v>752</v>
      </c>
      <c r="B9" s="592" t="s">
        <v>753</v>
      </c>
      <c r="C9" s="182"/>
      <c r="D9" s="182"/>
      <c r="E9" s="183">
        <v>0</v>
      </c>
      <c r="F9" s="183">
        <v>10000</v>
      </c>
      <c r="G9" s="183">
        <v>10000</v>
      </c>
      <c r="H9" s="104"/>
      <c r="J9" s="104"/>
      <c r="K9" s="104"/>
      <c r="L9" s="104"/>
    </row>
    <row r="10" spans="1:12" s="7" customFormat="1" ht="15.75">
      <c r="A10" s="182" t="s">
        <v>531</v>
      </c>
      <c r="B10" s="592" t="s">
        <v>754</v>
      </c>
      <c r="C10" s="182"/>
      <c r="D10" s="182"/>
      <c r="E10" s="183">
        <v>0</v>
      </c>
      <c r="F10" s="183">
        <v>4006</v>
      </c>
      <c r="G10" s="183">
        <v>4006</v>
      </c>
      <c r="H10" s="104"/>
      <c r="J10" s="104"/>
      <c r="K10" s="104"/>
      <c r="L10" s="104"/>
    </row>
    <row r="11" spans="1:12" s="7" customFormat="1" ht="15.75">
      <c r="A11" s="182" t="s">
        <v>546</v>
      </c>
      <c r="B11" s="592" t="s">
        <v>755</v>
      </c>
      <c r="C11" s="182"/>
      <c r="D11" s="182"/>
      <c r="E11" s="183">
        <v>0</v>
      </c>
      <c r="F11" s="183">
        <v>450</v>
      </c>
      <c r="G11" s="183">
        <v>450</v>
      </c>
      <c r="H11" s="104"/>
      <c r="J11" s="104"/>
      <c r="K11" s="104"/>
      <c r="L11" s="104"/>
    </row>
    <row r="12" spans="1:12" s="7" customFormat="1" ht="15.75">
      <c r="A12" s="182"/>
      <c r="B12" s="593" t="s">
        <v>756</v>
      </c>
      <c r="C12" s="182"/>
      <c r="D12" s="182"/>
      <c r="E12" s="594">
        <v>0</v>
      </c>
      <c r="F12" s="594">
        <v>14456</v>
      </c>
      <c r="G12" s="594">
        <v>14456</v>
      </c>
      <c r="H12" s="104"/>
      <c r="J12" s="104"/>
      <c r="K12" s="104"/>
      <c r="L12" s="104"/>
    </row>
    <row r="13" spans="1:12" s="7" customFormat="1" ht="15.75">
      <c r="A13" s="182" t="s">
        <v>515</v>
      </c>
      <c r="B13" s="592" t="s">
        <v>757</v>
      </c>
      <c r="C13" s="182"/>
      <c r="D13" s="182"/>
      <c r="E13" s="183">
        <v>0</v>
      </c>
      <c r="F13" s="183">
        <v>2800</v>
      </c>
      <c r="G13" s="183">
        <v>2800</v>
      </c>
      <c r="H13" s="595"/>
      <c r="J13" s="595"/>
      <c r="K13" s="595"/>
      <c r="L13" s="595"/>
    </row>
    <row r="14" spans="1:13" ht="15.75">
      <c r="A14" s="187" t="s">
        <v>531</v>
      </c>
      <c r="B14" s="188" t="s">
        <v>758</v>
      </c>
      <c r="C14" s="187"/>
      <c r="D14" s="201"/>
      <c r="E14" s="189">
        <v>0</v>
      </c>
      <c r="F14" s="189">
        <v>47300</v>
      </c>
      <c r="G14" s="189">
        <v>47300</v>
      </c>
      <c r="I14" s="105"/>
      <c r="M14" s="103"/>
    </row>
    <row r="15" spans="1:13" ht="15.75">
      <c r="A15" s="187" t="s">
        <v>546</v>
      </c>
      <c r="B15" s="188" t="s">
        <v>759</v>
      </c>
      <c r="C15" s="187"/>
      <c r="D15" s="201" t="s">
        <v>901</v>
      </c>
      <c r="E15" s="189">
        <v>5293</v>
      </c>
      <c r="F15" s="189">
        <v>588</v>
      </c>
      <c r="G15" s="189">
        <v>5881</v>
      </c>
      <c r="I15" s="105"/>
      <c r="M15" s="103"/>
    </row>
    <row r="16" spans="1:13" ht="15.75">
      <c r="A16" s="187" t="s">
        <v>547</v>
      </c>
      <c r="B16" s="188" t="s">
        <v>373</v>
      </c>
      <c r="C16" s="187"/>
      <c r="D16" s="201" t="s">
        <v>898</v>
      </c>
      <c r="E16" s="189">
        <v>4078</v>
      </c>
      <c r="F16" s="189">
        <v>0</v>
      </c>
      <c r="G16" s="189">
        <v>4078</v>
      </c>
      <c r="I16" s="105"/>
      <c r="M16" s="103"/>
    </row>
    <row r="17" spans="1:13" ht="15.75">
      <c r="A17" s="187" t="s">
        <v>548</v>
      </c>
      <c r="B17" s="188" t="s">
        <v>899</v>
      </c>
      <c r="C17" s="187"/>
      <c r="D17" s="201" t="s">
        <v>897</v>
      </c>
      <c r="E17" s="189">
        <v>297</v>
      </c>
      <c r="F17" s="189">
        <v>0</v>
      </c>
      <c r="G17" s="189">
        <v>297</v>
      </c>
      <c r="I17" s="105"/>
      <c r="M17" s="103"/>
    </row>
    <row r="18" spans="1:13" ht="15.75">
      <c r="A18" s="187" t="s">
        <v>549</v>
      </c>
      <c r="B18" s="188" t="s">
        <v>760</v>
      </c>
      <c r="C18" s="187"/>
      <c r="D18" s="201" t="s">
        <v>900</v>
      </c>
      <c r="E18" s="189">
        <v>10950</v>
      </c>
      <c r="F18" s="189">
        <v>1327</v>
      </c>
      <c r="G18" s="189">
        <v>12277</v>
      </c>
      <c r="I18" s="105"/>
      <c r="M18" s="103"/>
    </row>
    <row r="19" spans="1:13" ht="15.75">
      <c r="A19" s="187" t="s">
        <v>551</v>
      </c>
      <c r="B19" s="188" t="s">
        <v>761</v>
      </c>
      <c r="C19" s="187"/>
      <c r="D19" s="201"/>
      <c r="E19" s="189">
        <v>0</v>
      </c>
      <c r="F19" s="189">
        <v>8500</v>
      </c>
      <c r="G19" s="189">
        <v>8500</v>
      </c>
      <c r="I19" s="105"/>
      <c r="M19" s="103"/>
    </row>
    <row r="20" spans="1:13" ht="15.75">
      <c r="A20" s="187" t="s">
        <v>552</v>
      </c>
      <c r="B20" s="188" t="s">
        <v>58</v>
      </c>
      <c r="C20" s="187"/>
      <c r="D20" s="201"/>
      <c r="E20" s="189"/>
      <c r="F20" s="189">
        <v>5000</v>
      </c>
      <c r="G20" s="189">
        <v>5000</v>
      </c>
      <c r="I20" s="105"/>
      <c r="M20" s="103"/>
    </row>
    <row r="21" spans="1:9" ht="15.75">
      <c r="A21" s="184"/>
      <c r="B21" s="185" t="s">
        <v>1071</v>
      </c>
      <c r="C21" s="184"/>
      <c r="D21" s="185"/>
      <c r="E21" s="186">
        <f>SUM(E13:E19)</f>
        <v>20618</v>
      </c>
      <c r="F21" s="186">
        <f>SUM(F13:F20)</f>
        <v>65515</v>
      </c>
      <c r="G21" s="186">
        <f>SUM(G13:G20)</f>
        <v>86133</v>
      </c>
      <c r="I21" s="106"/>
    </row>
    <row r="22" spans="1:9" ht="30" customHeight="1">
      <c r="A22" s="188"/>
      <c r="B22" s="185" t="s">
        <v>1527</v>
      </c>
      <c r="C22" s="187"/>
      <c r="D22" s="188"/>
      <c r="E22" s="186">
        <f>E12+E21</f>
        <v>20618</v>
      </c>
      <c r="F22" s="186">
        <f>F12+F21</f>
        <v>79971</v>
      </c>
      <c r="G22" s="186">
        <f>G12+G21</f>
        <v>100589</v>
      </c>
      <c r="I22" s="107"/>
    </row>
    <row r="23" ht="15.75">
      <c r="I23" s="106"/>
    </row>
    <row r="24" ht="15.75">
      <c r="I24" s="106"/>
    </row>
    <row r="25" spans="1:9" ht="15.75">
      <c r="A25" s="37"/>
      <c r="E25" s="41"/>
      <c r="I25" s="106"/>
    </row>
    <row r="26" ht="15.75">
      <c r="I26" s="106"/>
    </row>
    <row r="27" ht="15.75">
      <c r="I27" s="106"/>
    </row>
    <row r="28" ht="15.75">
      <c r="I28" s="106"/>
    </row>
    <row r="29" ht="15.75">
      <c r="I29" s="106"/>
    </row>
    <row r="30" ht="15.75">
      <c r="I30" s="106"/>
    </row>
    <row r="31" ht="15.75">
      <c r="I31" s="106"/>
    </row>
    <row r="32" ht="15.75">
      <c r="I32" s="106"/>
    </row>
    <row r="33" spans="1:12" s="110" customFormat="1" ht="15.75">
      <c r="A33" s="46"/>
      <c r="B33" s="46"/>
      <c r="C33" s="37"/>
      <c r="D33" s="46"/>
      <c r="E33" s="59"/>
      <c r="F33" s="59"/>
      <c r="G33" s="59"/>
      <c r="H33" s="108"/>
      <c r="I33" s="109"/>
      <c r="J33" s="108"/>
      <c r="K33" s="108"/>
      <c r="L33" s="108"/>
    </row>
    <row r="34" spans="1:12" s="110" customFormat="1" ht="15.75">
      <c r="A34" s="46"/>
      <c r="B34" s="46"/>
      <c r="C34" s="37"/>
      <c r="D34" s="46"/>
      <c r="E34" s="59"/>
      <c r="F34" s="59"/>
      <c r="G34" s="59"/>
      <c r="H34" s="108"/>
      <c r="I34" s="109"/>
      <c r="J34" s="108"/>
      <c r="K34" s="108"/>
      <c r="L34" s="108"/>
    </row>
    <row r="35" ht="15.75">
      <c r="I35" s="106"/>
    </row>
    <row r="36" ht="15.75">
      <c r="I36" s="106"/>
    </row>
    <row r="37" ht="15.75">
      <c r="I37" s="106"/>
    </row>
    <row r="38" ht="15.75">
      <c r="I38" s="106"/>
    </row>
    <row r="41" ht="15.75">
      <c r="I41" s="106"/>
    </row>
    <row r="42" ht="15.75">
      <c r="I42" s="106"/>
    </row>
    <row r="43" spans="9:13" ht="15.75">
      <c r="I43" s="105"/>
      <c r="M43" s="103"/>
    </row>
    <row r="47" ht="15.75">
      <c r="I47" s="106"/>
    </row>
  </sheetData>
  <mergeCells count="6">
    <mergeCell ref="B4:E4"/>
    <mergeCell ref="G7:G8"/>
    <mergeCell ref="A7:A8"/>
    <mergeCell ref="B7:B8"/>
    <mergeCell ref="D7:E7"/>
    <mergeCell ref="F7:F8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I18" sqref="I18"/>
    </sheetView>
  </sheetViews>
  <sheetFormatPr defaultColWidth="9.140625" defaultRowHeight="12.75"/>
  <cols>
    <col min="1" max="1" width="45.140625" style="1" customWidth="1"/>
    <col min="2" max="3" width="15.7109375" style="1" customWidth="1"/>
    <col min="4" max="4" width="11.8515625" style="1" hidden="1" customWidth="1"/>
    <col min="5" max="9" width="11.8515625" style="1" customWidth="1"/>
    <col min="10" max="10" width="11.00390625" style="1" customWidth="1"/>
    <col min="11" max="11" width="13.7109375" style="1" customWidth="1"/>
    <col min="12" max="16384" width="9.140625" style="1" customWidth="1"/>
  </cols>
  <sheetData>
    <row r="1" spans="3:11" ht="15.75">
      <c r="C1" s="701" t="s">
        <v>65</v>
      </c>
      <c r="D1" s="701"/>
      <c r="E1" s="701"/>
      <c r="F1" s="701"/>
      <c r="G1" s="701"/>
      <c r="H1" s="701"/>
      <c r="I1" s="701"/>
      <c r="J1" s="701"/>
      <c r="K1" s="66"/>
    </row>
    <row r="3" ht="15.75">
      <c r="A3" s="40" t="str">
        <f>tartalom!B26</f>
        <v>Röszke Község Önkormányzatánál több éves kihatással járó feladatok előirányzatai éves bontásban</v>
      </c>
    </row>
    <row r="4" ht="15.75">
      <c r="A4" s="40"/>
    </row>
    <row r="5" spans="10:11" ht="15.75">
      <c r="J5" s="37" t="s">
        <v>430</v>
      </c>
      <c r="K5" s="37"/>
    </row>
    <row r="6" spans="1:10" ht="63">
      <c r="A6" s="111" t="s">
        <v>1072</v>
      </c>
      <c r="B6" s="112" t="s">
        <v>1073</v>
      </c>
      <c r="C6" s="112" t="s">
        <v>388</v>
      </c>
      <c r="D6" s="113" t="s">
        <v>1075</v>
      </c>
      <c r="E6" s="113" t="s">
        <v>1157</v>
      </c>
      <c r="F6" s="113" t="s">
        <v>1158</v>
      </c>
      <c r="G6" s="113" t="s">
        <v>169</v>
      </c>
      <c r="H6" s="113" t="s">
        <v>63</v>
      </c>
      <c r="I6" s="112" t="s">
        <v>64</v>
      </c>
      <c r="J6" s="113" t="s">
        <v>965</v>
      </c>
    </row>
    <row r="7" spans="1:10" ht="15.75">
      <c r="A7" s="114"/>
      <c r="B7" s="115"/>
      <c r="C7" s="155"/>
      <c r="D7" s="115"/>
      <c r="E7" s="115"/>
      <c r="F7" s="115"/>
      <c r="G7" s="115"/>
      <c r="H7" s="115"/>
      <c r="I7" s="115"/>
      <c r="J7" s="116"/>
    </row>
    <row r="8" spans="1:10" ht="15.75">
      <c r="A8" s="196"/>
      <c r="B8" s="197"/>
      <c r="C8" s="183"/>
      <c r="D8" s="197"/>
      <c r="E8" s="197"/>
      <c r="F8" s="197"/>
      <c r="G8" s="197"/>
      <c r="H8" s="197"/>
      <c r="I8" s="197"/>
      <c r="J8" s="198"/>
    </row>
    <row r="9" spans="1:10" ht="15.75">
      <c r="A9" s="196"/>
      <c r="B9" s="197"/>
      <c r="C9" s="183"/>
      <c r="D9" s="197"/>
      <c r="E9" s="197"/>
      <c r="F9" s="197"/>
      <c r="G9" s="197"/>
      <c r="H9" s="197"/>
      <c r="I9" s="197"/>
      <c r="J9" s="198"/>
    </row>
    <row r="10" spans="1:10" ht="15.75">
      <c r="A10" s="196"/>
      <c r="B10" s="197"/>
      <c r="C10" s="183"/>
      <c r="D10" s="197"/>
      <c r="E10" s="197"/>
      <c r="F10" s="197"/>
      <c r="G10" s="197"/>
      <c r="H10" s="197"/>
      <c r="I10" s="197"/>
      <c r="J10" s="198"/>
    </row>
    <row r="11" spans="1:10" s="40" customFormat="1" ht="15.75">
      <c r="A11" s="699" t="s">
        <v>80</v>
      </c>
      <c r="B11" s="699"/>
      <c r="C11" s="222"/>
      <c r="D11" s="220">
        <f aca="true" t="shared" si="0" ref="D11:I11">SUM(D7:D10)</f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198">
        <f>SUM(D11:I11)</f>
        <v>0</v>
      </c>
    </row>
    <row r="14" spans="1:11" ht="15.75">
      <c r="A14" s="700"/>
      <c r="B14" s="700"/>
      <c r="C14" s="700"/>
      <c r="D14" s="700"/>
      <c r="E14" s="700"/>
      <c r="F14" s="700"/>
      <c r="G14" s="700"/>
      <c r="H14" s="700"/>
      <c r="I14" s="700"/>
      <c r="J14" s="700"/>
      <c r="K14" s="700"/>
    </row>
    <row r="15" spans="1:11" ht="15.75">
      <c r="A15" s="700"/>
      <c r="B15" s="700"/>
      <c r="C15" s="700"/>
      <c r="D15" s="700"/>
      <c r="E15" s="700"/>
      <c r="F15" s="700"/>
      <c r="G15" s="700"/>
      <c r="H15" s="700"/>
      <c r="I15" s="700"/>
      <c r="J15" s="700"/>
      <c r="K15" s="700"/>
    </row>
    <row r="16" spans="1:11" ht="15.75">
      <c r="A16" s="700"/>
      <c r="B16" s="700"/>
      <c r="C16" s="700"/>
      <c r="D16" s="700"/>
      <c r="E16" s="700"/>
      <c r="F16" s="700"/>
      <c r="G16" s="700"/>
      <c r="H16" s="700"/>
      <c r="I16" s="700"/>
      <c r="J16" s="700"/>
      <c r="K16" s="700"/>
    </row>
  </sheetData>
  <mergeCells count="3">
    <mergeCell ref="A11:B11"/>
    <mergeCell ref="A14:K16"/>
    <mergeCell ref="C1:J1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 topLeftCell="A16">
      <selection activeCell="K36" sqref="K36"/>
    </sheetView>
  </sheetViews>
  <sheetFormatPr defaultColWidth="9.140625" defaultRowHeight="12.75"/>
  <cols>
    <col min="1" max="1" width="3.28125" style="117" customWidth="1"/>
    <col min="2" max="2" width="34.8515625" style="118" customWidth="1"/>
    <col min="3" max="3" width="9.57421875" style="119" customWidth="1"/>
    <col min="4" max="4" width="9.8515625" style="119" customWidth="1"/>
    <col min="5" max="5" width="9.421875" style="119" customWidth="1"/>
    <col min="6" max="6" width="9.7109375" style="119" customWidth="1"/>
    <col min="7" max="7" width="9.421875" style="119" customWidth="1"/>
    <col min="8" max="8" width="9.421875" style="120" customWidth="1"/>
    <col min="9" max="9" width="10.00390625" style="120" customWidth="1"/>
    <col min="10" max="10" width="10.140625" style="120" customWidth="1"/>
    <col min="11" max="11" width="9.7109375" style="120" bestFit="1" customWidth="1"/>
    <col min="12" max="12" width="9.8515625" style="120" customWidth="1"/>
    <col min="13" max="13" width="10.140625" style="120" customWidth="1"/>
    <col min="14" max="14" width="10.28125" style="120" customWidth="1"/>
    <col min="15" max="15" width="9.7109375" style="120" customWidth="1"/>
    <col min="16" max="16" width="11.7109375" style="120" customWidth="1"/>
    <col min="17" max="16384" width="9.140625" style="120" customWidth="1"/>
  </cols>
  <sheetData>
    <row r="1" spans="6:16" ht="12.75">
      <c r="F1" s="702" t="s">
        <v>1054</v>
      </c>
      <c r="G1" s="722"/>
      <c r="H1" s="722"/>
      <c r="I1" s="722"/>
      <c r="J1" s="722"/>
      <c r="K1" s="722"/>
      <c r="L1" s="722"/>
      <c r="M1" s="722"/>
      <c r="N1" s="722"/>
      <c r="O1" s="722"/>
      <c r="P1" s="722"/>
    </row>
    <row r="3" ht="14.25">
      <c r="A3" s="121" t="str">
        <f>tartalom!B27</f>
        <v>Röszke Község Önkormányzat 2014. évi előirányzat-felhasználási ütemterve</v>
      </c>
    </row>
    <row r="4" ht="14.25">
      <c r="A4" s="121"/>
    </row>
    <row r="5" ht="14.25">
      <c r="A5" s="121"/>
    </row>
    <row r="6" spans="1:16" ht="14.25">
      <c r="A6" s="121"/>
      <c r="M6" s="122"/>
      <c r="P6" s="122" t="s">
        <v>1416</v>
      </c>
    </row>
    <row r="7" spans="3:16" ht="25.5">
      <c r="C7" s="119" t="s">
        <v>575</v>
      </c>
      <c r="D7" s="119" t="s">
        <v>576</v>
      </c>
      <c r="E7" s="119" t="s">
        <v>577</v>
      </c>
      <c r="F7" s="119" t="s">
        <v>578</v>
      </c>
      <c r="G7" s="246" t="s">
        <v>579</v>
      </c>
      <c r="H7" s="80" t="s">
        <v>580</v>
      </c>
      <c r="I7" s="80" t="s">
        <v>581</v>
      </c>
      <c r="J7" s="120" t="s">
        <v>582</v>
      </c>
      <c r="K7" s="120" t="s">
        <v>583</v>
      </c>
      <c r="L7" s="120" t="s">
        <v>584</v>
      </c>
      <c r="M7" s="120" t="s">
        <v>585</v>
      </c>
      <c r="N7" s="120" t="s">
        <v>586</v>
      </c>
      <c r="O7" s="628" t="s">
        <v>1388</v>
      </c>
      <c r="P7" s="629" t="s">
        <v>1053</v>
      </c>
    </row>
    <row r="8" spans="1:16" ht="31.5">
      <c r="A8" s="123" t="s">
        <v>515</v>
      </c>
      <c r="B8" s="6" t="s">
        <v>20</v>
      </c>
      <c r="C8" s="124">
        <v>17000</v>
      </c>
      <c r="D8" s="124">
        <v>18250</v>
      </c>
      <c r="E8" s="124">
        <v>18000</v>
      </c>
      <c r="F8" s="124">
        <v>17500</v>
      </c>
      <c r="G8" s="124">
        <v>12600</v>
      </c>
      <c r="H8" s="124">
        <v>13100</v>
      </c>
      <c r="I8" s="124">
        <v>13100</v>
      </c>
      <c r="J8" s="124">
        <v>13310</v>
      </c>
      <c r="K8" s="124">
        <v>13060</v>
      </c>
      <c r="L8" s="124">
        <v>12600</v>
      </c>
      <c r="M8" s="124">
        <v>13316</v>
      </c>
      <c r="N8" s="124">
        <v>12700</v>
      </c>
      <c r="O8" s="127">
        <f>SUM(C8:N8)</f>
        <v>174536</v>
      </c>
      <c r="P8" s="127">
        <f>1bevétel!C8</f>
        <v>174536</v>
      </c>
    </row>
    <row r="9" spans="1:16" ht="15.75">
      <c r="A9" s="123" t="s">
        <v>531</v>
      </c>
      <c r="B9" s="6" t="s">
        <v>947</v>
      </c>
      <c r="C9" s="124">
        <v>1000</v>
      </c>
      <c r="D9" s="124">
        <v>1000</v>
      </c>
      <c r="E9" s="124">
        <v>125000</v>
      </c>
      <c r="F9" s="124">
        <v>1000</v>
      </c>
      <c r="G9" s="124">
        <v>1000</v>
      </c>
      <c r="H9" s="124">
        <v>1000</v>
      </c>
      <c r="I9" s="124">
        <v>1000</v>
      </c>
      <c r="J9" s="124">
        <v>1000</v>
      </c>
      <c r="K9" s="124">
        <v>125000</v>
      </c>
      <c r="L9" s="124">
        <v>1000</v>
      </c>
      <c r="M9" s="124">
        <v>1000</v>
      </c>
      <c r="N9" s="124">
        <v>10750</v>
      </c>
      <c r="O9" s="127">
        <f aca="true" t="shared" si="0" ref="O9:O19">SUM(C9:N9)</f>
        <v>269750</v>
      </c>
      <c r="P9" s="127">
        <f>1bevétel!C9</f>
        <v>269750</v>
      </c>
    </row>
    <row r="10" spans="1:16" ht="15.75">
      <c r="A10" s="123" t="s">
        <v>546</v>
      </c>
      <c r="B10" s="6" t="s">
        <v>24</v>
      </c>
      <c r="C10" s="124">
        <v>2000</v>
      </c>
      <c r="D10" s="124">
        <v>2000</v>
      </c>
      <c r="E10" s="124">
        <v>2000</v>
      </c>
      <c r="F10" s="124">
        <v>2000</v>
      </c>
      <c r="G10" s="124">
        <v>3000</v>
      </c>
      <c r="H10" s="124">
        <v>2000</v>
      </c>
      <c r="I10" s="124">
        <v>1183</v>
      </c>
      <c r="J10" s="124">
        <v>1183</v>
      </c>
      <c r="K10" s="124">
        <v>2000</v>
      </c>
      <c r="L10" s="124">
        <v>2000</v>
      </c>
      <c r="M10" s="124">
        <v>2000</v>
      </c>
      <c r="N10" s="124">
        <v>2000</v>
      </c>
      <c r="O10" s="127">
        <f t="shared" si="0"/>
        <v>23366</v>
      </c>
      <c r="P10" s="127">
        <f>1bevétel!C10</f>
        <v>23366</v>
      </c>
    </row>
    <row r="11" spans="1:16" ht="15.75">
      <c r="A11" s="123" t="s">
        <v>547</v>
      </c>
      <c r="B11" s="6" t="s">
        <v>523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7">
        <f t="shared" si="0"/>
        <v>0</v>
      </c>
      <c r="P11" s="127">
        <f>1bevétel!C11</f>
        <v>0</v>
      </c>
    </row>
    <row r="12" spans="1:16" ht="15.75">
      <c r="A12" s="123" t="s">
        <v>548</v>
      </c>
      <c r="B12" s="596" t="s">
        <v>1690</v>
      </c>
      <c r="C12" s="626">
        <f>SUM(C8:C11)</f>
        <v>20000</v>
      </c>
      <c r="D12" s="626">
        <f aca="true" t="shared" si="1" ref="D12:N12">SUM(D8:D11)</f>
        <v>21250</v>
      </c>
      <c r="E12" s="626">
        <f t="shared" si="1"/>
        <v>145000</v>
      </c>
      <c r="F12" s="626">
        <f t="shared" si="1"/>
        <v>20500</v>
      </c>
      <c r="G12" s="626">
        <f t="shared" si="1"/>
        <v>16600</v>
      </c>
      <c r="H12" s="626">
        <f t="shared" si="1"/>
        <v>16100</v>
      </c>
      <c r="I12" s="626">
        <f t="shared" si="1"/>
        <v>15283</v>
      </c>
      <c r="J12" s="626">
        <f t="shared" si="1"/>
        <v>15493</v>
      </c>
      <c r="K12" s="626">
        <f t="shared" si="1"/>
        <v>140060</v>
      </c>
      <c r="L12" s="626">
        <f t="shared" si="1"/>
        <v>15600</v>
      </c>
      <c r="M12" s="626">
        <f t="shared" si="1"/>
        <v>16316</v>
      </c>
      <c r="N12" s="626">
        <f t="shared" si="1"/>
        <v>25450</v>
      </c>
      <c r="O12" s="127">
        <f t="shared" si="0"/>
        <v>467652</v>
      </c>
      <c r="P12" s="127">
        <f>1bevétel!C12</f>
        <v>467652</v>
      </c>
    </row>
    <row r="13" spans="1:16" ht="15.75">
      <c r="A13" s="123" t="s">
        <v>549</v>
      </c>
      <c r="B13" s="6" t="s">
        <v>25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630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7">
        <f t="shared" si="0"/>
        <v>630</v>
      </c>
      <c r="P13" s="127">
        <f>1bevétel!C13</f>
        <v>630</v>
      </c>
    </row>
    <row r="14" spans="1:16" ht="31.5">
      <c r="A14" s="123" t="s">
        <v>551</v>
      </c>
      <c r="B14" s="6" t="s">
        <v>21</v>
      </c>
      <c r="C14" s="124">
        <v>0</v>
      </c>
      <c r="D14" s="124">
        <v>1140</v>
      </c>
      <c r="E14" s="124">
        <v>1239</v>
      </c>
      <c r="F14" s="124">
        <v>0</v>
      </c>
      <c r="G14" s="124">
        <v>20711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7">
        <f t="shared" si="0"/>
        <v>23090</v>
      </c>
      <c r="P14" s="127">
        <f>1bevétel!C14</f>
        <v>23090</v>
      </c>
    </row>
    <row r="15" spans="1:16" ht="15.75">
      <c r="A15" s="123" t="s">
        <v>552</v>
      </c>
      <c r="B15" s="6" t="s">
        <v>530</v>
      </c>
      <c r="C15" s="124">
        <v>12</v>
      </c>
      <c r="D15" s="124">
        <v>13</v>
      </c>
      <c r="E15" s="124">
        <v>12</v>
      </c>
      <c r="F15" s="124">
        <v>13</v>
      </c>
      <c r="G15" s="124">
        <v>13</v>
      </c>
      <c r="H15" s="124">
        <v>13</v>
      </c>
      <c r="I15" s="124">
        <v>13</v>
      </c>
      <c r="J15" s="124">
        <v>13</v>
      </c>
      <c r="K15" s="124">
        <v>13</v>
      </c>
      <c r="L15" s="124">
        <v>13</v>
      </c>
      <c r="M15" s="124">
        <v>13</v>
      </c>
      <c r="N15" s="124">
        <v>13</v>
      </c>
      <c r="O15" s="127">
        <f t="shared" si="0"/>
        <v>154</v>
      </c>
      <c r="P15" s="127">
        <f>1bevétel!C15</f>
        <v>154</v>
      </c>
    </row>
    <row r="16" spans="1:16" s="129" customFormat="1" ht="15.75">
      <c r="A16" s="125" t="s">
        <v>553</v>
      </c>
      <c r="B16" s="596" t="s">
        <v>1692</v>
      </c>
      <c r="C16" s="627">
        <f>SUM(C13:C15)</f>
        <v>12</v>
      </c>
      <c r="D16" s="627">
        <f aca="true" t="shared" si="2" ref="D16:N16">SUM(D13:D15)</f>
        <v>1153</v>
      </c>
      <c r="E16" s="627">
        <f t="shared" si="2"/>
        <v>1251</v>
      </c>
      <c r="F16" s="627">
        <f t="shared" si="2"/>
        <v>13</v>
      </c>
      <c r="G16" s="627">
        <f t="shared" si="2"/>
        <v>20724</v>
      </c>
      <c r="H16" s="627">
        <f t="shared" si="2"/>
        <v>13</v>
      </c>
      <c r="I16" s="627">
        <f t="shared" si="2"/>
        <v>643</v>
      </c>
      <c r="J16" s="627">
        <f t="shared" si="2"/>
        <v>13</v>
      </c>
      <c r="K16" s="627">
        <f t="shared" si="2"/>
        <v>13</v>
      </c>
      <c r="L16" s="627">
        <f t="shared" si="2"/>
        <v>13</v>
      </c>
      <c r="M16" s="627">
        <f t="shared" si="2"/>
        <v>13</v>
      </c>
      <c r="N16" s="627">
        <f t="shared" si="2"/>
        <v>13</v>
      </c>
      <c r="O16" s="127">
        <f t="shared" si="0"/>
        <v>23874</v>
      </c>
      <c r="P16" s="127">
        <f>1bevétel!C16</f>
        <v>23874</v>
      </c>
    </row>
    <row r="17" spans="1:16" ht="15.75">
      <c r="A17" s="123" t="s">
        <v>555</v>
      </c>
      <c r="B17" s="26" t="s">
        <v>1691</v>
      </c>
      <c r="C17" s="127">
        <f>C12+C16</f>
        <v>20012</v>
      </c>
      <c r="D17" s="127">
        <f aca="true" t="shared" si="3" ref="D17:N17">D12+D16</f>
        <v>22403</v>
      </c>
      <c r="E17" s="127">
        <f t="shared" si="3"/>
        <v>146251</v>
      </c>
      <c r="F17" s="127">
        <f t="shared" si="3"/>
        <v>20513</v>
      </c>
      <c r="G17" s="127">
        <f t="shared" si="3"/>
        <v>37324</v>
      </c>
      <c r="H17" s="127">
        <f t="shared" si="3"/>
        <v>16113</v>
      </c>
      <c r="I17" s="127">
        <f t="shared" si="3"/>
        <v>15926</v>
      </c>
      <c r="J17" s="127">
        <f t="shared" si="3"/>
        <v>15506</v>
      </c>
      <c r="K17" s="127">
        <f t="shared" si="3"/>
        <v>140073</v>
      </c>
      <c r="L17" s="127">
        <f t="shared" si="3"/>
        <v>15613</v>
      </c>
      <c r="M17" s="127">
        <f t="shared" si="3"/>
        <v>16329</v>
      </c>
      <c r="N17" s="127">
        <f t="shared" si="3"/>
        <v>25463</v>
      </c>
      <c r="O17" s="127">
        <f t="shared" si="0"/>
        <v>491526</v>
      </c>
      <c r="P17" s="127">
        <f>1bevétel!C17</f>
        <v>491526</v>
      </c>
    </row>
    <row r="18" spans="1:16" ht="15.75">
      <c r="A18" s="123" t="s">
        <v>557</v>
      </c>
      <c r="B18" s="6" t="s">
        <v>29</v>
      </c>
      <c r="C18" s="124">
        <v>153284</v>
      </c>
      <c r="D18" s="124">
        <v>15500</v>
      </c>
      <c r="E18" s="124">
        <v>15500</v>
      </c>
      <c r="F18" s="124">
        <v>15500</v>
      </c>
      <c r="G18" s="124">
        <v>15500</v>
      </c>
      <c r="H18" s="124">
        <v>15500</v>
      </c>
      <c r="I18" s="124">
        <v>19500</v>
      </c>
      <c r="J18" s="124">
        <v>17587</v>
      </c>
      <c r="K18" s="124">
        <v>15500</v>
      </c>
      <c r="L18" s="124">
        <v>15500</v>
      </c>
      <c r="M18" s="124">
        <v>15500</v>
      </c>
      <c r="N18" s="124">
        <v>15500</v>
      </c>
      <c r="O18" s="127">
        <f t="shared" si="0"/>
        <v>329871</v>
      </c>
      <c r="P18" s="127">
        <f>1bevétel!C18</f>
        <v>329871</v>
      </c>
    </row>
    <row r="19" spans="1:16" ht="18.75">
      <c r="A19" s="123" t="s">
        <v>374</v>
      </c>
      <c r="B19" s="598" t="s">
        <v>1014</v>
      </c>
      <c r="C19" s="127">
        <f>C17+C18</f>
        <v>173296</v>
      </c>
      <c r="D19" s="127">
        <f aca="true" t="shared" si="4" ref="D19:N19">D17+D18</f>
        <v>37903</v>
      </c>
      <c r="E19" s="127">
        <f t="shared" si="4"/>
        <v>161751</v>
      </c>
      <c r="F19" s="127">
        <f t="shared" si="4"/>
        <v>36013</v>
      </c>
      <c r="G19" s="127">
        <f t="shared" si="4"/>
        <v>52824</v>
      </c>
      <c r="H19" s="127">
        <f t="shared" si="4"/>
        <v>31613</v>
      </c>
      <c r="I19" s="127">
        <f t="shared" si="4"/>
        <v>35426</v>
      </c>
      <c r="J19" s="127">
        <f t="shared" si="4"/>
        <v>33093</v>
      </c>
      <c r="K19" s="127">
        <f t="shared" si="4"/>
        <v>155573</v>
      </c>
      <c r="L19" s="127">
        <f t="shared" si="4"/>
        <v>31113</v>
      </c>
      <c r="M19" s="127">
        <f t="shared" si="4"/>
        <v>31829</v>
      </c>
      <c r="N19" s="127">
        <f t="shared" si="4"/>
        <v>40963</v>
      </c>
      <c r="O19" s="127">
        <f t="shared" si="0"/>
        <v>821397</v>
      </c>
      <c r="P19" s="127">
        <f>1bevétel!C19</f>
        <v>821397</v>
      </c>
    </row>
    <row r="20" spans="1:16" s="131" customFormat="1" ht="12.75">
      <c r="A20" s="125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4"/>
      <c r="O20" s="124"/>
      <c r="P20" s="124"/>
    </row>
    <row r="21" spans="1:16" s="131" customFormat="1" ht="12.75">
      <c r="A21" s="125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4"/>
      <c r="O21" s="124"/>
      <c r="P21" s="124"/>
    </row>
    <row r="22" spans="1:16" s="131" customFormat="1" ht="12.75">
      <c r="A22" s="125"/>
      <c r="B22" s="126"/>
      <c r="C22" s="127"/>
      <c r="D22" s="127"/>
      <c r="E22" s="127"/>
      <c r="F22" s="127"/>
      <c r="G22" s="130"/>
      <c r="N22" s="124"/>
      <c r="O22" s="124"/>
      <c r="P22" s="625" t="s">
        <v>1416</v>
      </c>
    </row>
    <row r="23" spans="1:16" ht="25.5">
      <c r="A23" s="132"/>
      <c r="C23" s="119" t="s">
        <v>575</v>
      </c>
      <c r="D23" s="119" t="s">
        <v>576</v>
      </c>
      <c r="E23" s="119" t="s">
        <v>577</v>
      </c>
      <c r="F23" s="119" t="s">
        <v>578</v>
      </c>
      <c r="G23" s="246" t="s">
        <v>579</v>
      </c>
      <c r="H23" s="80" t="s">
        <v>580</v>
      </c>
      <c r="I23" s="80" t="s">
        <v>581</v>
      </c>
      <c r="J23" s="120" t="s">
        <v>582</v>
      </c>
      <c r="K23" s="120" t="s">
        <v>583</v>
      </c>
      <c r="L23" s="80" t="s">
        <v>584</v>
      </c>
      <c r="M23" s="120" t="s">
        <v>585</v>
      </c>
      <c r="N23" s="124" t="s">
        <v>586</v>
      </c>
      <c r="O23" s="127" t="s">
        <v>1388</v>
      </c>
      <c r="P23" s="629" t="s">
        <v>1053</v>
      </c>
    </row>
    <row r="24" spans="1:16" ht="15.75">
      <c r="A24" s="133" t="s">
        <v>515</v>
      </c>
      <c r="B24" s="15" t="s">
        <v>1033</v>
      </c>
      <c r="C24" s="124">
        <v>14610</v>
      </c>
      <c r="D24" s="124">
        <v>14610</v>
      </c>
      <c r="E24" s="124">
        <v>14610</v>
      </c>
      <c r="F24" s="124">
        <v>14624</v>
      </c>
      <c r="G24" s="124">
        <v>14610</v>
      </c>
      <c r="H24" s="124">
        <v>14610</v>
      </c>
      <c r="I24" s="124">
        <v>14610</v>
      </c>
      <c r="J24" s="124">
        <v>14610</v>
      </c>
      <c r="K24" s="124">
        <v>14610</v>
      </c>
      <c r="L24" s="124">
        <v>14610</v>
      </c>
      <c r="M24" s="124">
        <v>14610</v>
      </c>
      <c r="N24" s="124">
        <v>14610</v>
      </c>
      <c r="O24" s="127">
        <f>SUM(C24:N24)</f>
        <v>175334</v>
      </c>
      <c r="P24" s="127">
        <f>2kiadás!C7</f>
        <v>175334</v>
      </c>
    </row>
    <row r="25" spans="1:16" ht="31.5">
      <c r="A25" s="133" t="s">
        <v>531</v>
      </c>
      <c r="B25" s="73" t="s">
        <v>927</v>
      </c>
      <c r="C25" s="124">
        <v>3704</v>
      </c>
      <c r="D25" s="124">
        <v>3713</v>
      </c>
      <c r="E25" s="124">
        <v>3713</v>
      </c>
      <c r="F25" s="124">
        <v>3713</v>
      </c>
      <c r="G25" s="124">
        <v>3713</v>
      </c>
      <c r="H25" s="124">
        <v>3713</v>
      </c>
      <c r="I25" s="124">
        <v>3713</v>
      </c>
      <c r="J25" s="124">
        <v>3713</v>
      </c>
      <c r="K25" s="124">
        <v>3713</v>
      </c>
      <c r="L25" s="124">
        <v>3713</v>
      </c>
      <c r="M25" s="124">
        <v>3713</v>
      </c>
      <c r="N25" s="124">
        <v>3713</v>
      </c>
      <c r="O25" s="127">
        <f aca="true" t="shared" si="5" ref="O25:O35">SUM(C25:N25)</f>
        <v>44547</v>
      </c>
      <c r="P25" s="127">
        <f>2kiadás!C8</f>
        <v>44547</v>
      </c>
    </row>
    <row r="26" spans="1:16" ht="15.75">
      <c r="A26" s="133" t="s">
        <v>546</v>
      </c>
      <c r="B26" s="15" t="s">
        <v>1021</v>
      </c>
      <c r="C26" s="124">
        <v>10000</v>
      </c>
      <c r="D26" s="124">
        <v>10000</v>
      </c>
      <c r="E26" s="124">
        <v>15000</v>
      </c>
      <c r="F26" s="124">
        <v>15000</v>
      </c>
      <c r="G26" s="124">
        <v>13143</v>
      </c>
      <c r="H26" s="124">
        <v>10000</v>
      </c>
      <c r="I26" s="124">
        <v>15000</v>
      </c>
      <c r="J26" s="120">
        <v>15000</v>
      </c>
      <c r="K26" s="120">
        <v>10000</v>
      </c>
      <c r="L26" s="120">
        <v>10000</v>
      </c>
      <c r="M26" s="120">
        <v>15000</v>
      </c>
      <c r="N26" s="124">
        <v>15726</v>
      </c>
      <c r="O26" s="127">
        <f t="shared" si="5"/>
        <v>153869</v>
      </c>
      <c r="P26" s="127">
        <f>2kiadás!C9</f>
        <v>153869</v>
      </c>
    </row>
    <row r="27" spans="1:16" ht="15.75">
      <c r="A27" s="133" t="s">
        <v>547</v>
      </c>
      <c r="B27" s="70" t="s">
        <v>535</v>
      </c>
      <c r="C27" s="124">
        <v>3367</v>
      </c>
      <c r="D27" s="124">
        <v>3367</v>
      </c>
      <c r="E27" s="124">
        <v>3367</v>
      </c>
      <c r="F27" s="124">
        <v>3367</v>
      </c>
      <c r="G27" s="124">
        <v>3367</v>
      </c>
      <c r="H27" s="124">
        <v>3367</v>
      </c>
      <c r="I27" s="124">
        <v>3367</v>
      </c>
      <c r="J27" s="124">
        <v>3367</v>
      </c>
      <c r="K27" s="124">
        <v>3367</v>
      </c>
      <c r="L27" s="124">
        <v>3367</v>
      </c>
      <c r="M27" s="124">
        <v>3367</v>
      </c>
      <c r="N27" s="124">
        <v>3369</v>
      </c>
      <c r="O27" s="127">
        <f t="shared" si="5"/>
        <v>40406</v>
      </c>
      <c r="P27" s="127">
        <f>2kiadás!C10</f>
        <v>40406</v>
      </c>
    </row>
    <row r="28" spans="1:16" ht="15.75">
      <c r="A28" s="133" t="s">
        <v>548</v>
      </c>
      <c r="B28" s="9" t="s">
        <v>470</v>
      </c>
      <c r="C28" s="124">
        <v>0</v>
      </c>
      <c r="D28" s="124">
        <v>3000</v>
      </c>
      <c r="E28" s="124">
        <v>5200</v>
      </c>
      <c r="F28" s="124">
        <v>2000</v>
      </c>
      <c r="G28" s="124">
        <v>2000</v>
      </c>
      <c r="H28" s="124">
        <v>4703</v>
      </c>
      <c r="I28" s="124">
        <v>2000</v>
      </c>
      <c r="J28" s="124">
        <v>2000</v>
      </c>
      <c r="K28" s="124">
        <v>4703</v>
      </c>
      <c r="L28" s="124">
        <v>2000</v>
      </c>
      <c r="M28" s="124">
        <v>2000</v>
      </c>
      <c r="N28" s="124">
        <v>42620</v>
      </c>
      <c r="O28" s="127">
        <f t="shared" si="5"/>
        <v>72226</v>
      </c>
      <c r="P28" s="127">
        <f>2kiadás!C11</f>
        <v>72226</v>
      </c>
    </row>
    <row r="29" spans="1:16" ht="15.75">
      <c r="A29" s="133" t="s">
        <v>549</v>
      </c>
      <c r="B29" s="600" t="s">
        <v>1693</v>
      </c>
      <c r="C29" s="626">
        <f>SUM(C24:C28)</f>
        <v>31681</v>
      </c>
      <c r="D29" s="626">
        <f aca="true" t="shared" si="6" ref="D29:N29">SUM(D24:D28)</f>
        <v>34690</v>
      </c>
      <c r="E29" s="626">
        <f t="shared" si="6"/>
        <v>41890</v>
      </c>
      <c r="F29" s="626">
        <f t="shared" si="6"/>
        <v>38704</v>
      </c>
      <c r="G29" s="626">
        <f t="shared" si="6"/>
        <v>36833</v>
      </c>
      <c r="H29" s="626">
        <f t="shared" si="6"/>
        <v>36393</v>
      </c>
      <c r="I29" s="626">
        <f t="shared" si="6"/>
        <v>38690</v>
      </c>
      <c r="J29" s="626">
        <f t="shared" si="6"/>
        <v>38690</v>
      </c>
      <c r="K29" s="626">
        <f t="shared" si="6"/>
        <v>36393</v>
      </c>
      <c r="L29" s="626">
        <f t="shared" si="6"/>
        <v>33690</v>
      </c>
      <c r="M29" s="626">
        <f t="shared" si="6"/>
        <v>38690</v>
      </c>
      <c r="N29" s="626">
        <f t="shared" si="6"/>
        <v>80038</v>
      </c>
      <c r="O29" s="127">
        <f t="shared" si="5"/>
        <v>486382</v>
      </c>
      <c r="P29" s="127">
        <f>2kiadás!C12</f>
        <v>486382</v>
      </c>
    </row>
    <row r="30" spans="1:16" ht="15.75">
      <c r="A30" s="133" t="s">
        <v>551</v>
      </c>
      <c r="B30" s="15" t="s">
        <v>471</v>
      </c>
      <c r="C30" s="124">
        <v>300</v>
      </c>
      <c r="D30" s="124">
        <v>1897</v>
      </c>
      <c r="E30" s="124">
        <v>1000</v>
      </c>
      <c r="F30" s="124">
        <v>16355</v>
      </c>
      <c r="G30" s="124">
        <v>5881</v>
      </c>
      <c r="H30" s="124">
        <v>5000</v>
      </c>
      <c r="I30" s="124">
        <v>8500</v>
      </c>
      <c r="J30" s="124">
        <v>47300</v>
      </c>
      <c r="K30" s="124">
        <v>0</v>
      </c>
      <c r="L30" s="124">
        <v>0</v>
      </c>
      <c r="M30" s="124">
        <v>0</v>
      </c>
      <c r="N30" s="124">
        <v>0</v>
      </c>
      <c r="O30" s="127">
        <f t="shared" si="5"/>
        <v>86233</v>
      </c>
      <c r="P30" s="127">
        <f>2kiadás!C13</f>
        <v>86233</v>
      </c>
    </row>
    <row r="31" spans="1:16" ht="15.75">
      <c r="A31" s="133" t="s">
        <v>552</v>
      </c>
      <c r="B31" s="15" t="s">
        <v>472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450</v>
      </c>
      <c r="I31" s="124">
        <v>0</v>
      </c>
      <c r="J31" s="124">
        <v>0</v>
      </c>
      <c r="K31" s="124">
        <v>14006</v>
      </c>
      <c r="L31" s="124">
        <v>0</v>
      </c>
      <c r="M31" s="124">
        <v>0</v>
      </c>
      <c r="N31" s="124">
        <v>0</v>
      </c>
      <c r="O31" s="127">
        <f t="shared" si="5"/>
        <v>14456</v>
      </c>
      <c r="P31" s="127">
        <f>2kiadás!C14</f>
        <v>14456</v>
      </c>
    </row>
    <row r="32" spans="1:16" ht="15.75">
      <c r="A32" s="133" t="s">
        <v>553</v>
      </c>
      <c r="B32" s="70" t="s">
        <v>474</v>
      </c>
      <c r="C32" s="124">
        <v>0</v>
      </c>
      <c r="D32" s="124">
        <v>4110</v>
      </c>
      <c r="E32" s="124">
        <v>4159</v>
      </c>
      <c r="F32" s="124">
        <v>2988</v>
      </c>
      <c r="G32" s="119">
        <v>500</v>
      </c>
      <c r="H32" s="120">
        <v>29982</v>
      </c>
      <c r="I32" s="120">
        <v>0</v>
      </c>
      <c r="J32" s="120">
        <v>0</v>
      </c>
      <c r="K32" s="120">
        <v>200</v>
      </c>
      <c r="L32" s="120">
        <v>0</v>
      </c>
      <c r="M32" s="120">
        <v>300</v>
      </c>
      <c r="N32" s="124">
        <v>0</v>
      </c>
      <c r="O32" s="127">
        <f t="shared" si="5"/>
        <v>42239</v>
      </c>
      <c r="P32" s="127">
        <f>2kiadás!C15</f>
        <v>42239</v>
      </c>
    </row>
    <row r="33" spans="1:16" ht="15.75">
      <c r="A33" s="133" t="s">
        <v>555</v>
      </c>
      <c r="B33" s="573" t="s">
        <v>1694</v>
      </c>
      <c r="C33" s="626">
        <f>SUM(C30:C32)</f>
        <v>300</v>
      </c>
      <c r="D33" s="626">
        <f aca="true" t="shared" si="7" ref="D33:N33">SUM(D30:D32)</f>
        <v>6007</v>
      </c>
      <c r="E33" s="626">
        <f t="shared" si="7"/>
        <v>5159</v>
      </c>
      <c r="F33" s="626">
        <f t="shared" si="7"/>
        <v>19343</v>
      </c>
      <c r="G33" s="626">
        <f t="shared" si="7"/>
        <v>6381</v>
      </c>
      <c r="H33" s="626">
        <f t="shared" si="7"/>
        <v>35432</v>
      </c>
      <c r="I33" s="626">
        <f t="shared" si="7"/>
        <v>8500</v>
      </c>
      <c r="J33" s="626">
        <f t="shared" si="7"/>
        <v>47300</v>
      </c>
      <c r="K33" s="626">
        <f t="shared" si="7"/>
        <v>14206</v>
      </c>
      <c r="L33" s="626">
        <f t="shared" si="7"/>
        <v>0</v>
      </c>
      <c r="M33" s="626">
        <f t="shared" si="7"/>
        <v>300</v>
      </c>
      <c r="N33" s="626">
        <f t="shared" si="7"/>
        <v>0</v>
      </c>
      <c r="O33" s="127">
        <f t="shared" si="5"/>
        <v>142928</v>
      </c>
      <c r="P33" s="127">
        <f>2kiadás!C16</f>
        <v>142928</v>
      </c>
    </row>
    <row r="34" spans="1:16" ht="15.75">
      <c r="A34" s="133" t="s">
        <v>557</v>
      </c>
      <c r="B34" s="601" t="s">
        <v>1695</v>
      </c>
      <c r="C34" s="127">
        <f>C29+C33</f>
        <v>31981</v>
      </c>
      <c r="D34" s="127">
        <f aca="true" t="shared" si="8" ref="D34:O34">D29+D33</f>
        <v>40697</v>
      </c>
      <c r="E34" s="127">
        <f t="shared" si="8"/>
        <v>47049</v>
      </c>
      <c r="F34" s="127">
        <f t="shared" si="8"/>
        <v>58047</v>
      </c>
      <c r="G34" s="127">
        <f t="shared" si="8"/>
        <v>43214</v>
      </c>
      <c r="H34" s="127">
        <f t="shared" si="8"/>
        <v>71825</v>
      </c>
      <c r="I34" s="127">
        <f t="shared" si="8"/>
        <v>47190</v>
      </c>
      <c r="J34" s="127">
        <f t="shared" si="8"/>
        <v>85990</v>
      </c>
      <c r="K34" s="127">
        <f t="shared" si="8"/>
        <v>50599</v>
      </c>
      <c r="L34" s="127">
        <f t="shared" si="8"/>
        <v>33690</v>
      </c>
      <c r="M34" s="127">
        <f t="shared" si="8"/>
        <v>38990</v>
      </c>
      <c r="N34" s="127">
        <f t="shared" si="8"/>
        <v>80038</v>
      </c>
      <c r="O34" s="127">
        <f t="shared" si="8"/>
        <v>629310</v>
      </c>
      <c r="P34" s="127">
        <f>2kiadás!C17</f>
        <v>629310</v>
      </c>
    </row>
    <row r="35" spans="1:16" ht="15.75">
      <c r="A35" s="133" t="s">
        <v>374</v>
      </c>
      <c r="B35" s="70" t="s">
        <v>1037</v>
      </c>
      <c r="C35" s="124">
        <v>15500</v>
      </c>
      <c r="D35" s="124">
        <v>15500</v>
      </c>
      <c r="E35" s="124">
        <v>15500</v>
      </c>
      <c r="F35" s="124">
        <v>15500</v>
      </c>
      <c r="G35" s="124">
        <v>15500</v>
      </c>
      <c r="H35" s="124">
        <v>15500</v>
      </c>
      <c r="I35" s="124">
        <v>19500</v>
      </c>
      <c r="J35" s="124">
        <v>17587</v>
      </c>
      <c r="K35" s="124">
        <v>15500</v>
      </c>
      <c r="L35" s="124">
        <v>15500</v>
      </c>
      <c r="M35" s="124">
        <v>15500</v>
      </c>
      <c r="N35" s="124">
        <v>15500</v>
      </c>
      <c r="O35" s="127">
        <f t="shared" si="5"/>
        <v>192087</v>
      </c>
      <c r="P35" s="127">
        <f>2kiadás!C18</f>
        <v>192087</v>
      </c>
    </row>
    <row r="36" spans="1:16" s="129" customFormat="1" ht="18.75">
      <c r="A36" s="135" t="s">
        <v>375</v>
      </c>
      <c r="B36" s="603" t="s">
        <v>856</v>
      </c>
      <c r="C36" s="127">
        <f>C34+C35</f>
        <v>47481</v>
      </c>
      <c r="D36" s="127">
        <f aca="true" t="shared" si="9" ref="D36:O36">D34+D35</f>
        <v>56197</v>
      </c>
      <c r="E36" s="127">
        <f t="shared" si="9"/>
        <v>62549</v>
      </c>
      <c r="F36" s="127">
        <f t="shared" si="9"/>
        <v>73547</v>
      </c>
      <c r="G36" s="127">
        <f t="shared" si="9"/>
        <v>58714</v>
      </c>
      <c r="H36" s="127">
        <f t="shared" si="9"/>
        <v>87325</v>
      </c>
      <c r="I36" s="127">
        <f t="shared" si="9"/>
        <v>66690</v>
      </c>
      <c r="J36" s="127">
        <f t="shared" si="9"/>
        <v>103577</v>
      </c>
      <c r="K36" s="127">
        <f t="shared" si="9"/>
        <v>66099</v>
      </c>
      <c r="L36" s="127">
        <f t="shared" si="9"/>
        <v>49190</v>
      </c>
      <c r="M36" s="127">
        <f t="shared" si="9"/>
        <v>54490</v>
      </c>
      <c r="N36" s="127">
        <f t="shared" si="9"/>
        <v>95538</v>
      </c>
      <c r="O36" s="127">
        <f t="shared" si="9"/>
        <v>821397</v>
      </c>
      <c r="P36" s="127">
        <f>2kiadás!C19</f>
        <v>821397</v>
      </c>
    </row>
    <row r="37" spans="1:16" ht="12.75">
      <c r="A37" s="133"/>
      <c r="B37" s="134" t="s">
        <v>587</v>
      </c>
      <c r="C37" s="124">
        <v>0</v>
      </c>
      <c r="D37" s="124">
        <f>C38</f>
        <v>125815</v>
      </c>
      <c r="E37" s="124">
        <f aca="true" t="shared" si="10" ref="E37:O37">D38</f>
        <v>107521</v>
      </c>
      <c r="F37" s="124">
        <f t="shared" si="10"/>
        <v>206723</v>
      </c>
      <c r="G37" s="124">
        <f t="shared" si="10"/>
        <v>169189</v>
      </c>
      <c r="H37" s="124">
        <f t="shared" si="10"/>
        <v>163299</v>
      </c>
      <c r="I37" s="124">
        <f t="shared" si="10"/>
        <v>107587</v>
      </c>
      <c r="J37" s="124">
        <f t="shared" si="10"/>
        <v>76323</v>
      </c>
      <c r="K37" s="124">
        <f t="shared" si="10"/>
        <v>5839</v>
      </c>
      <c r="L37" s="124">
        <f t="shared" si="10"/>
        <v>95313</v>
      </c>
      <c r="M37" s="124">
        <f t="shared" si="10"/>
        <v>77236</v>
      </c>
      <c r="N37" s="124">
        <f t="shared" si="10"/>
        <v>54575</v>
      </c>
      <c r="O37" s="124">
        <f t="shared" si="10"/>
        <v>0</v>
      </c>
      <c r="P37" s="127">
        <f>2kiadás!C20</f>
        <v>0</v>
      </c>
    </row>
    <row r="38" spans="2:17" ht="12.75">
      <c r="B38" s="126" t="s">
        <v>588</v>
      </c>
      <c r="C38" s="128">
        <f>C19+C37-C36</f>
        <v>125815</v>
      </c>
      <c r="D38" s="128">
        <f aca="true" t="shared" si="11" ref="D38:O38">D19+D37-D36</f>
        <v>107521</v>
      </c>
      <c r="E38" s="128">
        <f t="shared" si="11"/>
        <v>206723</v>
      </c>
      <c r="F38" s="128">
        <f t="shared" si="11"/>
        <v>169189</v>
      </c>
      <c r="G38" s="128">
        <f t="shared" si="11"/>
        <v>163299</v>
      </c>
      <c r="H38" s="128">
        <f t="shared" si="11"/>
        <v>107587</v>
      </c>
      <c r="I38" s="128">
        <f t="shared" si="11"/>
        <v>76323</v>
      </c>
      <c r="J38" s="128">
        <f t="shared" si="11"/>
        <v>5839</v>
      </c>
      <c r="K38" s="128">
        <f t="shared" si="11"/>
        <v>95313</v>
      </c>
      <c r="L38" s="128">
        <f t="shared" si="11"/>
        <v>77236</v>
      </c>
      <c r="M38" s="128">
        <f t="shared" si="11"/>
        <v>54575</v>
      </c>
      <c r="N38" s="128">
        <f t="shared" si="11"/>
        <v>0</v>
      </c>
      <c r="O38" s="128">
        <f t="shared" si="11"/>
        <v>0</v>
      </c>
      <c r="P38" s="127">
        <f>2kiadás!C21</f>
        <v>0</v>
      </c>
      <c r="Q38" s="128"/>
    </row>
  </sheetData>
  <mergeCells count="1">
    <mergeCell ref="F1:P1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scale="72" r:id="rId1"/>
  <rowBreaks count="1" manualBreakCount="1">
    <brk id="2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H8" sqref="H8"/>
    </sheetView>
  </sheetViews>
  <sheetFormatPr defaultColWidth="9.140625" defaultRowHeight="12.75"/>
  <cols>
    <col min="1" max="1" width="4.7109375" style="7" customWidth="1"/>
    <col min="2" max="2" width="44.7109375" style="7" customWidth="1"/>
    <col min="3" max="3" width="12.7109375" style="21" customWidth="1"/>
    <col min="4" max="5" width="12.421875" style="21" customWidth="1"/>
    <col min="6" max="16384" width="9.140625" style="7" customWidth="1"/>
  </cols>
  <sheetData>
    <row r="1" ht="15.75">
      <c r="E1" s="20" t="s">
        <v>1219</v>
      </c>
    </row>
    <row r="2" ht="15.75">
      <c r="E2" s="20"/>
    </row>
    <row r="4" spans="1:5" ht="15.75">
      <c r="A4" s="703" t="e">
        <f>tartalom!#REF!</f>
        <v>#REF!</v>
      </c>
      <c r="B4" s="703"/>
      <c r="C4" s="703"/>
      <c r="D4" s="703"/>
      <c r="E4" s="703"/>
    </row>
    <row r="5" spans="1:5" ht="15.75">
      <c r="A5" s="703"/>
      <c r="B5" s="703"/>
      <c r="C5" s="703"/>
      <c r="D5" s="703"/>
      <c r="E5" s="703"/>
    </row>
    <row r="6" spans="1:5" ht="15.75">
      <c r="A6" s="136"/>
      <c r="B6" s="136"/>
      <c r="C6" s="136"/>
      <c r="D6" s="136"/>
      <c r="E6" s="136"/>
    </row>
    <row r="7" ht="15.75">
      <c r="E7" s="24" t="s">
        <v>430</v>
      </c>
    </row>
    <row r="8" spans="3:5" ht="15.75">
      <c r="C8" s="33" t="s">
        <v>1074</v>
      </c>
      <c r="D8" s="33" t="s">
        <v>1075</v>
      </c>
      <c r="E8" s="33" t="s">
        <v>593</v>
      </c>
    </row>
    <row r="9" spans="1:5" ht="15.75">
      <c r="A9" s="32" t="s">
        <v>515</v>
      </c>
      <c r="B9" s="11" t="s">
        <v>405</v>
      </c>
      <c r="C9" s="18">
        <f>3mérleg!C9</f>
        <v>0</v>
      </c>
      <c r="D9" s="18">
        <f>+C9*1.02</f>
        <v>0</v>
      </c>
      <c r="E9" s="18">
        <f>+D9*1.02</f>
        <v>0</v>
      </c>
    </row>
    <row r="10" spans="1:5" ht="15.75">
      <c r="A10" s="32" t="s">
        <v>531</v>
      </c>
      <c r="B10" s="11" t="s">
        <v>519</v>
      </c>
      <c r="C10" s="18">
        <f>3mérleg!C10</f>
        <v>174536</v>
      </c>
      <c r="D10" s="18">
        <f aca="true" t="shared" si="0" ref="D10:E14">+C10*1.02</f>
        <v>178026.72</v>
      </c>
      <c r="E10" s="18">
        <f t="shared" si="0"/>
        <v>181587.2544</v>
      </c>
    </row>
    <row r="11" spans="1:5" ht="15.75">
      <c r="A11" s="32" t="s">
        <v>546</v>
      </c>
      <c r="B11" s="11" t="s">
        <v>408</v>
      </c>
      <c r="C11" s="18">
        <f>3mérleg!C11</f>
        <v>269750</v>
      </c>
      <c r="D11" s="18">
        <f t="shared" si="0"/>
        <v>275145</v>
      </c>
      <c r="E11" s="18">
        <f t="shared" si="0"/>
        <v>280647.9</v>
      </c>
    </row>
    <row r="12" spans="1:5" ht="15.75">
      <c r="A12" s="32" t="s">
        <v>547</v>
      </c>
      <c r="B12" s="11" t="s">
        <v>522</v>
      </c>
      <c r="C12" s="18">
        <f>3mérleg!C13</f>
        <v>0</v>
      </c>
      <c r="D12" s="18">
        <f t="shared" si="0"/>
        <v>0</v>
      </c>
      <c r="E12" s="18">
        <f t="shared" si="0"/>
        <v>0</v>
      </c>
    </row>
    <row r="13" spans="1:5" ht="31.5">
      <c r="A13" s="32" t="s">
        <v>548</v>
      </c>
      <c r="B13" s="13" t="s">
        <v>409</v>
      </c>
      <c r="C13" s="18">
        <f>3mérleg!C14</f>
        <v>467652</v>
      </c>
      <c r="D13" s="18">
        <f t="shared" si="0"/>
        <v>477005.04000000004</v>
      </c>
      <c r="E13" s="18">
        <f t="shared" si="0"/>
        <v>486545.14080000005</v>
      </c>
    </row>
    <row r="14" spans="1:5" ht="15.75">
      <c r="A14" s="32" t="s">
        <v>549</v>
      </c>
      <c r="B14" s="11" t="s">
        <v>382</v>
      </c>
      <c r="C14" s="18">
        <f>3mérleg!C16</f>
        <v>23090</v>
      </c>
      <c r="D14" s="18">
        <f t="shared" si="0"/>
        <v>23551.8</v>
      </c>
      <c r="E14" s="18">
        <f t="shared" si="0"/>
        <v>24022.836</v>
      </c>
    </row>
    <row r="15" spans="1:5" ht="31.5">
      <c r="A15" s="34" t="s">
        <v>551</v>
      </c>
      <c r="B15" s="101" t="s">
        <v>410</v>
      </c>
      <c r="C15" s="27">
        <f>SUM(C9:C14)</f>
        <v>935028</v>
      </c>
      <c r="D15" s="27">
        <f>SUM(D9:D14)</f>
        <v>953728.56</v>
      </c>
      <c r="E15" s="27">
        <f>SUM(E9:E14)</f>
        <v>972803.1312000001</v>
      </c>
    </row>
    <row r="16" spans="1:5" ht="15.75">
      <c r="A16" s="32"/>
      <c r="C16" s="18"/>
      <c r="D16" s="18"/>
      <c r="E16" s="18"/>
    </row>
    <row r="17" spans="1:5" ht="15.75">
      <c r="A17" s="32" t="s">
        <v>515</v>
      </c>
      <c r="B17" s="13" t="s">
        <v>1040</v>
      </c>
      <c r="C17" s="18">
        <f>3mérleg!F9</f>
        <v>175334</v>
      </c>
      <c r="D17" s="18">
        <f>+C17*1.02</f>
        <v>178840.68</v>
      </c>
      <c r="E17" s="18">
        <f>+D17*1.02</f>
        <v>182417.4936</v>
      </c>
    </row>
    <row r="18" spans="1:5" ht="15.75">
      <c r="A18" s="32" t="s">
        <v>531</v>
      </c>
      <c r="B18" s="13" t="s">
        <v>1020</v>
      </c>
      <c r="C18" s="18">
        <f>3mérleg!F10</f>
        <v>44547</v>
      </c>
      <c r="D18" s="18">
        <f aca="true" t="shared" si="1" ref="D18:E29">+C18*1.02</f>
        <v>45437.94</v>
      </c>
      <c r="E18" s="18">
        <f t="shared" si="1"/>
        <v>46346.698800000006</v>
      </c>
    </row>
    <row r="19" spans="1:5" ht="15.75">
      <c r="A19" s="32" t="s">
        <v>546</v>
      </c>
      <c r="B19" s="13" t="s">
        <v>1021</v>
      </c>
      <c r="C19" s="18">
        <f>3mérleg!F11</f>
        <v>153869</v>
      </c>
      <c r="D19" s="18">
        <f t="shared" si="1"/>
        <v>156946.38</v>
      </c>
      <c r="E19" s="18">
        <f t="shared" si="1"/>
        <v>160085.3076</v>
      </c>
    </row>
    <row r="20" spans="1:5" ht="15.75">
      <c r="A20" s="32" t="s">
        <v>547</v>
      </c>
      <c r="B20" s="13" t="s">
        <v>1022</v>
      </c>
      <c r="C20" s="18">
        <f>3mérleg!F12</f>
        <v>40406</v>
      </c>
      <c r="D20" s="18">
        <f t="shared" si="1"/>
        <v>41214.12</v>
      </c>
      <c r="E20" s="18">
        <f t="shared" si="1"/>
        <v>42038.402400000006</v>
      </c>
    </row>
    <row r="21" spans="1:5" ht="31.5">
      <c r="A21" s="32" t="s">
        <v>548</v>
      </c>
      <c r="B21" s="9" t="s">
        <v>534</v>
      </c>
      <c r="C21" s="18">
        <f>3mérleg!F13</f>
        <v>72226</v>
      </c>
      <c r="D21" s="18">
        <f t="shared" si="1"/>
        <v>73670.52</v>
      </c>
      <c r="E21" s="18">
        <f t="shared" si="1"/>
        <v>75143.93040000001</v>
      </c>
    </row>
    <row r="22" spans="1:5" ht="15.75">
      <c r="A22" s="32" t="s">
        <v>549</v>
      </c>
      <c r="B22" s="9" t="s">
        <v>535</v>
      </c>
      <c r="C22" s="18">
        <f>3mérleg!F14</f>
        <v>486382</v>
      </c>
      <c r="D22" s="18">
        <f t="shared" si="1"/>
        <v>496109.64</v>
      </c>
      <c r="E22" s="18">
        <f t="shared" si="1"/>
        <v>506031.83280000003</v>
      </c>
    </row>
    <row r="23" spans="1:5" ht="15.75">
      <c r="A23" s="32" t="s">
        <v>551</v>
      </c>
      <c r="B23" s="13" t="s">
        <v>877</v>
      </c>
      <c r="C23" s="18">
        <f>3mérleg!F16</f>
        <v>14456</v>
      </c>
      <c r="D23" s="18">
        <f t="shared" si="1"/>
        <v>14745.12</v>
      </c>
      <c r="E23" s="18">
        <f t="shared" si="1"/>
        <v>15040.022400000002</v>
      </c>
    </row>
    <row r="24" spans="1:5" ht="15.75">
      <c r="A24" s="32" t="s">
        <v>552</v>
      </c>
      <c r="B24" s="13" t="s">
        <v>540</v>
      </c>
      <c r="C24" s="18">
        <f>3mérleg!F17</f>
        <v>42239</v>
      </c>
      <c r="D24" s="18">
        <f t="shared" si="1"/>
        <v>43083.78</v>
      </c>
      <c r="E24" s="18">
        <f>+D24*1.02</f>
        <v>43945.4556</v>
      </c>
    </row>
    <row r="25" spans="1:5" ht="31.5">
      <c r="A25" s="32" t="s">
        <v>553</v>
      </c>
      <c r="B25" s="9" t="s">
        <v>775</v>
      </c>
      <c r="C25" s="18">
        <f>3mérleg!F18</f>
        <v>142928</v>
      </c>
      <c r="D25" s="18">
        <f t="shared" si="1"/>
        <v>145786.56</v>
      </c>
      <c r="E25" s="18">
        <f t="shared" si="1"/>
        <v>148702.2912</v>
      </c>
    </row>
    <row r="26" spans="1:5" ht="31.5">
      <c r="A26" s="32" t="s">
        <v>555</v>
      </c>
      <c r="B26" s="9" t="s">
        <v>776</v>
      </c>
      <c r="C26" s="18" t="e">
        <f>3mérleg!#REF!</f>
        <v>#REF!</v>
      </c>
      <c r="D26" s="18" t="e">
        <f t="shared" si="1"/>
        <v>#REF!</v>
      </c>
      <c r="E26" s="18" t="e">
        <f t="shared" si="1"/>
        <v>#REF!</v>
      </c>
    </row>
    <row r="27" spans="1:5" ht="31.5">
      <c r="A27" s="32" t="s">
        <v>557</v>
      </c>
      <c r="B27" s="9" t="s">
        <v>777</v>
      </c>
      <c r="C27" s="18" t="e">
        <f>3mérleg!#REF!</f>
        <v>#REF!</v>
      </c>
      <c r="D27" s="18" t="e">
        <f t="shared" si="1"/>
        <v>#REF!</v>
      </c>
      <c r="E27" s="18" t="e">
        <f t="shared" si="1"/>
        <v>#REF!</v>
      </c>
    </row>
    <row r="28" spans="1:5" ht="15.75">
      <c r="A28" s="32" t="s">
        <v>374</v>
      </c>
      <c r="B28" s="9" t="s">
        <v>778</v>
      </c>
      <c r="C28" s="18">
        <f>3mérleg!F19</f>
        <v>629310</v>
      </c>
      <c r="D28" s="18">
        <f t="shared" si="1"/>
        <v>641896.2</v>
      </c>
      <c r="E28" s="18">
        <f t="shared" si="1"/>
        <v>654734.124</v>
      </c>
    </row>
    <row r="29" spans="1:5" ht="31.5">
      <c r="A29" s="32" t="s">
        <v>375</v>
      </c>
      <c r="B29" s="9" t="s">
        <v>779</v>
      </c>
      <c r="C29" s="18">
        <f>3mérleg!F20</f>
        <v>192087</v>
      </c>
      <c r="D29" s="18">
        <f t="shared" si="1"/>
        <v>195928.74</v>
      </c>
      <c r="E29" s="18">
        <f t="shared" si="1"/>
        <v>199847.3148</v>
      </c>
    </row>
    <row r="30" spans="1:5" ht="31.5">
      <c r="A30" s="34" t="s">
        <v>376</v>
      </c>
      <c r="B30" s="101" t="s">
        <v>1078</v>
      </c>
      <c r="C30" s="27" t="e">
        <f>SUM(C17:C29)</f>
        <v>#REF!</v>
      </c>
      <c r="D30" s="27" t="e">
        <f>SUM(D17:D29)</f>
        <v>#REF!</v>
      </c>
      <c r="E30" s="27" t="e">
        <f>SUM(E17:E29)</f>
        <v>#REF!</v>
      </c>
    </row>
    <row r="31" spans="3:5" ht="15.75">
      <c r="C31" s="18"/>
      <c r="D31" s="18"/>
      <c r="E31" s="18"/>
    </row>
    <row r="32" spans="3:5" ht="15.75">
      <c r="C32" s="18"/>
      <c r="D32" s="18"/>
      <c r="E32" s="18"/>
    </row>
    <row r="33" spans="1:5" ht="15.75">
      <c r="A33" s="32" t="s">
        <v>515</v>
      </c>
      <c r="B33" s="13" t="s">
        <v>411</v>
      </c>
      <c r="C33" s="18">
        <f>3mérleg!C26</f>
        <v>0</v>
      </c>
      <c r="D33" s="18">
        <f>+C33*0.98</f>
        <v>0</v>
      </c>
      <c r="E33" s="18">
        <f>+D33*0.98</f>
        <v>0</v>
      </c>
    </row>
    <row r="34" spans="1:5" ht="15.75">
      <c r="A34" s="32" t="s">
        <v>531</v>
      </c>
      <c r="B34" s="13" t="s">
        <v>414</v>
      </c>
      <c r="C34" s="18">
        <f>3mérleg!C27</f>
        <v>0</v>
      </c>
      <c r="D34" s="18">
        <f aca="true" t="shared" si="2" ref="D34:E41">+C34*0.98</f>
        <v>0</v>
      </c>
      <c r="E34" s="18">
        <f t="shared" si="2"/>
        <v>0</v>
      </c>
    </row>
    <row r="35" spans="1:5" ht="15.75">
      <c r="A35" s="32" t="s">
        <v>546</v>
      </c>
      <c r="B35" s="7" t="s">
        <v>415</v>
      </c>
      <c r="C35" s="18">
        <f>3mérleg!C28</f>
        <v>0</v>
      </c>
      <c r="D35" s="18">
        <f t="shared" si="2"/>
        <v>0</v>
      </c>
      <c r="E35" s="18">
        <f t="shared" si="2"/>
        <v>0</v>
      </c>
    </row>
    <row r="36" spans="1:5" ht="31.5">
      <c r="A36" s="32" t="s">
        <v>547</v>
      </c>
      <c r="B36" s="13" t="s">
        <v>416</v>
      </c>
      <c r="C36" s="18">
        <f>3mérleg!C29</f>
        <v>0</v>
      </c>
      <c r="D36" s="18">
        <f t="shared" si="2"/>
        <v>0</v>
      </c>
      <c r="E36" s="18">
        <f t="shared" si="2"/>
        <v>0</v>
      </c>
    </row>
    <row r="37" spans="1:5" ht="31.5">
      <c r="A37" s="32" t="s">
        <v>548</v>
      </c>
      <c r="B37" s="13" t="s">
        <v>528</v>
      </c>
      <c r="C37" s="18">
        <f>3mérleg!C30</f>
        <v>0</v>
      </c>
      <c r="D37" s="18">
        <f t="shared" si="2"/>
        <v>0</v>
      </c>
      <c r="E37" s="18">
        <f t="shared" si="2"/>
        <v>0</v>
      </c>
    </row>
    <row r="38" spans="1:5" ht="15.75">
      <c r="A38" s="32" t="s">
        <v>549</v>
      </c>
      <c r="B38" s="13" t="s">
        <v>529</v>
      </c>
      <c r="C38" s="18">
        <f>3mérleg!C32</f>
        <v>0</v>
      </c>
      <c r="D38" s="18">
        <f t="shared" si="2"/>
        <v>0</v>
      </c>
      <c r="E38" s="18">
        <f t="shared" si="2"/>
        <v>0</v>
      </c>
    </row>
    <row r="39" spans="1:5" ht="31.5">
      <c r="A39" s="32" t="s">
        <v>551</v>
      </c>
      <c r="B39" s="13" t="s">
        <v>417</v>
      </c>
      <c r="C39" s="18">
        <f>3mérleg!C33</f>
        <v>0</v>
      </c>
      <c r="D39" s="18">
        <f t="shared" si="2"/>
        <v>0</v>
      </c>
      <c r="E39" s="18">
        <f t="shared" si="2"/>
        <v>0</v>
      </c>
    </row>
    <row r="40" spans="1:5" ht="31.5">
      <c r="A40" s="32" t="s">
        <v>552</v>
      </c>
      <c r="B40" s="13" t="s">
        <v>399</v>
      </c>
      <c r="C40" s="18">
        <f>3mérleg!C34</f>
        <v>0</v>
      </c>
      <c r="D40" s="18">
        <f t="shared" si="2"/>
        <v>0</v>
      </c>
      <c r="E40" s="18">
        <f t="shared" si="2"/>
        <v>0</v>
      </c>
    </row>
    <row r="41" spans="1:5" ht="31.5">
      <c r="A41" s="32" t="s">
        <v>553</v>
      </c>
      <c r="B41" s="13" t="s">
        <v>401</v>
      </c>
      <c r="C41" s="18">
        <f>3mérleg!C36</f>
        <v>0</v>
      </c>
      <c r="D41" s="18">
        <f t="shared" si="2"/>
        <v>0</v>
      </c>
      <c r="E41" s="18">
        <f t="shared" si="2"/>
        <v>0</v>
      </c>
    </row>
    <row r="42" spans="1:5" s="22" customFormat="1" ht="31.5">
      <c r="A42" s="34" t="s">
        <v>555</v>
      </c>
      <c r="B42" s="101" t="s">
        <v>1079</v>
      </c>
      <c r="C42" s="27">
        <f>SUM(C33:C41)</f>
        <v>0</v>
      </c>
      <c r="D42" s="27">
        <f>SUM(D33:D41)</f>
        <v>0</v>
      </c>
      <c r="E42" s="27">
        <f>SUM(E33:E41)</f>
        <v>0</v>
      </c>
    </row>
    <row r="43" spans="3:5" ht="15.75">
      <c r="C43" s="18"/>
      <c r="D43" s="18"/>
      <c r="E43" s="18"/>
    </row>
    <row r="44" spans="1:5" ht="15.75">
      <c r="A44" s="32" t="s">
        <v>515</v>
      </c>
      <c r="B44" s="13" t="s">
        <v>542</v>
      </c>
      <c r="C44" s="18">
        <f>3mérleg!F26</f>
        <v>0</v>
      </c>
      <c r="D44" s="18">
        <f>+C44*0.98</f>
        <v>0</v>
      </c>
      <c r="E44" s="18">
        <f>+D44*0.98</f>
        <v>0</v>
      </c>
    </row>
    <row r="45" spans="1:5" ht="15.75">
      <c r="A45" s="32" t="s">
        <v>531</v>
      </c>
      <c r="B45" s="13" t="s">
        <v>544</v>
      </c>
      <c r="C45" s="18">
        <f>3mérleg!F28</f>
        <v>0</v>
      </c>
      <c r="D45" s="18">
        <f aca="true" t="shared" si="3" ref="D45:E53">+C45*0.98</f>
        <v>0</v>
      </c>
      <c r="E45" s="18">
        <f t="shared" si="3"/>
        <v>0</v>
      </c>
    </row>
    <row r="46" spans="1:5" ht="15.75">
      <c r="A46" s="32" t="s">
        <v>546</v>
      </c>
      <c r="B46" s="13" t="s">
        <v>545</v>
      </c>
      <c r="C46" s="18">
        <f>3mérleg!F29</f>
        <v>0</v>
      </c>
      <c r="D46" s="18">
        <f t="shared" si="3"/>
        <v>0</v>
      </c>
      <c r="E46" s="18">
        <f t="shared" si="3"/>
        <v>0</v>
      </c>
    </row>
    <row r="47" spans="1:5" ht="15.75">
      <c r="A47" s="32"/>
      <c r="B47" s="15" t="s">
        <v>1204</v>
      </c>
      <c r="C47" s="18">
        <f>3mérleg!F30</f>
        <v>0</v>
      </c>
      <c r="D47" s="18">
        <f>+C47*0.98</f>
        <v>0</v>
      </c>
      <c r="E47" s="18">
        <f>+D47*0.98</f>
        <v>0</v>
      </c>
    </row>
    <row r="48" spans="1:5" ht="31.5">
      <c r="A48" s="32" t="s">
        <v>547</v>
      </c>
      <c r="B48" s="9" t="s">
        <v>42</v>
      </c>
      <c r="C48" s="18" t="e">
        <f>3mérleg!#REF!</f>
        <v>#REF!</v>
      </c>
      <c r="D48" s="18" t="e">
        <f t="shared" si="3"/>
        <v>#REF!</v>
      </c>
      <c r="E48" s="18" t="e">
        <f t="shared" si="3"/>
        <v>#REF!</v>
      </c>
    </row>
    <row r="49" spans="1:5" ht="31.5">
      <c r="A49" s="32" t="s">
        <v>548</v>
      </c>
      <c r="B49" s="9" t="s">
        <v>43</v>
      </c>
      <c r="C49" s="18">
        <f>3mérleg!F31</f>
        <v>0</v>
      </c>
      <c r="D49" s="18">
        <f t="shared" si="3"/>
        <v>0</v>
      </c>
      <c r="E49" s="18">
        <f t="shared" si="3"/>
        <v>0</v>
      </c>
    </row>
    <row r="50" spans="1:5" ht="31.5">
      <c r="A50" s="32" t="s">
        <v>549</v>
      </c>
      <c r="B50" s="9" t="s">
        <v>44</v>
      </c>
      <c r="C50" s="18" t="e">
        <f>3mérleg!#REF!</f>
        <v>#REF!</v>
      </c>
      <c r="D50" s="18" t="e">
        <f t="shared" si="3"/>
        <v>#REF!</v>
      </c>
      <c r="E50" s="18" t="e">
        <f t="shared" si="3"/>
        <v>#REF!</v>
      </c>
    </row>
    <row r="51" spans="1:5" ht="15.75">
      <c r="A51" s="32" t="s">
        <v>551</v>
      </c>
      <c r="B51" s="9" t="s">
        <v>874</v>
      </c>
      <c r="C51" s="18">
        <f>3mérleg!F32</f>
        <v>0</v>
      </c>
      <c r="D51" s="18">
        <f t="shared" si="3"/>
        <v>0</v>
      </c>
      <c r="E51" s="18">
        <f t="shared" si="3"/>
        <v>0</v>
      </c>
    </row>
    <row r="52" spans="1:5" ht="31.5">
      <c r="A52" s="32" t="s">
        <v>552</v>
      </c>
      <c r="B52" s="9" t="s">
        <v>875</v>
      </c>
      <c r="C52" s="18">
        <f>3mérleg!F33</f>
        <v>0</v>
      </c>
      <c r="D52" s="18">
        <f t="shared" si="3"/>
        <v>0</v>
      </c>
      <c r="E52" s="18">
        <f t="shared" si="3"/>
        <v>0</v>
      </c>
    </row>
    <row r="53" spans="1:5" ht="31.5">
      <c r="A53" s="32" t="s">
        <v>553</v>
      </c>
      <c r="B53" s="9" t="s">
        <v>876</v>
      </c>
      <c r="C53" s="18" t="e">
        <f>3mérleg!#REF!</f>
        <v>#REF!</v>
      </c>
      <c r="D53" s="18" t="e">
        <f t="shared" si="3"/>
        <v>#REF!</v>
      </c>
      <c r="E53" s="18" t="e">
        <f t="shared" si="3"/>
        <v>#REF!</v>
      </c>
    </row>
    <row r="54" spans="1:5" s="22" customFormat="1" ht="31.5">
      <c r="A54" s="34" t="s">
        <v>555</v>
      </c>
      <c r="B54" s="101" t="s">
        <v>1080</v>
      </c>
      <c r="C54" s="27" t="e">
        <f>SUM(C44:C53)</f>
        <v>#REF!</v>
      </c>
      <c r="D54" s="27" t="e">
        <f>SUM(D44:D53)</f>
        <v>#REF!</v>
      </c>
      <c r="E54" s="27" t="e">
        <f>SUM(E44:E53)</f>
        <v>#REF!</v>
      </c>
    </row>
  </sheetData>
  <mergeCells count="1">
    <mergeCell ref="A4:E5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  <rowBreaks count="1" manualBreakCount="1">
    <brk id="32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4" sqref="A4"/>
    </sheetView>
  </sheetViews>
  <sheetFormatPr defaultColWidth="9.140625" defaultRowHeight="12.75"/>
  <sheetData>
    <row r="3" ht="12.75">
      <c r="A3" t="s">
        <v>1081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G13" sqref="G13"/>
    </sheetView>
  </sheetViews>
  <sheetFormatPr defaultColWidth="9.140625" defaultRowHeight="12.75"/>
  <cols>
    <col min="2" max="2" width="48.8515625" style="0" customWidth="1"/>
    <col min="3" max="3" width="13.57421875" style="0" customWidth="1"/>
    <col min="4" max="4" width="12.7109375" style="0" customWidth="1"/>
  </cols>
  <sheetData>
    <row r="1" spans="1:4" ht="12.75">
      <c r="A1" s="42"/>
      <c r="B1" s="42"/>
      <c r="C1" s="42"/>
      <c r="D1" s="74" t="s">
        <v>1065</v>
      </c>
    </row>
    <row r="2" spans="1:4" ht="12.75">
      <c r="A2" s="42"/>
      <c r="B2" s="42"/>
      <c r="C2" s="42"/>
      <c r="D2" s="42"/>
    </row>
    <row r="3" spans="1:4" ht="12.75">
      <c r="A3" s="42"/>
      <c r="B3" s="42"/>
      <c r="C3" s="42"/>
      <c r="D3" s="42"/>
    </row>
    <row r="4" spans="1:4" ht="15.75">
      <c r="A4" s="708" t="s">
        <v>554</v>
      </c>
      <c r="B4" s="708"/>
      <c r="C4" s="708"/>
      <c r="D4" s="708"/>
    </row>
    <row r="5" spans="1:4" ht="15.75">
      <c r="A5" s="1"/>
      <c r="B5" s="1"/>
      <c r="C5" s="1"/>
      <c r="D5" s="1"/>
    </row>
    <row r="6" spans="1:4" ht="15.75">
      <c r="A6" s="1"/>
      <c r="B6" s="40" t="s">
        <v>1082</v>
      </c>
      <c r="C6" s="40" t="s">
        <v>1083</v>
      </c>
      <c r="D6" s="40" t="s">
        <v>1084</v>
      </c>
    </row>
    <row r="7" spans="1:4" ht="15.75">
      <c r="A7" s="1"/>
      <c r="B7" s="1"/>
      <c r="C7" s="1"/>
      <c r="D7" s="1"/>
    </row>
    <row r="8" spans="1:4" ht="15.75">
      <c r="A8" s="79" t="s">
        <v>1088</v>
      </c>
      <c r="B8" s="79"/>
      <c r="C8" s="1"/>
      <c r="D8" s="1">
        <v>0</v>
      </c>
    </row>
    <row r="9" spans="1:4" ht="15.75">
      <c r="A9" s="1"/>
      <c r="B9" s="1"/>
      <c r="C9" s="1"/>
      <c r="D9" s="1"/>
    </row>
    <row r="10" spans="1:4" ht="15.75">
      <c r="A10" s="1"/>
      <c r="B10" s="1"/>
      <c r="C10" s="1"/>
      <c r="D10" s="1"/>
    </row>
    <row r="11" spans="1:4" ht="15.75">
      <c r="A11" s="1"/>
      <c r="B11" s="1"/>
      <c r="C11" s="1"/>
      <c r="D11" s="1"/>
    </row>
    <row r="12" spans="1:4" ht="15.75">
      <c r="A12" s="1"/>
      <c r="B12" s="1"/>
      <c r="C12" s="1"/>
      <c r="D12" s="1"/>
    </row>
    <row r="13" spans="1:4" ht="15.75">
      <c r="A13" s="1"/>
      <c r="B13" s="1"/>
      <c r="C13" s="1"/>
      <c r="D13" s="1"/>
    </row>
    <row r="14" spans="1:4" ht="15.75">
      <c r="A14" s="1"/>
      <c r="B14" s="1"/>
      <c r="C14" s="1"/>
      <c r="D14" s="1"/>
    </row>
    <row r="15" spans="1:4" ht="15.75">
      <c r="A15" s="1"/>
      <c r="B15" s="1"/>
      <c r="C15" s="1"/>
      <c r="D15" s="1"/>
    </row>
  </sheetData>
  <mergeCells count="1">
    <mergeCell ref="A4:D4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30" sqref="D30"/>
    </sheetView>
  </sheetViews>
  <sheetFormatPr defaultColWidth="9.140625" defaultRowHeight="12.75"/>
  <cols>
    <col min="1" max="1" width="6.57421875" style="15" customWidth="1"/>
    <col min="2" max="2" width="68.7109375" style="15" customWidth="1"/>
    <col min="3" max="3" width="14.28125" style="15" customWidth="1"/>
    <col min="4" max="16384" width="9.140625" style="15" customWidth="1"/>
  </cols>
  <sheetData>
    <row r="1" spans="2:9" ht="15.75">
      <c r="B1" s="137"/>
      <c r="C1" s="74" t="s">
        <v>60</v>
      </c>
      <c r="D1" s="137"/>
      <c r="E1" s="137"/>
      <c r="F1" s="137"/>
      <c r="G1" s="137"/>
      <c r="H1" s="137"/>
      <c r="I1" s="137"/>
    </row>
    <row r="2" spans="2:9" ht="15.75">
      <c r="B2" s="137"/>
      <c r="C2" s="74"/>
      <c r="D2" s="137"/>
      <c r="E2" s="137"/>
      <c r="F2" s="137"/>
      <c r="G2" s="137"/>
      <c r="H2" s="137"/>
      <c r="I2" s="137"/>
    </row>
    <row r="4" ht="15.75">
      <c r="B4" s="23" t="str">
        <f>tartalom!B28</f>
        <v>Közvetett támogatások</v>
      </c>
    </row>
    <row r="5" ht="15.75">
      <c r="B5" s="23"/>
    </row>
    <row r="6" spans="1:9" ht="15.75">
      <c r="A6" s="23"/>
      <c r="B6" s="23"/>
      <c r="C6" s="23"/>
      <c r="D6" s="23"/>
      <c r="E6" s="23"/>
      <c r="F6" s="23"/>
      <c r="G6" s="23"/>
      <c r="H6" s="23"/>
      <c r="I6" s="23"/>
    </row>
    <row r="7" spans="1:9" ht="32.25" customHeight="1">
      <c r="A7" s="23" t="s">
        <v>1091</v>
      </c>
      <c r="B7" s="675" t="s">
        <v>479</v>
      </c>
      <c r="C7" s="676"/>
      <c r="D7" s="23"/>
      <c r="E7" s="23"/>
      <c r="F7" s="23"/>
      <c r="G7" s="23"/>
      <c r="H7" s="23"/>
      <c r="I7" s="23"/>
    </row>
    <row r="8" spans="1:9" ht="15.75">
      <c r="A8" s="23"/>
      <c r="B8" s="15" t="s">
        <v>480</v>
      </c>
      <c r="C8" s="228">
        <v>0</v>
      </c>
      <c r="D8" s="23"/>
      <c r="E8" s="23"/>
      <c r="F8" s="23"/>
      <c r="G8" s="23"/>
      <c r="H8" s="23"/>
      <c r="I8" s="23"/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33" customHeight="1">
      <c r="A10" s="229" t="s">
        <v>1095</v>
      </c>
      <c r="B10" s="675" t="s">
        <v>481</v>
      </c>
      <c r="C10" s="677"/>
      <c r="D10" s="23"/>
      <c r="E10" s="23"/>
      <c r="F10" s="23"/>
      <c r="G10" s="23"/>
      <c r="H10" s="23"/>
      <c r="I10" s="23"/>
    </row>
    <row r="11" spans="1:9" ht="15.75">
      <c r="A11" s="23"/>
      <c r="B11" s="15" t="s">
        <v>480</v>
      </c>
      <c r="C11" s="228">
        <v>0</v>
      </c>
      <c r="D11" s="23"/>
      <c r="E11" s="23"/>
      <c r="F11" s="23"/>
      <c r="G11" s="23"/>
      <c r="H11" s="23"/>
      <c r="I11" s="23"/>
    </row>
    <row r="12" spans="1:9" ht="15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.75">
      <c r="A13" s="23" t="s">
        <v>482</v>
      </c>
      <c r="B13" s="23" t="s">
        <v>483</v>
      </c>
      <c r="C13" s="23"/>
      <c r="D13" s="23"/>
      <c r="E13" s="23"/>
      <c r="F13" s="23"/>
      <c r="G13" s="23"/>
      <c r="H13" s="23"/>
      <c r="I13" s="23"/>
    </row>
    <row r="14" spans="1:9" ht="45" customHeight="1">
      <c r="A14" s="229" t="s">
        <v>484</v>
      </c>
      <c r="B14" s="675" t="s">
        <v>62</v>
      </c>
      <c r="C14" s="677"/>
      <c r="D14" s="23"/>
      <c r="E14" s="23"/>
      <c r="F14" s="23"/>
      <c r="G14" s="23"/>
      <c r="H14" s="23"/>
      <c r="I14" s="23"/>
    </row>
    <row r="15" spans="2:3" ht="15.75" customHeight="1">
      <c r="B15" s="15" t="s">
        <v>957</v>
      </c>
      <c r="C15" s="138" t="s">
        <v>958</v>
      </c>
    </row>
    <row r="16" spans="2:3" ht="15.75" customHeight="1">
      <c r="B16" s="15" t="s">
        <v>57</v>
      </c>
      <c r="C16" s="138" t="s">
        <v>56</v>
      </c>
    </row>
    <row r="17" spans="1:3" ht="15.75">
      <c r="A17" s="674" t="s">
        <v>485</v>
      </c>
      <c r="B17" s="674"/>
      <c r="C17" s="674"/>
    </row>
    <row r="18" spans="1:3" ht="15.75">
      <c r="A18" s="674"/>
      <c r="B18" s="674"/>
      <c r="C18" s="674"/>
    </row>
    <row r="19" spans="1:3" ht="31.5">
      <c r="A19" s="231" t="s">
        <v>494</v>
      </c>
      <c r="B19" s="224" t="s">
        <v>495</v>
      </c>
      <c r="C19" s="225"/>
    </row>
    <row r="20" spans="1:3" ht="15.75">
      <c r="A20" s="225"/>
      <c r="B20" s="225" t="s">
        <v>59</v>
      </c>
      <c r="C20" s="232">
        <v>2493790</v>
      </c>
    </row>
    <row r="21" spans="1:3" ht="15.75">
      <c r="A21" s="225"/>
      <c r="B21" s="225"/>
      <c r="C21" s="225"/>
    </row>
    <row r="22" spans="1:2" s="23" customFormat="1" ht="15.75">
      <c r="A22" s="23" t="s">
        <v>486</v>
      </c>
      <c r="B22" s="23" t="s">
        <v>487</v>
      </c>
    </row>
    <row r="23" spans="2:3" s="23" customFormat="1" ht="15.75">
      <c r="B23" s="15" t="s">
        <v>480</v>
      </c>
      <c r="C23" s="228">
        <v>0</v>
      </c>
    </row>
    <row r="24" spans="2:3" s="23" customFormat="1" ht="15.75">
      <c r="B24" s="15"/>
      <c r="C24" s="228"/>
    </row>
    <row r="25" spans="1:3" s="23" customFormat="1" ht="30.75" customHeight="1">
      <c r="A25" s="229" t="s">
        <v>488</v>
      </c>
      <c r="B25" s="675" t="s">
        <v>489</v>
      </c>
      <c r="C25" s="678"/>
    </row>
    <row r="26" s="23" customFormat="1" ht="15.75">
      <c r="C26" s="228">
        <v>0</v>
      </c>
    </row>
    <row r="27" spans="1:3" s="23" customFormat="1" ht="15.75">
      <c r="A27" s="23" t="s">
        <v>490</v>
      </c>
      <c r="B27" s="23" t="s">
        <v>491</v>
      </c>
      <c r="C27" s="228"/>
    </row>
    <row r="28" spans="1:2" s="23" customFormat="1" ht="15.75">
      <c r="A28" s="23" t="s">
        <v>492</v>
      </c>
      <c r="B28" s="23" t="s">
        <v>493</v>
      </c>
    </row>
    <row r="29" spans="2:3" ht="15.75">
      <c r="B29" s="15" t="s">
        <v>61</v>
      </c>
      <c r="C29" s="230">
        <v>4000000</v>
      </c>
    </row>
    <row r="32" spans="1:3" ht="15.75">
      <c r="A32" s="674"/>
      <c r="B32" s="674"/>
      <c r="C32" s="674"/>
    </row>
    <row r="33" spans="1:3" ht="20.25" customHeight="1">
      <c r="A33" s="674"/>
      <c r="B33" s="674"/>
      <c r="C33" s="674"/>
    </row>
    <row r="34" ht="15.75">
      <c r="C34" s="139"/>
    </row>
  </sheetData>
  <mergeCells count="6">
    <mergeCell ref="A32:C33"/>
    <mergeCell ref="B7:C7"/>
    <mergeCell ref="B10:C10"/>
    <mergeCell ref="B14:C14"/>
    <mergeCell ref="B25:C25"/>
    <mergeCell ref="A17:C18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 topLeftCell="A31">
      <selection activeCell="C10" sqref="C10"/>
    </sheetView>
  </sheetViews>
  <sheetFormatPr defaultColWidth="9.140625" defaultRowHeight="12.75"/>
  <cols>
    <col min="1" max="1" width="4.7109375" style="32" customWidth="1"/>
    <col min="2" max="2" width="68.7109375" style="7" customWidth="1"/>
    <col min="3" max="3" width="12.7109375" style="33" customWidth="1"/>
    <col min="4" max="16384" width="9.140625" style="7" customWidth="1"/>
  </cols>
  <sheetData>
    <row r="1" ht="15.75">
      <c r="C1" s="20" t="s">
        <v>1662</v>
      </c>
    </row>
    <row r="2" ht="15.75">
      <c r="C2" s="20"/>
    </row>
    <row r="4" ht="15.75">
      <c r="B4" s="22" t="str">
        <f>tartalom!B6</f>
        <v>Működési bevételek</v>
      </c>
    </row>
    <row r="5" ht="15.75">
      <c r="B5" s="22"/>
    </row>
    <row r="6" ht="15.75">
      <c r="C6" s="20" t="s">
        <v>1416</v>
      </c>
    </row>
    <row r="7" spans="2:3" ht="15.75">
      <c r="B7" s="61" t="s">
        <v>1600</v>
      </c>
      <c r="C7" s="33">
        <f>'B4'!R3</f>
        <v>0</v>
      </c>
    </row>
    <row r="8" spans="2:3" ht="15.75">
      <c r="B8" s="61" t="s">
        <v>1516</v>
      </c>
      <c r="C8" s="33">
        <f>'B4'!R4</f>
        <v>0</v>
      </c>
    </row>
    <row r="9" spans="2:3" ht="15.75">
      <c r="B9" s="61" t="s">
        <v>1318</v>
      </c>
      <c r="C9" s="33">
        <f>'B4'!R5</f>
        <v>1200</v>
      </c>
    </row>
    <row r="10" spans="2:3" ht="15.75">
      <c r="B10" s="448" t="s">
        <v>1641</v>
      </c>
      <c r="C10" s="542">
        <f>'B4'!R6</f>
        <v>1200</v>
      </c>
    </row>
    <row r="11" spans="1:3" ht="15.75">
      <c r="A11" s="34"/>
      <c r="B11" s="61" t="s">
        <v>1604</v>
      </c>
      <c r="C11" s="33">
        <f>'B4'!R7</f>
        <v>250</v>
      </c>
    </row>
    <row r="12" spans="2:3" ht="15.75">
      <c r="B12" s="61" t="s">
        <v>1606</v>
      </c>
      <c r="C12" s="33">
        <f>'B4'!R8</f>
        <v>2000</v>
      </c>
    </row>
    <row r="13" spans="2:3" ht="15.75">
      <c r="B13" s="448" t="s">
        <v>1637</v>
      </c>
      <c r="C13" s="542">
        <f>'B4'!R9</f>
        <v>2250</v>
      </c>
    </row>
    <row r="14" spans="2:3" ht="15.75">
      <c r="B14" s="61" t="s">
        <v>1609</v>
      </c>
      <c r="C14" s="33">
        <f>'B4'!R10</f>
        <v>0</v>
      </c>
    </row>
    <row r="15" spans="2:3" ht="15.75">
      <c r="B15" s="61" t="s">
        <v>1611</v>
      </c>
      <c r="C15" s="33">
        <f>'B4'!R11</f>
        <v>0</v>
      </c>
    </row>
    <row r="16" spans="2:3" ht="15.75">
      <c r="B16" s="61" t="s">
        <v>1613</v>
      </c>
      <c r="C16" s="33">
        <f>'B4'!R12</f>
        <v>0</v>
      </c>
    </row>
    <row r="17" spans="2:3" ht="15.75">
      <c r="B17" s="61" t="s">
        <v>766</v>
      </c>
      <c r="C17" s="33">
        <f>'B4'!R13</f>
        <v>630</v>
      </c>
    </row>
    <row r="18" spans="2:3" ht="16.5" customHeight="1">
      <c r="B18" s="45" t="s">
        <v>767</v>
      </c>
      <c r="C18" s="33">
        <f>'B4'!R14</f>
        <v>1600</v>
      </c>
    </row>
    <row r="19" spans="2:3" ht="15.75">
      <c r="B19" s="61" t="s">
        <v>1617</v>
      </c>
      <c r="C19" s="33">
        <f>'B4'!R15</f>
        <v>0</v>
      </c>
    </row>
    <row r="20" spans="2:3" ht="15.75">
      <c r="B20" s="61" t="s">
        <v>1659</v>
      </c>
      <c r="C20" s="33">
        <f>'B4'!R16</f>
        <v>965</v>
      </c>
    </row>
    <row r="21" spans="2:3" ht="15.75">
      <c r="B21" s="61" t="s">
        <v>1620</v>
      </c>
      <c r="C21" s="33">
        <f>'B4'!R17</f>
        <v>0</v>
      </c>
    </row>
    <row r="22" spans="1:3" ht="15.75">
      <c r="A22" s="34"/>
      <c r="B22" s="61" t="s">
        <v>1622</v>
      </c>
      <c r="C22" s="33">
        <f>'B4'!R18</f>
        <v>100</v>
      </c>
    </row>
    <row r="23" spans="2:3" ht="15.75">
      <c r="B23" s="45" t="s">
        <v>1624</v>
      </c>
      <c r="C23" s="33">
        <f>'B4'!R19</f>
        <v>0</v>
      </c>
    </row>
    <row r="24" spans="2:3" ht="15.75">
      <c r="B24" s="448" t="s">
        <v>1638</v>
      </c>
      <c r="C24" s="542">
        <f>'B4'!R20</f>
        <v>3295</v>
      </c>
    </row>
    <row r="25" spans="1:3" ht="15.75">
      <c r="A25" s="34"/>
      <c r="B25" s="61" t="s">
        <v>432</v>
      </c>
      <c r="C25" s="33">
        <f>'B4'!R21</f>
        <v>9694</v>
      </c>
    </row>
    <row r="26" spans="2:3" ht="15.75">
      <c r="B26" s="61" t="s">
        <v>1628</v>
      </c>
      <c r="C26" s="33">
        <f>'B4'!R22</f>
        <v>0</v>
      </c>
    </row>
    <row r="27" spans="2:3" ht="15.75">
      <c r="B27" s="61" t="s">
        <v>1630</v>
      </c>
      <c r="C27" s="33">
        <f>'B4'!R23</f>
        <v>0</v>
      </c>
    </row>
    <row r="28" spans="2:3" ht="15.75">
      <c r="B28" s="448" t="s">
        <v>1639</v>
      </c>
      <c r="C28" s="542">
        <f>'B4'!R24</f>
        <v>9694</v>
      </c>
    </row>
    <row r="29" spans="1:3" ht="15.75">
      <c r="A29" s="34"/>
      <c r="B29" s="61" t="s">
        <v>1633</v>
      </c>
      <c r="C29" s="33">
        <f>'B4'!R25</f>
        <v>3252</v>
      </c>
    </row>
    <row r="30" spans="1:3" ht="15.75">
      <c r="A30" s="34"/>
      <c r="B30" s="61" t="s">
        <v>1635</v>
      </c>
      <c r="C30" s="33">
        <f>'B4'!R26</f>
        <v>170</v>
      </c>
    </row>
    <row r="31" spans="2:3" ht="15.75">
      <c r="B31" s="448" t="s">
        <v>1640</v>
      </c>
      <c r="C31" s="542">
        <f>'B4'!R27</f>
        <v>3422</v>
      </c>
    </row>
    <row r="32" spans="2:3" ht="15.75">
      <c r="B32" s="458" t="s">
        <v>1643</v>
      </c>
      <c r="C32" s="542">
        <f>'B4'!R28</f>
        <v>3205</v>
      </c>
    </row>
    <row r="33" spans="2:3" ht="15.75">
      <c r="B33" s="45" t="s">
        <v>1645</v>
      </c>
      <c r="C33" s="33">
        <f>'B4'!R29</f>
        <v>300</v>
      </c>
    </row>
    <row r="34" spans="2:3" ht="15.75">
      <c r="B34" s="45" t="s">
        <v>1648</v>
      </c>
      <c r="C34" s="33">
        <f>'B4'!R30</f>
        <v>0</v>
      </c>
    </row>
    <row r="35" spans="2:3" ht="15.75">
      <c r="B35" s="61" t="s">
        <v>1650</v>
      </c>
      <c r="C35" s="33">
        <f>'B4'!R31</f>
        <v>0</v>
      </c>
    </row>
    <row r="36" spans="2:3" ht="15.75">
      <c r="B36" s="437" t="s">
        <v>1651</v>
      </c>
      <c r="C36" s="542">
        <f>'B4'!R33</f>
        <v>300</v>
      </c>
    </row>
    <row r="37" spans="2:3" ht="15.75">
      <c r="B37" s="437" t="s">
        <v>1653</v>
      </c>
      <c r="C37" s="542">
        <f>'B4'!R34</f>
        <v>0</v>
      </c>
    </row>
    <row r="38" spans="2:3" ht="15.75">
      <c r="B38" s="1" t="s">
        <v>1669</v>
      </c>
      <c r="C38" s="33">
        <f>'B4'!R35</f>
        <v>0</v>
      </c>
    </row>
    <row r="39" spans="2:3" ht="15.75">
      <c r="B39" s="1" t="s">
        <v>1671</v>
      </c>
      <c r="C39" s="33">
        <f>'B4'!R36</f>
        <v>0</v>
      </c>
    </row>
    <row r="40" spans="2:3" ht="15.75">
      <c r="B40" s="1" t="s">
        <v>1673</v>
      </c>
      <c r="C40" s="33">
        <f>'B4'!R37</f>
        <v>0</v>
      </c>
    </row>
    <row r="41" spans="2:3" ht="15.75">
      <c r="B41" s="1" t="s">
        <v>1675</v>
      </c>
      <c r="C41" s="33">
        <f>'B4'!R38</f>
        <v>0</v>
      </c>
    </row>
    <row r="42" spans="2:3" ht="15.75">
      <c r="B42" s="1" t="s">
        <v>1677</v>
      </c>
      <c r="C42" s="33">
        <f>'B4'!R39</f>
        <v>0</v>
      </c>
    </row>
    <row r="43" spans="2:3" ht="15.75">
      <c r="B43" s="1" t="s">
        <v>1679</v>
      </c>
      <c r="C43" s="33">
        <f>'B4'!R40</f>
        <v>0</v>
      </c>
    </row>
    <row r="44" spans="2:3" ht="15.75">
      <c r="B44" s="1" t="s">
        <v>1681</v>
      </c>
      <c r="C44" s="33">
        <f>'B4'!R41</f>
        <v>0</v>
      </c>
    </row>
    <row r="45" spans="2:3" ht="15.75">
      <c r="B45" s="1" t="s">
        <v>1683</v>
      </c>
      <c r="C45" s="33">
        <f>'B4'!R42</f>
        <v>0</v>
      </c>
    </row>
    <row r="46" spans="2:3" ht="15.75">
      <c r="B46" s="1" t="s">
        <v>1685</v>
      </c>
      <c r="C46" s="33">
        <f>'B4'!R43</f>
        <v>0</v>
      </c>
    </row>
    <row r="47" spans="2:3" ht="15.75">
      <c r="B47" s="1" t="s">
        <v>1686</v>
      </c>
      <c r="C47" s="33">
        <f>'B4'!R44</f>
        <v>0</v>
      </c>
    </row>
    <row r="48" spans="2:3" ht="15.75">
      <c r="B48" s="1" t="s">
        <v>1688</v>
      </c>
      <c r="C48" s="33">
        <f>'B4'!R45</f>
        <v>0</v>
      </c>
    </row>
    <row r="49" spans="2:3" ht="15.75">
      <c r="B49" s="437" t="s">
        <v>16</v>
      </c>
      <c r="C49" s="542">
        <f>'B4'!R46</f>
        <v>0</v>
      </c>
    </row>
    <row r="50" spans="2:3" ht="15.75">
      <c r="B50" s="40" t="s">
        <v>1042</v>
      </c>
      <c r="C50" s="35">
        <f>'B4'!R47</f>
        <v>23366</v>
      </c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F7" sqref="F7"/>
    </sheetView>
  </sheetViews>
  <sheetFormatPr defaultColWidth="9.140625" defaultRowHeight="12.75"/>
  <cols>
    <col min="1" max="1" width="4.00390625" style="0" customWidth="1"/>
    <col min="2" max="2" width="55.8515625" style="0" customWidth="1"/>
    <col min="3" max="3" width="13.28125" style="0" customWidth="1"/>
    <col min="4" max="4" width="13.8515625" style="0" customWidth="1"/>
  </cols>
  <sheetData>
    <row r="1" spans="1:4" ht="12.75">
      <c r="A1" s="42"/>
      <c r="B1" s="42"/>
      <c r="C1" s="42"/>
      <c r="D1" s="74" t="s">
        <v>15</v>
      </c>
    </row>
    <row r="2" spans="1:4" ht="12.75">
      <c r="A2" s="42"/>
      <c r="B2" s="42"/>
      <c r="C2" s="42"/>
      <c r="D2" s="74"/>
    </row>
    <row r="3" spans="1:4" ht="12.75">
      <c r="A3" s="42"/>
      <c r="B3" s="42"/>
      <c r="C3" s="42"/>
      <c r="D3" s="42"/>
    </row>
    <row r="4" spans="1:4" ht="15.75">
      <c r="A4" s="708" t="s">
        <v>5</v>
      </c>
      <c r="B4" s="708"/>
      <c r="C4" s="708"/>
      <c r="D4" s="708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40"/>
    </row>
    <row r="7" spans="1:4" ht="63">
      <c r="A7" s="1"/>
      <c r="B7" s="1"/>
      <c r="C7" s="25" t="s">
        <v>7</v>
      </c>
      <c r="D7" s="25" t="s">
        <v>8</v>
      </c>
    </row>
    <row r="8" spans="1:4" ht="15.75">
      <c r="A8" s="1"/>
      <c r="B8" s="1"/>
      <c r="C8" s="37" t="s">
        <v>1089</v>
      </c>
      <c r="D8" s="37" t="s">
        <v>1090</v>
      </c>
    </row>
    <row r="9" spans="1:4" ht="15.75">
      <c r="A9" s="40" t="s">
        <v>1091</v>
      </c>
      <c r="B9" s="40" t="s">
        <v>6</v>
      </c>
      <c r="C9" s="1"/>
      <c r="D9" s="1"/>
    </row>
    <row r="10" spans="1:4" ht="15.75">
      <c r="A10" s="1"/>
      <c r="B10" s="1" t="s">
        <v>1093</v>
      </c>
      <c r="C10" s="37">
        <v>1</v>
      </c>
      <c r="D10" s="37">
        <v>1</v>
      </c>
    </row>
    <row r="11" spans="1:4" ht="15.75">
      <c r="A11" s="1"/>
      <c r="B11" s="1" t="s">
        <v>1094</v>
      </c>
      <c r="C11" s="37">
        <v>1</v>
      </c>
      <c r="D11" s="37">
        <v>1</v>
      </c>
    </row>
    <row r="12" spans="1:4" ht="15.75">
      <c r="A12" s="1"/>
      <c r="B12" s="1" t="s">
        <v>210</v>
      </c>
      <c r="C12" s="37">
        <v>9</v>
      </c>
      <c r="D12" s="37">
        <v>11</v>
      </c>
    </row>
    <row r="13" spans="1:4" ht="15.75">
      <c r="A13" s="1"/>
      <c r="B13" s="40" t="s">
        <v>80</v>
      </c>
      <c r="C13" s="39">
        <f>SUM(C10:C12)</f>
        <v>11</v>
      </c>
      <c r="D13" s="39">
        <f>SUM(D10:D12)</f>
        <v>13</v>
      </c>
    </row>
    <row r="14" spans="1:4" ht="15.75">
      <c r="A14" s="1"/>
      <c r="B14" s="40"/>
      <c r="C14" s="39"/>
      <c r="D14" s="39"/>
    </row>
    <row r="15" spans="1:4" ht="15.75">
      <c r="A15" s="40" t="s">
        <v>1095</v>
      </c>
      <c r="B15" s="40" t="s">
        <v>1124</v>
      </c>
      <c r="C15" s="37"/>
      <c r="D15" s="37"/>
    </row>
    <row r="16" spans="1:4" ht="15.75">
      <c r="A16" s="40"/>
      <c r="B16" s="1" t="s">
        <v>211</v>
      </c>
      <c r="C16" s="37">
        <v>1</v>
      </c>
      <c r="D16" s="37">
        <v>1</v>
      </c>
    </row>
    <row r="17" spans="1:4" ht="15.75">
      <c r="A17" s="40"/>
      <c r="B17" s="1" t="s">
        <v>209</v>
      </c>
      <c r="C17" s="37">
        <v>3</v>
      </c>
      <c r="D17" s="37">
        <v>3</v>
      </c>
    </row>
    <row r="18" spans="1:4" ht="15.75">
      <c r="A18" s="40"/>
      <c r="B18" s="1" t="s">
        <v>9</v>
      </c>
      <c r="C18" s="37">
        <v>5</v>
      </c>
      <c r="D18" s="37">
        <v>5</v>
      </c>
    </row>
    <row r="19" spans="1:4" ht="15.75">
      <c r="A19" s="40"/>
      <c r="B19" s="1" t="s">
        <v>1214</v>
      </c>
      <c r="C19" s="37">
        <v>1</v>
      </c>
      <c r="D19" s="37">
        <v>1</v>
      </c>
    </row>
    <row r="20" spans="1:4" ht="15.75">
      <c r="A20" s="40"/>
      <c r="B20" s="40" t="s">
        <v>80</v>
      </c>
      <c r="C20" s="39">
        <f>SUM(C16:C19)</f>
        <v>10</v>
      </c>
      <c r="D20" s="39">
        <f>SUM(D16:D19)</f>
        <v>10</v>
      </c>
    </row>
    <row r="21" spans="1:4" ht="15.75">
      <c r="A21" s="1"/>
      <c r="B21" s="40"/>
      <c r="C21" s="1"/>
      <c r="D21" s="1"/>
    </row>
    <row r="22" spans="1:4" ht="15.75">
      <c r="A22" s="40" t="s">
        <v>1343</v>
      </c>
      <c r="B22" s="40" t="s">
        <v>948</v>
      </c>
      <c r="C22" s="1"/>
      <c r="D22" s="1"/>
    </row>
    <row r="23" spans="1:4" ht="15.75">
      <c r="A23" s="1" t="s">
        <v>1092</v>
      </c>
      <c r="B23" s="1" t="s">
        <v>1342</v>
      </c>
      <c r="C23" s="37">
        <v>3</v>
      </c>
      <c r="D23" s="37">
        <v>4</v>
      </c>
    </row>
    <row r="24" spans="1:4" ht="15.75">
      <c r="A24" s="1"/>
      <c r="B24" s="40" t="s">
        <v>80</v>
      </c>
      <c r="C24" s="39">
        <f>SUM(C23:C23)</f>
        <v>3</v>
      </c>
      <c r="D24" s="39">
        <f>SUM(D23:D23)</f>
        <v>4</v>
      </c>
    </row>
    <row r="25" spans="1:4" ht="15.75">
      <c r="A25" s="1"/>
      <c r="B25" s="40"/>
      <c r="C25" s="37"/>
      <c r="D25" s="37"/>
    </row>
    <row r="26" spans="1:4" ht="15.75">
      <c r="A26" s="40" t="s">
        <v>1343</v>
      </c>
      <c r="B26" s="40" t="s">
        <v>52</v>
      </c>
      <c r="C26" s="1"/>
      <c r="D26" s="1"/>
    </row>
    <row r="27" spans="1:4" ht="15.75">
      <c r="A27" s="1" t="s">
        <v>1092</v>
      </c>
      <c r="B27" s="1" t="s">
        <v>10</v>
      </c>
      <c r="C27" s="37">
        <v>25</v>
      </c>
      <c r="D27" s="37">
        <v>25</v>
      </c>
    </row>
    <row r="28" spans="1:4" ht="15.75">
      <c r="A28" s="1"/>
      <c r="B28" s="40" t="s">
        <v>80</v>
      </c>
      <c r="C28" s="39">
        <f>SUM(C27:C27)</f>
        <v>25</v>
      </c>
      <c r="D28" s="39">
        <f>SUM(D27:D27)</f>
        <v>25</v>
      </c>
    </row>
    <row r="29" spans="1:4" ht="15.75">
      <c r="A29" s="1"/>
      <c r="B29" s="46"/>
      <c r="C29" s="46"/>
      <c r="D29" s="46"/>
    </row>
    <row r="30" spans="1:4" ht="15.75">
      <c r="A30" s="40" t="s">
        <v>486</v>
      </c>
      <c r="B30" s="679" t="s">
        <v>1345</v>
      </c>
      <c r="C30" s="679"/>
      <c r="D30" s="679"/>
    </row>
    <row r="31" spans="1:4" ht="15.75">
      <c r="A31" s="1"/>
      <c r="B31" s="679"/>
      <c r="C31" s="679"/>
      <c r="D31" s="679"/>
    </row>
    <row r="32" spans="1:4" ht="15.75">
      <c r="A32" s="1"/>
      <c r="B32" s="679"/>
      <c r="C32" s="679"/>
      <c r="D32" s="679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</sheetData>
  <mergeCells count="2">
    <mergeCell ref="A4:D4"/>
    <mergeCell ref="B30:D32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3" sqref="D13"/>
    </sheetView>
  </sheetViews>
  <sheetFormatPr defaultColWidth="9.140625" defaultRowHeight="12.75"/>
  <cols>
    <col min="1" max="1" width="4.00390625" style="0" customWidth="1"/>
    <col min="2" max="2" width="61.7109375" style="0" customWidth="1"/>
    <col min="3" max="3" width="13.28125" style="0" hidden="1" customWidth="1"/>
    <col min="4" max="4" width="20.8515625" style="0" customWidth="1"/>
  </cols>
  <sheetData>
    <row r="1" spans="2:4" ht="12.75">
      <c r="B1" s="680" t="s">
        <v>12</v>
      </c>
      <c r="C1" s="681"/>
      <c r="D1" s="681"/>
    </row>
    <row r="2" spans="2:4" ht="12.75">
      <c r="B2" s="74"/>
      <c r="C2" s="74"/>
      <c r="D2" s="74"/>
    </row>
    <row r="3" spans="1:4" ht="15.75">
      <c r="A3" s="708" t="s">
        <v>11</v>
      </c>
      <c r="B3" s="708"/>
      <c r="C3" s="708"/>
      <c r="D3" s="708"/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40"/>
    </row>
    <row r="6" spans="1:4" ht="47.25">
      <c r="A6" s="1"/>
      <c r="B6" s="1"/>
      <c r="C6" s="25"/>
      <c r="D6" s="25" t="s">
        <v>8</v>
      </c>
    </row>
    <row r="7" spans="1:4" ht="15.75">
      <c r="A7" s="1"/>
      <c r="B7" s="1"/>
      <c r="C7" s="37"/>
      <c r="D7" s="37" t="s">
        <v>1090</v>
      </c>
    </row>
    <row r="8" spans="1:4" ht="15.75">
      <c r="A8" s="40" t="s">
        <v>1091</v>
      </c>
      <c r="B8" s="40" t="s">
        <v>1086</v>
      </c>
      <c r="C8" s="1"/>
      <c r="D8" s="1"/>
    </row>
    <row r="9" spans="1:4" s="181" customFormat="1" ht="15.75">
      <c r="A9" s="1"/>
      <c r="B9" s="1" t="s">
        <v>13</v>
      </c>
      <c r="C9" s="37"/>
      <c r="D9" s="37">
        <v>29</v>
      </c>
    </row>
    <row r="10" spans="2:4" ht="15.75">
      <c r="B10" s="40" t="s">
        <v>1028</v>
      </c>
      <c r="D10" s="39">
        <v>29</v>
      </c>
    </row>
  </sheetData>
  <mergeCells count="2">
    <mergeCell ref="A3:D3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E16" sqref="E16"/>
    </sheetView>
  </sheetViews>
  <sheetFormatPr defaultColWidth="9.140625" defaultRowHeight="12.75"/>
  <cols>
    <col min="1" max="1" width="19.28125" style="0" customWidth="1"/>
    <col min="2" max="2" width="44.140625" style="0" customWidth="1"/>
    <col min="3" max="3" width="23.57421875" style="0" customWidth="1"/>
  </cols>
  <sheetData>
    <row r="1" spans="1:3" ht="12.75">
      <c r="A1" s="42"/>
      <c r="B1" s="42"/>
      <c r="C1" s="74" t="s">
        <v>1220</v>
      </c>
    </row>
    <row r="2" spans="1:3" ht="12.75">
      <c r="A2" s="42"/>
      <c r="B2" s="42"/>
      <c r="C2" s="74"/>
    </row>
    <row r="3" spans="1:3" ht="12.75">
      <c r="A3" s="42"/>
      <c r="B3" s="42"/>
      <c r="C3" s="42"/>
    </row>
    <row r="4" spans="1:3" ht="15.75">
      <c r="A4" s="708" t="s">
        <v>1346</v>
      </c>
      <c r="B4" s="708"/>
      <c r="C4" s="708"/>
    </row>
    <row r="5" spans="1:3" ht="15.75">
      <c r="A5" s="39"/>
      <c r="B5" s="39"/>
      <c r="C5" s="39"/>
    </row>
    <row r="6" spans="1:3" ht="15.75">
      <c r="A6" s="1"/>
      <c r="B6" s="1"/>
      <c r="C6" s="1"/>
    </row>
    <row r="7" spans="1:3" ht="15.75">
      <c r="A7" s="40"/>
      <c r="B7" s="40" t="s">
        <v>1348</v>
      </c>
      <c r="C7" s="39" t="s">
        <v>1349</v>
      </c>
    </row>
    <row r="8" spans="1:3" ht="15.75">
      <c r="A8" s="1"/>
      <c r="B8" s="1" t="s">
        <v>1360</v>
      </c>
      <c r="C8" s="141">
        <v>500000</v>
      </c>
    </row>
    <row r="9" spans="1:3" ht="15.75">
      <c r="A9" s="1"/>
      <c r="B9" s="700" t="s">
        <v>1361</v>
      </c>
      <c r="C9" s="682">
        <v>350000</v>
      </c>
    </row>
    <row r="10" spans="1:3" ht="15.75">
      <c r="A10" s="1" t="s">
        <v>1362</v>
      </c>
      <c r="B10" s="700"/>
      <c r="C10" s="682"/>
    </row>
    <row r="11" spans="1:3" ht="15.75">
      <c r="A11" s="1"/>
      <c r="B11" s="40" t="s">
        <v>1363</v>
      </c>
      <c r="C11" s="142">
        <v>717000</v>
      </c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4.25">
      <c r="A14" s="683" t="s">
        <v>1364</v>
      </c>
      <c r="B14" s="683"/>
      <c r="C14" s="683"/>
    </row>
    <row r="15" spans="1:3" ht="15.75">
      <c r="A15" s="1"/>
      <c r="B15" s="1"/>
      <c r="C15" s="1"/>
    </row>
    <row r="16" spans="1:3" ht="15.75">
      <c r="A16" s="40" t="s">
        <v>1347</v>
      </c>
      <c r="B16" s="40" t="s">
        <v>1365</v>
      </c>
      <c r="C16" s="39" t="s">
        <v>1349</v>
      </c>
    </row>
    <row r="17" spans="1:3" ht="15.75">
      <c r="A17" s="1" t="s">
        <v>1350</v>
      </c>
      <c r="B17" s="1" t="s">
        <v>1366</v>
      </c>
      <c r="C17" s="141">
        <v>150000</v>
      </c>
    </row>
    <row r="18" spans="1:3" ht="15.75">
      <c r="A18" s="1" t="s">
        <v>1351</v>
      </c>
      <c r="B18" s="1" t="s">
        <v>1367</v>
      </c>
      <c r="C18" s="37" t="s">
        <v>1352</v>
      </c>
    </row>
    <row r="19" spans="1:3" ht="15.75">
      <c r="A19" s="1" t="s">
        <v>1353</v>
      </c>
      <c r="B19" s="1" t="s">
        <v>1368</v>
      </c>
      <c r="C19" s="141">
        <v>100000</v>
      </c>
    </row>
    <row r="20" spans="1:3" ht="15.75">
      <c r="A20" s="1" t="s">
        <v>1354</v>
      </c>
      <c r="B20" s="1" t="s">
        <v>1369</v>
      </c>
      <c r="C20" s="37" t="s">
        <v>1352</v>
      </c>
    </row>
    <row r="21" spans="1:3" ht="15.75">
      <c r="A21" s="1" t="s">
        <v>1355</v>
      </c>
      <c r="B21" s="1" t="s">
        <v>1370</v>
      </c>
      <c r="C21" s="37" t="s">
        <v>1352</v>
      </c>
    </row>
    <row r="22" spans="1:3" ht="15.75">
      <c r="A22" s="1" t="s">
        <v>1356</v>
      </c>
      <c r="B22" s="1" t="s">
        <v>1371</v>
      </c>
      <c r="C22" s="37" t="s">
        <v>1352</v>
      </c>
    </row>
    <row r="23" spans="1:3" ht="15.75">
      <c r="A23" s="1" t="s">
        <v>1362</v>
      </c>
      <c r="B23" s="40" t="s">
        <v>80</v>
      </c>
      <c r="C23" s="142">
        <v>250000</v>
      </c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</sheetData>
  <mergeCells count="4">
    <mergeCell ref="A4:C4"/>
    <mergeCell ref="B9:B10"/>
    <mergeCell ref="C9:C10"/>
    <mergeCell ref="A14:C14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 topLeftCell="A1">
      <selection activeCell="C4" sqref="C4"/>
    </sheetView>
  </sheetViews>
  <sheetFormatPr defaultColWidth="9.140625" defaultRowHeight="12.75"/>
  <cols>
    <col min="1" max="1" width="62.28125" style="0" customWidth="1"/>
    <col min="2" max="2" width="22.00390625" style="0" customWidth="1"/>
  </cols>
  <sheetData>
    <row r="1" spans="1:2" ht="12.75">
      <c r="A1" s="42"/>
      <c r="B1" s="74" t="s">
        <v>1221</v>
      </c>
    </row>
    <row r="2" spans="1:2" ht="12.75">
      <c r="A2" s="42"/>
      <c r="B2" s="42"/>
    </row>
    <row r="3" spans="1:2" ht="15.75">
      <c r="A3" s="144"/>
      <c r="B3" s="1"/>
    </row>
    <row r="4" spans="1:2" ht="15.75">
      <c r="A4" s="145" t="s">
        <v>1372</v>
      </c>
      <c r="B4" s="39" t="s">
        <v>1373</v>
      </c>
    </row>
    <row r="5" spans="1:2" ht="15.75">
      <c r="A5" s="1" t="s">
        <v>1374</v>
      </c>
      <c r="B5" s="37" t="s">
        <v>1352</v>
      </c>
    </row>
    <row r="6" spans="1:2" ht="15.75">
      <c r="A6" s="1" t="s">
        <v>1375</v>
      </c>
      <c r="B6" s="37" t="s">
        <v>1352</v>
      </c>
    </row>
    <row r="7" spans="1:2" ht="12.75">
      <c r="A7" s="700" t="s">
        <v>1376</v>
      </c>
      <c r="B7" s="686" t="s">
        <v>1352</v>
      </c>
    </row>
    <row r="8" spans="1:2" ht="12.75" customHeight="1">
      <c r="A8" s="700"/>
      <c r="B8" s="686"/>
    </row>
    <row r="9" spans="1:2" ht="12.75" customHeight="1">
      <c r="A9" s="700"/>
      <c r="B9" s="686"/>
    </row>
    <row r="10" spans="1:2" ht="15.75">
      <c r="A10" s="1" t="s">
        <v>1377</v>
      </c>
      <c r="B10" s="37" t="s">
        <v>1352</v>
      </c>
    </row>
    <row r="11" spans="1:2" ht="15.75">
      <c r="A11" s="1" t="s">
        <v>1378</v>
      </c>
      <c r="B11" s="37" t="s">
        <v>1352</v>
      </c>
    </row>
    <row r="12" spans="1:2" ht="15.75">
      <c r="A12" s="1" t="s">
        <v>1379</v>
      </c>
      <c r="B12" s="141">
        <v>0</v>
      </c>
    </row>
    <row r="13" spans="1:2" ht="12.75">
      <c r="A13" s="700" t="s">
        <v>1380</v>
      </c>
      <c r="B13" s="686" t="s">
        <v>1352</v>
      </c>
    </row>
    <row r="14" spans="1:2" ht="12.75" customHeight="1">
      <c r="A14" s="700"/>
      <c r="B14" s="686"/>
    </row>
    <row r="15" spans="1:2" ht="12.75" customHeight="1">
      <c r="A15" s="700"/>
      <c r="B15" s="686"/>
    </row>
    <row r="16" spans="1:2" ht="12.75">
      <c r="A16" s="700" t="s">
        <v>1381</v>
      </c>
      <c r="B16" s="684" t="s">
        <v>1352</v>
      </c>
    </row>
    <row r="17" spans="1:2" ht="12.75">
      <c r="A17" s="700"/>
      <c r="B17" s="684"/>
    </row>
    <row r="18" spans="1:2" ht="12.75">
      <c r="A18" s="700"/>
      <c r="B18" s="684"/>
    </row>
    <row r="19" spans="1:2" ht="15.75">
      <c r="A19" s="40" t="s">
        <v>888</v>
      </c>
      <c r="B19" s="142">
        <v>0</v>
      </c>
    </row>
    <row r="20" spans="1:2" ht="15.75">
      <c r="A20" s="1"/>
      <c r="B20" s="146"/>
    </row>
    <row r="21" spans="1:2" ht="15.75">
      <c r="A21" s="1"/>
      <c r="B21" s="146"/>
    </row>
    <row r="22" spans="1:2" ht="15.75">
      <c r="A22" s="1"/>
      <c r="B22" s="1"/>
    </row>
    <row r="23" spans="1:2" ht="15.75">
      <c r="A23" s="1"/>
      <c r="B23" s="74" t="s">
        <v>1222</v>
      </c>
    </row>
    <row r="24" spans="1:2" ht="15.75">
      <c r="A24" s="1"/>
      <c r="B24" s="2"/>
    </row>
    <row r="25" spans="1:2" ht="15.75">
      <c r="A25" s="1"/>
      <c r="B25" s="2"/>
    </row>
    <row r="26" spans="1:2" ht="12.75">
      <c r="A26" s="685" t="s">
        <v>1382</v>
      </c>
      <c r="B26" s="685"/>
    </row>
    <row r="27" spans="1:2" ht="12.75">
      <c r="A27" s="685"/>
      <c r="B27" s="685"/>
    </row>
    <row r="28" spans="1:2" ht="12.75">
      <c r="A28" s="685"/>
      <c r="B28" s="685"/>
    </row>
    <row r="29" spans="1:2" ht="12.75">
      <c r="A29" s="685"/>
      <c r="B29" s="685"/>
    </row>
    <row r="30" spans="1:2" ht="15.75">
      <c r="A30" s="1"/>
      <c r="B30" s="1"/>
    </row>
    <row r="31" spans="1:2" ht="15.75">
      <c r="A31" s="1"/>
      <c r="B31" s="1"/>
    </row>
    <row r="32" spans="1:2" ht="15.75">
      <c r="A32" s="1"/>
      <c r="B32" s="1"/>
    </row>
    <row r="33" spans="1:2" ht="15.75">
      <c r="A33" s="1"/>
      <c r="B33" s="1"/>
    </row>
  </sheetData>
  <mergeCells count="7">
    <mergeCell ref="A16:A18"/>
    <mergeCell ref="B16:B18"/>
    <mergeCell ref="A26:B29"/>
    <mergeCell ref="A7:A9"/>
    <mergeCell ref="B7:B9"/>
    <mergeCell ref="A13:A15"/>
    <mergeCell ref="B13:B15"/>
  </mergeCells>
  <printOptions horizontalCentered="1"/>
  <pageMargins left="0.7875" right="0.7875" top="0.9840277777777778" bottom="0.9840277777777778" header="0.5118055555555556" footer="0.5118055555555556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G5" sqref="G5"/>
    </sheetView>
  </sheetViews>
  <sheetFormatPr defaultColWidth="9.140625" defaultRowHeight="12.75"/>
  <cols>
    <col min="1" max="1" width="5.8515625" style="0" customWidth="1"/>
    <col min="2" max="2" width="19.421875" style="0" customWidth="1"/>
    <col min="3" max="4" width="32.8515625" style="0" customWidth="1"/>
    <col min="5" max="5" width="27.00390625" style="0" hidden="1" customWidth="1"/>
  </cols>
  <sheetData>
    <row r="1" spans="2:5" ht="12.75">
      <c r="B1" s="681" t="s">
        <v>84</v>
      </c>
      <c r="C1" s="681"/>
      <c r="D1" s="681"/>
      <c r="E1" s="681"/>
    </row>
    <row r="2" spans="2:5" ht="12.75">
      <c r="B2" s="226"/>
      <c r="C2" s="226"/>
      <c r="D2" s="226"/>
      <c r="E2" s="226"/>
    </row>
    <row r="3" spans="2:5" ht="12.75">
      <c r="B3" s="226"/>
      <c r="C3" s="226"/>
      <c r="D3" s="226"/>
      <c r="E3" s="226"/>
    </row>
    <row r="4" spans="1:5" ht="25.5" customHeight="1">
      <c r="A4" s="687" t="s">
        <v>14</v>
      </c>
      <c r="B4" s="687"/>
      <c r="C4" s="687"/>
      <c r="D4" s="687"/>
      <c r="E4" s="687"/>
    </row>
    <row r="5" spans="1:5" ht="25.5" customHeight="1">
      <c r="A5" s="227"/>
      <c r="B5" s="227"/>
      <c r="C5" s="227"/>
      <c r="D5" s="227"/>
      <c r="E5" s="227"/>
    </row>
    <row r="6" ht="13.5" thickBot="1"/>
    <row r="7" spans="1:5" ht="91.5" customHeight="1">
      <c r="A7" s="688" t="s">
        <v>1067</v>
      </c>
      <c r="B7" s="689"/>
      <c r="C7" s="250" t="s">
        <v>83</v>
      </c>
      <c r="D7" s="250" t="s">
        <v>751</v>
      </c>
      <c r="E7" s="251" t="s">
        <v>750</v>
      </c>
    </row>
    <row r="8" spans="1:5" ht="12.75">
      <c r="A8" s="252" t="s">
        <v>515</v>
      </c>
      <c r="B8" s="233" t="s">
        <v>496</v>
      </c>
      <c r="C8" s="233">
        <v>2930</v>
      </c>
      <c r="D8" s="233">
        <v>0</v>
      </c>
      <c r="E8" s="253">
        <v>0</v>
      </c>
    </row>
    <row r="9" spans="1:5" ht="12.75">
      <c r="A9" s="252" t="s">
        <v>531</v>
      </c>
      <c r="B9" s="233" t="s">
        <v>497</v>
      </c>
      <c r="C9" s="233">
        <v>12277</v>
      </c>
      <c r="D9" s="233">
        <v>4077</v>
      </c>
      <c r="E9" s="253">
        <v>850</v>
      </c>
    </row>
    <row r="10" spans="1:5" ht="12.75">
      <c r="A10" s="254"/>
      <c r="B10" s="234" t="s">
        <v>498</v>
      </c>
      <c r="C10" s="234">
        <v>15207</v>
      </c>
      <c r="D10" s="234">
        <v>4077</v>
      </c>
      <c r="E10" s="255">
        <v>850</v>
      </c>
    </row>
    <row r="11" spans="1:5" ht="12.75">
      <c r="A11" s="252"/>
      <c r="B11" s="233"/>
      <c r="C11" s="233"/>
      <c r="D11" s="233"/>
      <c r="E11" s="253"/>
    </row>
    <row r="12" spans="1:5" ht="12.75">
      <c r="A12" s="252"/>
      <c r="B12" s="233"/>
      <c r="C12" s="233"/>
      <c r="D12" s="233"/>
      <c r="E12" s="253"/>
    </row>
    <row r="13" spans="1:5" ht="12.75">
      <c r="A13" s="252"/>
      <c r="B13" s="233"/>
      <c r="C13" s="233"/>
      <c r="D13" s="233"/>
      <c r="E13" s="253"/>
    </row>
    <row r="14" spans="1:5" ht="12.75">
      <c r="A14" s="252" t="s">
        <v>515</v>
      </c>
      <c r="B14" s="233" t="s">
        <v>499</v>
      </c>
      <c r="C14" s="233">
        <v>10950</v>
      </c>
      <c r="D14" s="233">
        <v>4468</v>
      </c>
      <c r="E14" s="253">
        <v>2002</v>
      </c>
    </row>
    <row r="15" spans="1:5" ht="12.75">
      <c r="A15" s="252" t="s">
        <v>531</v>
      </c>
      <c r="B15" s="233" t="s">
        <v>500</v>
      </c>
      <c r="C15" s="233">
        <v>0</v>
      </c>
      <c r="D15" s="233">
        <v>0</v>
      </c>
      <c r="E15" s="253">
        <v>0</v>
      </c>
    </row>
    <row r="16" spans="1:5" ht="12.75">
      <c r="A16" s="252" t="s">
        <v>546</v>
      </c>
      <c r="B16" s="233" t="s">
        <v>501</v>
      </c>
      <c r="C16" s="233">
        <v>0</v>
      </c>
      <c r="D16" s="233">
        <v>0</v>
      </c>
      <c r="E16" s="253">
        <v>0</v>
      </c>
    </row>
    <row r="17" spans="1:5" ht="12.75">
      <c r="A17" s="252" t="s">
        <v>547</v>
      </c>
      <c r="B17" s="233" t="s">
        <v>502</v>
      </c>
      <c r="C17" s="233">
        <v>4257</v>
      </c>
      <c r="D17" s="233">
        <v>0</v>
      </c>
      <c r="E17" s="253">
        <v>0</v>
      </c>
    </row>
    <row r="18" spans="1:5" ht="12.75">
      <c r="A18" s="252" t="s">
        <v>548</v>
      </c>
      <c r="B18" s="233" t="s">
        <v>1064</v>
      </c>
      <c r="C18" s="233">
        <v>0</v>
      </c>
      <c r="D18" s="233">
        <v>0</v>
      </c>
      <c r="E18" s="253">
        <v>0</v>
      </c>
    </row>
    <row r="19" spans="1:5" ht="12.75">
      <c r="A19" s="252" t="s">
        <v>549</v>
      </c>
      <c r="B19" s="233" t="s">
        <v>1524</v>
      </c>
      <c r="C19" s="233">
        <v>0</v>
      </c>
      <c r="D19" s="233">
        <v>0</v>
      </c>
      <c r="E19" s="253"/>
    </row>
    <row r="20" spans="1:5" ht="13.5" thickBot="1">
      <c r="A20" s="256"/>
      <c r="B20" s="257" t="s">
        <v>503</v>
      </c>
      <c r="C20" s="257">
        <v>15207</v>
      </c>
      <c r="D20" s="257">
        <v>4468</v>
      </c>
      <c r="E20" s="258">
        <v>2002</v>
      </c>
    </row>
  </sheetData>
  <mergeCells count="3">
    <mergeCell ref="A4:E4"/>
    <mergeCell ref="B1:E1"/>
    <mergeCell ref="A7:B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workbookViewId="0" topLeftCell="F19">
      <selection activeCell="C7" sqref="C7"/>
    </sheetView>
  </sheetViews>
  <sheetFormatPr defaultColWidth="9.140625" defaultRowHeight="12.75"/>
  <cols>
    <col min="1" max="1" width="12.57421875" style="37" customWidth="1"/>
    <col min="2" max="2" width="54.421875" style="1" customWidth="1"/>
    <col min="3" max="3" width="17.00390625" style="1" customWidth="1"/>
    <col min="4" max="4" width="12.7109375" style="1" customWidth="1"/>
    <col min="5" max="5" width="13.28125" style="1" customWidth="1"/>
    <col min="6" max="6" width="12.7109375" style="1" customWidth="1"/>
    <col min="7" max="7" width="12.7109375" style="208" customWidth="1"/>
    <col min="8" max="13" width="12.7109375" style="1" customWidth="1"/>
    <col min="14" max="15" width="12.7109375" style="1" hidden="1" customWidth="1"/>
    <col min="16" max="16" width="12.7109375" style="1" customWidth="1"/>
    <col min="17" max="19" width="12.7109375" style="1" hidden="1" customWidth="1"/>
    <col min="20" max="29" width="12.7109375" style="1" customWidth="1"/>
    <col min="30" max="35" width="10.7109375" style="1" customWidth="1"/>
    <col min="38" max="16384" width="9.140625" style="1" customWidth="1"/>
  </cols>
  <sheetData>
    <row r="1" spans="1:31" s="154" customFormat="1" ht="15.75">
      <c r="A1" s="692" t="s">
        <v>230</v>
      </c>
      <c r="B1" s="694" t="s">
        <v>1067</v>
      </c>
      <c r="C1" s="435"/>
      <c r="D1" s="670" t="s">
        <v>1086</v>
      </c>
      <c r="E1" s="670"/>
      <c r="F1" s="670"/>
      <c r="G1" s="670"/>
      <c r="H1" s="670"/>
      <c r="I1" s="670"/>
      <c r="J1" s="670"/>
      <c r="K1" s="670"/>
      <c r="L1" s="671"/>
      <c r="M1" s="731" t="s">
        <v>404</v>
      </c>
      <c r="N1" s="732"/>
      <c r="O1" s="732"/>
      <c r="P1" s="733"/>
      <c r="Q1" s="672" t="s">
        <v>1383</v>
      </c>
      <c r="R1" s="673"/>
      <c r="S1" s="673"/>
      <c r="T1" s="673"/>
      <c r="U1" s="730"/>
      <c r="V1" s="734" t="s">
        <v>748</v>
      </c>
      <c r="W1" s="734"/>
      <c r="X1" s="690" t="s">
        <v>1387</v>
      </c>
      <c r="Y1" s="153"/>
      <c r="Z1" s="153"/>
      <c r="AA1" s="153"/>
      <c r="AB1" s="153"/>
      <c r="AC1" s="153"/>
      <c r="AD1" s="153"/>
      <c r="AE1" s="153"/>
    </row>
    <row r="2" spans="1:33" ht="158.25" thickBot="1">
      <c r="A2" s="693"/>
      <c r="B2" s="669"/>
      <c r="C2" s="288" t="s">
        <v>33</v>
      </c>
      <c r="D2" s="302" t="s">
        <v>67</v>
      </c>
      <c r="E2" s="161" t="s">
        <v>90</v>
      </c>
      <c r="F2" s="288" t="s">
        <v>1139</v>
      </c>
      <c r="G2" s="302" t="s">
        <v>69</v>
      </c>
      <c r="H2" s="438" t="s">
        <v>32</v>
      </c>
      <c r="I2" s="288" t="s">
        <v>1128</v>
      </c>
      <c r="J2" s="302" t="s">
        <v>48</v>
      </c>
      <c r="K2" s="302" t="s">
        <v>49</v>
      </c>
      <c r="L2" s="574" t="s">
        <v>965</v>
      </c>
      <c r="M2" s="578"/>
      <c r="N2" s="577"/>
      <c r="O2" s="576" t="s">
        <v>1203</v>
      </c>
      <c r="P2" s="574" t="s">
        <v>965</v>
      </c>
      <c r="Q2" s="582" t="s">
        <v>999</v>
      </c>
      <c r="R2" s="438" t="s">
        <v>1203</v>
      </c>
      <c r="S2" s="202" t="s">
        <v>1000</v>
      </c>
      <c r="T2" s="202"/>
      <c r="U2" s="519" t="s">
        <v>1388</v>
      </c>
      <c r="V2" s="584"/>
      <c r="W2" s="586" t="s">
        <v>1388</v>
      </c>
      <c r="X2" s="691"/>
      <c r="AF2"/>
      <c r="AG2"/>
    </row>
    <row r="3" spans="1:33" ht="15.75">
      <c r="A3" s="439" t="s">
        <v>1535</v>
      </c>
      <c r="B3" s="191" t="s">
        <v>1542</v>
      </c>
      <c r="C3" s="191">
        <v>30547</v>
      </c>
      <c r="D3" s="189"/>
      <c r="E3" s="189"/>
      <c r="F3" s="189"/>
      <c r="G3" s="294"/>
      <c r="H3" s="189"/>
      <c r="I3" s="189"/>
      <c r="J3" s="189"/>
      <c r="K3" s="189"/>
      <c r="L3" s="381">
        <f>SUM(C3:K3)</f>
        <v>30547</v>
      </c>
      <c r="M3" s="386"/>
      <c r="N3" s="186"/>
      <c r="O3" s="186"/>
      <c r="P3" s="381"/>
      <c r="Q3" s="390"/>
      <c r="R3" s="189"/>
      <c r="S3" s="189"/>
      <c r="T3" s="189"/>
      <c r="U3" s="405"/>
      <c r="V3" s="585"/>
      <c r="W3" s="587">
        <f>V3</f>
        <v>0</v>
      </c>
      <c r="X3" s="588">
        <f>P3+L3+U3</f>
        <v>30547</v>
      </c>
      <c r="Y3" s="59"/>
      <c r="Z3" s="59"/>
      <c r="AA3" s="59"/>
      <c r="AB3" s="59"/>
      <c r="AC3" s="59"/>
      <c r="AD3" s="59"/>
      <c r="AE3" s="59"/>
      <c r="AF3"/>
      <c r="AG3"/>
    </row>
    <row r="4" spans="1:33" ht="15.75">
      <c r="A4" s="439" t="s">
        <v>1536</v>
      </c>
      <c r="B4" s="191" t="s">
        <v>1543</v>
      </c>
      <c r="C4" s="191">
        <v>57860</v>
      </c>
      <c r="D4" s="189"/>
      <c r="E4" s="189"/>
      <c r="F4" s="189"/>
      <c r="G4" s="294"/>
      <c r="H4" s="189"/>
      <c r="I4" s="189"/>
      <c r="J4" s="189"/>
      <c r="K4" s="189"/>
      <c r="L4" s="381">
        <f aca="true" t="shared" si="0" ref="L4:L37">SUM(C4:K4)</f>
        <v>57860</v>
      </c>
      <c r="M4" s="386"/>
      <c r="N4" s="186"/>
      <c r="O4" s="186"/>
      <c r="P4" s="381"/>
      <c r="Q4" s="390"/>
      <c r="R4" s="189"/>
      <c r="S4" s="189"/>
      <c r="T4" s="189"/>
      <c r="U4" s="405"/>
      <c r="V4" s="390"/>
      <c r="W4" s="405">
        <f aca="true" t="shared" si="1" ref="W4:W24">V4</f>
        <v>0</v>
      </c>
      <c r="X4" s="588">
        <f aca="true" t="shared" si="2" ref="X4:X23">+L4+U4</f>
        <v>57860</v>
      </c>
      <c r="Y4" s="59"/>
      <c r="Z4" s="59"/>
      <c r="AA4" s="59"/>
      <c r="AB4" s="59"/>
      <c r="AC4" s="59"/>
      <c r="AD4" s="59"/>
      <c r="AE4" s="59"/>
      <c r="AF4"/>
      <c r="AG4"/>
    </row>
    <row r="5" spans="1:33" ht="15.75">
      <c r="A5" s="439" t="s">
        <v>1537</v>
      </c>
      <c r="B5" s="191" t="s">
        <v>1538</v>
      </c>
      <c r="C5" s="191">
        <v>23739</v>
      </c>
      <c r="D5" s="189"/>
      <c r="E5" s="189"/>
      <c r="F5" s="189"/>
      <c r="G5" s="294"/>
      <c r="H5" s="189"/>
      <c r="I5" s="189"/>
      <c r="J5" s="189"/>
      <c r="K5" s="189"/>
      <c r="L5" s="381">
        <f t="shared" si="0"/>
        <v>23739</v>
      </c>
      <c r="M5" s="386"/>
      <c r="N5" s="186"/>
      <c r="O5" s="186"/>
      <c r="P5" s="381"/>
      <c r="Q5" s="390"/>
      <c r="R5" s="189"/>
      <c r="S5" s="189"/>
      <c r="T5" s="189"/>
      <c r="U5" s="405"/>
      <c r="V5" s="390"/>
      <c r="W5" s="405">
        <f t="shared" si="1"/>
        <v>0</v>
      </c>
      <c r="X5" s="588">
        <f t="shared" si="2"/>
        <v>23739</v>
      </c>
      <c r="Y5" s="59"/>
      <c r="Z5" s="59"/>
      <c r="AA5" s="59"/>
      <c r="AB5" s="59"/>
      <c r="AC5" s="59"/>
      <c r="AD5" s="59"/>
      <c r="AE5" s="59"/>
      <c r="AF5"/>
      <c r="AG5"/>
    </row>
    <row r="6" spans="1:33" ht="15.75">
      <c r="A6" s="439" t="s">
        <v>1539</v>
      </c>
      <c r="B6" s="191" t="s">
        <v>1540</v>
      </c>
      <c r="C6" s="191">
        <v>3839</v>
      </c>
      <c r="D6" s="189"/>
      <c r="E6" s="189"/>
      <c r="F6" s="189"/>
      <c r="G6" s="294"/>
      <c r="H6" s="189"/>
      <c r="I6" s="189"/>
      <c r="J6" s="189"/>
      <c r="K6" s="189"/>
      <c r="L6" s="381">
        <f t="shared" si="0"/>
        <v>3839</v>
      </c>
      <c r="M6" s="386"/>
      <c r="N6" s="186"/>
      <c r="O6" s="186"/>
      <c r="P6" s="381"/>
      <c r="Q6" s="390"/>
      <c r="R6" s="189"/>
      <c r="S6" s="189"/>
      <c r="T6" s="189"/>
      <c r="U6" s="405"/>
      <c r="V6" s="390"/>
      <c r="W6" s="405"/>
      <c r="X6" s="588"/>
      <c r="Y6" s="59"/>
      <c r="Z6" s="59"/>
      <c r="AA6" s="59"/>
      <c r="AB6" s="59"/>
      <c r="AC6" s="59"/>
      <c r="AD6" s="59"/>
      <c r="AE6" s="59"/>
      <c r="AF6"/>
      <c r="AG6"/>
    </row>
    <row r="7" spans="1:33" ht="15.75">
      <c r="A7" s="439" t="s">
        <v>1541</v>
      </c>
      <c r="B7" s="191" t="s">
        <v>620</v>
      </c>
      <c r="C7" s="191">
        <v>1818</v>
      </c>
      <c r="D7" s="189"/>
      <c r="E7" s="189"/>
      <c r="F7" s="189"/>
      <c r="G7" s="294"/>
      <c r="H7" s="189"/>
      <c r="I7" s="189"/>
      <c r="J7" s="189"/>
      <c r="K7" s="189"/>
      <c r="L7" s="381">
        <f t="shared" si="0"/>
        <v>1818</v>
      </c>
      <c r="M7" s="386"/>
      <c r="N7" s="186"/>
      <c r="O7" s="186"/>
      <c r="P7" s="381"/>
      <c r="Q7" s="390"/>
      <c r="R7" s="189"/>
      <c r="S7" s="189"/>
      <c r="T7" s="189"/>
      <c r="U7" s="405"/>
      <c r="V7" s="390"/>
      <c r="W7" s="405">
        <f t="shared" si="1"/>
        <v>0</v>
      </c>
      <c r="X7" s="588">
        <f t="shared" si="2"/>
        <v>1818</v>
      </c>
      <c r="Y7" s="59"/>
      <c r="Z7" s="59"/>
      <c r="AA7" s="59"/>
      <c r="AB7" s="59"/>
      <c r="AC7" s="59"/>
      <c r="AD7" s="59"/>
      <c r="AE7" s="59"/>
      <c r="AF7"/>
      <c r="AG7"/>
    </row>
    <row r="8" spans="1:33" ht="15.75">
      <c r="A8" s="439" t="s">
        <v>1544</v>
      </c>
      <c r="B8" s="191" t="s">
        <v>1545</v>
      </c>
      <c r="C8" s="191"/>
      <c r="D8" s="189"/>
      <c r="E8" s="189"/>
      <c r="F8" s="189"/>
      <c r="G8" s="294"/>
      <c r="H8" s="189"/>
      <c r="I8" s="189"/>
      <c r="J8" s="189"/>
      <c r="K8" s="189"/>
      <c r="L8" s="381">
        <f t="shared" si="0"/>
        <v>0</v>
      </c>
      <c r="M8" s="386"/>
      <c r="N8" s="186"/>
      <c r="O8" s="186"/>
      <c r="P8" s="381"/>
      <c r="Q8" s="390"/>
      <c r="R8" s="189"/>
      <c r="S8" s="189"/>
      <c r="T8" s="189"/>
      <c r="U8" s="405"/>
      <c r="V8" s="390"/>
      <c r="W8" s="405"/>
      <c r="X8" s="588"/>
      <c r="Y8" s="59"/>
      <c r="Z8" s="59"/>
      <c r="AA8" s="59"/>
      <c r="AB8" s="59"/>
      <c r="AC8" s="59"/>
      <c r="AD8" s="59"/>
      <c r="AE8" s="59"/>
      <c r="AF8"/>
      <c r="AG8"/>
    </row>
    <row r="9" spans="1:33" ht="15.75">
      <c r="A9" s="439" t="s">
        <v>1581</v>
      </c>
      <c r="B9" s="191" t="s">
        <v>1582</v>
      </c>
      <c r="C9" s="191"/>
      <c r="D9" s="189"/>
      <c r="E9" s="189"/>
      <c r="F9" s="189"/>
      <c r="G9" s="294"/>
      <c r="H9" s="189"/>
      <c r="I9" s="189"/>
      <c r="J9" s="189"/>
      <c r="K9" s="189"/>
      <c r="L9" s="381">
        <f t="shared" si="0"/>
        <v>0</v>
      </c>
      <c r="M9" s="386"/>
      <c r="N9" s="186"/>
      <c r="O9" s="186"/>
      <c r="P9" s="381"/>
      <c r="Q9" s="390"/>
      <c r="R9" s="189"/>
      <c r="S9" s="189"/>
      <c r="T9" s="189"/>
      <c r="U9" s="405"/>
      <c r="V9" s="390"/>
      <c r="W9" s="405"/>
      <c r="X9" s="588"/>
      <c r="Y9" s="59"/>
      <c r="Z9" s="59"/>
      <c r="AA9" s="59"/>
      <c r="AB9" s="59"/>
      <c r="AC9" s="59"/>
      <c r="AD9" s="59"/>
      <c r="AE9" s="59"/>
      <c r="AF9"/>
      <c r="AG9"/>
    </row>
    <row r="10" spans="1:33" ht="15.75">
      <c r="A10" s="440" t="s">
        <v>1546</v>
      </c>
      <c r="B10" s="295" t="s">
        <v>1557</v>
      </c>
      <c r="C10" s="295">
        <f>SUM(C3:C9)</f>
        <v>117803</v>
      </c>
      <c r="D10" s="295">
        <f aca="true" t="shared" si="3" ref="D10:L10">SUM(D3:D9)</f>
        <v>0</v>
      </c>
      <c r="E10" s="295">
        <f t="shared" si="3"/>
        <v>0</v>
      </c>
      <c r="F10" s="295">
        <f t="shared" si="3"/>
        <v>0</v>
      </c>
      <c r="G10" s="295">
        <f t="shared" si="3"/>
        <v>0</v>
      </c>
      <c r="H10" s="295">
        <f t="shared" si="3"/>
        <v>0</v>
      </c>
      <c r="I10" s="295">
        <f t="shared" si="3"/>
        <v>0</v>
      </c>
      <c r="J10" s="295">
        <f t="shared" si="3"/>
        <v>0</v>
      </c>
      <c r="K10" s="295">
        <f t="shared" si="3"/>
        <v>0</v>
      </c>
      <c r="L10" s="493">
        <f t="shared" si="3"/>
        <v>117803</v>
      </c>
      <c r="M10" s="386"/>
      <c r="N10" s="186"/>
      <c r="O10" s="186"/>
      <c r="P10" s="381"/>
      <c r="Q10" s="390"/>
      <c r="R10" s="189"/>
      <c r="S10" s="189"/>
      <c r="T10" s="189"/>
      <c r="U10" s="405"/>
      <c r="V10" s="390"/>
      <c r="W10" s="405"/>
      <c r="X10" s="588"/>
      <c r="Y10" s="59"/>
      <c r="Z10" s="59"/>
      <c r="AA10" s="59"/>
      <c r="AB10" s="59"/>
      <c r="AC10" s="59"/>
      <c r="AD10" s="59"/>
      <c r="AE10" s="59"/>
      <c r="AF10"/>
      <c r="AG10"/>
    </row>
    <row r="11" spans="1:31" ht="15.75">
      <c r="A11" s="439" t="s">
        <v>1549</v>
      </c>
      <c r="B11" s="191" t="s">
        <v>1548</v>
      </c>
      <c r="C11" s="191"/>
      <c r="D11" s="189"/>
      <c r="E11" s="189"/>
      <c r="F11" s="189"/>
      <c r="G11" s="294"/>
      <c r="H11" s="189"/>
      <c r="I11" s="189"/>
      <c r="J11" s="189"/>
      <c r="K11" s="189"/>
      <c r="L11" s="381">
        <f t="shared" si="0"/>
        <v>0</v>
      </c>
      <c r="M11" s="386"/>
      <c r="N11" s="186"/>
      <c r="O11" s="186"/>
      <c r="P11" s="381"/>
      <c r="Q11" s="390"/>
      <c r="R11" s="189"/>
      <c r="S11" s="189"/>
      <c r="T11" s="189"/>
      <c r="U11" s="405"/>
      <c r="V11" s="390"/>
      <c r="W11" s="405">
        <f t="shared" si="1"/>
        <v>0</v>
      </c>
      <c r="X11" s="588">
        <f t="shared" si="2"/>
        <v>0</v>
      </c>
      <c r="Y11" s="59"/>
      <c r="Z11" s="59"/>
      <c r="AA11" s="59"/>
      <c r="AB11" s="59"/>
      <c r="AC11" s="59"/>
      <c r="AD11" s="59"/>
      <c r="AE11" s="59"/>
    </row>
    <row r="12" spans="1:33" ht="15.75">
      <c r="A12" s="439" t="s">
        <v>1550</v>
      </c>
      <c r="B12" s="191" t="s">
        <v>1551</v>
      </c>
      <c r="C12" s="191"/>
      <c r="D12" s="189"/>
      <c r="E12" s="189"/>
      <c r="F12" s="189"/>
      <c r="G12" s="189"/>
      <c r="H12" s="189"/>
      <c r="I12" s="233"/>
      <c r="J12" s="189"/>
      <c r="K12" s="189"/>
      <c r="L12" s="381">
        <f t="shared" si="0"/>
        <v>0</v>
      </c>
      <c r="M12" s="386"/>
      <c r="N12" s="186"/>
      <c r="O12" s="186"/>
      <c r="P12" s="381"/>
      <c r="Q12" s="390"/>
      <c r="R12" s="189"/>
      <c r="S12" s="189"/>
      <c r="T12" s="189"/>
      <c r="U12" s="405"/>
      <c r="V12" s="390"/>
      <c r="W12" s="405">
        <f t="shared" si="1"/>
        <v>0</v>
      </c>
      <c r="X12" s="588">
        <f>P12+L12+U12</f>
        <v>0</v>
      </c>
      <c r="Y12" s="59"/>
      <c r="Z12" s="59"/>
      <c r="AA12" s="59"/>
      <c r="AB12" s="59"/>
      <c r="AC12" s="59"/>
      <c r="AD12" s="59"/>
      <c r="AE12" s="59"/>
      <c r="AF12"/>
      <c r="AG12"/>
    </row>
    <row r="13" spans="1:33" ht="15.75">
      <c r="A13" s="439" t="s">
        <v>1552</v>
      </c>
      <c r="B13" s="191" t="s">
        <v>1553</v>
      </c>
      <c r="C13" s="191"/>
      <c r="D13" s="189"/>
      <c r="E13" s="189"/>
      <c r="F13" s="189"/>
      <c r="G13" s="189"/>
      <c r="H13" s="189"/>
      <c r="I13" s="189"/>
      <c r="J13" s="189"/>
      <c r="K13" s="189"/>
      <c r="L13" s="381">
        <f t="shared" si="0"/>
        <v>0</v>
      </c>
      <c r="M13" s="386"/>
      <c r="N13" s="186"/>
      <c r="O13" s="186"/>
      <c r="P13" s="381"/>
      <c r="Q13" s="390"/>
      <c r="R13" s="189"/>
      <c r="S13" s="189"/>
      <c r="T13" s="189"/>
      <c r="U13" s="381">
        <f>Q13+S13+T13</f>
        <v>0</v>
      </c>
      <c r="V13" s="386"/>
      <c r="W13" s="405">
        <f t="shared" si="1"/>
        <v>0</v>
      </c>
      <c r="X13" s="588">
        <f t="shared" si="2"/>
        <v>0</v>
      </c>
      <c r="Y13" s="59"/>
      <c r="Z13" s="59"/>
      <c r="AA13" s="59"/>
      <c r="AB13" s="59"/>
      <c r="AC13" s="59"/>
      <c r="AD13" s="59"/>
      <c r="AE13" s="59"/>
      <c r="AF13"/>
      <c r="AG13"/>
    </row>
    <row r="14" spans="1:33" ht="15.75">
      <c r="A14" s="440" t="s">
        <v>1554</v>
      </c>
      <c r="B14" s="295" t="s">
        <v>1276</v>
      </c>
      <c r="C14" s="295">
        <f>C11+C12+C13</f>
        <v>0</v>
      </c>
      <c r="D14" s="295">
        <f aca="true" t="shared" si="4" ref="D14:L14">D11+D12+D13</f>
        <v>0</v>
      </c>
      <c r="E14" s="295">
        <f t="shared" si="4"/>
        <v>0</v>
      </c>
      <c r="F14" s="295">
        <f t="shared" si="4"/>
        <v>0</v>
      </c>
      <c r="G14" s="295">
        <f t="shared" si="4"/>
        <v>0</v>
      </c>
      <c r="H14" s="295">
        <f t="shared" si="4"/>
        <v>0</v>
      </c>
      <c r="I14" s="295">
        <f t="shared" si="4"/>
        <v>0</v>
      </c>
      <c r="J14" s="295">
        <f t="shared" si="4"/>
        <v>0</v>
      </c>
      <c r="K14" s="295">
        <f t="shared" si="4"/>
        <v>0</v>
      </c>
      <c r="L14" s="493">
        <f t="shared" si="4"/>
        <v>0</v>
      </c>
      <c r="M14" s="386"/>
      <c r="N14" s="186"/>
      <c r="O14" s="186"/>
      <c r="P14" s="381"/>
      <c r="Q14" s="390"/>
      <c r="R14" s="189"/>
      <c r="S14" s="189"/>
      <c r="T14" s="189"/>
      <c r="U14" s="405"/>
      <c r="V14" s="390"/>
      <c r="W14" s="405">
        <f t="shared" si="1"/>
        <v>0</v>
      </c>
      <c r="X14" s="588">
        <f t="shared" si="2"/>
        <v>0</v>
      </c>
      <c r="Y14" s="59"/>
      <c r="Z14" s="59"/>
      <c r="AA14" s="59"/>
      <c r="AB14" s="59"/>
      <c r="AC14" s="59"/>
      <c r="AD14" s="59"/>
      <c r="AE14" s="59"/>
      <c r="AF14"/>
      <c r="AG14"/>
    </row>
    <row r="15" spans="1:33" ht="15.75">
      <c r="A15" s="439" t="s">
        <v>1555</v>
      </c>
      <c r="B15" s="191" t="s">
        <v>1556</v>
      </c>
      <c r="C15" s="191"/>
      <c r="D15" s="189"/>
      <c r="E15" s="189"/>
      <c r="F15" s="189"/>
      <c r="G15" s="294"/>
      <c r="H15" s="189"/>
      <c r="I15" s="189"/>
      <c r="J15" s="189"/>
      <c r="K15" s="189"/>
      <c r="L15" s="381">
        <f t="shared" si="0"/>
        <v>0</v>
      </c>
      <c r="M15" s="386"/>
      <c r="N15" s="186"/>
      <c r="O15" s="186"/>
      <c r="P15" s="381"/>
      <c r="Q15" s="390"/>
      <c r="R15" s="189"/>
      <c r="S15" s="189"/>
      <c r="T15" s="189"/>
      <c r="U15" s="405"/>
      <c r="V15" s="390"/>
      <c r="W15" s="405">
        <f t="shared" si="1"/>
        <v>0</v>
      </c>
      <c r="X15" s="588">
        <f t="shared" si="2"/>
        <v>0</v>
      </c>
      <c r="Y15" s="59"/>
      <c r="Z15" s="59"/>
      <c r="AA15" s="59"/>
      <c r="AB15" s="59"/>
      <c r="AC15" s="59"/>
      <c r="AD15" s="59"/>
      <c r="AE15" s="59"/>
      <c r="AF15"/>
      <c r="AG15"/>
    </row>
    <row r="16" spans="1:33" ht="47.25">
      <c r="A16" s="440" t="s">
        <v>1558</v>
      </c>
      <c r="B16" s="292" t="s">
        <v>1559</v>
      </c>
      <c r="C16" s="292">
        <f>C15</f>
        <v>0</v>
      </c>
      <c r="D16" s="292">
        <f aca="true" t="shared" si="5" ref="D16:L16">D15</f>
        <v>0</v>
      </c>
      <c r="E16" s="292">
        <f t="shared" si="5"/>
        <v>0</v>
      </c>
      <c r="F16" s="292">
        <f t="shared" si="5"/>
        <v>0</v>
      </c>
      <c r="G16" s="292">
        <f t="shared" si="5"/>
        <v>0</v>
      </c>
      <c r="H16" s="292">
        <f t="shared" si="5"/>
        <v>0</v>
      </c>
      <c r="I16" s="292">
        <f t="shared" si="5"/>
        <v>0</v>
      </c>
      <c r="J16" s="292">
        <f t="shared" si="5"/>
        <v>0</v>
      </c>
      <c r="K16" s="292">
        <f t="shared" si="5"/>
        <v>0</v>
      </c>
      <c r="L16" s="575">
        <f t="shared" si="5"/>
        <v>0</v>
      </c>
      <c r="M16" s="386"/>
      <c r="N16" s="186"/>
      <c r="O16" s="186"/>
      <c r="P16" s="381"/>
      <c r="Q16" s="390"/>
      <c r="R16" s="189"/>
      <c r="S16" s="189"/>
      <c r="T16" s="189"/>
      <c r="U16" s="405"/>
      <c r="V16" s="390"/>
      <c r="W16" s="405">
        <f t="shared" si="1"/>
        <v>0</v>
      </c>
      <c r="X16" s="588">
        <f t="shared" si="2"/>
        <v>0</v>
      </c>
      <c r="Y16" s="59"/>
      <c r="Z16" s="59"/>
      <c r="AA16" s="59"/>
      <c r="AB16" s="59"/>
      <c r="AC16" s="59"/>
      <c r="AD16" s="59"/>
      <c r="AE16" s="59"/>
      <c r="AF16"/>
      <c r="AG16"/>
    </row>
    <row r="17" spans="1:33" ht="15.75">
      <c r="A17" s="439" t="s">
        <v>1560</v>
      </c>
      <c r="B17" s="191" t="s">
        <v>1561</v>
      </c>
      <c r="C17" s="191"/>
      <c r="D17" s="189"/>
      <c r="E17" s="189"/>
      <c r="F17" s="189"/>
      <c r="G17" s="294"/>
      <c r="H17" s="189"/>
      <c r="I17" s="189">
        <v>1438</v>
      </c>
      <c r="J17" s="189">
        <v>8541</v>
      </c>
      <c r="K17" s="189">
        <f>23729+1434</f>
        <v>25163</v>
      </c>
      <c r="L17" s="381">
        <f t="shared" si="0"/>
        <v>35142</v>
      </c>
      <c r="M17" s="386"/>
      <c r="N17" s="186"/>
      <c r="O17" s="186"/>
      <c r="P17" s="381"/>
      <c r="Q17" s="390"/>
      <c r="R17" s="189"/>
      <c r="S17" s="189"/>
      <c r="T17" s="189"/>
      <c r="U17" s="405"/>
      <c r="V17" s="390"/>
      <c r="W17" s="405">
        <f t="shared" si="1"/>
        <v>0</v>
      </c>
      <c r="X17" s="588">
        <f t="shared" si="2"/>
        <v>35142</v>
      </c>
      <c r="Y17" s="59"/>
      <c r="Z17" s="59"/>
      <c r="AA17" s="59"/>
      <c r="AB17" s="59"/>
      <c r="AC17" s="59"/>
      <c r="AD17" s="59"/>
      <c r="AE17" s="59"/>
      <c r="AF17"/>
      <c r="AG17"/>
    </row>
    <row r="18" spans="1:33" ht="15.75">
      <c r="A18" s="439" t="s">
        <v>1562</v>
      </c>
      <c r="B18" s="191" t="s">
        <v>1563</v>
      </c>
      <c r="C18" s="191"/>
      <c r="D18" s="189"/>
      <c r="E18" s="189"/>
      <c r="F18" s="189"/>
      <c r="G18" s="294"/>
      <c r="H18" s="189"/>
      <c r="I18" s="189"/>
      <c r="J18" s="189"/>
      <c r="K18" s="189"/>
      <c r="L18" s="381">
        <f t="shared" si="0"/>
        <v>0</v>
      </c>
      <c r="M18" s="386"/>
      <c r="N18" s="186"/>
      <c r="O18" s="186"/>
      <c r="P18" s="381"/>
      <c r="Q18" s="390"/>
      <c r="R18" s="189"/>
      <c r="S18" s="189"/>
      <c r="T18" s="189"/>
      <c r="U18" s="405"/>
      <c r="V18" s="390"/>
      <c r="W18" s="405">
        <f t="shared" si="1"/>
        <v>0</v>
      </c>
      <c r="X18" s="588">
        <f t="shared" si="2"/>
        <v>0</v>
      </c>
      <c r="Y18" s="59"/>
      <c r="Z18" s="59"/>
      <c r="AA18" s="59"/>
      <c r="AB18" s="59"/>
      <c r="AC18" s="59"/>
      <c r="AD18" s="59"/>
      <c r="AE18" s="59"/>
      <c r="AF18"/>
      <c r="AG18"/>
    </row>
    <row r="19" spans="1:33" ht="15.75">
      <c r="A19" s="439" t="s">
        <v>1564</v>
      </c>
      <c r="B19" s="191" t="s">
        <v>1565</v>
      </c>
      <c r="C19" s="191"/>
      <c r="D19" s="189">
        <v>1251</v>
      </c>
      <c r="E19" s="189"/>
      <c r="F19" s="189"/>
      <c r="G19" s="294"/>
      <c r="H19" s="189"/>
      <c r="I19" s="189"/>
      <c r="J19" s="189"/>
      <c r="K19" s="189"/>
      <c r="L19" s="381">
        <f t="shared" si="0"/>
        <v>1251</v>
      </c>
      <c r="M19" s="386"/>
      <c r="N19" s="186"/>
      <c r="O19" s="186"/>
      <c r="P19" s="381"/>
      <c r="Q19" s="390"/>
      <c r="R19" s="189"/>
      <c r="S19" s="189"/>
      <c r="T19" s="189"/>
      <c r="U19" s="405"/>
      <c r="V19" s="390"/>
      <c r="W19" s="405"/>
      <c r="X19" s="588"/>
      <c r="Y19" s="59"/>
      <c r="Z19" s="59"/>
      <c r="AA19" s="59"/>
      <c r="AB19" s="59"/>
      <c r="AC19" s="59"/>
      <c r="AD19" s="59"/>
      <c r="AE19" s="59"/>
      <c r="AF19"/>
      <c r="AG19"/>
    </row>
    <row r="20" spans="1:33" ht="15.75">
      <c r="A20" s="439" t="s">
        <v>30</v>
      </c>
      <c r="B20" s="191" t="s">
        <v>31</v>
      </c>
      <c r="C20" s="191"/>
      <c r="D20" s="189"/>
      <c r="E20" s="189"/>
      <c r="F20" s="189"/>
      <c r="G20" s="294"/>
      <c r="H20" s="189">
        <v>20340</v>
      </c>
      <c r="I20" s="189"/>
      <c r="J20" s="189"/>
      <c r="K20" s="189"/>
      <c r="L20" s="381">
        <f t="shared" si="0"/>
        <v>20340</v>
      </c>
      <c r="M20" s="386"/>
      <c r="N20" s="186"/>
      <c r="O20" s="186"/>
      <c r="P20" s="381"/>
      <c r="Q20" s="390"/>
      <c r="R20" s="189"/>
      <c r="S20" s="189"/>
      <c r="T20" s="189"/>
      <c r="U20" s="405"/>
      <c r="V20" s="390"/>
      <c r="W20" s="405"/>
      <c r="X20" s="588"/>
      <c r="Y20" s="59"/>
      <c r="Z20" s="59"/>
      <c r="AA20" s="59"/>
      <c r="AB20" s="59"/>
      <c r="AC20" s="59"/>
      <c r="AD20" s="59"/>
      <c r="AE20" s="59"/>
      <c r="AF20"/>
      <c r="AG20"/>
    </row>
    <row r="21" spans="1:33" ht="15.75">
      <c r="A21" s="439" t="s">
        <v>1566</v>
      </c>
      <c r="B21" s="191" t="s">
        <v>1567</v>
      </c>
      <c r="C21" s="191"/>
      <c r="D21" s="189"/>
      <c r="E21" s="189"/>
      <c r="F21" s="189"/>
      <c r="G21" s="294"/>
      <c r="H21" s="189"/>
      <c r="I21" s="189"/>
      <c r="J21" s="189"/>
      <c r="K21" s="189"/>
      <c r="L21" s="381">
        <f t="shared" si="0"/>
        <v>0</v>
      </c>
      <c r="M21" s="386"/>
      <c r="N21" s="186"/>
      <c r="O21" s="186"/>
      <c r="P21" s="381"/>
      <c r="Q21" s="390"/>
      <c r="R21" s="189"/>
      <c r="S21" s="189"/>
      <c r="T21" s="189"/>
      <c r="U21" s="405"/>
      <c r="V21" s="390"/>
      <c r="W21" s="405"/>
      <c r="X21" s="588"/>
      <c r="Y21" s="59"/>
      <c r="Z21" s="59"/>
      <c r="AA21" s="59"/>
      <c r="AB21" s="59"/>
      <c r="AC21" s="59"/>
      <c r="AD21" s="59"/>
      <c r="AE21" s="59"/>
      <c r="AF21"/>
      <c r="AG21"/>
    </row>
    <row r="22" spans="1:33" ht="15.75">
      <c r="A22" s="439" t="s">
        <v>1568</v>
      </c>
      <c r="B22" s="191" t="s">
        <v>1569</v>
      </c>
      <c r="C22" s="191"/>
      <c r="D22" s="189"/>
      <c r="E22" s="189"/>
      <c r="F22" s="189"/>
      <c r="G22" s="294"/>
      <c r="H22" s="189"/>
      <c r="I22" s="189"/>
      <c r="J22" s="189"/>
      <c r="K22" s="189"/>
      <c r="L22" s="381">
        <f t="shared" si="0"/>
        <v>0</v>
      </c>
      <c r="M22" s="386"/>
      <c r="N22" s="186"/>
      <c r="O22" s="186"/>
      <c r="P22" s="381"/>
      <c r="Q22" s="390"/>
      <c r="R22" s="189"/>
      <c r="S22" s="189"/>
      <c r="T22" s="189"/>
      <c r="U22" s="405"/>
      <c r="V22" s="390"/>
      <c r="W22" s="405"/>
      <c r="X22" s="588"/>
      <c r="Y22" s="59"/>
      <c r="Z22" s="59"/>
      <c r="AA22" s="59"/>
      <c r="AB22" s="59"/>
      <c r="AC22" s="59"/>
      <c r="AD22" s="59"/>
      <c r="AE22" s="59"/>
      <c r="AF22"/>
      <c r="AG22"/>
    </row>
    <row r="23" spans="1:31" s="40" customFormat="1" ht="15.75">
      <c r="A23" s="440" t="s">
        <v>1570</v>
      </c>
      <c r="B23" s="295" t="s">
        <v>1586</v>
      </c>
      <c r="C23" s="295">
        <f>SUM(C17:C22)</f>
        <v>0</v>
      </c>
      <c r="D23" s="295">
        <f aca="true" t="shared" si="6" ref="D23:L23">SUM(D17:D22)</f>
        <v>1251</v>
      </c>
      <c r="E23" s="295">
        <f t="shared" si="6"/>
        <v>0</v>
      </c>
      <c r="F23" s="295">
        <f t="shared" si="6"/>
        <v>0</v>
      </c>
      <c r="G23" s="295">
        <f t="shared" si="6"/>
        <v>0</v>
      </c>
      <c r="H23" s="295">
        <f t="shared" si="6"/>
        <v>20340</v>
      </c>
      <c r="I23" s="295">
        <f t="shared" si="6"/>
        <v>1438</v>
      </c>
      <c r="J23" s="295">
        <f t="shared" si="6"/>
        <v>8541</v>
      </c>
      <c r="K23" s="295">
        <f t="shared" si="6"/>
        <v>25163</v>
      </c>
      <c r="L23" s="493">
        <f t="shared" si="6"/>
        <v>56733</v>
      </c>
      <c r="M23" s="386"/>
      <c r="N23" s="186"/>
      <c r="O23" s="186"/>
      <c r="P23" s="381"/>
      <c r="Q23" s="386"/>
      <c r="R23" s="186"/>
      <c r="S23" s="186">
        <f>SUM(S12:S18)</f>
        <v>0</v>
      </c>
      <c r="T23" s="186">
        <f>SUM(T12:T18)</f>
        <v>0</v>
      </c>
      <c r="U23" s="381">
        <f>Q23+S23+T23</f>
        <v>0</v>
      </c>
      <c r="V23" s="386"/>
      <c r="W23" s="405">
        <f t="shared" si="1"/>
        <v>0</v>
      </c>
      <c r="X23" s="588">
        <f t="shared" si="2"/>
        <v>56733</v>
      </c>
      <c r="Y23" s="48"/>
      <c r="Z23" s="48"/>
      <c r="AA23" s="48"/>
      <c r="AB23" s="48"/>
      <c r="AC23" s="48"/>
      <c r="AD23" s="48"/>
      <c r="AE23" s="48"/>
    </row>
    <row r="24" spans="1:33" ht="32.25" thickBot="1">
      <c r="A24" s="441" t="s">
        <v>1547</v>
      </c>
      <c r="B24" s="447" t="s">
        <v>18</v>
      </c>
      <c r="C24" s="396">
        <f>C10+C14+C16+C23</f>
        <v>117803</v>
      </c>
      <c r="D24" s="396">
        <f aca="true" t="shared" si="7" ref="D24:L24">D10+D14+D16+D23</f>
        <v>1251</v>
      </c>
      <c r="E24" s="396">
        <f t="shared" si="7"/>
        <v>0</v>
      </c>
      <c r="F24" s="396">
        <f t="shared" si="7"/>
        <v>0</v>
      </c>
      <c r="G24" s="396">
        <f t="shared" si="7"/>
        <v>0</v>
      </c>
      <c r="H24" s="396">
        <f t="shared" si="7"/>
        <v>20340</v>
      </c>
      <c r="I24" s="396">
        <f t="shared" si="7"/>
        <v>1438</v>
      </c>
      <c r="J24" s="396">
        <f t="shared" si="7"/>
        <v>8541</v>
      </c>
      <c r="K24" s="396">
        <f t="shared" si="7"/>
        <v>25163</v>
      </c>
      <c r="L24" s="494">
        <f t="shared" si="7"/>
        <v>174536</v>
      </c>
      <c r="M24" s="391"/>
      <c r="N24" s="392"/>
      <c r="O24" s="392"/>
      <c r="P24" s="400"/>
      <c r="Q24" s="470"/>
      <c r="R24" s="471"/>
      <c r="S24" s="471">
        <v>0</v>
      </c>
      <c r="T24" s="471"/>
      <c r="U24" s="583">
        <f>Q24+S24</f>
        <v>0</v>
      </c>
      <c r="V24" s="470">
        <v>0</v>
      </c>
      <c r="W24" s="400">
        <f t="shared" si="1"/>
        <v>0</v>
      </c>
      <c r="X24" s="589">
        <f>+L24+U24+W24</f>
        <v>174536</v>
      </c>
      <c r="Y24" s="59"/>
      <c r="Z24" s="59"/>
      <c r="AA24" s="59"/>
      <c r="AB24" s="59"/>
      <c r="AC24" s="59"/>
      <c r="AD24" s="59"/>
      <c r="AE24" s="59"/>
      <c r="AF24"/>
      <c r="AG24"/>
    </row>
    <row r="25" ht="16.5" thickBot="1"/>
    <row r="26" spans="1:24" ht="16.5" thickBot="1">
      <c r="A26" s="442" t="s">
        <v>1572</v>
      </c>
      <c r="B26" s="443" t="s">
        <v>1573</v>
      </c>
      <c r="C26" s="443"/>
      <c r="D26" s="444"/>
      <c r="E26" s="444"/>
      <c r="F26" s="444"/>
      <c r="G26" s="445"/>
      <c r="H26" s="444"/>
      <c r="I26" s="444"/>
      <c r="J26" s="444"/>
      <c r="K26" s="444"/>
      <c r="L26" s="524">
        <f t="shared" si="0"/>
        <v>0</v>
      </c>
      <c r="M26" s="579"/>
      <c r="N26" s="444"/>
      <c r="O26" s="444"/>
      <c r="P26" s="446"/>
      <c r="T26" s="579"/>
      <c r="U26" s="524"/>
      <c r="V26" s="579"/>
      <c r="W26" s="524"/>
      <c r="X26" s="591">
        <f>+L26+U26+W26</f>
        <v>0</v>
      </c>
    </row>
    <row r="27" spans="1:24" ht="16.5" thickBot="1">
      <c r="A27" s="439" t="s">
        <v>1571</v>
      </c>
      <c r="B27" s="201" t="s">
        <v>1574</v>
      </c>
      <c r="C27" s="201"/>
      <c r="D27" s="191"/>
      <c r="E27" s="191"/>
      <c r="F27" s="191"/>
      <c r="G27" s="338"/>
      <c r="H27" s="191"/>
      <c r="I27" s="191"/>
      <c r="J27" s="191"/>
      <c r="K27" s="191"/>
      <c r="L27" s="524">
        <f t="shared" si="0"/>
        <v>0</v>
      </c>
      <c r="M27" s="459"/>
      <c r="N27" s="191"/>
      <c r="O27" s="191"/>
      <c r="P27" s="519"/>
      <c r="T27" s="459"/>
      <c r="U27" s="525"/>
      <c r="V27" s="459"/>
      <c r="W27" s="525"/>
      <c r="X27" s="591">
        <f aca="true" t="shared" si="8" ref="X27:X39">+L27+U27+W27</f>
        <v>0</v>
      </c>
    </row>
    <row r="28" spans="1:24" ht="16.5" thickBot="1">
      <c r="A28" s="439" t="s">
        <v>1575</v>
      </c>
      <c r="B28" s="201" t="s">
        <v>1576</v>
      </c>
      <c r="C28" s="201"/>
      <c r="D28" s="191"/>
      <c r="E28" s="191"/>
      <c r="F28" s="191"/>
      <c r="G28" s="338"/>
      <c r="H28" s="191"/>
      <c r="I28" s="191"/>
      <c r="J28" s="191"/>
      <c r="K28" s="191"/>
      <c r="L28" s="524">
        <f t="shared" si="0"/>
        <v>0</v>
      </c>
      <c r="M28" s="459"/>
      <c r="N28" s="191"/>
      <c r="O28" s="191"/>
      <c r="P28" s="519"/>
      <c r="T28" s="459"/>
      <c r="U28" s="525"/>
      <c r="V28" s="459"/>
      <c r="W28" s="525"/>
      <c r="X28" s="591">
        <f t="shared" si="8"/>
        <v>0</v>
      </c>
    </row>
    <row r="29" spans="1:24" ht="16.5" thickBot="1">
      <c r="A29" s="439" t="s">
        <v>1577</v>
      </c>
      <c r="B29" s="191" t="s">
        <v>1578</v>
      </c>
      <c r="C29" s="191"/>
      <c r="D29" s="191"/>
      <c r="E29" s="191"/>
      <c r="F29" s="191"/>
      <c r="G29" s="338"/>
      <c r="H29" s="191"/>
      <c r="I29" s="191"/>
      <c r="J29" s="191"/>
      <c r="K29" s="191"/>
      <c r="L29" s="524">
        <f t="shared" si="0"/>
        <v>0</v>
      </c>
      <c r="M29" s="459"/>
      <c r="N29" s="191"/>
      <c r="O29" s="191"/>
      <c r="P29" s="519"/>
      <c r="T29" s="459"/>
      <c r="U29" s="525"/>
      <c r="V29" s="459"/>
      <c r="W29" s="525"/>
      <c r="X29" s="591">
        <f t="shared" si="8"/>
        <v>0</v>
      </c>
    </row>
    <row r="30" spans="1:24" ht="16.5" thickBot="1">
      <c r="A30" s="439" t="s">
        <v>1579</v>
      </c>
      <c r="B30" s="191" t="s">
        <v>1580</v>
      </c>
      <c r="C30" s="191"/>
      <c r="D30" s="191"/>
      <c r="E30" s="191"/>
      <c r="F30" s="191"/>
      <c r="G30" s="338"/>
      <c r="H30" s="191"/>
      <c r="I30" s="191"/>
      <c r="J30" s="191"/>
      <c r="K30" s="191"/>
      <c r="L30" s="524">
        <f t="shared" si="0"/>
        <v>0</v>
      </c>
      <c r="M30" s="459"/>
      <c r="N30" s="191"/>
      <c r="O30" s="191"/>
      <c r="P30" s="519"/>
      <c r="T30" s="459"/>
      <c r="U30" s="525"/>
      <c r="V30" s="459"/>
      <c r="W30" s="525"/>
      <c r="X30" s="591">
        <f t="shared" si="8"/>
        <v>0</v>
      </c>
    </row>
    <row r="31" spans="1:24" ht="16.5" thickBot="1">
      <c r="A31" s="440" t="s">
        <v>1583</v>
      </c>
      <c r="B31" s="191" t="s">
        <v>1584</v>
      </c>
      <c r="C31" s="191"/>
      <c r="D31" s="191"/>
      <c r="E31" s="191"/>
      <c r="F31" s="191"/>
      <c r="G31" s="338"/>
      <c r="H31" s="191"/>
      <c r="I31" s="191"/>
      <c r="J31" s="191"/>
      <c r="K31" s="191"/>
      <c r="L31" s="524">
        <f t="shared" si="0"/>
        <v>0</v>
      </c>
      <c r="M31" s="459"/>
      <c r="N31" s="191"/>
      <c r="O31" s="191"/>
      <c r="P31" s="519"/>
      <c r="T31" s="459"/>
      <c r="U31" s="525"/>
      <c r="V31" s="459"/>
      <c r="W31" s="525"/>
      <c r="X31" s="591">
        <f t="shared" si="8"/>
        <v>0</v>
      </c>
    </row>
    <row r="32" spans="1:24" ht="16.5" thickBot="1">
      <c r="A32" s="439" t="s">
        <v>1588</v>
      </c>
      <c r="B32" s="191" t="s">
        <v>1589</v>
      </c>
      <c r="C32" s="191"/>
      <c r="D32" s="191"/>
      <c r="E32" s="191"/>
      <c r="F32" s="191">
        <v>1140</v>
      </c>
      <c r="G32" s="338"/>
      <c r="H32" s="191"/>
      <c r="I32" s="191"/>
      <c r="J32" s="191"/>
      <c r="K32" s="191"/>
      <c r="L32" s="524">
        <f t="shared" si="0"/>
        <v>1140</v>
      </c>
      <c r="M32" s="459"/>
      <c r="N32" s="191"/>
      <c r="O32" s="191"/>
      <c r="P32" s="519"/>
      <c r="T32" s="459"/>
      <c r="U32" s="525"/>
      <c r="V32" s="459"/>
      <c r="W32" s="525"/>
      <c r="X32" s="591">
        <f t="shared" si="8"/>
        <v>1140</v>
      </c>
    </row>
    <row r="33" spans="1:24" ht="16.5" thickBot="1">
      <c r="A33" s="440" t="s">
        <v>1585</v>
      </c>
      <c r="B33" s="295" t="s">
        <v>1587</v>
      </c>
      <c r="C33" s="295">
        <f>SUM(C26:C32)</f>
        <v>0</v>
      </c>
      <c r="D33" s="295">
        <f aca="true" t="shared" si="9" ref="D33:L33">SUM(D26:D32)</f>
        <v>0</v>
      </c>
      <c r="E33" s="295">
        <f t="shared" si="9"/>
        <v>0</v>
      </c>
      <c r="F33" s="295">
        <f t="shared" si="9"/>
        <v>1140</v>
      </c>
      <c r="G33" s="295">
        <f t="shared" si="9"/>
        <v>0</v>
      </c>
      <c r="H33" s="295">
        <f t="shared" si="9"/>
        <v>0</v>
      </c>
      <c r="I33" s="295">
        <f t="shared" si="9"/>
        <v>0</v>
      </c>
      <c r="J33" s="295">
        <f t="shared" si="9"/>
        <v>0</v>
      </c>
      <c r="K33" s="295">
        <f t="shared" si="9"/>
        <v>0</v>
      </c>
      <c r="L33" s="493">
        <f t="shared" si="9"/>
        <v>1140</v>
      </c>
      <c r="M33" s="459"/>
      <c r="N33" s="191"/>
      <c r="O33" s="191"/>
      <c r="P33" s="519"/>
      <c r="T33" s="459"/>
      <c r="U33" s="525"/>
      <c r="V33" s="459"/>
      <c r="W33" s="525"/>
      <c r="X33" s="591">
        <f t="shared" si="8"/>
        <v>1140</v>
      </c>
    </row>
    <row r="34" spans="1:24" ht="16.5" thickBot="1">
      <c r="A34" s="439" t="s">
        <v>1590</v>
      </c>
      <c r="B34" s="191" t="s">
        <v>1591</v>
      </c>
      <c r="C34" s="191"/>
      <c r="D34" s="191"/>
      <c r="E34" s="191"/>
      <c r="F34" s="191"/>
      <c r="G34" s="338"/>
      <c r="H34" s="191"/>
      <c r="I34" s="191"/>
      <c r="J34" s="191"/>
      <c r="K34" s="191">
        <v>1239</v>
      </c>
      <c r="L34" s="524">
        <f t="shared" si="0"/>
        <v>1239</v>
      </c>
      <c r="M34" s="459"/>
      <c r="N34" s="191"/>
      <c r="O34" s="191"/>
      <c r="P34" s="519"/>
      <c r="T34" s="459"/>
      <c r="U34" s="525"/>
      <c r="V34" s="459"/>
      <c r="W34" s="525"/>
      <c r="X34" s="591">
        <f t="shared" si="8"/>
        <v>1239</v>
      </c>
    </row>
    <row r="35" spans="1:24" ht="16.5" thickBot="1">
      <c r="A35" s="439" t="s">
        <v>1593</v>
      </c>
      <c r="B35" s="191" t="s">
        <v>1592</v>
      </c>
      <c r="C35" s="191"/>
      <c r="D35" s="191"/>
      <c r="E35" s="191"/>
      <c r="F35" s="191"/>
      <c r="G35" s="338"/>
      <c r="H35" s="191"/>
      <c r="I35" s="191"/>
      <c r="J35" s="191"/>
      <c r="K35" s="191"/>
      <c r="L35" s="524">
        <f t="shared" si="0"/>
        <v>0</v>
      </c>
      <c r="M35" s="459"/>
      <c r="N35" s="191"/>
      <c r="O35" s="191"/>
      <c r="P35" s="519"/>
      <c r="T35" s="459"/>
      <c r="U35" s="525"/>
      <c r="V35" s="459"/>
      <c r="W35" s="525"/>
      <c r="X35" s="591">
        <f t="shared" si="8"/>
        <v>0</v>
      </c>
    </row>
    <row r="36" spans="1:24" ht="16.5" thickBot="1">
      <c r="A36" s="439" t="s">
        <v>1594</v>
      </c>
      <c r="B36" s="191" t="s">
        <v>1595</v>
      </c>
      <c r="C36" s="191"/>
      <c r="D36" s="191"/>
      <c r="E36" s="191"/>
      <c r="F36" s="191"/>
      <c r="G36" s="338"/>
      <c r="H36" s="191"/>
      <c r="I36" s="191"/>
      <c r="J36" s="191"/>
      <c r="K36" s="191"/>
      <c r="L36" s="524">
        <f t="shared" si="0"/>
        <v>0</v>
      </c>
      <c r="M36" s="459"/>
      <c r="N36" s="191"/>
      <c r="O36" s="191"/>
      <c r="P36" s="519"/>
      <c r="T36" s="459"/>
      <c r="U36" s="525"/>
      <c r="V36" s="459"/>
      <c r="W36" s="525"/>
      <c r="X36" s="591">
        <f t="shared" si="8"/>
        <v>0</v>
      </c>
    </row>
    <row r="37" spans="1:24" ht="16.5" thickBot="1">
      <c r="A37" s="439" t="s">
        <v>35</v>
      </c>
      <c r="B37" s="191" t="s">
        <v>34</v>
      </c>
      <c r="C37" s="191"/>
      <c r="D37" s="191"/>
      <c r="E37" s="191">
        <f>4468+10950+5293</f>
        <v>20711</v>
      </c>
      <c r="F37" s="191"/>
      <c r="G37" s="338"/>
      <c r="H37" s="191"/>
      <c r="I37" s="191"/>
      <c r="J37" s="191"/>
      <c r="K37" s="191"/>
      <c r="L37" s="524">
        <f t="shared" si="0"/>
        <v>20711</v>
      </c>
      <c r="M37" s="459"/>
      <c r="N37" s="191"/>
      <c r="O37" s="191"/>
      <c r="P37" s="519"/>
      <c r="T37" s="459"/>
      <c r="U37" s="525"/>
      <c r="V37" s="459"/>
      <c r="W37" s="525"/>
      <c r="X37" s="591">
        <f t="shared" si="8"/>
        <v>20711</v>
      </c>
    </row>
    <row r="38" spans="1:24" ht="16.5" thickBot="1">
      <c r="A38" s="440" t="s">
        <v>1596</v>
      </c>
      <c r="B38" s="295" t="s">
        <v>1597</v>
      </c>
      <c r="C38" s="295">
        <f>SUM(C34:C37)</f>
        <v>0</v>
      </c>
      <c r="D38" s="295">
        <f aca="true" t="shared" si="10" ref="D38:L38">SUM(D34:D37)</f>
        <v>0</v>
      </c>
      <c r="E38" s="295">
        <f t="shared" si="10"/>
        <v>20711</v>
      </c>
      <c r="F38" s="295">
        <f t="shared" si="10"/>
        <v>0</v>
      </c>
      <c r="G38" s="295">
        <f t="shared" si="10"/>
        <v>0</v>
      </c>
      <c r="H38" s="295">
        <f t="shared" si="10"/>
        <v>0</v>
      </c>
      <c r="I38" s="295">
        <f t="shared" si="10"/>
        <v>0</v>
      </c>
      <c r="J38" s="295">
        <f t="shared" si="10"/>
        <v>0</v>
      </c>
      <c r="K38" s="295">
        <f t="shared" si="10"/>
        <v>1239</v>
      </c>
      <c r="L38" s="493">
        <f t="shared" si="10"/>
        <v>21950</v>
      </c>
      <c r="M38" s="459"/>
      <c r="N38" s="191"/>
      <c r="O38" s="191"/>
      <c r="P38" s="519"/>
      <c r="T38" s="459"/>
      <c r="U38" s="525"/>
      <c r="V38" s="459"/>
      <c r="W38" s="525"/>
      <c r="X38" s="591">
        <f t="shared" si="8"/>
        <v>21950</v>
      </c>
    </row>
    <row r="39" spans="1:24" ht="32.25" thickBot="1">
      <c r="A39" s="441" t="s">
        <v>1598</v>
      </c>
      <c r="B39" s="447" t="s">
        <v>19</v>
      </c>
      <c r="C39" s="396">
        <f>C33+C38</f>
        <v>0</v>
      </c>
      <c r="D39" s="396">
        <f aca="true" t="shared" si="11" ref="D39:L39">D33+D38</f>
        <v>0</v>
      </c>
      <c r="E39" s="396">
        <f t="shared" si="11"/>
        <v>20711</v>
      </c>
      <c r="F39" s="396">
        <f t="shared" si="11"/>
        <v>1140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1239</v>
      </c>
      <c r="L39" s="494">
        <f t="shared" si="11"/>
        <v>23090</v>
      </c>
      <c r="M39" s="580"/>
      <c r="N39" s="504"/>
      <c r="O39" s="504"/>
      <c r="P39" s="581"/>
      <c r="T39" s="580"/>
      <c r="U39" s="590"/>
      <c r="V39" s="580"/>
      <c r="W39" s="590"/>
      <c r="X39" s="591">
        <f t="shared" si="8"/>
        <v>23090</v>
      </c>
    </row>
  </sheetData>
  <mergeCells count="7">
    <mergeCell ref="X1:X2"/>
    <mergeCell ref="A1:A2"/>
    <mergeCell ref="B1:B2"/>
    <mergeCell ref="D1:L1"/>
    <mergeCell ref="Q1:U1"/>
    <mergeCell ref="M1:P1"/>
    <mergeCell ref="V1:W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workbookViewId="0" topLeftCell="A7">
      <selection activeCell="D28" sqref="D28"/>
    </sheetView>
  </sheetViews>
  <sheetFormatPr defaultColWidth="9.140625" defaultRowHeight="12.75"/>
  <cols>
    <col min="1" max="1" width="8.8515625" style="32" customWidth="1"/>
    <col min="2" max="2" width="59.7109375" style="1" customWidth="1"/>
    <col min="3" max="3" width="15.7109375" style="1" customWidth="1"/>
    <col min="4" max="4" width="14.00390625" style="41" customWidth="1"/>
    <col min="5" max="5" width="15.8515625" style="1" customWidth="1"/>
    <col min="6" max="6" width="10.140625" style="1" bestFit="1" customWidth="1"/>
    <col min="7" max="16384" width="9.140625" style="1" customWidth="1"/>
  </cols>
  <sheetData>
    <row r="1" ht="16.5" thickBot="1"/>
    <row r="2" spans="1:5" ht="15.75">
      <c r="A2" s="450"/>
      <c r="B2" s="444"/>
      <c r="C2" s="735" t="s">
        <v>1085</v>
      </c>
      <c r="D2" s="736"/>
      <c r="E2" s="737"/>
    </row>
    <row r="3" spans="1:5" ht="78.75">
      <c r="A3" s="453" t="s">
        <v>230</v>
      </c>
      <c r="B3" s="191" t="s">
        <v>1067</v>
      </c>
      <c r="C3" s="202" t="s">
        <v>827</v>
      </c>
      <c r="D3" s="204" t="s">
        <v>826</v>
      </c>
      <c r="E3" s="454" t="s">
        <v>965</v>
      </c>
    </row>
    <row r="4" spans="1:5" ht="15.75">
      <c r="A4" s="453" t="s">
        <v>785</v>
      </c>
      <c r="B4" s="191" t="s">
        <v>433</v>
      </c>
      <c r="C4" s="191"/>
      <c r="D4" s="536">
        <v>9000</v>
      </c>
      <c r="E4" s="537">
        <f>C4+D4</f>
        <v>9000</v>
      </c>
    </row>
    <row r="5" spans="1:5" ht="15.75">
      <c r="A5" s="453" t="s">
        <v>786</v>
      </c>
      <c r="B5" s="191" t="s">
        <v>434</v>
      </c>
      <c r="C5" s="191"/>
      <c r="D5" s="536">
        <v>100</v>
      </c>
      <c r="E5" s="537">
        <f aca="true" t="shared" si="0" ref="E5:E26">C5+D5</f>
        <v>100</v>
      </c>
    </row>
    <row r="6" spans="1:5" ht="15.75">
      <c r="A6" s="453" t="s">
        <v>787</v>
      </c>
      <c r="B6" s="191" t="s">
        <v>1526</v>
      </c>
      <c r="C6" s="191"/>
      <c r="D6" s="536"/>
      <c r="E6" s="537">
        <f t="shared" si="0"/>
        <v>0</v>
      </c>
    </row>
    <row r="7" spans="1:7" s="156" customFormat="1" ht="15.75">
      <c r="A7" s="453" t="s">
        <v>788</v>
      </c>
      <c r="B7" s="191" t="s">
        <v>1013</v>
      </c>
      <c r="C7" s="191"/>
      <c r="D7" s="536">
        <v>5000</v>
      </c>
      <c r="E7" s="537">
        <f t="shared" si="0"/>
        <v>5000</v>
      </c>
      <c r="G7" s="208"/>
    </row>
    <row r="8" spans="1:5" ht="15.75">
      <c r="A8" s="453" t="s">
        <v>789</v>
      </c>
      <c r="B8" s="191" t="s">
        <v>790</v>
      </c>
      <c r="C8" s="191"/>
      <c r="D8" s="536"/>
      <c r="E8" s="537">
        <f t="shared" si="0"/>
        <v>0</v>
      </c>
    </row>
    <row r="9" spans="1:5" ht="15.75">
      <c r="A9" s="455" t="s">
        <v>791</v>
      </c>
      <c r="B9" s="192" t="s">
        <v>792</v>
      </c>
      <c r="C9" s="192">
        <f>SUM(C4:C8)</f>
        <v>0</v>
      </c>
      <c r="D9" s="538">
        <f>SUM(D4:D8)</f>
        <v>14100</v>
      </c>
      <c r="E9" s="538">
        <f>SUM(E4:E8)</f>
        <v>14100</v>
      </c>
    </row>
    <row r="10" spans="1:5" ht="15.75">
      <c r="A10" s="453" t="s">
        <v>793</v>
      </c>
      <c r="B10" s="191" t="s">
        <v>795</v>
      </c>
      <c r="C10" s="191"/>
      <c r="D10" s="536">
        <v>245000</v>
      </c>
      <c r="E10" s="537">
        <f t="shared" si="0"/>
        <v>245000</v>
      </c>
    </row>
    <row r="11" spans="1:5" ht="15.75">
      <c r="A11" s="453" t="s">
        <v>794</v>
      </c>
      <c r="B11" s="191" t="s">
        <v>796</v>
      </c>
      <c r="C11" s="191"/>
      <c r="D11" s="536"/>
      <c r="E11" s="537">
        <f t="shared" si="0"/>
        <v>0</v>
      </c>
    </row>
    <row r="12" spans="1:5" ht="15.75">
      <c r="A12" s="456" t="s">
        <v>828</v>
      </c>
      <c r="B12" s="295" t="s">
        <v>829</v>
      </c>
      <c r="C12" s="295">
        <f>C10+C11</f>
        <v>0</v>
      </c>
      <c r="D12" s="539">
        <f>D10+D11</f>
        <v>245000</v>
      </c>
      <c r="E12" s="539">
        <f>E10+E11</f>
        <v>245000</v>
      </c>
    </row>
    <row r="13" spans="1:5" s="40" customFormat="1" ht="15.75">
      <c r="A13" s="453" t="s">
        <v>798</v>
      </c>
      <c r="B13" s="191" t="s">
        <v>825</v>
      </c>
      <c r="C13" s="192"/>
      <c r="D13" s="540"/>
      <c r="E13" s="537">
        <f t="shared" si="0"/>
        <v>0</v>
      </c>
    </row>
    <row r="14" spans="1:5" ht="15.75">
      <c r="A14" s="453" t="s">
        <v>799</v>
      </c>
      <c r="B14" s="191" t="s">
        <v>800</v>
      </c>
      <c r="C14" s="191"/>
      <c r="D14" s="536">
        <v>10000</v>
      </c>
      <c r="E14" s="537">
        <f t="shared" si="0"/>
        <v>10000</v>
      </c>
    </row>
    <row r="15" spans="1:5" ht="15.75">
      <c r="A15" s="456" t="s">
        <v>797</v>
      </c>
      <c r="B15" s="295" t="s">
        <v>801</v>
      </c>
      <c r="C15" s="295">
        <f>C13+C14</f>
        <v>0</v>
      </c>
      <c r="D15" s="539">
        <f>D13+D14</f>
        <v>10000</v>
      </c>
      <c r="E15" s="539">
        <f>E13+E14</f>
        <v>10000</v>
      </c>
    </row>
    <row r="16" spans="1:5" ht="15.75">
      <c r="A16" s="453" t="s">
        <v>802</v>
      </c>
      <c r="B16" s="191" t="s">
        <v>803</v>
      </c>
      <c r="C16" s="191"/>
      <c r="D16" s="536">
        <v>150</v>
      </c>
      <c r="E16" s="537">
        <f t="shared" si="0"/>
        <v>150</v>
      </c>
    </row>
    <row r="17" spans="1:5" ht="15.75">
      <c r="A17" s="453" t="s">
        <v>804</v>
      </c>
      <c r="B17" s="191" t="s">
        <v>805</v>
      </c>
      <c r="C17" s="191"/>
      <c r="D17" s="536"/>
      <c r="E17" s="537">
        <f t="shared" si="0"/>
        <v>0</v>
      </c>
    </row>
    <row r="18" spans="1:5" ht="15.75">
      <c r="A18" s="456" t="s">
        <v>806</v>
      </c>
      <c r="B18" s="295" t="s">
        <v>807</v>
      </c>
      <c r="C18" s="295">
        <f>C16+C17</f>
        <v>0</v>
      </c>
      <c r="D18" s="539">
        <f>D16+D17</f>
        <v>150</v>
      </c>
      <c r="E18" s="539">
        <f>E16+E17</f>
        <v>150</v>
      </c>
    </row>
    <row r="19" spans="1:5" ht="15.75">
      <c r="A19" s="455" t="s">
        <v>820</v>
      </c>
      <c r="B19" s="192" t="s">
        <v>821</v>
      </c>
      <c r="C19" s="192">
        <f>C9+C12+C15+C18</f>
        <v>0</v>
      </c>
      <c r="D19" s="538">
        <f>D12+D15+D18</f>
        <v>255150</v>
      </c>
      <c r="E19" s="538">
        <f>E12+E15+E18</f>
        <v>255150</v>
      </c>
    </row>
    <row r="20" spans="1:5" ht="15.75">
      <c r="A20" s="453" t="s">
        <v>808</v>
      </c>
      <c r="B20" s="191" t="s">
        <v>431</v>
      </c>
      <c r="C20" s="191">
        <v>200</v>
      </c>
      <c r="D20" s="536"/>
      <c r="E20" s="537">
        <f t="shared" si="0"/>
        <v>200</v>
      </c>
    </row>
    <row r="21" spans="1:5" ht="15.75">
      <c r="A21" s="453" t="s">
        <v>809</v>
      </c>
      <c r="B21" s="191" t="s">
        <v>810</v>
      </c>
      <c r="C21" s="191"/>
      <c r="D21" s="536"/>
      <c r="E21" s="537">
        <f t="shared" si="0"/>
        <v>0</v>
      </c>
    </row>
    <row r="22" spans="1:5" ht="15.75">
      <c r="A22" s="453" t="s">
        <v>811</v>
      </c>
      <c r="B22" s="191" t="s">
        <v>617</v>
      </c>
      <c r="C22" s="191"/>
      <c r="D22" s="536"/>
      <c r="E22" s="537">
        <f t="shared" si="0"/>
        <v>0</v>
      </c>
    </row>
    <row r="23" spans="1:5" s="40" customFormat="1" ht="15.75">
      <c r="A23" s="453" t="s">
        <v>812</v>
      </c>
      <c r="B23" s="191" t="s">
        <v>813</v>
      </c>
      <c r="C23" s="192"/>
      <c r="D23" s="540"/>
      <c r="E23" s="537">
        <f t="shared" si="0"/>
        <v>0</v>
      </c>
    </row>
    <row r="24" spans="1:5" ht="15.75">
      <c r="A24" s="453" t="s">
        <v>814</v>
      </c>
      <c r="B24" s="191" t="s">
        <v>815</v>
      </c>
      <c r="C24" s="191"/>
      <c r="D24" s="536">
        <v>50</v>
      </c>
      <c r="E24" s="537">
        <f t="shared" si="0"/>
        <v>50</v>
      </c>
    </row>
    <row r="25" spans="1:5" ht="15.75">
      <c r="A25" s="453" t="s">
        <v>816</v>
      </c>
      <c r="B25" s="191" t="s">
        <v>817</v>
      </c>
      <c r="C25" s="191"/>
      <c r="D25" s="536">
        <v>200</v>
      </c>
      <c r="E25" s="537">
        <f t="shared" si="0"/>
        <v>200</v>
      </c>
    </row>
    <row r="26" spans="1:5" ht="15.75">
      <c r="A26" s="453" t="s">
        <v>818</v>
      </c>
      <c r="B26" s="191" t="s">
        <v>819</v>
      </c>
      <c r="C26" s="191">
        <v>50</v>
      </c>
      <c r="D26" s="536"/>
      <c r="E26" s="537">
        <f t="shared" si="0"/>
        <v>50</v>
      </c>
    </row>
    <row r="27" spans="1:5" ht="15.75">
      <c r="A27" s="455" t="s">
        <v>822</v>
      </c>
      <c r="B27" s="192" t="s">
        <v>823</v>
      </c>
      <c r="C27" s="192">
        <f>SUM(C20:C26)</f>
        <v>250</v>
      </c>
      <c r="D27" s="538">
        <f>SUM(D20:D26)</f>
        <v>250</v>
      </c>
      <c r="E27" s="538">
        <f>SUM(E20:E26)</f>
        <v>500</v>
      </c>
    </row>
    <row r="28" spans="1:5" ht="22.5" customHeight="1" thickBot="1">
      <c r="A28" s="457" t="s">
        <v>22</v>
      </c>
      <c r="B28" s="396" t="s">
        <v>824</v>
      </c>
      <c r="C28" s="396">
        <f>C9+C19+C27</f>
        <v>250</v>
      </c>
      <c r="D28" s="541">
        <f>D9+D19+D27</f>
        <v>269500</v>
      </c>
      <c r="E28" s="541">
        <f>E9+E19+E27</f>
        <v>269750</v>
      </c>
    </row>
    <row r="29" spans="1:5" s="61" customFormat="1" ht="15.75">
      <c r="A29" s="44"/>
      <c r="D29" s="41"/>
      <c r="E29" s="159"/>
    </row>
    <row r="30" spans="1:5" s="143" customFormat="1" ht="15.75">
      <c r="A30" s="36"/>
      <c r="B30" s="47"/>
      <c r="C30" s="47"/>
      <c r="D30" s="43"/>
      <c r="E30" s="434"/>
    </row>
    <row r="31" spans="1:5" s="61" customFormat="1" ht="15.75">
      <c r="A31" s="44"/>
      <c r="D31" s="41"/>
      <c r="E31" s="159"/>
    </row>
    <row r="32" spans="1:5" s="61" customFormat="1" ht="15.75">
      <c r="A32" s="44"/>
      <c r="D32" s="41"/>
      <c r="E32" s="159"/>
    </row>
    <row r="33" spans="1:5" s="61" customFormat="1" ht="15.75">
      <c r="A33" s="44"/>
      <c r="D33" s="41"/>
      <c r="E33" s="159"/>
    </row>
    <row r="34" spans="1:5" s="61" customFormat="1" ht="15.75">
      <c r="A34" s="44"/>
      <c r="D34" s="41"/>
      <c r="E34" s="159"/>
    </row>
    <row r="35" spans="1:5" s="61" customFormat="1" ht="15.75">
      <c r="A35" s="44"/>
      <c r="D35" s="41"/>
      <c r="E35" s="159"/>
    </row>
    <row r="36" spans="1:5" s="61" customFormat="1" ht="15.75">
      <c r="A36" s="44"/>
      <c r="D36" s="41"/>
      <c r="E36" s="159"/>
    </row>
    <row r="37" spans="1:5" s="61" customFormat="1" ht="15.75">
      <c r="A37" s="44"/>
      <c r="D37" s="41"/>
      <c r="E37" s="159"/>
    </row>
    <row r="38" spans="1:5" s="61" customFormat="1" ht="15.75">
      <c r="A38" s="44"/>
      <c r="D38" s="41"/>
      <c r="E38" s="159"/>
    </row>
    <row r="39" spans="1:5" s="143" customFormat="1" ht="15.75">
      <c r="A39" s="36"/>
      <c r="D39" s="43"/>
      <c r="E39" s="434"/>
    </row>
    <row r="40" spans="1:5" s="61" customFormat="1" ht="15.75">
      <c r="A40" s="44"/>
      <c r="D40" s="41"/>
      <c r="E40" s="159"/>
    </row>
    <row r="41" spans="1:5" s="61" customFormat="1" ht="15.75">
      <c r="A41" s="44"/>
      <c r="D41" s="41"/>
      <c r="E41" s="449"/>
    </row>
    <row r="42" spans="1:5" s="143" customFormat="1" ht="15.75">
      <c r="A42" s="36"/>
      <c r="D42" s="43"/>
      <c r="E42" s="43"/>
    </row>
    <row r="43" spans="1:5" s="61" customFormat="1" ht="15.75">
      <c r="A43" s="44"/>
      <c r="D43" s="41"/>
      <c r="E43" s="159"/>
    </row>
    <row r="44" spans="1:5" s="61" customFormat="1" ht="15.75" hidden="1">
      <c r="A44" s="44"/>
      <c r="D44" s="41"/>
      <c r="E44" s="159"/>
    </row>
    <row r="45" spans="1:5" s="61" customFormat="1" ht="15.75" hidden="1">
      <c r="A45" s="44"/>
      <c r="D45" s="41"/>
      <c r="E45" s="159"/>
    </row>
    <row r="46" spans="1:5" s="61" customFormat="1" ht="15.75">
      <c r="A46" s="44"/>
      <c r="B46" s="45"/>
      <c r="C46" s="45"/>
      <c r="D46" s="41"/>
      <c r="E46" s="159"/>
    </row>
    <row r="47" spans="1:5" s="61" customFormat="1" ht="15.75">
      <c r="A47" s="44"/>
      <c r="B47" s="45"/>
      <c r="C47" s="45"/>
      <c r="D47" s="41"/>
      <c r="E47" s="159"/>
    </row>
    <row r="48" spans="1:5" s="61" customFormat="1" ht="15.75">
      <c r="A48" s="44"/>
      <c r="D48" s="41"/>
      <c r="E48" s="159"/>
    </row>
    <row r="49" spans="1:5" s="143" customFormat="1" ht="15.75">
      <c r="A49" s="36"/>
      <c r="B49" s="47"/>
      <c r="C49" s="47"/>
      <c r="D49" s="43"/>
      <c r="E49" s="434"/>
    </row>
    <row r="50" spans="1:5" s="61" customFormat="1" ht="15.75">
      <c r="A50" s="44"/>
      <c r="D50" s="41"/>
      <c r="E50" s="159"/>
    </row>
    <row r="51" spans="1:5" s="61" customFormat="1" ht="15.75">
      <c r="A51" s="44"/>
      <c r="D51" s="41"/>
      <c r="E51" s="159"/>
    </row>
    <row r="52" spans="1:5" s="61" customFormat="1" ht="15.75">
      <c r="A52" s="44"/>
      <c r="D52" s="41"/>
      <c r="E52" s="159"/>
    </row>
    <row r="53" spans="1:5" s="143" customFormat="1" ht="15.75">
      <c r="A53" s="36"/>
      <c r="D53" s="43"/>
      <c r="E53" s="434"/>
    </row>
    <row r="54" spans="1:5" s="61" customFormat="1" ht="15.75">
      <c r="A54" s="44"/>
      <c r="D54" s="41"/>
      <c r="E54" s="159"/>
    </row>
    <row r="55" spans="1:5" s="61" customFormat="1" ht="15.75">
      <c r="A55" s="44"/>
      <c r="D55" s="41"/>
      <c r="E55" s="159"/>
    </row>
    <row r="56" spans="1:5" s="61" customFormat="1" ht="15.75">
      <c r="A56" s="44"/>
      <c r="D56" s="41"/>
      <c r="E56" s="159"/>
    </row>
    <row r="57" spans="1:5" s="61" customFormat="1" ht="15.75">
      <c r="A57" s="44"/>
      <c r="D57" s="41"/>
      <c r="E57" s="159"/>
    </row>
    <row r="58" spans="1:5" s="61" customFormat="1" ht="15.75" hidden="1">
      <c r="A58" s="44"/>
      <c r="D58" s="41"/>
      <c r="E58" s="159"/>
    </row>
    <row r="59" spans="1:5" s="61" customFormat="1" ht="15.75" hidden="1">
      <c r="A59" s="44"/>
      <c r="D59" s="41"/>
      <c r="E59" s="159"/>
    </row>
    <row r="60" spans="1:5" s="61" customFormat="1" ht="15.75">
      <c r="A60" s="44"/>
      <c r="D60" s="41"/>
      <c r="E60" s="159"/>
    </row>
    <row r="61" spans="1:5" s="61" customFormat="1" ht="15.75">
      <c r="A61" s="44"/>
      <c r="D61" s="41"/>
      <c r="E61" s="159"/>
    </row>
    <row r="62" spans="1:5" s="61" customFormat="1" ht="15.75">
      <c r="A62" s="44"/>
      <c r="D62" s="41"/>
      <c r="E62" s="159"/>
    </row>
    <row r="63" spans="1:5" s="143" customFormat="1" ht="15.75">
      <c r="A63" s="44"/>
      <c r="B63" s="61"/>
      <c r="C63" s="61"/>
      <c r="D63" s="41"/>
      <c r="E63" s="434"/>
    </row>
    <row r="64" spans="1:5" s="61" customFormat="1" ht="15.75">
      <c r="A64" s="36"/>
      <c r="B64" s="143"/>
      <c r="C64" s="143"/>
      <c r="D64" s="43"/>
      <c r="E64" s="159"/>
    </row>
    <row r="65" spans="1:4" s="61" customFormat="1" ht="15.75">
      <c r="A65" s="44"/>
      <c r="D65" s="41"/>
    </row>
    <row r="66" spans="1:4" s="61" customFormat="1" ht="15.75">
      <c r="A66" s="44"/>
      <c r="D66" s="41"/>
    </row>
    <row r="67" spans="1:4" s="61" customFormat="1" ht="15.75">
      <c r="A67" s="44"/>
      <c r="D67" s="41"/>
    </row>
  </sheetData>
  <mergeCells count="1">
    <mergeCell ref="C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workbookViewId="0" topLeftCell="A1">
      <selection activeCell="R10" sqref="R10"/>
    </sheetView>
  </sheetViews>
  <sheetFormatPr defaultColWidth="9.140625" defaultRowHeight="12.75"/>
  <cols>
    <col min="1" max="1" width="9.421875" style="37" customWidth="1"/>
    <col min="2" max="2" width="61.140625" style="1" customWidth="1"/>
    <col min="3" max="3" width="14.140625" style="1" customWidth="1"/>
    <col min="4" max="5" width="12.7109375" style="41" customWidth="1"/>
    <col min="6" max="8" width="12.7109375" style="59" customWidth="1"/>
    <col min="9" max="9" width="12.7109375" style="59" hidden="1" customWidth="1"/>
    <col min="10" max="11" width="12.7109375" style="59" customWidth="1"/>
    <col min="12" max="12" width="12.7109375" style="59" hidden="1" customWidth="1"/>
    <col min="13" max="23" width="12.7109375" style="59" customWidth="1"/>
    <col min="24" max="24" width="16.28125" style="59" customWidth="1"/>
    <col min="25" max="33" width="10.7109375" style="59" customWidth="1"/>
    <col min="34" max="34" width="12.7109375" style="1" customWidth="1"/>
    <col min="35" max="16384" width="9.140625" style="1" customWidth="1"/>
  </cols>
  <sheetData>
    <row r="1" spans="1:27" s="148" customFormat="1" ht="15.75">
      <c r="A1" s="740" t="s">
        <v>230</v>
      </c>
      <c r="B1" s="742" t="s">
        <v>1067</v>
      </c>
      <c r="C1" s="657"/>
      <c r="D1" s="744" t="s">
        <v>1086</v>
      </c>
      <c r="E1" s="744"/>
      <c r="F1" s="744"/>
      <c r="G1" s="744"/>
      <c r="H1" s="744"/>
      <c r="I1" s="744"/>
      <c r="J1" s="745"/>
      <c r="K1" s="749" t="s">
        <v>404</v>
      </c>
      <c r="L1" s="744"/>
      <c r="M1" s="745"/>
      <c r="N1" s="746" t="s">
        <v>1383</v>
      </c>
      <c r="O1" s="747"/>
      <c r="P1" s="746"/>
      <c r="Q1" s="748"/>
      <c r="R1" s="738" t="s">
        <v>1384</v>
      </c>
      <c r="S1" s="147"/>
      <c r="T1" s="147"/>
      <c r="U1" s="147"/>
      <c r="V1" s="147"/>
      <c r="W1" s="147"/>
      <c r="X1" s="147"/>
      <c r="Y1" s="147"/>
      <c r="Z1" s="147"/>
      <c r="AA1" s="147"/>
    </row>
    <row r="2" spans="1:27" s="4" customFormat="1" ht="220.5">
      <c r="A2" s="741"/>
      <c r="B2" s="743"/>
      <c r="C2" s="658" t="s">
        <v>902</v>
      </c>
      <c r="D2" s="302" t="s">
        <v>830</v>
      </c>
      <c r="E2" s="461" t="s">
        <v>765</v>
      </c>
      <c r="F2" s="306" t="s">
        <v>74</v>
      </c>
      <c r="G2" s="556" t="s">
        <v>924</v>
      </c>
      <c r="H2" s="337" t="s">
        <v>925</v>
      </c>
      <c r="I2" s="302" t="s">
        <v>1161</v>
      </c>
      <c r="J2" s="492" t="s">
        <v>965</v>
      </c>
      <c r="K2" s="407" t="s">
        <v>830</v>
      </c>
      <c r="L2" s="302" t="s">
        <v>1001</v>
      </c>
      <c r="M2" s="473" t="s">
        <v>965</v>
      </c>
      <c r="N2" s="407" t="s">
        <v>830</v>
      </c>
      <c r="O2" s="473" t="s">
        <v>965</v>
      </c>
      <c r="P2" s="495"/>
      <c r="Q2" s="468" t="s">
        <v>965</v>
      </c>
      <c r="R2" s="739"/>
      <c r="S2" s="149"/>
      <c r="T2" s="149"/>
      <c r="U2" s="149"/>
      <c r="V2" s="149"/>
      <c r="W2" s="149"/>
      <c r="X2" s="149"/>
      <c r="Y2" s="149"/>
      <c r="Z2" s="149"/>
      <c r="AA2" s="149"/>
    </row>
    <row r="3" spans="1:33" ht="15.75">
      <c r="A3" s="439" t="s">
        <v>1599</v>
      </c>
      <c r="B3" s="519" t="s">
        <v>1600</v>
      </c>
      <c r="C3" s="528"/>
      <c r="D3" s="189"/>
      <c r="E3" s="463"/>
      <c r="F3" s="463"/>
      <c r="G3" s="557"/>
      <c r="H3" s="563"/>
      <c r="I3" s="189"/>
      <c r="J3" s="381">
        <f>SUM(C3:I3)</f>
        <v>0</v>
      </c>
      <c r="K3" s="386"/>
      <c r="L3" s="186"/>
      <c r="M3" s="381">
        <f>K3</f>
        <v>0</v>
      </c>
      <c r="N3" s="390"/>
      <c r="O3" s="381">
        <f>N3</f>
        <v>0</v>
      </c>
      <c r="P3" s="390"/>
      <c r="Q3" s="469"/>
      <c r="R3" s="496">
        <f aca="true" t="shared" si="0" ref="R3:R47">+J3+M3+O3+Q3</f>
        <v>0</v>
      </c>
      <c r="AB3" s="38"/>
      <c r="AC3" s="1"/>
      <c r="AD3" s="1"/>
      <c r="AE3" s="1"/>
      <c r="AF3" s="1"/>
      <c r="AG3" s="1"/>
    </row>
    <row r="4" spans="1:33" ht="15.75">
      <c r="A4" s="439" t="s">
        <v>1601</v>
      </c>
      <c r="B4" s="519" t="s">
        <v>1516</v>
      </c>
      <c r="C4" s="528"/>
      <c r="D4" s="189"/>
      <c r="E4" s="463"/>
      <c r="F4" s="463"/>
      <c r="G4" s="557"/>
      <c r="H4" s="563"/>
      <c r="I4" s="189"/>
      <c r="J4" s="381">
        <f aca="true" t="shared" si="1" ref="J4:J33">SUM(C4:I4)</f>
        <v>0</v>
      </c>
      <c r="K4" s="386"/>
      <c r="L4" s="186"/>
      <c r="M4" s="381">
        <f aca="true" t="shared" si="2" ref="M4:M46">K4</f>
        <v>0</v>
      </c>
      <c r="N4" s="390"/>
      <c r="O4" s="381">
        <f aca="true" t="shared" si="3" ref="O4:O46">N4</f>
        <v>0</v>
      </c>
      <c r="P4" s="390"/>
      <c r="Q4" s="469"/>
      <c r="R4" s="496">
        <f t="shared" si="0"/>
        <v>0</v>
      </c>
      <c r="AB4" s="38"/>
      <c r="AC4" s="1"/>
      <c r="AD4" s="1"/>
      <c r="AE4" s="1"/>
      <c r="AF4" s="1"/>
      <c r="AG4" s="1"/>
    </row>
    <row r="5" spans="1:33" ht="15.75">
      <c r="A5" s="439" t="s">
        <v>1317</v>
      </c>
      <c r="B5" s="519" t="s">
        <v>1318</v>
      </c>
      <c r="C5" s="528"/>
      <c r="D5" s="189"/>
      <c r="E5" s="463"/>
      <c r="F5" s="463"/>
      <c r="G5" s="557"/>
      <c r="H5" s="563"/>
      <c r="I5" s="189"/>
      <c r="J5" s="381"/>
      <c r="K5" s="390">
        <v>600</v>
      </c>
      <c r="L5" s="186"/>
      <c r="M5" s="381">
        <f t="shared" si="2"/>
        <v>600</v>
      </c>
      <c r="N5" s="390">
        <v>600</v>
      </c>
      <c r="O5" s="381">
        <f t="shared" si="3"/>
        <v>600</v>
      </c>
      <c r="P5" s="390"/>
      <c r="Q5" s="469"/>
      <c r="R5" s="496">
        <f t="shared" si="0"/>
        <v>1200</v>
      </c>
      <c r="AB5" s="38"/>
      <c r="AC5" s="1"/>
      <c r="AD5" s="1"/>
      <c r="AE5" s="1"/>
      <c r="AF5" s="1"/>
      <c r="AG5" s="1"/>
    </row>
    <row r="6" spans="1:33" ht="15.75">
      <c r="A6" s="440" t="s">
        <v>1602</v>
      </c>
      <c r="B6" s="480" t="s">
        <v>1641</v>
      </c>
      <c r="C6" s="529">
        <f>C3+C4</f>
        <v>0</v>
      </c>
      <c r="D6" s="295">
        <f aca="true" t="shared" si="4" ref="D6:J6">D3+D4</f>
        <v>0</v>
      </c>
      <c r="E6" s="476">
        <f t="shared" si="4"/>
        <v>0</v>
      </c>
      <c r="F6" s="476">
        <f t="shared" si="4"/>
        <v>0</v>
      </c>
      <c r="G6" s="558">
        <f t="shared" si="4"/>
        <v>0</v>
      </c>
      <c r="H6" s="564">
        <f t="shared" si="4"/>
        <v>0</v>
      </c>
      <c r="I6" s="295">
        <f t="shared" si="4"/>
        <v>0</v>
      </c>
      <c r="J6" s="493">
        <f t="shared" si="4"/>
        <v>0</v>
      </c>
      <c r="K6" s="386">
        <f>K3+K4+K5</f>
        <v>600</v>
      </c>
      <c r="L6" s="186"/>
      <c r="M6" s="381">
        <f t="shared" si="2"/>
        <v>600</v>
      </c>
      <c r="N6" s="390">
        <f>N3+N4+N5</f>
        <v>600</v>
      </c>
      <c r="O6" s="381">
        <f t="shared" si="3"/>
        <v>600</v>
      </c>
      <c r="P6" s="390"/>
      <c r="Q6" s="469"/>
      <c r="R6" s="496">
        <f t="shared" si="0"/>
        <v>1200</v>
      </c>
      <c r="AB6" s="38"/>
      <c r="AC6" s="1"/>
      <c r="AD6" s="1"/>
      <c r="AE6" s="1"/>
      <c r="AF6" s="1"/>
      <c r="AG6" s="1"/>
    </row>
    <row r="7" spans="1:33" ht="15.75">
      <c r="A7" s="439" t="s">
        <v>1603</v>
      </c>
      <c r="B7" s="519" t="s">
        <v>1604</v>
      </c>
      <c r="C7" s="528"/>
      <c r="D7" s="189">
        <v>250</v>
      </c>
      <c r="E7" s="463"/>
      <c r="F7" s="463"/>
      <c r="G7" s="557"/>
      <c r="H7" s="563"/>
      <c r="I7" s="189"/>
      <c r="J7" s="381">
        <f t="shared" si="1"/>
        <v>250</v>
      </c>
      <c r="K7" s="386"/>
      <c r="L7" s="186"/>
      <c r="M7" s="381">
        <f t="shared" si="2"/>
        <v>0</v>
      </c>
      <c r="N7" s="390"/>
      <c r="O7" s="381">
        <f t="shared" si="3"/>
        <v>0</v>
      </c>
      <c r="P7" s="390"/>
      <c r="Q7" s="387"/>
      <c r="R7" s="496">
        <f t="shared" si="0"/>
        <v>250</v>
      </c>
      <c r="AB7" s="38"/>
      <c r="AC7" s="1"/>
      <c r="AD7" s="1"/>
      <c r="AE7" s="1"/>
      <c r="AF7" s="1"/>
      <c r="AG7" s="1"/>
    </row>
    <row r="8" spans="1:33" ht="15.75">
      <c r="A8" s="439" t="s">
        <v>1605</v>
      </c>
      <c r="B8" s="519" t="s">
        <v>1606</v>
      </c>
      <c r="C8" s="528"/>
      <c r="D8" s="189"/>
      <c r="E8" s="463">
        <v>2000</v>
      </c>
      <c r="F8" s="463"/>
      <c r="G8" s="557"/>
      <c r="H8" s="563"/>
      <c r="I8" s="189"/>
      <c r="J8" s="381">
        <f t="shared" si="1"/>
        <v>2000</v>
      </c>
      <c r="K8" s="390"/>
      <c r="L8" s="189"/>
      <c r="M8" s="381">
        <f t="shared" si="2"/>
        <v>0</v>
      </c>
      <c r="N8" s="390"/>
      <c r="O8" s="381">
        <f t="shared" si="3"/>
        <v>0</v>
      </c>
      <c r="P8" s="390"/>
      <c r="Q8" s="469"/>
      <c r="R8" s="496">
        <f t="shared" si="0"/>
        <v>2000</v>
      </c>
      <c r="AB8" s="38"/>
      <c r="AC8" s="1"/>
      <c r="AD8" s="1"/>
      <c r="AE8" s="1"/>
      <c r="AF8" s="1"/>
      <c r="AG8" s="1"/>
    </row>
    <row r="9" spans="1:33" ht="15.75">
      <c r="A9" s="440" t="s">
        <v>1607</v>
      </c>
      <c r="B9" s="480" t="s">
        <v>1637</v>
      </c>
      <c r="C9" s="529">
        <f>C7+C8</f>
        <v>0</v>
      </c>
      <c r="D9" s="295">
        <f aca="true" t="shared" si="5" ref="D9:K9">D7+D8</f>
        <v>250</v>
      </c>
      <c r="E9" s="476">
        <f t="shared" si="5"/>
        <v>2000</v>
      </c>
      <c r="F9" s="476">
        <f t="shared" si="5"/>
        <v>0</v>
      </c>
      <c r="G9" s="558">
        <f t="shared" si="5"/>
        <v>0</v>
      </c>
      <c r="H9" s="564">
        <f t="shared" si="5"/>
        <v>0</v>
      </c>
      <c r="I9" s="295">
        <f t="shared" si="5"/>
        <v>0</v>
      </c>
      <c r="J9" s="493">
        <f t="shared" si="5"/>
        <v>2250</v>
      </c>
      <c r="K9" s="386">
        <f t="shared" si="5"/>
        <v>0</v>
      </c>
      <c r="L9" s="186"/>
      <c r="M9" s="381">
        <f t="shared" si="2"/>
        <v>0</v>
      </c>
      <c r="N9" s="390">
        <f>N7+N8</f>
        <v>0</v>
      </c>
      <c r="O9" s="381">
        <f t="shared" si="3"/>
        <v>0</v>
      </c>
      <c r="P9" s="390"/>
      <c r="Q9" s="469"/>
      <c r="R9" s="496">
        <f t="shared" si="0"/>
        <v>2250</v>
      </c>
      <c r="AB9" s="38"/>
      <c r="AC9" s="1"/>
      <c r="AD9" s="1"/>
      <c r="AE9" s="1"/>
      <c r="AF9" s="1"/>
      <c r="AG9" s="1"/>
    </row>
    <row r="10" spans="1:33" ht="15.75">
      <c r="A10" s="439" t="s">
        <v>1608</v>
      </c>
      <c r="B10" s="519" t="s">
        <v>1609</v>
      </c>
      <c r="C10" s="528"/>
      <c r="D10" s="189"/>
      <c r="E10" s="463"/>
      <c r="F10" s="463"/>
      <c r="G10" s="557"/>
      <c r="H10" s="563"/>
      <c r="I10" s="189"/>
      <c r="J10" s="381">
        <f t="shared" si="1"/>
        <v>0</v>
      </c>
      <c r="K10" s="386"/>
      <c r="L10" s="189"/>
      <c r="M10" s="381">
        <f t="shared" si="2"/>
        <v>0</v>
      </c>
      <c r="N10" s="390"/>
      <c r="O10" s="381">
        <f t="shared" si="3"/>
        <v>0</v>
      </c>
      <c r="P10" s="390"/>
      <c r="Q10" s="469"/>
      <c r="R10" s="496">
        <f t="shared" si="0"/>
        <v>0</v>
      </c>
      <c r="AB10" s="38"/>
      <c r="AC10" s="1"/>
      <c r="AD10" s="1"/>
      <c r="AE10" s="1"/>
      <c r="AF10" s="1"/>
      <c r="AG10" s="1"/>
    </row>
    <row r="11" spans="1:33" ht="15.75">
      <c r="A11" s="439" t="s">
        <v>1610</v>
      </c>
      <c r="B11" s="519" t="s">
        <v>1611</v>
      </c>
      <c r="C11" s="528"/>
      <c r="D11" s="189"/>
      <c r="E11" s="463"/>
      <c r="F11" s="463"/>
      <c r="G11" s="557"/>
      <c r="H11" s="563"/>
      <c r="I11" s="189"/>
      <c r="J11" s="381">
        <f t="shared" si="1"/>
        <v>0</v>
      </c>
      <c r="K11" s="386"/>
      <c r="L11" s="186"/>
      <c r="M11" s="381">
        <f t="shared" si="2"/>
        <v>0</v>
      </c>
      <c r="N11" s="390"/>
      <c r="O11" s="381">
        <f t="shared" si="3"/>
        <v>0</v>
      </c>
      <c r="P11" s="390"/>
      <c r="Q11" s="469"/>
      <c r="R11" s="496">
        <f t="shared" si="0"/>
        <v>0</v>
      </c>
      <c r="AB11" s="38"/>
      <c r="AC11" s="1"/>
      <c r="AD11" s="1"/>
      <c r="AE11" s="1"/>
      <c r="AF11" s="1"/>
      <c r="AG11" s="1"/>
    </row>
    <row r="12" spans="1:33" ht="15.75">
      <c r="A12" s="439" t="s">
        <v>1612</v>
      </c>
      <c r="B12" s="519" t="s">
        <v>1613</v>
      </c>
      <c r="C12" s="528"/>
      <c r="D12" s="189"/>
      <c r="E12" s="463"/>
      <c r="F12" s="463"/>
      <c r="G12" s="557"/>
      <c r="H12" s="563"/>
      <c r="I12" s="189"/>
      <c r="J12" s="381">
        <f t="shared" si="1"/>
        <v>0</v>
      </c>
      <c r="K12" s="386"/>
      <c r="L12" s="186"/>
      <c r="M12" s="381">
        <f t="shared" si="2"/>
        <v>0</v>
      </c>
      <c r="N12" s="390"/>
      <c r="O12" s="381">
        <f t="shared" si="3"/>
        <v>0</v>
      </c>
      <c r="P12" s="390"/>
      <c r="Q12" s="469"/>
      <c r="R12" s="496">
        <f t="shared" si="0"/>
        <v>0</v>
      </c>
      <c r="AB12" s="38"/>
      <c r="AC12" s="1"/>
      <c r="AD12" s="1"/>
      <c r="AE12" s="1"/>
      <c r="AF12" s="1"/>
      <c r="AG12" s="1"/>
    </row>
    <row r="13" spans="1:28" s="40" customFormat="1" ht="15.75">
      <c r="A13" s="439" t="s">
        <v>1614</v>
      </c>
      <c r="B13" s="519" t="s">
        <v>766</v>
      </c>
      <c r="C13" s="533"/>
      <c r="D13" s="206">
        <v>630</v>
      </c>
      <c r="E13" s="477"/>
      <c r="F13" s="477"/>
      <c r="G13" s="559"/>
      <c r="H13" s="565"/>
      <c r="I13" s="207"/>
      <c r="J13" s="381">
        <f t="shared" si="1"/>
        <v>630</v>
      </c>
      <c r="K13" s="390">
        <v>0</v>
      </c>
      <c r="L13" s="186"/>
      <c r="M13" s="381">
        <f t="shared" si="2"/>
        <v>0</v>
      </c>
      <c r="N13" s="474"/>
      <c r="O13" s="381">
        <f t="shared" si="3"/>
        <v>0</v>
      </c>
      <c r="P13" s="386"/>
      <c r="Q13" s="387"/>
      <c r="R13" s="496">
        <f t="shared" si="0"/>
        <v>630</v>
      </c>
      <c r="S13" s="43"/>
      <c r="T13" s="43"/>
      <c r="U13" s="43"/>
      <c r="V13" s="43"/>
      <c r="W13" s="43"/>
      <c r="X13" s="43"/>
      <c r="Y13" s="43"/>
      <c r="Z13" s="43"/>
      <c r="AA13" s="43"/>
      <c r="AB13" s="58"/>
    </row>
    <row r="14" spans="1:33" ht="29.25" customHeight="1">
      <c r="A14" s="439" t="s">
        <v>1615</v>
      </c>
      <c r="B14" s="659" t="s">
        <v>767</v>
      </c>
      <c r="C14" s="528"/>
      <c r="D14" s="189">
        <v>1000</v>
      </c>
      <c r="E14" s="189">
        <v>600</v>
      </c>
      <c r="F14" s="463"/>
      <c r="G14" s="557"/>
      <c r="H14" s="563"/>
      <c r="I14" s="189"/>
      <c r="J14" s="381">
        <f t="shared" si="1"/>
        <v>1600</v>
      </c>
      <c r="K14" s="386"/>
      <c r="L14" s="186"/>
      <c r="M14" s="381">
        <f t="shared" si="2"/>
        <v>0</v>
      </c>
      <c r="N14" s="390">
        <v>0</v>
      </c>
      <c r="O14" s="381">
        <f t="shared" si="3"/>
        <v>0</v>
      </c>
      <c r="P14" s="390"/>
      <c r="Q14" s="469"/>
      <c r="R14" s="496">
        <f>+J14+M14+O14+Q14</f>
        <v>1600</v>
      </c>
      <c r="AB14" s="38"/>
      <c r="AC14" s="1"/>
      <c r="AD14" s="1"/>
      <c r="AE14" s="1"/>
      <c r="AF14" s="1"/>
      <c r="AG14" s="1"/>
    </row>
    <row r="15" spans="1:33" ht="15.75">
      <c r="A15" s="439" t="s">
        <v>1616</v>
      </c>
      <c r="B15" s="519" t="s">
        <v>1617</v>
      </c>
      <c r="C15" s="528"/>
      <c r="D15" s="189"/>
      <c r="E15" s="463"/>
      <c r="F15" s="463"/>
      <c r="G15" s="557"/>
      <c r="H15" s="563"/>
      <c r="I15" s="189"/>
      <c r="J15" s="381">
        <f t="shared" si="1"/>
        <v>0</v>
      </c>
      <c r="K15" s="386"/>
      <c r="L15" s="186"/>
      <c r="M15" s="381">
        <f t="shared" si="2"/>
        <v>0</v>
      </c>
      <c r="N15" s="390"/>
      <c r="O15" s="381">
        <f t="shared" si="3"/>
        <v>0</v>
      </c>
      <c r="P15" s="390"/>
      <c r="Q15" s="469"/>
      <c r="R15" s="496">
        <f>+J15+M15+O15+Q15</f>
        <v>0</v>
      </c>
      <c r="AB15" s="38"/>
      <c r="AC15" s="1"/>
      <c r="AD15" s="1"/>
      <c r="AE15" s="1"/>
      <c r="AF15" s="1"/>
      <c r="AG15" s="1"/>
    </row>
    <row r="16" spans="1:33" ht="15.75">
      <c r="A16" s="439" t="s">
        <v>1618</v>
      </c>
      <c r="B16" s="519" t="s">
        <v>768</v>
      </c>
      <c r="C16" s="528"/>
      <c r="D16" s="189">
        <v>965</v>
      </c>
      <c r="E16" s="463"/>
      <c r="F16" s="463"/>
      <c r="G16" s="557"/>
      <c r="H16" s="563"/>
      <c r="I16" s="189"/>
      <c r="J16" s="381">
        <f t="shared" si="1"/>
        <v>965</v>
      </c>
      <c r="K16" s="386"/>
      <c r="L16" s="186"/>
      <c r="M16" s="381">
        <f t="shared" si="2"/>
        <v>0</v>
      </c>
      <c r="N16" s="390"/>
      <c r="O16" s="381">
        <f t="shared" si="3"/>
        <v>0</v>
      </c>
      <c r="P16" s="390"/>
      <c r="Q16" s="469"/>
      <c r="R16" s="496">
        <f t="shared" si="0"/>
        <v>965</v>
      </c>
      <c r="AB16" s="38"/>
      <c r="AC16" s="1"/>
      <c r="AD16" s="1"/>
      <c r="AE16" s="1"/>
      <c r="AF16" s="1"/>
      <c r="AG16" s="1"/>
    </row>
    <row r="17" spans="1:33" ht="15.75">
      <c r="A17" s="439" t="s">
        <v>1619</v>
      </c>
      <c r="B17" s="519" t="s">
        <v>1620</v>
      </c>
      <c r="C17" s="528"/>
      <c r="D17" s="189"/>
      <c r="E17" s="463"/>
      <c r="F17" s="463"/>
      <c r="G17" s="557"/>
      <c r="H17" s="563"/>
      <c r="I17" s="189"/>
      <c r="J17" s="381">
        <f t="shared" si="1"/>
        <v>0</v>
      </c>
      <c r="K17" s="386"/>
      <c r="L17" s="186"/>
      <c r="M17" s="381">
        <f t="shared" si="2"/>
        <v>0</v>
      </c>
      <c r="N17" s="390"/>
      <c r="O17" s="381">
        <f t="shared" si="3"/>
        <v>0</v>
      </c>
      <c r="P17" s="390"/>
      <c r="Q17" s="469"/>
      <c r="R17" s="496">
        <f t="shared" si="0"/>
        <v>0</v>
      </c>
      <c r="AB17" s="38"/>
      <c r="AC17" s="1"/>
      <c r="AD17" s="1"/>
      <c r="AE17" s="1"/>
      <c r="AF17" s="1"/>
      <c r="AG17" s="1"/>
    </row>
    <row r="18" spans="1:28" s="40" customFormat="1" ht="15.75">
      <c r="A18" s="439" t="s">
        <v>1621</v>
      </c>
      <c r="B18" s="519" t="s">
        <v>1622</v>
      </c>
      <c r="C18" s="533"/>
      <c r="D18" s="206">
        <v>100</v>
      </c>
      <c r="E18" s="477"/>
      <c r="F18" s="477"/>
      <c r="G18" s="559"/>
      <c r="H18" s="565"/>
      <c r="I18" s="207"/>
      <c r="J18" s="381">
        <f t="shared" si="1"/>
        <v>100</v>
      </c>
      <c r="K18" s="386"/>
      <c r="L18" s="186"/>
      <c r="M18" s="381">
        <f t="shared" si="2"/>
        <v>0</v>
      </c>
      <c r="N18" s="474"/>
      <c r="O18" s="381">
        <f t="shared" si="3"/>
        <v>0</v>
      </c>
      <c r="P18" s="386"/>
      <c r="Q18" s="469"/>
      <c r="R18" s="496">
        <f t="shared" si="0"/>
        <v>100</v>
      </c>
      <c r="S18" s="43"/>
      <c r="T18" s="43"/>
      <c r="U18" s="43"/>
      <c r="V18" s="43"/>
      <c r="W18" s="43"/>
      <c r="X18" s="43"/>
      <c r="Y18" s="43"/>
      <c r="Z18" s="43"/>
      <c r="AA18" s="43"/>
      <c r="AB18" s="58"/>
    </row>
    <row r="19" spans="1:33" ht="15.75">
      <c r="A19" s="439" t="s">
        <v>1623</v>
      </c>
      <c r="B19" s="659" t="s">
        <v>1624</v>
      </c>
      <c r="C19" s="655"/>
      <c r="D19" s="189"/>
      <c r="E19" s="463"/>
      <c r="F19" s="463"/>
      <c r="G19" s="557"/>
      <c r="H19" s="563"/>
      <c r="I19" s="189"/>
      <c r="J19" s="381">
        <f t="shared" si="1"/>
        <v>0</v>
      </c>
      <c r="K19" s="386"/>
      <c r="L19" s="186"/>
      <c r="M19" s="381">
        <f t="shared" si="2"/>
        <v>0</v>
      </c>
      <c r="N19" s="390"/>
      <c r="O19" s="381">
        <f t="shared" si="3"/>
        <v>0</v>
      </c>
      <c r="P19" s="390"/>
      <c r="Q19" s="469"/>
      <c r="R19" s="496">
        <f t="shared" si="0"/>
        <v>0</v>
      </c>
      <c r="AB19" s="38"/>
      <c r="AC19" s="1"/>
      <c r="AD19" s="1"/>
      <c r="AE19" s="1"/>
      <c r="AF19" s="1"/>
      <c r="AG19" s="1"/>
    </row>
    <row r="20" spans="1:33" ht="15.75">
      <c r="A20" s="440" t="s">
        <v>1625</v>
      </c>
      <c r="B20" s="480" t="s">
        <v>1638</v>
      </c>
      <c r="C20" s="529">
        <f>SUM(C10:C19)</f>
        <v>0</v>
      </c>
      <c r="D20" s="295">
        <f aca="true" t="shared" si="6" ref="D20:K20">SUM(D10:D19)</f>
        <v>2695</v>
      </c>
      <c r="E20" s="476">
        <f t="shared" si="6"/>
        <v>600</v>
      </c>
      <c r="F20" s="476">
        <f t="shared" si="6"/>
        <v>0</v>
      </c>
      <c r="G20" s="558">
        <f t="shared" si="6"/>
        <v>0</v>
      </c>
      <c r="H20" s="564">
        <f t="shared" si="6"/>
        <v>0</v>
      </c>
      <c r="I20" s="295">
        <f t="shared" si="6"/>
        <v>0</v>
      </c>
      <c r="J20" s="493">
        <f t="shared" si="6"/>
        <v>3295</v>
      </c>
      <c r="K20" s="386">
        <f t="shared" si="6"/>
        <v>0</v>
      </c>
      <c r="L20" s="186"/>
      <c r="M20" s="381">
        <f t="shared" si="2"/>
        <v>0</v>
      </c>
      <c r="N20" s="390">
        <f>SUM(N10:N19)</f>
        <v>0</v>
      </c>
      <c r="O20" s="381">
        <f t="shared" si="3"/>
        <v>0</v>
      </c>
      <c r="P20" s="390"/>
      <c r="Q20" s="469"/>
      <c r="R20" s="496">
        <f t="shared" si="0"/>
        <v>3295</v>
      </c>
      <c r="AB20" s="38"/>
      <c r="AC20" s="1"/>
      <c r="AD20" s="1"/>
      <c r="AE20" s="1"/>
      <c r="AF20" s="1"/>
      <c r="AG20" s="1"/>
    </row>
    <row r="21" spans="1:33" ht="15.75">
      <c r="A21" s="439" t="s">
        <v>1626</v>
      </c>
      <c r="B21" s="519" t="s">
        <v>432</v>
      </c>
      <c r="C21" s="528"/>
      <c r="D21" s="189"/>
      <c r="E21" s="463"/>
      <c r="F21" s="463">
        <v>4033</v>
      </c>
      <c r="G21" s="557">
        <v>4381</v>
      </c>
      <c r="H21" s="563">
        <v>1280</v>
      </c>
      <c r="I21" s="189"/>
      <c r="J21" s="381">
        <f t="shared" si="1"/>
        <v>9694</v>
      </c>
      <c r="K21" s="386"/>
      <c r="L21" s="186"/>
      <c r="M21" s="381">
        <f t="shared" si="2"/>
        <v>0</v>
      </c>
      <c r="N21" s="390"/>
      <c r="O21" s="381">
        <f t="shared" si="3"/>
        <v>0</v>
      </c>
      <c r="P21" s="390"/>
      <c r="Q21" s="469"/>
      <c r="R21" s="496">
        <f t="shared" si="0"/>
        <v>9694</v>
      </c>
      <c r="AB21" s="38"/>
      <c r="AC21" s="1"/>
      <c r="AD21" s="1"/>
      <c r="AE21" s="1"/>
      <c r="AF21" s="1"/>
      <c r="AG21" s="1"/>
    </row>
    <row r="22" spans="1:28" s="40" customFormat="1" ht="15.75">
      <c r="A22" s="439" t="s">
        <v>1627</v>
      </c>
      <c r="B22" s="519" t="s">
        <v>1628</v>
      </c>
      <c r="C22" s="533"/>
      <c r="D22" s="207"/>
      <c r="E22" s="477"/>
      <c r="F22" s="477"/>
      <c r="G22" s="559"/>
      <c r="H22" s="565"/>
      <c r="I22" s="207"/>
      <c r="J22" s="381">
        <f t="shared" si="1"/>
        <v>0</v>
      </c>
      <c r="K22" s="386"/>
      <c r="L22" s="186"/>
      <c r="M22" s="381">
        <f t="shared" si="2"/>
        <v>0</v>
      </c>
      <c r="N22" s="474"/>
      <c r="O22" s="381">
        <f t="shared" si="3"/>
        <v>0</v>
      </c>
      <c r="P22" s="386"/>
      <c r="Q22" s="469"/>
      <c r="R22" s="496">
        <f t="shared" si="0"/>
        <v>0</v>
      </c>
      <c r="S22" s="43"/>
      <c r="T22" s="43"/>
      <c r="U22" s="43"/>
      <c r="V22" s="43"/>
      <c r="W22" s="43"/>
      <c r="X22" s="43"/>
      <c r="Y22" s="43"/>
      <c r="Z22" s="43"/>
      <c r="AA22" s="43"/>
      <c r="AB22" s="58"/>
    </row>
    <row r="23" spans="1:33" ht="15.75">
      <c r="A23" s="439" t="s">
        <v>1629</v>
      </c>
      <c r="B23" s="519" t="s">
        <v>1630</v>
      </c>
      <c r="C23" s="528"/>
      <c r="D23" s="189"/>
      <c r="E23" s="463"/>
      <c r="F23" s="463"/>
      <c r="G23" s="557"/>
      <c r="H23" s="563"/>
      <c r="I23" s="189"/>
      <c r="J23" s="381">
        <f t="shared" si="1"/>
        <v>0</v>
      </c>
      <c r="K23" s="386"/>
      <c r="L23" s="186"/>
      <c r="M23" s="381">
        <f t="shared" si="2"/>
        <v>0</v>
      </c>
      <c r="N23" s="390"/>
      <c r="O23" s="381">
        <f t="shared" si="3"/>
        <v>0</v>
      </c>
      <c r="P23" s="390"/>
      <c r="Q23" s="469"/>
      <c r="R23" s="496">
        <f t="shared" si="0"/>
        <v>0</v>
      </c>
      <c r="AB23" s="38"/>
      <c r="AC23" s="1"/>
      <c r="AD23" s="1"/>
      <c r="AE23" s="1"/>
      <c r="AF23" s="1"/>
      <c r="AG23" s="1"/>
    </row>
    <row r="24" spans="1:33" ht="15.75">
      <c r="A24" s="440" t="s">
        <v>1631</v>
      </c>
      <c r="B24" s="480" t="s">
        <v>1639</v>
      </c>
      <c r="C24" s="529">
        <f>C21+C22+C23</f>
        <v>0</v>
      </c>
      <c r="D24" s="295">
        <f aca="true" t="shared" si="7" ref="D24:K24">D21+D22+D23</f>
        <v>0</v>
      </c>
      <c r="E24" s="476">
        <f t="shared" si="7"/>
        <v>0</v>
      </c>
      <c r="F24" s="476">
        <f t="shared" si="7"/>
        <v>4033</v>
      </c>
      <c r="G24" s="558">
        <f t="shared" si="7"/>
        <v>4381</v>
      </c>
      <c r="H24" s="564">
        <f t="shared" si="7"/>
        <v>1280</v>
      </c>
      <c r="I24" s="295">
        <f t="shared" si="7"/>
        <v>0</v>
      </c>
      <c r="J24" s="493">
        <f t="shared" si="7"/>
        <v>9694</v>
      </c>
      <c r="K24" s="386">
        <f t="shared" si="7"/>
        <v>0</v>
      </c>
      <c r="L24" s="186"/>
      <c r="M24" s="381">
        <f t="shared" si="2"/>
        <v>0</v>
      </c>
      <c r="N24" s="390">
        <f>N21+N22+N23</f>
        <v>0</v>
      </c>
      <c r="O24" s="381">
        <f t="shared" si="3"/>
        <v>0</v>
      </c>
      <c r="P24" s="390"/>
      <c r="Q24" s="469"/>
      <c r="R24" s="496">
        <f t="shared" si="0"/>
        <v>9694</v>
      </c>
      <c r="AB24" s="38"/>
      <c r="AC24" s="1"/>
      <c r="AD24" s="1"/>
      <c r="AE24" s="1"/>
      <c r="AF24" s="1"/>
      <c r="AG24" s="1"/>
    </row>
    <row r="25" spans="1:33" ht="15.75">
      <c r="A25" s="439" t="s">
        <v>1632</v>
      </c>
      <c r="B25" s="519" t="s">
        <v>1633</v>
      </c>
      <c r="C25" s="528"/>
      <c r="D25" s="189">
        <f>67+27</f>
        <v>94</v>
      </c>
      <c r="E25" s="463">
        <v>540</v>
      </c>
      <c r="F25" s="463">
        <v>1089</v>
      </c>
      <c r="G25" s="557">
        <v>1183</v>
      </c>
      <c r="H25" s="563">
        <v>346</v>
      </c>
      <c r="I25" s="189"/>
      <c r="J25" s="381">
        <f t="shared" si="1"/>
        <v>3252</v>
      </c>
      <c r="K25" s="386"/>
      <c r="L25" s="186"/>
      <c r="M25" s="381">
        <f t="shared" si="2"/>
        <v>0</v>
      </c>
      <c r="N25" s="390"/>
      <c r="O25" s="381">
        <f t="shared" si="3"/>
        <v>0</v>
      </c>
      <c r="P25" s="390"/>
      <c r="Q25" s="469"/>
      <c r="R25" s="496">
        <f t="shared" si="0"/>
        <v>3252</v>
      </c>
      <c r="AB25" s="38"/>
      <c r="AC25" s="1"/>
      <c r="AD25" s="1"/>
      <c r="AE25" s="1"/>
      <c r="AF25" s="1"/>
      <c r="AG25" s="1"/>
    </row>
    <row r="26" spans="1:33" ht="15.75">
      <c r="A26" s="439" t="s">
        <v>1634</v>
      </c>
      <c r="B26" s="519" t="s">
        <v>1635</v>
      </c>
      <c r="C26" s="528">
        <v>170</v>
      </c>
      <c r="D26" s="206"/>
      <c r="E26" s="478"/>
      <c r="F26" s="478"/>
      <c r="G26" s="560"/>
      <c r="H26" s="566"/>
      <c r="I26" s="206"/>
      <c r="J26" s="381">
        <f t="shared" si="1"/>
        <v>170</v>
      </c>
      <c r="K26" s="386"/>
      <c r="L26" s="186"/>
      <c r="M26" s="381">
        <f t="shared" si="2"/>
        <v>0</v>
      </c>
      <c r="N26" s="475"/>
      <c r="O26" s="381">
        <f t="shared" si="3"/>
        <v>0</v>
      </c>
      <c r="P26" s="390"/>
      <c r="Q26" s="469"/>
      <c r="R26" s="496">
        <f t="shared" si="0"/>
        <v>170</v>
      </c>
      <c r="S26" s="41"/>
      <c r="T26" s="41"/>
      <c r="U26" s="41"/>
      <c r="V26" s="41"/>
      <c r="W26" s="41"/>
      <c r="X26" s="41"/>
      <c r="Y26" s="41"/>
      <c r="Z26" s="41"/>
      <c r="AA26" s="41"/>
      <c r="AB26" s="38"/>
      <c r="AC26" s="1"/>
      <c r="AD26" s="1"/>
      <c r="AE26" s="1"/>
      <c r="AF26" s="1"/>
      <c r="AG26" s="1"/>
    </row>
    <row r="27" spans="1:33" ht="15.75">
      <c r="A27" s="440" t="s">
        <v>1636</v>
      </c>
      <c r="B27" s="480" t="s">
        <v>1640</v>
      </c>
      <c r="C27" s="529">
        <f>C25+C26</f>
        <v>170</v>
      </c>
      <c r="D27" s="295">
        <f aca="true" t="shared" si="8" ref="D27:K27">D25+D26</f>
        <v>94</v>
      </c>
      <c r="E27" s="476">
        <f t="shared" si="8"/>
        <v>540</v>
      </c>
      <c r="F27" s="476">
        <f t="shared" si="8"/>
        <v>1089</v>
      </c>
      <c r="G27" s="558">
        <f t="shared" si="8"/>
        <v>1183</v>
      </c>
      <c r="H27" s="564">
        <f t="shared" si="8"/>
        <v>346</v>
      </c>
      <c r="I27" s="295">
        <f t="shared" si="8"/>
        <v>0</v>
      </c>
      <c r="J27" s="493">
        <f t="shared" si="8"/>
        <v>3422</v>
      </c>
      <c r="K27" s="386">
        <f t="shared" si="8"/>
        <v>0</v>
      </c>
      <c r="L27" s="186"/>
      <c r="M27" s="381">
        <f t="shared" si="2"/>
        <v>0</v>
      </c>
      <c r="N27" s="475">
        <f>N25+N26</f>
        <v>0</v>
      </c>
      <c r="O27" s="381">
        <f t="shared" si="3"/>
        <v>0</v>
      </c>
      <c r="P27" s="390"/>
      <c r="Q27" s="469"/>
      <c r="R27" s="496">
        <f t="shared" si="0"/>
        <v>3422</v>
      </c>
      <c r="S27" s="41"/>
      <c r="T27" s="41"/>
      <c r="U27" s="41"/>
      <c r="V27" s="41"/>
      <c r="W27" s="41"/>
      <c r="X27" s="41"/>
      <c r="Y27" s="41"/>
      <c r="Z27" s="41"/>
      <c r="AA27" s="41"/>
      <c r="AB27" s="38"/>
      <c r="AC27" s="1"/>
      <c r="AD27" s="1"/>
      <c r="AE27" s="1"/>
      <c r="AF27" s="1"/>
      <c r="AG27" s="1"/>
    </row>
    <row r="28" spans="1:33" ht="15.75">
      <c r="A28" s="440" t="s">
        <v>1642</v>
      </c>
      <c r="B28" s="660" t="s">
        <v>1643</v>
      </c>
      <c r="C28" s="656"/>
      <c r="D28" s="331"/>
      <c r="E28" s="464"/>
      <c r="F28" s="464">
        <f>2567-F27</f>
        <v>1478</v>
      </c>
      <c r="G28" s="561">
        <f>2617-G27</f>
        <v>1434</v>
      </c>
      <c r="H28" s="567">
        <f>639-H27</f>
        <v>293</v>
      </c>
      <c r="I28" s="331"/>
      <c r="J28" s="382">
        <f t="shared" si="1"/>
        <v>3205</v>
      </c>
      <c r="K28" s="386"/>
      <c r="L28" s="186"/>
      <c r="M28" s="381">
        <f t="shared" si="2"/>
        <v>0</v>
      </c>
      <c r="N28" s="390"/>
      <c r="O28" s="381">
        <f t="shared" si="3"/>
        <v>0</v>
      </c>
      <c r="P28" s="390"/>
      <c r="Q28" s="469"/>
      <c r="R28" s="496">
        <f t="shared" si="0"/>
        <v>3205</v>
      </c>
      <c r="AB28" s="38"/>
      <c r="AC28" s="1"/>
      <c r="AD28" s="1"/>
      <c r="AE28" s="1"/>
      <c r="AF28" s="1"/>
      <c r="AG28" s="1"/>
    </row>
    <row r="29" spans="1:28" s="40" customFormat="1" ht="15.75">
      <c r="A29" s="439" t="s">
        <v>1646</v>
      </c>
      <c r="B29" s="659" t="s">
        <v>1645</v>
      </c>
      <c r="C29" s="654">
        <v>300</v>
      </c>
      <c r="D29" s="207"/>
      <c r="E29" s="477"/>
      <c r="F29" s="477"/>
      <c r="G29" s="559"/>
      <c r="H29" s="565"/>
      <c r="I29" s="207"/>
      <c r="J29" s="381">
        <f t="shared" si="1"/>
        <v>300</v>
      </c>
      <c r="K29" s="386"/>
      <c r="L29" s="186"/>
      <c r="M29" s="381">
        <f t="shared" si="2"/>
        <v>0</v>
      </c>
      <c r="N29" s="474"/>
      <c r="O29" s="381">
        <f t="shared" si="3"/>
        <v>0</v>
      </c>
      <c r="P29" s="386"/>
      <c r="Q29" s="469"/>
      <c r="R29" s="496">
        <f t="shared" si="0"/>
        <v>300</v>
      </c>
      <c r="S29" s="43"/>
      <c r="T29" s="43"/>
      <c r="U29" s="43"/>
      <c r="V29" s="43"/>
      <c r="W29" s="43"/>
      <c r="X29" s="43"/>
      <c r="Y29" s="43"/>
      <c r="Z29" s="43"/>
      <c r="AA29" s="43"/>
      <c r="AB29" s="58"/>
    </row>
    <row r="30" spans="1:28" s="40" customFormat="1" ht="15.75">
      <c r="A30" s="439" t="s">
        <v>1647</v>
      </c>
      <c r="B30" s="659" t="s">
        <v>1648</v>
      </c>
      <c r="C30" s="654"/>
      <c r="D30" s="207"/>
      <c r="E30" s="477"/>
      <c r="F30" s="477"/>
      <c r="G30" s="559"/>
      <c r="H30" s="565"/>
      <c r="I30" s="207"/>
      <c r="J30" s="381">
        <f t="shared" si="1"/>
        <v>0</v>
      </c>
      <c r="K30" s="386"/>
      <c r="L30" s="186"/>
      <c r="M30" s="381">
        <f t="shared" si="2"/>
        <v>0</v>
      </c>
      <c r="N30" s="474"/>
      <c r="O30" s="381">
        <f t="shared" si="3"/>
        <v>0</v>
      </c>
      <c r="P30" s="386"/>
      <c r="Q30" s="469"/>
      <c r="R30" s="496">
        <f t="shared" si="0"/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58"/>
    </row>
    <row r="31" spans="1:18" ht="15.75">
      <c r="A31" s="439" t="s">
        <v>1649</v>
      </c>
      <c r="B31" s="519" t="s">
        <v>1650</v>
      </c>
      <c r="C31" s="528"/>
      <c r="D31" s="206"/>
      <c r="E31" s="478"/>
      <c r="F31" s="463"/>
      <c r="G31" s="557"/>
      <c r="H31" s="563"/>
      <c r="I31" s="189"/>
      <c r="J31" s="381">
        <f t="shared" si="1"/>
        <v>0</v>
      </c>
      <c r="K31" s="390"/>
      <c r="L31" s="189"/>
      <c r="M31" s="381">
        <f t="shared" si="2"/>
        <v>0</v>
      </c>
      <c r="N31" s="390"/>
      <c r="O31" s="381">
        <f t="shared" si="3"/>
        <v>0</v>
      </c>
      <c r="P31" s="390"/>
      <c r="Q31" s="469"/>
      <c r="R31" s="496">
        <f t="shared" si="0"/>
        <v>0</v>
      </c>
    </row>
    <row r="32" spans="1:24" ht="15.75" hidden="1">
      <c r="A32" s="439"/>
      <c r="B32" s="519" t="s">
        <v>1385</v>
      </c>
      <c r="C32" s="528"/>
      <c r="D32" s="189" t="e">
        <f>+#REF!+D13+D14+D16+D22</f>
        <v>#REF!</v>
      </c>
      <c r="E32" s="463"/>
      <c r="F32" s="463" t="e">
        <f>+#REF!+F13+F14+F16+F22</f>
        <v>#REF!</v>
      </c>
      <c r="G32" s="557"/>
      <c r="H32" s="563"/>
      <c r="I32" s="189"/>
      <c r="J32" s="381" t="e">
        <f t="shared" si="1"/>
        <v>#REF!</v>
      </c>
      <c r="K32" s="386"/>
      <c r="L32" s="186"/>
      <c r="M32" s="381">
        <f t="shared" si="2"/>
        <v>0</v>
      </c>
      <c r="N32" s="390" t="e">
        <f>+#REF!+#REF!+#REF!+#REF!+#REF!</f>
        <v>#REF!</v>
      </c>
      <c r="O32" s="381" t="e">
        <f t="shared" si="3"/>
        <v>#REF!</v>
      </c>
      <c r="P32" s="390"/>
      <c r="Q32" s="469"/>
      <c r="R32" s="496" t="e">
        <f t="shared" si="0"/>
        <v>#REF!</v>
      </c>
      <c r="S32" s="59" t="e">
        <f>+#REF!+#REF!+#REF!+#REF!+#REF!</f>
        <v>#REF!</v>
      </c>
      <c r="T32" s="59" t="e">
        <f>+#REF!+#REF!+#REF!+#REF!+#REF!</f>
        <v>#REF!</v>
      </c>
      <c r="U32" s="48" t="e">
        <f>+#REF!+#REF!+#REF!+#REF!+#REF!</f>
        <v>#REF!</v>
      </c>
      <c r="V32" s="59" t="e">
        <f>+#REF!+N13+N14+N16+N22</f>
        <v>#REF!</v>
      </c>
      <c r="W32" s="48" t="e">
        <f>+#REF!+O13+O14+O16+O22</f>
        <v>#REF!</v>
      </c>
      <c r="X32" s="48" t="e">
        <f>+#REF!+R13+R14+R16+R22</f>
        <v>#REF!</v>
      </c>
    </row>
    <row r="33" spans="1:18" ht="15.75">
      <c r="A33" s="440" t="s">
        <v>1644</v>
      </c>
      <c r="B33" s="480" t="s">
        <v>1651</v>
      </c>
      <c r="C33" s="529">
        <f>C29+C30+C31</f>
        <v>300</v>
      </c>
      <c r="D33" s="479">
        <f aca="true" t="shared" si="9" ref="D33:I33">D29+D30+D31</f>
        <v>0</v>
      </c>
      <c r="E33" s="479">
        <f t="shared" si="9"/>
        <v>0</v>
      </c>
      <c r="F33" s="479">
        <f t="shared" si="9"/>
        <v>0</v>
      </c>
      <c r="G33" s="479">
        <f t="shared" si="9"/>
        <v>0</v>
      </c>
      <c r="H33" s="479">
        <f t="shared" si="9"/>
        <v>0</v>
      </c>
      <c r="I33" s="479">
        <f t="shared" si="9"/>
        <v>0</v>
      </c>
      <c r="J33" s="381">
        <f t="shared" si="1"/>
        <v>300</v>
      </c>
      <c r="K33" s="390">
        <f>K28+K29+K30</f>
        <v>0</v>
      </c>
      <c r="L33" s="189"/>
      <c r="M33" s="381">
        <f t="shared" si="2"/>
        <v>0</v>
      </c>
      <c r="N33" s="390">
        <f>N28+N29+N30</f>
        <v>0</v>
      </c>
      <c r="O33" s="381">
        <f t="shared" si="3"/>
        <v>0</v>
      </c>
      <c r="P33" s="390"/>
      <c r="Q33" s="469"/>
      <c r="R33" s="496">
        <f t="shared" si="0"/>
        <v>300</v>
      </c>
    </row>
    <row r="34" spans="1:18" ht="15.75">
      <c r="A34" s="440" t="s">
        <v>1652</v>
      </c>
      <c r="B34" s="480" t="s">
        <v>1653</v>
      </c>
      <c r="C34" s="529"/>
      <c r="D34" s="295"/>
      <c r="E34" s="476"/>
      <c r="F34" s="476"/>
      <c r="G34" s="558"/>
      <c r="H34" s="564"/>
      <c r="I34" s="295"/>
      <c r="J34" s="493"/>
      <c r="K34" s="390"/>
      <c r="L34" s="189"/>
      <c r="M34" s="381">
        <f t="shared" si="2"/>
        <v>0</v>
      </c>
      <c r="N34" s="390"/>
      <c r="O34" s="381">
        <f t="shared" si="3"/>
        <v>0</v>
      </c>
      <c r="P34" s="390"/>
      <c r="Q34" s="469"/>
      <c r="R34" s="496">
        <f t="shared" si="0"/>
        <v>0</v>
      </c>
    </row>
    <row r="35" spans="1:18" ht="15.75">
      <c r="A35" s="439" t="s">
        <v>1654</v>
      </c>
      <c r="B35" s="519" t="s">
        <v>1669</v>
      </c>
      <c r="C35" s="528"/>
      <c r="D35" s="206"/>
      <c r="E35" s="478"/>
      <c r="F35" s="463"/>
      <c r="G35" s="557"/>
      <c r="H35" s="563"/>
      <c r="I35" s="189"/>
      <c r="J35" s="405"/>
      <c r="K35" s="390"/>
      <c r="L35" s="189"/>
      <c r="M35" s="381">
        <f t="shared" si="2"/>
        <v>0</v>
      </c>
      <c r="N35" s="390"/>
      <c r="O35" s="381">
        <f t="shared" si="3"/>
        <v>0</v>
      </c>
      <c r="P35" s="390"/>
      <c r="Q35" s="469"/>
      <c r="R35" s="496">
        <f t="shared" si="0"/>
        <v>0</v>
      </c>
    </row>
    <row r="36" spans="1:18" ht="15.75">
      <c r="A36" s="439" t="s">
        <v>1670</v>
      </c>
      <c r="B36" s="519" t="s">
        <v>1671</v>
      </c>
      <c r="C36" s="528"/>
      <c r="D36" s="206"/>
      <c r="E36" s="478"/>
      <c r="F36" s="463"/>
      <c r="G36" s="557"/>
      <c r="H36" s="563"/>
      <c r="I36" s="189"/>
      <c r="J36" s="405"/>
      <c r="K36" s="390"/>
      <c r="L36" s="189"/>
      <c r="M36" s="381">
        <f t="shared" si="2"/>
        <v>0</v>
      </c>
      <c r="N36" s="390"/>
      <c r="O36" s="381">
        <f t="shared" si="3"/>
        <v>0</v>
      </c>
      <c r="P36" s="390"/>
      <c r="Q36" s="469"/>
      <c r="R36" s="496">
        <f t="shared" si="0"/>
        <v>0</v>
      </c>
    </row>
    <row r="37" spans="1:18" ht="15.75">
      <c r="A37" s="439" t="s">
        <v>1672</v>
      </c>
      <c r="B37" s="519" t="s">
        <v>1673</v>
      </c>
      <c r="C37" s="528"/>
      <c r="D37" s="206"/>
      <c r="E37" s="478"/>
      <c r="F37" s="463"/>
      <c r="G37" s="557"/>
      <c r="H37" s="563"/>
      <c r="I37" s="189"/>
      <c r="J37" s="405"/>
      <c r="K37" s="390"/>
      <c r="L37" s="189"/>
      <c r="M37" s="381">
        <f t="shared" si="2"/>
        <v>0</v>
      </c>
      <c r="N37" s="390"/>
      <c r="O37" s="381">
        <f t="shared" si="3"/>
        <v>0</v>
      </c>
      <c r="P37" s="390"/>
      <c r="Q37" s="469"/>
      <c r="R37" s="496">
        <f t="shared" si="0"/>
        <v>0</v>
      </c>
    </row>
    <row r="38" spans="1:18" ht="15.75">
      <c r="A38" s="439" t="s">
        <v>1674</v>
      </c>
      <c r="B38" s="519" t="s">
        <v>1675</v>
      </c>
      <c r="C38" s="528"/>
      <c r="D38" s="206"/>
      <c r="E38" s="478"/>
      <c r="F38" s="463"/>
      <c r="G38" s="557"/>
      <c r="H38" s="563"/>
      <c r="I38" s="189"/>
      <c r="J38" s="405"/>
      <c r="K38" s="390"/>
      <c r="L38" s="189"/>
      <c r="M38" s="381">
        <f t="shared" si="2"/>
        <v>0</v>
      </c>
      <c r="N38" s="390"/>
      <c r="O38" s="381">
        <f t="shared" si="3"/>
        <v>0</v>
      </c>
      <c r="P38" s="390"/>
      <c r="Q38" s="469"/>
      <c r="R38" s="496">
        <f t="shared" si="0"/>
        <v>0</v>
      </c>
    </row>
    <row r="39" spans="1:18" ht="15.75">
      <c r="A39" s="439" t="s">
        <v>1676</v>
      </c>
      <c r="B39" s="519" t="s">
        <v>1677</v>
      </c>
      <c r="C39" s="528"/>
      <c r="D39" s="206"/>
      <c r="E39" s="478"/>
      <c r="F39" s="463"/>
      <c r="G39" s="557"/>
      <c r="H39" s="563"/>
      <c r="I39" s="189"/>
      <c r="J39" s="405"/>
      <c r="K39" s="390"/>
      <c r="L39" s="189"/>
      <c r="M39" s="381">
        <f t="shared" si="2"/>
        <v>0</v>
      </c>
      <c r="N39" s="390"/>
      <c r="O39" s="381">
        <f t="shared" si="3"/>
        <v>0</v>
      </c>
      <c r="P39" s="390"/>
      <c r="Q39" s="469"/>
      <c r="R39" s="496">
        <f t="shared" si="0"/>
        <v>0</v>
      </c>
    </row>
    <row r="40" spans="1:18" ht="15.75">
      <c r="A40" s="439" t="s">
        <v>1678</v>
      </c>
      <c r="B40" s="519" t="s">
        <v>1679</v>
      </c>
      <c r="C40" s="528"/>
      <c r="D40" s="206"/>
      <c r="E40" s="478"/>
      <c r="F40" s="463"/>
      <c r="G40" s="557"/>
      <c r="H40" s="563"/>
      <c r="I40" s="189"/>
      <c r="J40" s="405"/>
      <c r="K40" s="390"/>
      <c r="L40" s="189"/>
      <c r="M40" s="381">
        <f t="shared" si="2"/>
        <v>0</v>
      </c>
      <c r="N40" s="390"/>
      <c r="O40" s="381">
        <f t="shared" si="3"/>
        <v>0</v>
      </c>
      <c r="P40" s="390"/>
      <c r="Q40" s="469"/>
      <c r="R40" s="496">
        <f t="shared" si="0"/>
        <v>0</v>
      </c>
    </row>
    <row r="41" spans="1:18" ht="15.75">
      <c r="A41" s="439" t="s">
        <v>1680</v>
      </c>
      <c r="B41" s="519" t="s">
        <v>1681</v>
      </c>
      <c r="C41" s="528"/>
      <c r="D41" s="206"/>
      <c r="E41" s="478"/>
      <c r="F41" s="463"/>
      <c r="G41" s="557"/>
      <c r="H41" s="563"/>
      <c r="I41" s="189"/>
      <c r="J41" s="405"/>
      <c r="K41" s="390"/>
      <c r="L41" s="189"/>
      <c r="M41" s="381">
        <f t="shared" si="2"/>
        <v>0</v>
      </c>
      <c r="N41" s="390"/>
      <c r="O41" s="381">
        <f t="shared" si="3"/>
        <v>0</v>
      </c>
      <c r="P41" s="390"/>
      <c r="Q41" s="469"/>
      <c r="R41" s="496">
        <f t="shared" si="0"/>
        <v>0</v>
      </c>
    </row>
    <row r="42" spans="1:18" ht="15.75">
      <c r="A42" s="439" t="s">
        <v>1682</v>
      </c>
      <c r="B42" s="519" t="s">
        <v>1683</v>
      </c>
      <c r="C42" s="528"/>
      <c r="D42" s="206"/>
      <c r="E42" s="478"/>
      <c r="F42" s="463"/>
      <c r="G42" s="557"/>
      <c r="H42" s="563"/>
      <c r="I42" s="189"/>
      <c r="J42" s="405"/>
      <c r="K42" s="390"/>
      <c r="L42" s="189"/>
      <c r="M42" s="381">
        <f t="shared" si="2"/>
        <v>0</v>
      </c>
      <c r="N42" s="390"/>
      <c r="O42" s="381">
        <f t="shared" si="3"/>
        <v>0</v>
      </c>
      <c r="P42" s="390"/>
      <c r="Q42" s="469"/>
      <c r="R42" s="496">
        <f t="shared" si="0"/>
        <v>0</v>
      </c>
    </row>
    <row r="43" spans="1:18" ht="15.75">
      <c r="A43" s="439" t="s">
        <v>1684</v>
      </c>
      <c r="B43" s="519" t="s">
        <v>1685</v>
      </c>
      <c r="C43" s="528"/>
      <c r="D43" s="206"/>
      <c r="E43" s="478"/>
      <c r="F43" s="463"/>
      <c r="G43" s="557"/>
      <c r="H43" s="563"/>
      <c r="I43" s="189"/>
      <c r="J43" s="405"/>
      <c r="K43" s="390"/>
      <c r="L43" s="189"/>
      <c r="M43" s="381">
        <f t="shared" si="2"/>
        <v>0</v>
      </c>
      <c r="N43" s="390"/>
      <c r="O43" s="381">
        <f t="shared" si="3"/>
        <v>0</v>
      </c>
      <c r="P43" s="390"/>
      <c r="Q43" s="469"/>
      <c r="R43" s="496">
        <f t="shared" si="0"/>
        <v>0</v>
      </c>
    </row>
    <row r="44" spans="1:18" ht="15.75">
      <c r="A44" s="439" t="s">
        <v>1684</v>
      </c>
      <c r="B44" s="519" t="s">
        <v>1686</v>
      </c>
      <c r="C44" s="528"/>
      <c r="D44" s="206"/>
      <c r="E44" s="478"/>
      <c r="F44" s="463"/>
      <c r="G44" s="557"/>
      <c r="H44" s="563"/>
      <c r="I44" s="189"/>
      <c r="J44" s="405"/>
      <c r="K44" s="390"/>
      <c r="L44" s="189"/>
      <c r="M44" s="381">
        <f t="shared" si="2"/>
        <v>0</v>
      </c>
      <c r="N44" s="390"/>
      <c r="O44" s="381">
        <f t="shared" si="3"/>
        <v>0</v>
      </c>
      <c r="P44" s="390"/>
      <c r="Q44" s="469"/>
      <c r="R44" s="496">
        <f t="shared" si="0"/>
        <v>0</v>
      </c>
    </row>
    <row r="45" spans="1:18" ht="15.75">
      <c r="A45" s="439" t="s">
        <v>1687</v>
      </c>
      <c r="B45" s="519" t="s">
        <v>1688</v>
      </c>
      <c r="C45" s="528"/>
      <c r="D45" s="206"/>
      <c r="E45" s="478"/>
      <c r="F45" s="463"/>
      <c r="G45" s="557"/>
      <c r="H45" s="563"/>
      <c r="I45" s="189"/>
      <c r="J45" s="405"/>
      <c r="K45" s="390"/>
      <c r="L45" s="189"/>
      <c r="M45" s="381">
        <f t="shared" si="2"/>
        <v>0</v>
      </c>
      <c r="N45" s="390"/>
      <c r="O45" s="381">
        <f t="shared" si="3"/>
        <v>0</v>
      </c>
      <c r="P45" s="390"/>
      <c r="Q45" s="469"/>
      <c r="R45" s="496">
        <f t="shared" si="0"/>
        <v>0</v>
      </c>
    </row>
    <row r="46" spans="1:18" ht="15.75">
      <c r="A46" s="440" t="s">
        <v>1689</v>
      </c>
      <c r="B46" s="480" t="s">
        <v>16</v>
      </c>
      <c r="C46" s="529">
        <f>SUM(C35:C45)</f>
        <v>0</v>
      </c>
      <c r="D46" s="295">
        <f aca="true" t="shared" si="10" ref="D46:K46">SUM(D35:D45)</f>
        <v>0</v>
      </c>
      <c r="E46" s="476">
        <f t="shared" si="10"/>
        <v>0</v>
      </c>
      <c r="F46" s="476">
        <f t="shared" si="10"/>
        <v>0</v>
      </c>
      <c r="G46" s="558">
        <f t="shared" si="10"/>
        <v>0</v>
      </c>
      <c r="H46" s="564">
        <f t="shared" si="10"/>
        <v>0</v>
      </c>
      <c r="I46" s="295">
        <f t="shared" si="10"/>
        <v>0</v>
      </c>
      <c r="J46" s="493">
        <f t="shared" si="10"/>
        <v>0</v>
      </c>
      <c r="K46" s="390">
        <f t="shared" si="10"/>
        <v>0</v>
      </c>
      <c r="L46" s="189"/>
      <c r="M46" s="381">
        <f t="shared" si="2"/>
        <v>0</v>
      </c>
      <c r="N46" s="390">
        <f>SUM(N35:N45)</f>
        <v>0</v>
      </c>
      <c r="O46" s="381">
        <f t="shared" si="3"/>
        <v>0</v>
      </c>
      <c r="P46" s="390"/>
      <c r="Q46" s="469"/>
      <c r="R46" s="496">
        <f t="shared" si="0"/>
        <v>0</v>
      </c>
    </row>
    <row r="47" spans="1:18" ht="23.25" customHeight="1" thickBot="1">
      <c r="A47" s="441" t="s">
        <v>17</v>
      </c>
      <c r="B47" s="491" t="s">
        <v>1042</v>
      </c>
      <c r="C47" s="530">
        <f>C6+C9+C20+C24+C27+C28+C33+C34+C46</f>
        <v>470</v>
      </c>
      <c r="D47" s="396">
        <f aca="true" t="shared" si="11" ref="D47:K47">D6+D9+D20+D24+D27+D28+D33+D34+D46</f>
        <v>3039</v>
      </c>
      <c r="E47" s="490">
        <f t="shared" si="11"/>
        <v>3140</v>
      </c>
      <c r="F47" s="490">
        <f t="shared" si="11"/>
        <v>6600</v>
      </c>
      <c r="G47" s="562">
        <f t="shared" si="11"/>
        <v>6998</v>
      </c>
      <c r="H47" s="568">
        <f t="shared" si="11"/>
        <v>1919</v>
      </c>
      <c r="I47" s="396">
        <f t="shared" si="11"/>
        <v>0</v>
      </c>
      <c r="J47" s="494">
        <f t="shared" si="11"/>
        <v>22166</v>
      </c>
      <c r="K47" s="470">
        <f t="shared" si="11"/>
        <v>600</v>
      </c>
      <c r="L47" s="471">
        <f>L6+L9+L20+L24+L27+L28+L33+L34+L46</f>
        <v>0</v>
      </c>
      <c r="M47" s="400">
        <f>M6+M9+M20+M24+M27+M28+M33+M34+M46</f>
        <v>600</v>
      </c>
      <c r="N47" s="470">
        <f>N6+N9+N20+N24+N27+N28+N33+N34+N46</f>
        <v>600</v>
      </c>
      <c r="O47" s="400">
        <f>O6+O9+O20+O24+O27+O28+O33+O34+O46</f>
        <v>600</v>
      </c>
      <c r="P47" s="470"/>
      <c r="Q47" s="472"/>
      <c r="R47" s="497">
        <f t="shared" si="0"/>
        <v>23366</v>
      </c>
    </row>
  </sheetData>
  <mergeCells count="7">
    <mergeCell ref="R1:R2"/>
    <mergeCell ref="A1:A2"/>
    <mergeCell ref="B1:B2"/>
    <mergeCell ref="D1:J1"/>
    <mergeCell ref="N1:O1"/>
    <mergeCell ref="P1:Q1"/>
    <mergeCell ref="K1:M1"/>
  </mergeCells>
  <printOptions horizontalCentered="1"/>
  <pageMargins left="0.19652777777777777" right="0.19652777777777777" top="0.7875" bottom="0.7875000000000001" header="0.5118055555555556" footer="0.5118055555555556"/>
  <pageSetup fitToHeight="1" fitToWidth="1" horizontalDpi="600" verticalDpi="600" orientation="landscape" paperSize="9" scale="54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C2" sqref="C2"/>
    </sheetView>
  </sheetViews>
  <sheetFormatPr defaultColWidth="9.140625" defaultRowHeight="12.75"/>
  <cols>
    <col min="1" max="1" width="11.140625" style="37" customWidth="1"/>
    <col min="2" max="2" width="61.140625" style="1" customWidth="1"/>
    <col min="3" max="3" width="12.7109375" style="59" customWidth="1"/>
    <col min="4" max="5" width="0" style="59" hidden="1" customWidth="1"/>
    <col min="6" max="6" width="12.7109375" style="59" customWidth="1"/>
    <col min="7" max="22" width="0" style="1" hidden="1" customWidth="1"/>
    <col min="23" max="23" width="14.8515625" style="1" customWidth="1"/>
    <col min="24" max="16384" width="9.140625" style="1" customWidth="1"/>
  </cols>
  <sheetData>
    <row r="1" spans="1:22" s="154" customFormat="1" ht="16.5" thickBot="1">
      <c r="A1" s="87"/>
      <c r="B1" s="87"/>
      <c r="C1" s="59"/>
      <c r="D1" s="59"/>
      <c r="E1" s="41"/>
      <c r="F1" s="41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3" ht="126">
      <c r="A2" s="460" t="s">
        <v>230</v>
      </c>
      <c r="B2" s="435" t="s">
        <v>1067</v>
      </c>
      <c r="C2" s="485" t="s">
        <v>902</v>
      </c>
      <c r="D2" s="486" t="s">
        <v>1031</v>
      </c>
      <c r="E2" s="486">
        <v>751153</v>
      </c>
      <c r="F2" s="487" t="s">
        <v>827</v>
      </c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67" t="s">
        <v>1384</v>
      </c>
    </row>
    <row r="3" spans="1:23" ht="15.75">
      <c r="A3" s="439" t="s">
        <v>621</v>
      </c>
      <c r="B3" s="191" t="s">
        <v>622</v>
      </c>
      <c r="C3" s="189"/>
      <c r="D3" s="189"/>
      <c r="E3" s="189"/>
      <c r="F3" s="189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8">
        <f>C3+F3</f>
        <v>0</v>
      </c>
    </row>
    <row r="4" spans="1:23" ht="15.75">
      <c r="A4" s="440" t="s">
        <v>624</v>
      </c>
      <c r="B4" s="295" t="s">
        <v>623</v>
      </c>
      <c r="C4" s="331">
        <f>C3</f>
        <v>0</v>
      </c>
      <c r="D4" s="331">
        <f aca="true" t="shared" si="0" ref="D4:V4">D3</f>
        <v>0</v>
      </c>
      <c r="E4" s="331">
        <f t="shared" si="0"/>
        <v>0</v>
      </c>
      <c r="F4" s="331">
        <f t="shared" si="0"/>
        <v>0</v>
      </c>
      <c r="G4" s="331">
        <f t="shared" si="0"/>
        <v>0</v>
      </c>
      <c r="H4" s="331">
        <f t="shared" si="0"/>
        <v>0</v>
      </c>
      <c r="I4" s="331">
        <f t="shared" si="0"/>
        <v>0</v>
      </c>
      <c r="J4" s="331">
        <f t="shared" si="0"/>
        <v>0</v>
      </c>
      <c r="K4" s="331">
        <f t="shared" si="0"/>
        <v>0</v>
      </c>
      <c r="L4" s="331">
        <f t="shared" si="0"/>
        <v>0</v>
      </c>
      <c r="M4" s="331">
        <f t="shared" si="0"/>
        <v>0</v>
      </c>
      <c r="N4" s="331">
        <f t="shared" si="0"/>
        <v>0</v>
      </c>
      <c r="O4" s="331">
        <f t="shared" si="0"/>
        <v>0</v>
      </c>
      <c r="P4" s="331">
        <f t="shared" si="0"/>
        <v>0</v>
      </c>
      <c r="Q4" s="331">
        <f t="shared" si="0"/>
        <v>0</v>
      </c>
      <c r="R4" s="331">
        <f t="shared" si="0"/>
        <v>0</v>
      </c>
      <c r="S4" s="331">
        <f t="shared" si="0"/>
        <v>0</v>
      </c>
      <c r="T4" s="331">
        <f t="shared" si="0"/>
        <v>0</v>
      </c>
      <c r="U4" s="331">
        <f t="shared" si="0"/>
        <v>0</v>
      </c>
      <c r="V4" s="331">
        <f t="shared" si="0"/>
        <v>0</v>
      </c>
      <c r="W4" s="499">
        <f aca="true" t="shared" si="1" ref="W4:W15">C4+F4</f>
        <v>0</v>
      </c>
    </row>
    <row r="5" spans="1:23" ht="15.75">
      <c r="A5" s="440" t="s">
        <v>626</v>
      </c>
      <c r="B5" s="295" t="s">
        <v>627</v>
      </c>
      <c r="C5" s="331"/>
      <c r="D5" s="331"/>
      <c r="E5" s="331"/>
      <c r="F5" s="331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9">
        <f t="shared" si="1"/>
        <v>0</v>
      </c>
    </row>
    <row r="6" spans="1:23" ht="15.75">
      <c r="A6" s="439" t="s">
        <v>625</v>
      </c>
      <c r="B6" s="191" t="s">
        <v>628</v>
      </c>
      <c r="C6" s="189"/>
      <c r="D6" s="189"/>
      <c r="E6" s="189"/>
      <c r="F6" s="189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8">
        <f t="shared" si="1"/>
        <v>0</v>
      </c>
    </row>
    <row r="7" spans="1:23" ht="15.75">
      <c r="A7" s="439" t="s">
        <v>630</v>
      </c>
      <c r="B7" s="191" t="s">
        <v>629</v>
      </c>
      <c r="C7" s="189"/>
      <c r="D7" s="189"/>
      <c r="E7" s="189"/>
      <c r="F7" s="189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8">
        <f t="shared" si="1"/>
        <v>0</v>
      </c>
    </row>
    <row r="8" spans="1:23" ht="15.75">
      <c r="A8" s="439" t="s">
        <v>631</v>
      </c>
      <c r="B8" s="191" t="s">
        <v>632</v>
      </c>
      <c r="C8" s="189">
        <v>630</v>
      </c>
      <c r="D8" s="189"/>
      <c r="E8" s="189"/>
      <c r="F8" s="189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544">
        <f t="shared" si="1"/>
        <v>630</v>
      </c>
    </row>
    <row r="9" spans="1:23" ht="15.75">
      <c r="A9" s="440" t="s">
        <v>633</v>
      </c>
      <c r="B9" s="295" t="s">
        <v>634</v>
      </c>
      <c r="C9" s="331">
        <f>C6+C7+C8</f>
        <v>630</v>
      </c>
      <c r="D9" s="331">
        <f aca="true" t="shared" si="2" ref="D9:V9">D6+D7+D8</f>
        <v>0</v>
      </c>
      <c r="E9" s="331">
        <f t="shared" si="2"/>
        <v>0</v>
      </c>
      <c r="F9" s="331">
        <f t="shared" si="2"/>
        <v>0</v>
      </c>
      <c r="G9" s="331">
        <f t="shared" si="2"/>
        <v>0</v>
      </c>
      <c r="H9" s="331">
        <f t="shared" si="2"/>
        <v>0</v>
      </c>
      <c r="I9" s="331">
        <f t="shared" si="2"/>
        <v>0</v>
      </c>
      <c r="J9" s="331">
        <f t="shared" si="2"/>
        <v>0</v>
      </c>
      <c r="K9" s="331">
        <f t="shared" si="2"/>
        <v>0</v>
      </c>
      <c r="L9" s="331">
        <f t="shared" si="2"/>
        <v>0</v>
      </c>
      <c r="M9" s="331">
        <f t="shared" si="2"/>
        <v>0</v>
      </c>
      <c r="N9" s="331">
        <f t="shared" si="2"/>
        <v>0</v>
      </c>
      <c r="O9" s="331">
        <f t="shared" si="2"/>
        <v>0</v>
      </c>
      <c r="P9" s="331">
        <f t="shared" si="2"/>
        <v>0</v>
      </c>
      <c r="Q9" s="331">
        <f t="shared" si="2"/>
        <v>0</v>
      </c>
      <c r="R9" s="331">
        <f t="shared" si="2"/>
        <v>0</v>
      </c>
      <c r="S9" s="331">
        <f t="shared" si="2"/>
        <v>0</v>
      </c>
      <c r="T9" s="331">
        <f t="shared" si="2"/>
        <v>0</v>
      </c>
      <c r="U9" s="331">
        <f t="shared" si="2"/>
        <v>0</v>
      </c>
      <c r="V9" s="331">
        <f t="shared" si="2"/>
        <v>0</v>
      </c>
      <c r="W9" s="545">
        <f t="shared" si="1"/>
        <v>630</v>
      </c>
    </row>
    <row r="10" spans="1:23" ht="15.75">
      <c r="A10" s="439" t="s">
        <v>635</v>
      </c>
      <c r="B10" s="191" t="s">
        <v>636</v>
      </c>
      <c r="C10" s="189"/>
      <c r="D10" s="189"/>
      <c r="E10" s="189"/>
      <c r="F10" s="189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544">
        <f t="shared" si="1"/>
        <v>0</v>
      </c>
    </row>
    <row r="11" spans="1:23" s="40" customFormat="1" ht="15.75">
      <c r="A11" s="439" t="s">
        <v>637</v>
      </c>
      <c r="B11" s="191" t="s">
        <v>638</v>
      </c>
      <c r="C11" s="186"/>
      <c r="D11" s="186"/>
      <c r="E11" s="186"/>
      <c r="F11" s="186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544">
        <f t="shared" si="1"/>
        <v>0</v>
      </c>
    </row>
    <row r="12" spans="1:23" ht="15.75">
      <c r="A12" s="439" t="s">
        <v>639</v>
      </c>
      <c r="B12" s="191" t="s">
        <v>640</v>
      </c>
      <c r="C12" s="189"/>
      <c r="D12" s="189"/>
      <c r="E12" s="189"/>
      <c r="F12" s="189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544">
        <f t="shared" si="1"/>
        <v>0</v>
      </c>
    </row>
    <row r="13" spans="1:23" ht="15.75">
      <c r="A13" s="440" t="s">
        <v>641</v>
      </c>
      <c r="B13" s="292" t="s">
        <v>642</v>
      </c>
      <c r="C13" s="331">
        <f>C10+C11+C12</f>
        <v>0</v>
      </c>
      <c r="D13" s="331">
        <f aca="true" t="shared" si="3" ref="D13:V13">D10+D11+D12</f>
        <v>0</v>
      </c>
      <c r="E13" s="331">
        <f t="shared" si="3"/>
        <v>0</v>
      </c>
      <c r="F13" s="331">
        <f t="shared" si="3"/>
        <v>0</v>
      </c>
      <c r="G13" s="331">
        <f t="shared" si="3"/>
        <v>0</v>
      </c>
      <c r="H13" s="331">
        <f t="shared" si="3"/>
        <v>0</v>
      </c>
      <c r="I13" s="331">
        <f t="shared" si="3"/>
        <v>0</v>
      </c>
      <c r="J13" s="331">
        <f t="shared" si="3"/>
        <v>0</v>
      </c>
      <c r="K13" s="331">
        <f t="shared" si="3"/>
        <v>0</v>
      </c>
      <c r="L13" s="331">
        <f t="shared" si="3"/>
        <v>0</v>
      </c>
      <c r="M13" s="331">
        <f t="shared" si="3"/>
        <v>0</v>
      </c>
      <c r="N13" s="331">
        <f t="shared" si="3"/>
        <v>0</v>
      </c>
      <c r="O13" s="331">
        <f t="shared" si="3"/>
        <v>0</v>
      </c>
      <c r="P13" s="331">
        <f t="shared" si="3"/>
        <v>0</v>
      </c>
      <c r="Q13" s="331">
        <f t="shared" si="3"/>
        <v>0</v>
      </c>
      <c r="R13" s="331">
        <f t="shared" si="3"/>
        <v>0</v>
      </c>
      <c r="S13" s="331">
        <f t="shared" si="3"/>
        <v>0</v>
      </c>
      <c r="T13" s="331">
        <f t="shared" si="3"/>
        <v>0</v>
      </c>
      <c r="U13" s="331">
        <f t="shared" si="3"/>
        <v>0</v>
      </c>
      <c r="V13" s="331">
        <f t="shared" si="3"/>
        <v>0</v>
      </c>
      <c r="W13" s="545">
        <f t="shared" si="1"/>
        <v>0</v>
      </c>
    </row>
    <row r="14" spans="1:23" ht="15.75">
      <c r="A14" s="440" t="s">
        <v>643</v>
      </c>
      <c r="B14" s="295" t="s">
        <v>644</v>
      </c>
      <c r="C14" s="331"/>
      <c r="D14" s="331"/>
      <c r="E14" s="331"/>
      <c r="F14" s="331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545">
        <f t="shared" si="1"/>
        <v>0</v>
      </c>
    </row>
    <row r="15" spans="1:23" ht="16.5" thickBot="1">
      <c r="A15" s="441" t="s">
        <v>23</v>
      </c>
      <c r="B15" s="396" t="s">
        <v>645</v>
      </c>
      <c r="C15" s="392">
        <f>C4+C5+C9+C13+C14</f>
        <v>630</v>
      </c>
      <c r="D15" s="392">
        <f aca="true" t="shared" si="4" ref="D15:V15">D4+D5+D9+D13+D14</f>
        <v>0</v>
      </c>
      <c r="E15" s="392">
        <f t="shared" si="4"/>
        <v>0</v>
      </c>
      <c r="F15" s="392">
        <f t="shared" si="4"/>
        <v>0</v>
      </c>
      <c r="G15" s="392">
        <f t="shared" si="4"/>
        <v>0</v>
      </c>
      <c r="H15" s="392">
        <f t="shared" si="4"/>
        <v>0</v>
      </c>
      <c r="I15" s="392">
        <f t="shared" si="4"/>
        <v>0</v>
      </c>
      <c r="J15" s="392">
        <f t="shared" si="4"/>
        <v>0</v>
      </c>
      <c r="K15" s="392">
        <f t="shared" si="4"/>
        <v>0</v>
      </c>
      <c r="L15" s="392">
        <f t="shared" si="4"/>
        <v>0</v>
      </c>
      <c r="M15" s="392">
        <f t="shared" si="4"/>
        <v>0</v>
      </c>
      <c r="N15" s="392">
        <f t="shared" si="4"/>
        <v>0</v>
      </c>
      <c r="O15" s="392">
        <f t="shared" si="4"/>
        <v>0</v>
      </c>
      <c r="P15" s="392">
        <f t="shared" si="4"/>
        <v>0</v>
      </c>
      <c r="Q15" s="392">
        <f t="shared" si="4"/>
        <v>0</v>
      </c>
      <c r="R15" s="392">
        <f t="shared" si="4"/>
        <v>0</v>
      </c>
      <c r="S15" s="392">
        <f t="shared" si="4"/>
        <v>0</v>
      </c>
      <c r="T15" s="392">
        <f t="shared" si="4"/>
        <v>0</v>
      </c>
      <c r="U15" s="392">
        <f t="shared" si="4"/>
        <v>0</v>
      </c>
      <c r="V15" s="392">
        <f t="shared" si="4"/>
        <v>0</v>
      </c>
      <c r="W15" s="546">
        <f t="shared" si="1"/>
        <v>630</v>
      </c>
    </row>
    <row r="16" spans="1:23" ht="15.75">
      <c r="A16" s="159"/>
      <c r="B16" s="6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</row>
    <row r="17" spans="1:23" s="40" customFormat="1" ht="15.75">
      <c r="A17" s="434"/>
      <c r="B17" s="143"/>
      <c r="C17" s="48"/>
      <c r="D17" s="48"/>
      <c r="E17" s="48"/>
      <c r="F17" s="48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</row>
    <row r="18" spans="1:23" ht="15.75">
      <c r="A18" s="159"/>
      <c r="B18" s="6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59"/>
    </row>
    <row r="19" spans="1:23" ht="15.75">
      <c r="A19" s="159"/>
      <c r="B19" s="6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59"/>
    </row>
    <row r="20" spans="1:23" ht="15.75">
      <c r="A20" s="159"/>
      <c r="B20" s="6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59"/>
    </row>
    <row r="21" spans="1:23" ht="15.75">
      <c r="A21" s="159"/>
      <c r="B21" s="6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59"/>
    </row>
    <row r="22" spans="1:23" ht="15.75">
      <c r="A22" s="159"/>
      <c r="B22" s="6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59"/>
    </row>
    <row r="23" spans="1:23" s="40" customFormat="1" ht="15.75">
      <c r="A23" s="434"/>
      <c r="B23" s="47"/>
      <c r="C23" s="48"/>
      <c r="D23" s="48"/>
      <c r="E23" s="48"/>
      <c r="F23" s="48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"/>
    </row>
    <row r="24" spans="1:23" s="40" customFormat="1" ht="15.75">
      <c r="A24" s="434"/>
      <c r="B24" s="143"/>
      <c r="C24" s="48"/>
      <c r="D24" s="48"/>
      <c r="E24" s="48"/>
      <c r="F24" s="48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"/>
    </row>
    <row r="31" ht="15.75">
      <c r="B31" s="12"/>
    </row>
    <row r="32" ht="15.75">
      <c r="B32" s="12"/>
    </row>
    <row r="33" ht="15.75">
      <c r="B33" s="12"/>
    </row>
  </sheetData>
  <printOptions/>
  <pageMargins left="0.7875" right="0.7875" top="0.9840277777777778" bottom="0.984027777777778" header="0.5118055555555556" footer="0.5118055555555556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workbookViewId="0" topLeftCell="C16">
      <selection activeCell="L34" sqref="L34"/>
    </sheetView>
  </sheetViews>
  <sheetFormatPr defaultColWidth="9.140625" defaultRowHeight="12.75"/>
  <cols>
    <col min="1" max="1" width="9.421875" style="37" customWidth="1"/>
    <col min="2" max="2" width="73.8515625" style="1" customWidth="1"/>
    <col min="3" max="3" width="13.421875" style="59" customWidth="1"/>
    <col min="4" max="6" width="0" style="59" hidden="1" customWidth="1"/>
    <col min="7" max="8" width="12.57421875" style="59" customWidth="1"/>
    <col min="9" max="10" width="13.00390625" style="1" hidden="1" customWidth="1"/>
    <col min="11" max="11" width="13.00390625" style="1" customWidth="1"/>
    <col min="12" max="12" width="14.28125" style="1" customWidth="1"/>
    <col min="13" max="14" width="13.00390625" style="1" customWidth="1"/>
    <col min="15" max="15" width="15.00390625" style="1" customWidth="1"/>
    <col min="16" max="16384" width="9.140625" style="1" customWidth="1"/>
  </cols>
  <sheetData>
    <row r="1" spans="1:29" s="154" customFormat="1" ht="15.75">
      <c r="A1" s="750"/>
      <c r="B1" s="750"/>
      <c r="C1" s="750"/>
      <c r="D1" s="59"/>
      <c r="E1" s="41"/>
      <c r="F1" s="41"/>
      <c r="G1" s="41"/>
      <c r="H1" s="41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29" s="154" customFormat="1" ht="16.5" thickBot="1">
      <c r="A2" s="750"/>
      <c r="B2" s="750"/>
      <c r="C2" s="750"/>
      <c r="D2" s="59"/>
      <c r="E2" s="41"/>
      <c r="F2" s="41"/>
      <c r="G2" s="41"/>
      <c r="H2" s="41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s="154" customFormat="1" ht="16.5" thickBot="1">
      <c r="A3" s="501"/>
      <c r="B3" s="502"/>
      <c r="C3" s="751" t="s">
        <v>1085</v>
      </c>
      <c r="D3" s="736"/>
      <c r="E3" s="736"/>
      <c r="F3" s="736"/>
      <c r="G3" s="736"/>
      <c r="H3" s="736"/>
      <c r="I3" s="736"/>
      <c r="J3" s="752"/>
      <c r="K3" s="753"/>
      <c r="L3" s="516" t="s">
        <v>746</v>
      </c>
      <c r="M3" s="451" t="s">
        <v>747</v>
      </c>
      <c r="N3" s="452" t="s">
        <v>748</v>
      </c>
      <c r="O3" s="52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15" ht="126">
      <c r="A4" s="439" t="s">
        <v>230</v>
      </c>
      <c r="B4" s="191" t="s">
        <v>1067</v>
      </c>
      <c r="C4" s="204" t="s">
        <v>32</v>
      </c>
      <c r="D4" s="189"/>
      <c r="E4" s="189"/>
      <c r="F4" s="189"/>
      <c r="G4" s="199" t="s">
        <v>833</v>
      </c>
      <c r="H4" s="487" t="s">
        <v>827</v>
      </c>
      <c r="I4" s="202" t="s">
        <v>1002</v>
      </c>
      <c r="J4" s="239" t="s">
        <v>1163</v>
      </c>
      <c r="K4" s="513" t="s">
        <v>965</v>
      </c>
      <c r="L4" s="517" t="s">
        <v>32</v>
      </c>
      <c r="M4" s="204" t="s">
        <v>32</v>
      </c>
      <c r="N4" s="518" t="s">
        <v>32</v>
      </c>
      <c r="O4" s="521" t="s">
        <v>213</v>
      </c>
    </row>
    <row r="5" spans="1:15" ht="15.75">
      <c r="A5" s="440" t="s">
        <v>646</v>
      </c>
      <c r="B5" s="292" t="s">
        <v>647</v>
      </c>
      <c r="C5" s="331"/>
      <c r="D5" s="331"/>
      <c r="E5" s="331"/>
      <c r="F5" s="331"/>
      <c r="G5" s="331"/>
      <c r="H5" s="331"/>
      <c r="I5" s="191"/>
      <c r="J5" s="191"/>
      <c r="K5" s="514">
        <f>C5+G5+H5</f>
        <v>0</v>
      </c>
      <c r="L5" s="479"/>
      <c r="M5" s="295"/>
      <c r="N5" s="480"/>
      <c r="O5" s="522">
        <f>K5+L5+M5+N5</f>
        <v>0</v>
      </c>
    </row>
    <row r="6" spans="1:15" ht="15.75">
      <c r="A6" s="439" t="s">
        <v>648</v>
      </c>
      <c r="B6" s="201" t="s">
        <v>649</v>
      </c>
      <c r="C6" s="189"/>
      <c r="D6" s="189"/>
      <c r="E6" s="189"/>
      <c r="F6" s="189"/>
      <c r="G6" s="189"/>
      <c r="H6" s="189"/>
      <c r="I6" s="191"/>
      <c r="J6" s="191"/>
      <c r="K6" s="515">
        <f aca="true" t="shared" si="0" ref="K6:K39">C6+G6+H6</f>
        <v>0</v>
      </c>
      <c r="L6" s="459"/>
      <c r="M6" s="191"/>
      <c r="N6" s="519"/>
      <c r="O6" s="522">
        <f aca="true" t="shared" si="1" ref="O6:O39">K6+L6+M6+N6</f>
        <v>0</v>
      </c>
    </row>
    <row r="7" spans="1:15" s="40" customFormat="1" ht="15.75">
      <c r="A7" s="439" t="s">
        <v>650</v>
      </c>
      <c r="B7" s="201" t="s">
        <v>651</v>
      </c>
      <c r="C7" s="186"/>
      <c r="D7" s="186"/>
      <c r="E7" s="186"/>
      <c r="F7" s="186"/>
      <c r="G7" s="205"/>
      <c r="H7" s="205"/>
      <c r="I7" s="192"/>
      <c r="J7" s="192"/>
      <c r="K7" s="515">
        <f t="shared" si="0"/>
        <v>0</v>
      </c>
      <c r="L7" s="459"/>
      <c r="M7" s="191"/>
      <c r="N7" s="519"/>
      <c r="O7" s="522">
        <f t="shared" si="1"/>
        <v>0</v>
      </c>
    </row>
    <row r="8" spans="1:15" ht="15.75">
      <c r="A8" s="440" t="s">
        <v>652</v>
      </c>
      <c r="B8" s="292" t="s">
        <v>653</v>
      </c>
      <c r="C8" s="331">
        <f>C6+C7</f>
        <v>0</v>
      </c>
      <c r="D8" s="331">
        <f aca="true" t="shared" si="2" ref="D8:L8">D6+D7</f>
        <v>0</v>
      </c>
      <c r="E8" s="331">
        <f t="shared" si="2"/>
        <v>0</v>
      </c>
      <c r="F8" s="331">
        <f t="shared" si="2"/>
        <v>0</v>
      </c>
      <c r="G8" s="331">
        <f t="shared" si="2"/>
        <v>0</v>
      </c>
      <c r="H8" s="331">
        <f t="shared" si="2"/>
        <v>0</v>
      </c>
      <c r="I8" s="331">
        <f t="shared" si="2"/>
        <v>0</v>
      </c>
      <c r="J8" s="331">
        <f t="shared" si="2"/>
        <v>0</v>
      </c>
      <c r="K8" s="382">
        <f t="shared" si="2"/>
        <v>0</v>
      </c>
      <c r="L8" s="479">
        <f t="shared" si="2"/>
        <v>0</v>
      </c>
      <c r="M8" s="295">
        <f>M6+M7</f>
        <v>0</v>
      </c>
      <c r="N8" s="480">
        <f>N6+N7</f>
        <v>0</v>
      </c>
      <c r="O8" s="522">
        <f t="shared" si="1"/>
        <v>0</v>
      </c>
    </row>
    <row r="9" spans="1:15" ht="15.75">
      <c r="A9" s="439" t="s">
        <v>654</v>
      </c>
      <c r="B9" s="201" t="s">
        <v>655</v>
      </c>
      <c r="C9" s="189"/>
      <c r="D9" s="189"/>
      <c r="E9" s="189"/>
      <c r="F9" s="189"/>
      <c r="G9" s="189"/>
      <c r="H9" s="189"/>
      <c r="I9" s="191"/>
      <c r="J9" s="191"/>
      <c r="K9" s="515">
        <f t="shared" si="0"/>
        <v>0</v>
      </c>
      <c r="L9" s="459"/>
      <c r="M9" s="191"/>
      <c r="N9" s="519"/>
      <c r="O9" s="522">
        <f t="shared" si="1"/>
        <v>0</v>
      </c>
    </row>
    <row r="10" spans="1:15" s="40" customFormat="1" ht="15.75">
      <c r="A10" s="439" t="s">
        <v>656</v>
      </c>
      <c r="B10" s="201" t="s">
        <v>657</v>
      </c>
      <c r="C10" s="186"/>
      <c r="D10" s="186"/>
      <c r="E10" s="186"/>
      <c r="F10" s="186"/>
      <c r="G10" s="186"/>
      <c r="H10" s="186"/>
      <c r="I10" s="192"/>
      <c r="J10" s="192"/>
      <c r="K10" s="515">
        <f t="shared" si="0"/>
        <v>0</v>
      </c>
      <c r="L10" s="459"/>
      <c r="M10" s="191"/>
      <c r="N10" s="519"/>
      <c r="O10" s="522">
        <f t="shared" si="1"/>
        <v>0</v>
      </c>
    </row>
    <row r="11" spans="1:15" ht="15.75">
      <c r="A11" s="439" t="s">
        <v>658</v>
      </c>
      <c r="B11" s="191" t="s">
        <v>659</v>
      </c>
      <c r="C11" s="189"/>
      <c r="D11" s="189"/>
      <c r="E11" s="189"/>
      <c r="F11" s="189"/>
      <c r="G11" s="189"/>
      <c r="H11" s="189"/>
      <c r="I11" s="191"/>
      <c r="J11" s="191"/>
      <c r="K11" s="515">
        <f t="shared" si="0"/>
        <v>0</v>
      </c>
      <c r="L11" s="459"/>
      <c r="M11" s="191"/>
      <c r="N11" s="519"/>
      <c r="O11" s="522">
        <f t="shared" si="1"/>
        <v>0</v>
      </c>
    </row>
    <row r="12" spans="1:15" ht="15.75">
      <c r="A12" s="439" t="s">
        <v>660</v>
      </c>
      <c r="B12" s="191" t="s">
        <v>661</v>
      </c>
      <c r="C12" s="189"/>
      <c r="D12" s="189"/>
      <c r="E12" s="189"/>
      <c r="F12" s="189"/>
      <c r="G12" s="189"/>
      <c r="H12" s="189"/>
      <c r="I12" s="191"/>
      <c r="J12" s="191"/>
      <c r="K12" s="515">
        <f t="shared" si="0"/>
        <v>0</v>
      </c>
      <c r="L12" s="459"/>
      <c r="M12" s="191"/>
      <c r="N12" s="519"/>
      <c r="O12" s="522">
        <f t="shared" si="1"/>
        <v>0</v>
      </c>
    </row>
    <row r="13" spans="1:15" s="40" customFormat="1" ht="15.75">
      <c r="A13" s="440" t="s">
        <v>662</v>
      </c>
      <c r="B13" s="295" t="s">
        <v>663</v>
      </c>
      <c r="C13" s="331">
        <f>SUM(C9:C12)</f>
        <v>0</v>
      </c>
      <c r="D13" s="331">
        <f aca="true" t="shared" si="3" ref="D13:L13">SUM(D9:D12)</f>
        <v>0</v>
      </c>
      <c r="E13" s="331">
        <f t="shared" si="3"/>
        <v>0</v>
      </c>
      <c r="F13" s="331">
        <f t="shared" si="3"/>
        <v>0</v>
      </c>
      <c r="G13" s="331">
        <f t="shared" si="3"/>
        <v>0</v>
      </c>
      <c r="H13" s="331">
        <f t="shared" si="3"/>
        <v>0</v>
      </c>
      <c r="I13" s="331">
        <f t="shared" si="3"/>
        <v>0</v>
      </c>
      <c r="J13" s="331">
        <f t="shared" si="3"/>
        <v>0</v>
      </c>
      <c r="K13" s="382">
        <f t="shared" si="3"/>
        <v>0</v>
      </c>
      <c r="L13" s="479">
        <f t="shared" si="3"/>
        <v>0</v>
      </c>
      <c r="M13" s="295">
        <f>SUM(M9:M12)</f>
        <v>0</v>
      </c>
      <c r="N13" s="480">
        <f>SUM(N9:N12)</f>
        <v>0</v>
      </c>
      <c r="O13" s="522">
        <f t="shared" si="1"/>
        <v>0</v>
      </c>
    </row>
    <row r="14" spans="1:15" s="40" customFormat="1" ht="16.5" thickBot="1">
      <c r="A14" s="441" t="s">
        <v>26</v>
      </c>
      <c r="B14" s="396" t="s">
        <v>677</v>
      </c>
      <c r="C14" s="392">
        <f>C5+C8+C13</f>
        <v>0</v>
      </c>
      <c r="D14" s="392">
        <f aca="true" t="shared" si="4" ref="D14:L14">D5+D8+D13</f>
        <v>0</v>
      </c>
      <c r="E14" s="392">
        <f t="shared" si="4"/>
        <v>0</v>
      </c>
      <c r="F14" s="392">
        <f t="shared" si="4"/>
        <v>0</v>
      </c>
      <c r="G14" s="392">
        <f t="shared" si="4"/>
        <v>0</v>
      </c>
      <c r="H14" s="392">
        <f t="shared" si="4"/>
        <v>0</v>
      </c>
      <c r="I14" s="392">
        <f t="shared" si="4"/>
        <v>0</v>
      </c>
      <c r="J14" s="392">
        <f t="shared" si="4"/>
        <v>0</v>
      </c>
      <c r="K14" s="400">
        <f t="shared" si="4"/>
        <v>0</v>
      </c>
      <c r="L14" s="489">
        <f t="shared" si="4"/>
        <v>0</v>
      </c>
      <c r="M14" s="396">
        <f>M5+M8+M13</f>
        <v>0</v>
      </c>
      <c r="N14" s="491">
        <f>N5+N8+N13</f>
        <v>0</v>
      </c>
      <c r="O14" s="523">
        <f t="shared" si="1"/>
        <v>0</v>
      </c>
    </row>
    <row r="15" spans="1:15" s="40" customFormat="1" ht="16.5" thickBot="1">
      <c r="A15" s="436"/>
      <c r="B15" s="448"/>
      <c r="C15" s="48"/>
      <c r="D15" s="48"/>
      <c r="E15" s="48"/>
      <c r="F15" s="48"/>
      <c r="G15" s="48"/>
      <c r="H15" s="48"/>
      <c r="I15" s="143"/>
      <c r="J15" s="143"/>
      <c r="K15" s="61"/>
      <c r="L15" s="61"/>
      <c r="M15" s="61"/>
      <c r="N15" s="61"/>
      <c r="O15" s="500"/>
    </row>
    <row r="16" spans="1:15" s="40" customFormat="1" ht="15.75">
      <c r="A16" s="442" t="s">
        <v>664</v>
      </c>
      <c r="B16" s="444" t="s">
        <v>665</v>
      </c>
      <c r="C16" s="505"/>
      <c r="D16" s="505"/>
      <c r="E16" s="505"/>
      <c r="F16" s="505"/>
      <c r="G16" s="505"/>
      <c r="H16" s="505"/>
      <c r="I16" s="506"/>
      <c r="J16" s="506"/>
      <c r="K16" s="531">
        <f t="shared" si="0"/>
        <v>0</v>
      </c>
      <c r="L16" s="527"/>
      <c r="M16" s="444"/>
      <c r="N16" s="524"/>
      <c r="O16" s="526">
        <f t="shared" si="1"/>
        <v>0</v>
      </c>
    </row>
    <row r="17" spans="1:15" ht="15.75">
      <c r="A17" s="439" t="s">
        <v>666</v>
      </c>
      <c r="B17" s="201" t="s">
        <v>667</v>
      </c>
      <c r="C17" s="189"/>
      <c r="D17" s="189"/>
      <c r="E17" s="189"/>
      <c r="F17" s="189"/>
      <c r="G17" s="189"/>
      <c r="H17" s="189"/>
      <c r="I17" s="191"/>
      <c r="J17" s="191"/>
      <c r="K17" s="503">
        <f t="shared" si="0"/>
        <v>0</v>
      </c>
      <c r="L17" s="528"/>
      <c r="M17" s="191"/>
      <c r="N17" s="525"/>
      <c r="O17" s="522">
        <f t="shared" si="1"/>
        <v>0</v>
      </c>
    </row>
    <row r="18" spans="1:15" ht="15.75">
      <c r="A18" s="440" t="s">
        <v>668</v>
      </c>
      <c r="B18" s="295" t="s">
        <v>669</v>
      </c>
      <c r="C18" s="189">
        <f>C16+C17</f>
        <v>0</v>
      </c>
      <c r="D18" s="189">
        <f aca="true" t="shared" si="5" ref="D18:L18">D16+D17</f>
        <v>0</v>
      </c>
      <c r="E18" s="189">
        <f t="shared" si="5"/>
        <v>0</v>
      </c>
      <c r="F18" s="189">
        <f t="shared" si="5"/>
        <v>0</v>
      </c>
      <c r="G18" s="189">
        <f t="shared" si="5"/>
        <v>0</v>
      </c>
      <c r="H18" s="189">
        <f t="shared" si="5"/>
        <v>0</v>
      </c>
      <c r="I18" s="189">
        <f t="shared" si="5"/>
        <v>0</v>
      </c>
      <c r="J18" s="189">
        <f t="shared" si="5"/>
        <v>0</v>
      </c>
      <c r="K18" s="503">
        <f t="shared" si="0"/>
        <v>0</v>
      </c>
      <c r="L18" s="529">
        <f t="shared" si="5"/>
        <v>0</v>
      </c>
      <c r="M18" s="295">
        <f>M16+M17</f>
        <v>0</v>
      </c>
      <c r="N18" s="493">
        <f>N16+N17</f>
        <v>0</v>
      </c>
      <c r="O18" s="522">
        <f t="shared" si="1"/>
        <v>0</v>
      </c>
    </row>
    <row r="19" spans="1:15" ht="15.75">
      <c r="A19" s="440" t="s">
        <v>670</v>
      </c>
      <c r="B19" s="295" t="s">
        <v>671</v>
      </c>
      <c r="C19" s="189"/>
      <c r="D19" s="189"/>
      <c r="E19" s="189"/>
      <c r="F19" s="189"/>
      <c r="G19" s="189"/>
      <c r="H19" s="189"/>
      <c r="I19" s="191"/>
      <c r="J19" s="191"/>
      <c r="K19" s="503">
        <f t="shared" si="0"/>
        <v>0</v>
      </c>
      <c r="L19" s="529"/>
      <c r="M19" s="295"/>
      <c r="N19" s="493"/>
      <c r="O19" s="522">
        <f t="shared" si="1"/>
        <v>0</v>
      </c>
    </row>
    <row r="20" spans="1:15" s="40" customFormat="1" ht="15.75">
      <c r="A20" s="439" t="s">
        <v>672</v>
      </c>
      <c r="B20" s="191" t="s">
        <v>673</v>
      </c>
      <c r="C20" s="186"/>
      <c r="D20" s="186"/>
      <c r="E20" s="186"/>
      <c r="F20" s="186"/>
      <c r="G20" s="186"/>
      <c r="H20" s="186"/>
      <c r="I20" s="192"/>
      <c r="J20" s="192"/>
      <c r="K20" s="503">
        <f t="shared" si="0"/>
        <v>0</v>
      </c>
      <c r="L20" s="528"/>
      <c r="M20" s="191"/>
      <c r="N20" s="525"/>
      <c r="O20" s="522">
        <f t="shared" si="1"/>
        <v>0</v>
      </c>
    </row>
    <row r="21" spans="1:15" s="40" customFormat="1" ht="15.75">
      <c r="A21" s="439" t="s">
        <v>674</v>
      </c>
      <c r="B21" s="191" t="s">
        <v>749</v>
      </c>
      <c r="C21" s="189"/>
      <c r="D21" s="189"/>
      <c r="E21" s="189"/>
      <c r="F21" s="189"/>
      <c r="G21" s="189">
        <v>154</v>
      </c>
      <c r="H21" s="189"/>
      <c r="I21" s="192"/>
      <c r="J21" s="192"/>
      <c r="K21" s="503">
        <f t="shared" si="0"/>
        <v>154</v>
      </c>
      <c r="L21" s="528"/>
      <c r="M21" s="191"/>
      <c r="N21" s="525"/>
      <c r="O21" s="522">
        <f t="shared" si="1"/>
        <v>154</v>
      </c>
    </row>
    <row r="22" spans="1:15" ht="15.75">
      <c r="A22" s="440" t="s">
        <v>675</v>
      </c>
      <c r="B22" s="295" t="s">
        <v>676</v>
      </c>
      <c r="C22" s="331">
        <f>C20+C21</f>
        <v>0</v>
      </c>
      <c r="D22" s="331">
        <f aca="true" t="shared" si="6" ref="D22:L22">D20+D21</f>
        <v>0</v>
      </c>
      <c r="E22" s="331">
        <f t="shared" si="6"/>
        <v>0</v>
      </c>
      <c r="F22" s="331">
        <f t="shared" si="6"/>
        <v>0</v>
      </c>
      <c r="G22" s="331">
        <f t="shared" si="6"/>
        <v>154</v>
      </c>
      <c r="H22" s="331">
        <f t="shared" si="6"/>
        <v>0</v>
      </c>
      <c r="I22" s="189">
        <f t="shared" si="6"/>
        <v>0</v>
      </c>
      <c r="J22" s="189">
        <f t="shared" si="6"/>
        <v>0</v>
      </c>
      <c r="K22" s="503">
        <f t="shared" si="0"/>
        <v>154</v>
      </c>
      <c r="L22" s="529">
        <f t="shared" si="6"/>
        <v>0</v>
      </c>
      <c r="M22" s="295"/>
      <c r="N22" s="493"/>
      <c r="O22" s="522">
        <f t="shared" si="1"/>
        <v>154</v>
      </c>
    </row>
    <row r="23" spans="1:15" ht="16.5" thickBot="1">
      <c r="A23" s="441" t="s">
        <v>27</v>
      </c>
      <c r="B23" s="396" t="s">
        <v>692</v>
      </c>
      <c r="C23" s="392">
        <f aca="true" t="shared" si="7" ref="C23:H23">C18+C19+C22</f>
        <v>0</v>
      </c>
      <c r="D23" s="392">
        <f t="shared" si="7"/>
        <v>0</v>
      </c>
      <c r="E23" s="392">
        <f t="shared" si="7"/>
        <v>0</v>
      </c>
      <c r="F23" s="392">
        <f t="shared" si="7"/>
        <v>0</v>
      </c>
      <c r="G23" s="392">
        <f t="shared" si="7"/>
        <v>154</v>
      </c>
      <c r="H23" s="392">
        <f t="shared" si="7"/>
        <v>0</v>
      </c>
      <c r="I23" s="396"/>
      <c r="J23" s="396"/>
      <c r="K23" s="491">
        <f t="shared" si="0"/>
        <v>154</v>
      </c>
      <c r="L23" s="530">
        <f>L18+L19+L22</f>
        <v>0</v>
      </c>
      <c r="M23" s="396">
        <f>M18+M19+M22</f>
        <v>0</v>
      </c>
      <c r="N23" s="494">
        <f>N18+N19+N22</f>
        <v>0</v>
      </c>
      <c r="O23" s="523">
        <f t="shared" si="1"/>
        <v>154</v>
      </c>
    </row>
    <row r="24" spans="1:15" ht="16.5" thickBot="1">
      <c r="A24" s="436"/>
      <c r="B24" s="448"/>
      <c r="I24" s="61"/>
      <c r="J24" s="61"/>
      <c r="K24" s="61"/>
      <c r="L24" s="61"/>
      <c r="M24" s="61"/>
      <c r="N24" s="61"/>
      <c r="O24" s="500"/>
    </row>
    <row r="25" spans="1:15" ht="15.75">
      <c r="A25" s="507" t="s">
        <v>693</v>
      </c>
      <c r="B25" s="508" t="s">
        <v>694</v>
      </c>
      <c r="C25" s="509"/>
      <c r="D25" s="509"/>
      <c r="E25" s="509"/>
      <c r="F25" s="509"/>
      <c r="G25" s="509"/>
      <c r="H25" s="509"/>
      <c r="I25" s="444"/>
      <c r="J25" s="444"/>
      <c r="K25" s="532">
        <f>C25+G25+H25</f>
        <v>0</v>
      </c>
      <c r="L25" s="527"/>
      <c r="M25" s="444"/>
      <c r="N25" s="524"/>
      <c r="O25" s="526">
        <f t="shared" si="1"/>
        <v>0</v>
      </c>
    </row>
    <row r="26" spans="1:15" ht="15.75">
      <c r="A26" s="439" t="s">
        <v>696</v>
      </c>
      <c r="B26" s="191" t="s">
        <v>697</v>
      </c>
      <c r="C26" s="189"/>
      <c r="D26" s="189"/>
      <c r="E26" s="189"/>
      <c r="F26" s="189"/>
      <c r="G26" s="189"/>
      <c r="H26" s="189"/>
      <c r="I26" s="191"/>
      <c r="J26" s="191"/>
      <c r="K26" s="503">
        <f t="shared" si="0"/>
        <v>0</v>
      </c>
      <c r="L26" s="528"/>
      <c r="M26" s="191"/>
      <c r="N26" s="525"/>
      <c r="O26" s="522">
        <f t="shared" si="1"/>
        <v>0</v>
      </c>
    </row>
    <row r="27" spans="1:15" ht="15.75">
      <c r="A27" s="439" t="s">
        <v>698</v>
      </c>
      <c r="B27" s="191" t="s">
        <v>699</v>
      </c>
      <c r="C27" s="189"/>
      <c r="D27" s="189"/>
      <c r="E27" s="189"/>
      <c r="F27" s="189"/>
      <c r="G27" s="189"/>
      <c r="H27" s="189"/>
      <c r="I27" s="191"/>
      <c r="J27" s="191"/>
      <c r="K27" s="503">
        <f t="shared" si="0"/>
        <v>0</v>
      </c>
      <c r="L27" s="528"/>
      <c r="M27" s="191"/>
      <c r="N27" s="525"/>
      <c r="O27" s="522">
        <f t="shared" si="1"/>
        <v>0</v>
      </c>
    </row>
    <row r="28" spans="1:15" ht="15.75">
      <c r="A28" s="440" t="s">
        <v>695</v>
      </c>
      <c r="B28" s="295" t="s">
        <v>700</v>
      </c>
      <c r="C28" s="331">
        <f aca="true" t="shared" si="8" ref="C28:H28">C26+C27</f>
        <v>0</v>
      </c>
      <c r="D28" s="331">
        <f t="shared" si="8"/>
        <v>0</v>
      </c>
      <c r="E28" s="331">
        <f t="shared" si="8"/>
        <v>0</v>
      </c>
      <c r="F28" s="331">
        <f t="shared" si="8"/>
        <v>0</v>
      </c>
      <c r="G28" s="331">
        <f t="shared" si="8"/>
        <v>0</v>
      </c>
      <c r="H28" s="331">
        <f t="shared" si="8"/>
        <v>0</v>
      </c>
      <c r="I28" s="191"/>
      <c r="J28" s="191"/>
      <c r="K28" s="480">
        <f t="shared" si="0"/>
        <v>0</v>
      </c>
      <c r="L28" s="529">
        <f>L26+L27</f>
        <v>0</v>
      </c>
      <c r="M28" s="295"/>
      <c r="N28" s="493"/>
      <c r="O28" s="534">
        <f t="shared" si="1"/>
        <v>0</v>
      </c>
    </row>
    <row r="29" spans="1:15" ht="15.75">
      <c r="A29" s="439" t="s">
        <v>701</v>
      </c>
      <c r="B29" s="191" t="s">
        <v>702</v>
      </c>
      <c r="C29" s="189">
        <v>137784</v>
      </c>
      <c r="D29" s="189"/>
      <c r="E29" s="189"/>
      <c r="F29" s="189"/>
      <c r="G29" s="189"/>
      <c r="H29" s="189"/>
      <c r="I29" s="191"/>
      <c r="J29" s="191"/>
      <c r="K29" s="503">
        <f t="shared" si="0"/>
        <v>137784</v>
      </c>
      <c r="L29" s="528"/>
      <c r="M29" s="191"/>
      <c r="N29" s="525"/>
      <c r="O29" s="522">
        <f t="shared" si="1"/>
        <v>137784</v>
      </c>
    </row>
    <row r="30" spans="1:15" ht="15.75">
      <c r="A30" s="440" t="s">
        <v>703</v>
      </c>
      <c r="B30" s="295" t="s">
        <v>704</v>
      </c>
      <c r="C30" s="331">
        <f aca="true" t="shared" si="9" ref="C30:H30">C29</f>
        <v>137784</v>
      </c>
      <c r="D30" s="331">
        <f t="shared" si="9"/>
        <v>0</v>
      </c>
      <c r="E30" s="331">
        <f t="shared" si="9"/>
        <v>0</v>
      </c>
      <c r="F30" s="331">
        <f t="shared" si="9"/>
        <v>0</v>
      </c>
      <c r="G30" s="331">
        <f t="shared" si="9"/>
        <v>0</v>
      </c>
      <c r="H30" s="331">
        <f t="shared" si="9"/>
        <v>0</v>
      </c>
      <c r="I30" s="191"/>
      <c r="J30" s="191"/>
      <c r="K30" s="480">
        <f t="shared" si="0"/>
        <v>137784</v>
      </c>
      <c r="L30" s="529">
        <f>L29</f>
        <v>0</v>
      </c>
      <c r="M30" s="529">
        <f>M29</f>
        <v>0</v>
      </c>
      <c r="N30" s="529">
        <f>N29</f>
        <v>0</v>
      </c>
      <c r="O30" s="534">
        <f t="shared" si="1"/>
        <v>137784</v>
      </c>
    </row>
    <row r="31" spans="1:15" s="40" customFormat="1" ht="15.75">
      <c r="A31" s="440" t="s">
        <v>705</v>
      </c>
      <c r="B31" s="295" t="s">
        <v>706</v>
      </c>
      <c r="C31" s="331"/>
      <c r="D31" s="331"/>
      <c r="E31" s="331"/>
      <c r="F31" s="331"/>
      <c r="G31" s="331"/>
      <c r="H31" s="331"/>
      <c r="I31" s="295"/>
      <c r="J31" s="295"/>
      <c r="K31" s="480">
        <f t="shared" si="0"/>
        <v>0</v>
      </c>
      <c r="L31" s="528"/>
      <c r="M31" s="191"/>
      <c r="N31" s="525"/>
      <c r="O31" s="522">
        <f t="shared" si="1"/>
        <v>0</v>
      </c>
    </row>
    <row r="32" spans="1:15" ht="15.75">
      <c r="A32" s="440" t="s">
        <v>707</v>
      </c>
      <c r="B32" s="295" t="s">
        <v>708</v>
      </c>
      <c r="C32" s="511"/>
      <c r="D32" s="511"/>
      <c r="E32" s="511"/>
      <c r="F32" s="511"/>
      <c r="G32" s="511"/>
      <c r="H32" s="511"/>
      <c r="I32" s="512"/>
      <c r="J32" s="512"/>
      <c r="K32" s="480">
        <f t="shared" si="0"/>
        <v>0</v>
      </c>
      <c r="L32" s="528"/>
      <c r="M32" s="191"/>
      <c r="N32" s="525"/>
      <c r="O32" s="522">
        <f t="shared" si="1"/>
        <v>0</v>
      </c>
    </row>
    <row r="33" spans="1:15" ht="15.75">
      <c r="A33" s="439" t="s">
        <v>709</v>
      </c>
      <c r="B33" s="191" t="s">
        <v>710</v>
      </c>
      <c r="C33" s="189"/>
      <c r="D33" s="189"/>
      <c r="E33" s="189"/>
      <c r="F33" s="189"/>
      <c r="G33" s="189"/>
      <c r="H33" s="189"/>
      <c r="I33" s="191"/>
      <c r="J33" s="191"/>
      <c r="K33" s="503">
        <f t="shared" si="0"/>
        <v>0</v>
      </c>
      <c r="L33" s="528"/>
      <c r="M33" s="191"/>
      <c r="N33" s="525"/>
      <c r="O33" s="522">
        <f t="shared" si="1"/>
        <v>0</v>
      </c>
    </row>
    <row r="34" spans="1:15" s="40" customFormat="1" ht="15.75">
      <c r="A34" s="439" t="s">
        <v>711</v>
      </c>
      <c r="B34" s="191" t="s">
        <v>712</v>
      </c>
      <c r="C34" s="186"/>
      <c r="D34" s="186"/>
      <c r="E34" s="186"/>
      <c r="F34" s="186"/>
      <c r="G34" s="186"/>
      <c r="H34" s="186"/>
      <c r="I34" s="192"/>
      <c r="J34" s="192"/>
      <c r="K34" s="503">
        <f t="shared" si="0"/>
        <v>0</v>
      </c>
      <c r="L34" s="528">
        <f>(2kiadás!C52)-'B4'!M47</f>
        <v>80164</v>
      </c>
      <c r="M34" s="191">
        <f>(2kiadás!C68)-'B4'!O47</f>
        <v>24014</v>
      </c>
      <c r="N34" s="191">
        <f>(2kiadás!C84)-'B4'!P47</f>
        <v>87909</v>
      </c>
      <c r="O34" s="522">
        <f t="shared" si="1"/>
        <v>192087</v>
      </c>
    </row>
    <row r="35" spans="1:15" s="40" customFormat="1" ht="15.75">
      <c r="A35" s="439" t="s">
        <v>717</v>
      </c>
      <c r="B35" s="191" t="s">
        <v>731</v>
      </c>
      <c r="C35" s="186"/>
      <c r="D35" s="186"/>
      <c r="E35" s="186"/>
      <c r="F35" s="186"/>
      <c r="G35" s="186"/>
      <c r="H35" s="186"/>
      <c r="I35" s="192"/>
      <c r="J35" s="192"/>
      <c r="K35" s="503">
        <f t="shared" si="0"/>
        <v>0</v>
      </c>
      <c r="L35" s="528"/>
      <c r="M35" s="191"/>
      <c r="N35" s="525"/>
      <c r="O35" s="522">
        <f t="shared" si="1"/>
        <v>0</v>
      </c>
    </row>
    <row r="36" spans="1:15" s="40" customFormat="1" ht="15.75">
      <c r="A36" s="440" t="s">
        <v>713</v>
      </c>
      <c r="B36" s="295" t="s">
        <v>714</v>
      </c>
      <c r="C36" s="331">
        <f aca="true" t="shared" si="10" ref="C36:H36">C33+C34+C35</f>
        <v>0</v>
      </c>
      <c r="D36" s="331">
        <f t="shared" si="10"/>
        <v>0</v>
      </c>
      <c r="E36" s="331">
        <f t="shared" si="10"/>
        <v>0</v>
      </c>
      <c r="F36" s="331">
        <f t="shared" si="10"/>
        <v>0</v>
      </c>
      <c r="G36" s="331">
        <f t="shared" si="10"/>
        <v>0</v>
      </c>
      <c r="H36" s="331">
        <f t="shared" si="10"/>
        <v>0</v>
      </c>
      <c r="I36" s="192"/>
      <c r="J36" s="192"/>
      <c r="K36" s="503">
        <f t="shared" si="0"/>
        <v>0</v>
      </c>
      <c r="L36" s="529">
        <f>L33+L34+L35</f>
        <v>80164</v>
      </c>
      <c r="M36" s="529">
        <f>M33+M34+M35</f>
        <v>24014</v>
      </c>
      <c r="N36" s="529">
        <f>N33+N34+N35</f>
        <v>87909</v>
      </c>
      <c r="O36" s="534">
        <f t="shared" si="1"/>
        <v>192087</v>
      </c>
    </row>
    <row r="37" spans="1:15" ht="15.75">
      <c r="A37" s="440" t="s">
        <v>715</v>
      </c>
      <c r="B37" s="295" t="s">
        <v>716</v>
      </c>
      <c r="C37" s="189"/>
      <c r="D37" s="189"/>
      <c r="E37" s="189"/>
      <c r="F37" s="189"/>
      <c r="G37" s="189"/>
      <c r="H37" s="189"/>
      <c r="I37" s="191"/>
      <c r="J37" s="191"/>
      <c r="K37" s="503">
        <f t="shared" si="0"/>
        <v>0</v>
      </c>
      <c r="L37" s="528"/>
      <c r="M37" s="191"/>
      <c r="N37" s="525"/>
      <c r="O37" s="522">
        <f t="shared" si="1"/>
        <v>0</v>
      </c>
    </row>
    <row r="38" spans="1:15" s="61" customFormat="1" ht="15.75">
      <c r="A38" s="510" t="s">
        <v>732</v>
      </c>
      <c r="B38" s="192" t="s">
        <v>733</v>
      </c>
      <c r="C38" s="186">
        <f aca="true" t="shared" si="11" ref="C38:H38">C25+C28+C30+C31+C32+C36+C37</f>
        <v>137784</v>
      </c>
      <c r="D38" s="186">
        <f t="shared" si="11"/>
        <v>0</v>
      </c>
      <c r="E38" s="186">
        <f t="shared" si="11"/>
        <v>0</v>
      </c>
      <c r="F38" s="186">
        <f t="shared" si="11"/>
        <v>0</v>
      </c>
      <c r="G38" s="186">
        <f t="shared" si="11"/>
        <v>0</v>
      </c>
      <c r="H38" s="186">
        <f t="shared" si="11"/>
        <v>0</v>
      </c>
      <c r="I38" s="191"/>
      <c r="J38" s="191"/>
      <c r="K38" s="503">
        <f t="shared" si="0"/>
        <v>137784</v>
      </c>
      <c r="L38" s="533">
        <f>L25+L28+L30+L31+L32+L36+L37</f>
        <v>80164</v>
      </c>
      <c r="M38" s="533">
        <f>M25+M28+M30+M31+M32+M36+M37</f>
        <v>24014</v>
      </c>
      <c r="N38" s="533">
        <f>N25+N28+N30+N31+N32+N36+N37</f>
        <v>87909</v>
      </c>
      <c r="O38" s="522">
        <f t="shared" si="1"/>
        <v>329871</v>
      </c>
    </row>
    <row r="39" spans="1:15" s="61" customFormat="1" ht="16.5" thickBot="1">
      <c r="A39" s="441" t="s">
        <v>28</v>
      </c>
      <c r="B39" s="396" t="s">
        <v>745</v>
      </c>
      <c r="C39" s="392">
        <f aca="true" t="shared" si="12" ref="C39:H39">C38</f>
        <v>137784</v>
      </c>
      <c r="D39" s="392">
        <f t="shared" si="12"/>
        <v>0</v>
      </c>
      <c r="E39" s="392">
        <f t="shared" si="12"/>
        <v>0</v>
      </c>
      <c r="F39" s="392">
        <f t="shared" si="12"/>
        <v>0</v>
      </c>
      <c r="G39" s="392">
        <f t="shared" si="12"/>
        <v>0</v>
      </c>
      <c r="H39" s="392">
        <f t="shared" si="12"/>
        <v>0</v>
      </c>
      <c r="I39" s="504"/>
      <c r="J39" s="504"/>
      <c r="K39" s="491">
        <f t="shared" si="0"/>
        <v>137784</v>
      </c>
      <c r="L39" s="530">
        <f>L38</f>
        <v>80164</v>
      </c>
      <c r="M39" s="530">
        <f>M38</f>
        <v>24014</v>
      </c>
      <c r="N39" s="530">
        <f>N38</f>
        <v>87909</v>
      </c>
      <c r="O39" s="523">
        <f t="shared" si="1"/>
        <v>329871</v>
      </c>
    </row>
    <row r="40" spans="1:15" s="143" customFormat="1" ht="15.75">
      <c r="A40" s="434"/>
      <c r="C40" s="48"/>
      <c r="D40" s="48"/>
      <c r="E40" s="48"/>
      <c r="F40" s="48"/>
      <c r="G40" s="48"/>
      <c r="H40" s="48"/>
      <c r="K40" s="61"/>
      <c r="L40" s="61"/>
      <c r="M40" s="61"/>
      <c r="N40" s="61"/>
      <c r="O40" s="500"/>
    </row>
    <row r="41" spans="1:15" s="143" customFormat="1" ht="15.75">
      <c r="A41" s="434"/>
      <c r="B41" s="47"/>
      <c r="C41" s="48"/>
      <c r="D41" s="48"/>
      <c r="E41" s="48"/>
      <c r="F41" s="48"/>
      <c r="G41" s="48"/>
      <c r="H41" s="48"/>
      <c r="K41" s="61"/>
      <c r="L41" s="61"/>
      <c r="M41" s="61"/>
      <c r="N41" s="61"/>
      <c r="O41" s="500"/>
    </row>
    <row r="42" spans="1:15" s="61" customFormat="1" ht="15.75">
      <c r="A42" s="159"/>
      <c r="B42" s="45"/>
      <c r="C42" s="59"/>
      <c r="D42" s="59"/>
      <c r="E42" s="59"/>
      <c r="F42" s="59"/>
      <c r="G42" s="59"/>
      <c r="H42" s="59"/>
      <c r="O42" s="500"/>
    </row>
    <row r="43" spans="1:15" s="61" customFormat="1" ht="15.75">
      <c r="A43" s="159"/>
      <c r="B43" s="45"/>
      <c r="C43" s="59"/>
      <c r="D43" s="59"/>
      <c r="E43" s="59"/>
      <c r="F43" s="59"/>
      <c r="G43" s="59"/>
      <c r="H43" s="59"/>
      <c r="O43" s="500"/>
    </row>
    <row r="44" spans="1:15" s="61" customFormat="1" ht="15.75">
      <c r="A44" s="159"/>
      <c r="C44" s="59"/>
      <c r="D44" s="59"/>
      <c r="E44" s="59"/>
      <c r="F44" s="59"/>
      <c r="G44" s="59"/>
      <c r="H44" s="59"/>
      <c r="O44" s="500"/>
    </row>
    <row r="45" spans="1:15" s="61" customFormat="1" ht="15.75">
      <c r="A45" s="159"/>
      <c r="C45" s="59"/>
      <c r="D45" s="59"/>
      <c r="E45" s="59"/>
      <c r="F45" s="59"/>
      <c r="G45" s="59"/>
      <c r="H45" s="59"/>
      <c r="O45" s="500"/>
    </row>
    <row r="46" spans="1:15" s="61" customFormat="1" ht="15.75">
      <c r="A46" s="159"/>
      <c r="C46" s="59"/>
      <c r="D46" s="59"/>
      <c r="E46" s="59"/>
      <c r="F46" s="59"/>
      <c r="G46" s="59"/>
      <c r="H46" s="59"/>
      <c r="O46" s="500"/>
    </row>
    <row r="47" spans="1:15" s="143" customFormat="1" ht="15.75">
      <c r="A47" s="434"/>
      <c r="C47" s="48"/>
      <c r="D47" s="48"/>
      <c r="E47" s="48"/>
      <c r="F47" s="48"/>
      <c r="G47" s="48"/>
      <c r="H47" s="48"/>
      <c r="K47" s="61"/>
      <c r="L47" s="61"/>
      <c r="M47" s="61"/>
      <c r="N47" s="61"/>
      <c r="O47" s="500"/>
    </row>
    <row r="48" spans="1:15" s="143" customFormat="1" ht="15.75">
      <c r="A48" s="434"/>
      <c r="C48" s="48"/>
      <c r="D48" s="48"/>
      <c r="E48" s="48"/>
      <c r="F48" s="48"/>
      <c r="G48" s="48"/>
      <c r="H48" s="48"/>
      <c r="K48" s="61"/>
      <c r="L48" s="61"/>
      <c r="M48" s="61"/>
      <c r="N48" s="61"/>
      <c r="O48" s="500"/>
    </row>
    <row r="49" spans="1:15" s="61" customFormat="1" ht="15.75">
      <c r="A49" s="159"/>
      <c r="C49" s="59"/>
      <c r="D49" s="59"/>
      <c r="E49" s="59"/>
      <c r="F49" s="59"/>
      <c r="G49" s="59"/>
      <c r="H49" s="59"/>
      <c r="O49" s="500"/>
    </row>
    <row r="50" spans="1:15" s="61" customFormat="1" ht="15.75">
      <c r="A50" s="159"/>
      <c r="C50" s="59"/>
      <c r="D50" s="59"/>
      <c r="E50" s="59"/>
      <c r="F50" s="59"/>
      <c r="G50" s="59"/>
      <c r="H50" s="59"/>
      <c r="O50" s="500"/>
    </row>
    <row r="51" spans="1:15" s="61" customFormat="1" ht="15.75">
      <c r="A51" s="159"/>
      <c r="C51" s="59"/>
      <c r="D51" s="59"/>
      <c r="E51" s="59"/>
      <c r="F51" s="59"/>
      <c r="G51" s="59"/>
      <c r="H51" s="59"/>
      <c r="O51" s="500"/>
    </row>
    <row r="52" spans="1:15" s="61" customFormat="1" ht="15.75">
      <c r="A52" s="159"/>
      <c r="C52" s="59"/>
      <c r="D52" s="59"/>
      <c r="E52" s="59"/>
      <c r="F52" s="59"/>
      <c r="G52" s="59"/>
      <c r="H52" s="59"/>
      <c r="O52" s="500"/>
    </row>
    <row r="53" spans="1:15" s="61" customFormat="1" ht="15.75">
      <c r="A53" s="159"/>
      <c r="B53" s="45"/>
      <c r="C53" s="59"/>
      <c r="D53" s="59"/>
      <c r="E53" s="59"/>
      <c r="F53" s="59"/>
      <c r="G53" s="59"/>
      <c r="H53" s="59"/>
      <c r="O53" s="500"/>
    </row>
    <row r="54" spans="1:15" s="61" customFormat="1" ht="15.75">
      <c r="A54" s="159"/>
      <c r="C54" s="59"/>
      <c r="D54" s="59"/>
      <c r="E54" s="59"/>
      <c r="F54" s="59"/>
      <c r="G54" s="59"/>
      <c r="H54" s="59"/>
      <c r="O54" s="500"/>
    </row>
    <row r="55" spans="1:15" s="143" customFormat="1" ht="15.75">
      <c r="A55" s="434"/>
      <c r="C55" s="48"/>
      <c r="D55" s="48"/>
      <c r="E55" s="48"/>
      <c r="F55" s="48"/>
      <c r="G55" s="48"/>
      <c r="H55" s="48"/>
      <c r="K55" s="61"/>
      <c r="L55" s="61"/>
      <c r="M55" s="61"/>
      <c r="N55" s="61"/>
      <c r="O55" s="500"/>
    </row>
    <row r="56" spans="1:15" s="61" customFormat="1" ht="15.75">
      <c r="A56" s="159"/>
      <c r="C56" s="59"/>
      <c r="D56" s="59"/>
      <c r="E56" s="59"/>
      <c r="F56" s="59"/>
      <c r="G56" s="59"/>
      <c r="H56" s="59"/>
      <c r="O56" s="500"/>
    </row>
    <row r="57" spans="1:15" s="61" customFormat="1" ht="15.75">
      <c r="A57" s="159"/>
      <c r="C57" s="59"/>
      <c r="D57" s="59"/>
      <c r="E57" s="59"/>
      <c r="F57" s="59"/>
      <c r="G57" s="59"/>
      <c r="H57" s="59"/>
      <c r="O57" s="500"/>
    </row>
    <row r="58" spans="1:15" s="61" customFormat="1" ht="15.75">
      <c r="A58" s="159"/>
      <c r="C58" s="59"/>
      <c r="D58" s="59"/>
      <c r="E58" s="59"/>
      <c r="F58" s="59"/>
      <c r="G58" s="59"/>
      <c r="H58" s="59"/>
      <c r="O58" s="500"/>
    </row>
    <row r="59" spans="1:15" s="61" customFormat="1" ht="15.75">
      <c r="A59" s="159"/>
      <c r="C59" s="59"/>
      <c r="D59" s="59"/>
      <c r="E59" s="59"/>
      <c r="F59" s="59"/>
      <c r="G59" s="59"/>
      <c r="H59" s="59"/>
      <c r="O59" s="500"/>
    </row>
    <row r="60" spans="1:15" s="61" customFormat="1" ht="15.75">
      <c r="A60" s="159"/>
      <c r="B60" s="45"/>
      <c r="C60" s="59"/>
      <c r="D60" s="59"/>
      <c r="E60" s="59"/>
      <c r="F60" s="59"/>
      <c r="G60" s="59"/>
      <c r="H60" s="59"/>
      <c r="O60" s="500"/>
    </row>
    <row r="61" spans="1:15" s="61" customFormat="1" ht="15.75">
      <c r="A61" s="159"/>
      <c r="C61" s="59"/>
      <c r="D61" s="59"/>
      <c r="E61" s="59"/>
      <c r="F61" s="59"/>
      <c r="G61" s="59"/>
      <c r="H61" s="59"/>
      <c r="O61" s="500"/>
    </row>
    <row r="62" spans="1:15" s="143" customFormat="1" ht="15.75">
      <c r="A62" s="434"/>
      <c r="C62" s="48"/>
      <c r="D62" s="48"/>
      <c r="E62" s="48"/>
      <c r="F62" s="48"/>
      <c r="G62" s="48"/>
      <c r="H62" s="48"/>
      <c r="K62" s="61"/>
      <c r="L62" s="61"/>
      <c r="M62" s="61"/>
      <c r="N62" s="61"/>
      <c r="O62" s="500"/>
    </row>
    <row r="63" spans="1:15" s="143" customFormat="1" ht="15.75">
      <c r="A63" s="434"/>
      <c r="B63" s="47"/>
      <c r="C63" s="48"/>
      <c r="D63" s="48"/>
      <c r="E63" s="48"/>
      <c r="F63" s="48"/>
      <c r="G63" s="48"/>
      <c r="H63" s="48"/>
      <c r="K63" s="61"/>
      <c r="L63" s="61"/>
      <c r="M63" s="61"/>
      <c r="N63" s="61"/>
      <c r="O63" s="500"/>
    </row>
    <row r="64" spans="1:15" s="61" customFormat="1" ht="15.75">
      <c r="A64" s="159"/>
      <c r="C64" s="59"/>
      <c r="D64" s="59"/>
      <c r="E64" s="59"/>
      <c r="F64" s="59"/>
      <c r="G64" s="59"/>
      <c r="H64" s="59"/>
      <c r="O64" s="500"/>
    </row>
    <row r="65" spans="1:15" s="61" customFormat="1" ht="15.75">
      <c r="A65" s="159"/>
      <c r="C65" s="59"/>
      <c r="D65" s="59"/>
      <c r="E65" s="59"/>
      <c r="F65" s="59"/>
      <c r="G65" s="59"/>
      <c r="H65" s="59"/>
      <c r="O65" s="500"/>
    </row>
    <row r="66" spans="1:15" s="61" customFormat="1" ht="15.75">
      <c r="A66" s="159"/>
      <c r="C66" s="59"/>
      <c r="D66" s="59"/>
      <c r="E66" s="59"/>
      <c r="F66" s="59"/>
      <c r="G66" s="59"/>
      <c r="H66" s="59"/>
      <c r="O66" s="500"/>
    </row>
    <row r="67" spans="1:15" s="61" customFormat="1" ht="15.75">
      <c r="A67" s="159"/>
      <c r="C67" s="59"/>
      <c r="D67" s="59"/>
      <c r="E67" s="59"/>
      <c r="F67" s="59"/>
      <c r="G67" s="59"/>
      <c r="H67" s="59"/>
      <c r="O67" s="500"/>
    </row>
    <row r="68" spans="1:15" s="143" customFormat="1" ht="15.75">
      <c r="A68" s="434"/>
      <c r="C68" s="48"/>
      <c r="D68" s="48"/>
      <c r="E68" s="48"/>
      <c r="F68" s="48"/>
      <c r="G68" s="48"/>
      <c r="H68" s="48"/>
      <c r="K68" s="61"/>
      <c r="L68" s="61"/>
      <c r="M68" s="61"/>
      <c r="N68" s="61"/>
      <c r="O68" s="500"/>
    </row>
    <row r="69" spans="1:15" s="61" customFormat="1" ht="15.75">
      <c r="A69" s="159"/>
      <c r="C69" s="59"/>
      <c r="D69" s="59"/>
      <c r="E69" s="59"/>
      <c r="F69" s="59"/>
      <c r="G69" s="59"/>
      <c r="H69" s="59"/>
      <c r="O69" s="500"/>
    </row>
    <row r="70" spans="1:15" s="61" customFormat="1" ht="15.75">
      <c r="A70" s="159"/>
      <c r="C70" s="59"/>
      <c r="D70" s="59"/>
      <c r="E70" s="59"/>
      <c r="F70" s="59"/>
      <c r="G70" s="59"/>
      <c r="H70" s="59"/>
      <c r="O70" s="500"/>
    </row>
    <row r="71" spans="1:15" s="61" customFormat="1" ht="15.75">
      <c r="A71" s="159"/>
      <c r="C71" s="59"/>
      <c r="D71" s="59"/>
      <c r="E71" s="59"/>
      <c r="F71" s="59"/>
      <c r="G71" s="59"/>
      <c r="H71" s="59"/>
      <c r="O71" s="500"/>
    </row>
    <row r="72" spans="1:15" s="61" customFormat="1" ht="15.75">
      <c r="A72" s="159"/>
      <c r="C72" s="59"/>
      <c r="D72" s="59"/>
      <c r="E72" s="59"/>
      <c r="F72" s="59"/>
      <c r="G72" s="59"/>
      <c r="H72" s="59"/>
      <c r="O72" s="500"/>
    </row>
    <row r="73" spans="1:15" s="143" customFormat="1" ht="15.75">
      <c r="A73" s="434"/>
      <c r="C73" s="48"/>
      <c r="D73" s="48"/>
      <c r="E73" s="48"/>
      <c r="F73" s="48"/>
      <c r="G73" s="48"/>
      <c r="H73" s="48"/>
      <c r="K73" s="61"/>
      <c r="L73" s="61"/>
      <c r="M73" s="61"/>
      <c r="N73" s="61"/>
      <c r="O73" s="500"/>
    </row>
    <row r="74" spans="1:15" s="143" customFormat="1" ht="15.75">
      <c r="A74" s="434"/>
      <c r="B74" s="47"/>
      <c r="C74" s="48"/>
      <c r="D74" s="48"/>
      <c r="E74" s="48"/>
      <c r="F74" s="48"/>
      <c r="G74" s="48"/>
      <c r="H74" s="48"/>
      <c r="K74" s="61"/>
      <c r="L74" s="61"/>
      <c r="M74" s="61"/>
      <c r="N74" s="61"/>
      <c r="O74" s="500"/>
    </row>
    <row r="75" spans="1:15" s="61" customFormat="1" ht="15.75">
      <c r="A75" s="159"/>
      <c r="C75" s="59"/>
      <c r="D75" s="59"/>
      <c r="E75" s="59"/>
      <c r="F75" s="59"/>
      <c r="G75" s="59"/>
      <c r="H75" s="59"/>
      <c r="O75" s="500"/>
    </row>
    <row r="76" spans="1:15" s="61" customFormat="1" ht="15.75">
      <c r="A76" s="159"/>
      <c r="C76" s="59"/>
      <c r="D76" s="59"/>
      <c r="E76" s="59"/>
      <c r="F76" s="59"/>
      <c r="G76" s="59"/>
      <c r="H76" s="59"/>
      <c r="O76" s="500"/>
    </row>
    <row r="77" spans="1:15" s="61" customFormat="1" ht="15.75">
      <c r="A77" s="159"/>
      <c r="C77" s="59"/>
      <c r="D77" s="59"/>
      <c r="E77" s="59"/>
      <c r="F77" s="59"/>
      <c r="G77" s="59"/>
      <c r="H77" s="59"/>
      <c r="O77" s="500"/>
    </row>
    <row r="78" spans="1:15" s="143" customFormat="1" ht="15.75">
      <c r="A78" s="434"/>
      <c r="C78" s="48"/>
      <c r="D78" s="48"/>
      <c r="E78" s="48"/>
      <c r="F78" s="48"/>
      <c r="G78" s="48"/>
      <c r="H78" s="48"/>
      <c r="K78" s="61"/>
      <c r="L78" s="61"/>
      <c r="M78" s="61"/>
      <c r="N78" s="61"/>
      <c r="O78" s="500"/>
    </row>
    <row r="79" spans="1:15" s="143" customFormat="1" ht="15.75">
      <c r="A79" s="434"/>
      <c r="C79" s="48"/>
      <c r="D79" s="48"/>
      <c r="E79" s="48"/>
      <c r="F79" s="48"/>
      <c r="G79" s="48"/>
      <c r="H79" s="48"/>
      <c r="K79" s="61"/>
      <c r="L79" s="61"/>
      <c r="M79" s="61"/>
      <c r="N79" s="61"/>
      <c r="O79" s="500"/>
    </row>
  </sheetData>
  <mergeCells count="3">
    <mergeCell ref="A1:C2"/>
    <mergeCell ref="C3:I3"/>
    <mergeCell ref="J3:K3"/>
  </mergeCells>
  <printOptions horizontalCentered="1" verticalCentered="1"/>
  <pageMargins left="0.7875" right="0.7875" top="0.39375" bottom="0.7875000000000001" header="0.5118055555555556" footer="0.5118055555555556"/>
  <pageSetup fitToHeight="1" fitToWidth="1"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35" sqref="A35"/>
    </sheetView>
  </sheetViews>
  <sheetFormatPr defaultColWidth="9.140625" defaultRowHeight="12.75"/>
  <sheetData>
    <row r="2" ht="12.75">
      <c r="A2" t="s">
        <v>1529</v>
      </c>
    </row>
  </sheetData>
  <printOptions/>
  <pageMargins left="0.7479166666666667" right="0.7479166666666667" top="0.9840277777777778" bottom="0.9840277777777777" header="0.5118055555555556" footer="0.5"/>
  <pageSetup horizontalDpi="300" verticalDpi="300" orientation="portrait" paperSize="9" r:id="rId1"/>
  <headerFooter alignWithMargins="0">
    <oddFooter>&amp;C54 Normatív hozzájárulások és támogatások jogcímenkénti összegei és forrásai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 topLeftCell="I34">
      <selection activeCell="N51" sqref="N51"/>
    </sheetView>
  </sheetViews>
  <sheetFormatPr defaultColWidth="9.140625" defaultRowHeight="12.75"/>
  <cols>
    <col min="1" max="1" width="9.140625" style="44" customWidth="1"/>
    <col min="2" max="2" width="65.28125" style="63" customWidth="1"/>
    <col min="3" max="8" width="14.57421875" style="63" customWidth="1"/>
    <col min="9" max="9" width="14.57421875" style="249" customWidth="1"/>
    <col min="10" max="12" width="14.57421875" style="63" customWidth="1"/>
    <col min="13" max="13" width="15.57421875" style="63" customWidth="1"/>
    <col min="14" max="14" width="12.7109375" style="44" customWidth="1"/>
    <col min="15" max="18" width="12.7109375" style="10" hidden="1" customWidth="1"/>
    <col min="19" max="30" width="12.7109375" style="10" customWidth="1"/>
    <col min="31" max="31" width="0" style="10" hidden="1" customWidth="1"/>
    <col min="32" max="37" width="12.7109375" style="10" customWidth="1"/>
    <col min="38" max="38" width="15.7109375" style="10" customWidth="1"/>
    <col min="39" max="16384" width="9.140625" style="10" customWidth="1"/>
  </cols>
  <sheetData>
    <row r="1" spans="1:29" ht="15.75">
      <c r="A1" s="669" t="s">
        <v>1386</v>
      </c>
      <c r="B1" s="707"/>
      <c r="C1" s="707" t="s">
        <v>1086</v>
      </c>
      <c r="D1" s="707"/>
      <c r="E1" s="707"/>
      <c r="F1" s="707"/>
      <c r="G1" s="707"/>
      <c r="H1" s="707"/>
      <c r="I1" s="707"/>
      <c r="J1" s="707"/>
      <c r="K1" s="707"/>
      <c r="L1" s="707"/>
      <c r="M1" s="763"/>
      <c r="N1" s="760" t="s">
        <v>404</v>
      </c>
      <c r="O1" s="761"/>
      <c r="P1" s="761"/>
      <c r="Q1" s="761"/>
      <c r="R1" s="761"/>
      <c r="S1" s="762"/>
      <c r="T1" s="757" t="s">
        <v>1530</v>
      </c>
      <c r="U1" s="758"/>
      <c r="V1" s="758"/>
      <c r="W1" s="758"/>
      <c r="X1" s="759"/>
      <c r="Y1" s="757" t="s">
        <v>52</v>
      </c>
      <c r="Z1" s="758"/>
      <c r="AA1" s="758"/>
      <c r="AB1" s="759"/>
      <c r="AC1" s="754" t="s">
        <v>1384</v>
      </c>
    </row>
    <row r="2" spans="1:31" s="19" customFormat="1" ht="47.25" customHeight="1" hidden="1">
      <c r="A2" s="669"/>
      <c r="B2" s="707"/>
      <c r="C2" s="301" t="s">
        <v>1528</v>
      </c>
      <c r="D2" s="302" t="s">
        <v>100</v>
      </c>
      <c r="E2" s="302"/>
      <c r="F2" s="302"/>
      <c r="G2" s="302"/>
      <c r="H2" s="302"/>
      <c r="I2" s="303" t="s">
        <v>526</v>
      </c>
      <c r="J2" s="302" t="s">
        <v>412</v>
      </c>
      <c r="K2" s="302"/>
      <c r="L2" s="302"/>
      <c r="M2" s="423" t="s">
        <v>1388</v>
      </c>
      <c r="N2" s="424" t="s">
        <v>969</v>
      </c>
      <c r="O2" s="302" t="s">
        <v>970</v>
      </c>
      <c r="P2" s="202" t="s">
        <v>972</v>
      </c>
      <c r="Q2" s="302" t="s">
        <v>413</v>
      </c>
      <c r="R2" s="302" t="s">
        <v>412</v>
      </c>
      <c r="S2" s="425" t="s">
        <v>1531</v>
      </c>
      <c r="T2" s="424" t="s">
        <v>974</v>
      </c>
      <c r="U2" s="304"/>
      <c r="V2" s="304"/>
      <c r="W2" s="302" t="s">
        <v>973</v>
      </c>
      <c r="X2" s="425" t="s">
        <v>965</v>
      </c>
      <c r="Y2" s="407" t="s">
        <v>53</v>
      </c>
      <c r="Z2" s="302" t="s">
        <v>66</v>
      </c>
      <c r="AA2" s="302" t="s">
        <v>227</v>
      </c>
      <c r="AB2" s="431" t="s">
        <v>965</v>
      </c>
      <c r="AC2" s="755"/>
      <c r="AD2" s="157"/>
      <c r="AE2" s="157"/>
    </row>
    <row r="3" spans="1:31" s="19" customFormat="1" ht="141.75">
      <c r="A3" s="305" t="s">
        <v>230</v>
      </c>
      <c r="B3" s="300" t="s">
        <v>229</v>
      </c>
      <c r="C3" s="302" t="s">
        <v>67</v>
      </c>
      <c r="D3" s="302" t="s">
        <v>69</v>
      </c>
      <c r="E3" s="302" t="s">
        <v>1146</v>
      </c>
      <c r="F3" s="302" t="s">
        <v>905</v>
      </c>
      <c r="G3" s="665" t="s">
        <v>920</v>
      </c>
      <c r="H3" s="665" t="s">
        <v>921</v>
      </c>
      <c r="I3" s="665" t="s">
        <v>922</v>
      </c>
      <c r="J3" s="302" t="s">
        <v>48</v>
      </c>
      <c r="K3" s="302" t="s">
        <v>49</v>
      </c>
      <c r="L3" s="302" t="s">
        <v>50</v>
      </c>
      <c r="M3" s="384" t="s">
        <v>965</v>
      </c>
      <c r="N3" s="407" t="s">
        <v>912</v>
      </c>
      <c r="O3" s="302"/>
      <c r="P3" s="202"/>
      <c r="Q3" s="302"/>
      <c r="R3" s="302"/>
      <c r="S3" s="426" t="s">
        <v>1388</v>
      </c>
      <c r="T3" s="407" t="s">
        <v>914</v>
      </c>
      <c r="U3" s="302" t="s">
        <v>905</v>
      </c>
      <c r="V3" s="242" t="s">
        <v>1119</v>
      </c>
      <c r="W3" s="302" t="s">
        <v>1120</v>
      </c>
      <c r="X3" s="426"/>
      <c r="Y3" s="407" t="s">
        <v>917</v>
      </c>
      <c r="Z3" s="302" t="s">
        <v>918</v>
      </c>
      <c r="AA3" s="302" t="s">
        <v>919</v>
      </c>
      <c r="AB3" s="432" t="s">
        <v>1388</v>
      </c>
      <c r="AC3" s="756"/>
      <c r="AD3" s="157"/>
      <c r="AE3" s="157"/>
    </row>
    <row r="4" spans="1:29" ht="21.75" customHeight="1">
      <c r="A4" s="182" t="s">
        <v>1429</v>
      </c>
      <c r="B4" s="307" t="s">
        <v>1442</v>
      </c>
      <c r="C4" s="307">
        <v>1416</v>
      </c>
      <c r="D4" s="307">
        <v>6790</v>
      </c>
      <c r="E4" s="307"/>
      <c r="F4" s="307"/>
      <c r="G4" s="661">
        <v>2634</v>
      </c>
      <c r="H4" s="661">
        <v>2634</v>
      </c>
      <c r="I4" s="661">
        <v>1416</v>
      </c>
      <c r="J4" s="307">
        <v>9887</v>
      </c>
      <c r="K4" s="307">
        <v>21306</v>
      </c>
      <c r="L4" s="307"/>
      <c r="M4" s="433">
        <f>SUM(C4:L4)</f>
        <v>46083</v>
      </c>
      <c r="N4" s="430">
        <v>27912</v>
      </c>
      <c r="O4" s="197"/>
      <c r="P4" s="197">
        <v>0</v>
      </c>
      <c r="Q4" s="197">
        <v>0</v>
      </c>
      <c r="R4" s="197">
        <v>0</v>
      </c>
      <c r="S4" s="428">
        <f>SUM(N4:R4)</f>
        <v>27912</v>
      </c>
      <c r="T4" s="427">
        <v>3484</v>
      </c>
      <c r="U4" s="197"/>
      <c r="V4" s="197"/>
      <c r="W4" s="197">
        <v>3092</v>
      </c>
      <c r="X4" s="432">
        <f aca="true" t="shared" si="0" ref="X4:X23">SUM(T4:W4)</f>
        <v>6576</v>
      </c>
      <c r="Y4" s="427">
        <v>45163</v>
      </c>
      <c r="Z4" s="197"/>
      <c r="AA4" s="197">
        <v>7836</v>
      </c>
      <c r="AB4" s="428">
        <f>Y4+Z4+AA4</f>
        <v>52999</v>
      </c>
      <c r="AC4" s="666">
        <f>M4+X4+S4+AB4</f>
        <v>133570</v>
      </c>
    </row>
    <row r="5" spans="1:29" ht="21.75" customHeight="1">
      <c r="A5" s="182" t="s">
        <v>1428</v>
      </c>
      <c r="B5" s="307" t="s">
        <v>1532</v>
      </c>
      <c r="C5" s="307"/>
      <c r="D5" s="307">
        <v>81</v>
      </c>
      <c r="E5" s="307"/>
      <c r="F5" s="307"/>
      <c r="G5" s="661"/>
      <c r="H5" s="661"/>
      <c r="I5" s="661"/>
      <c r="J5" s="307"/>
      <c r="K5" s="307"/>
      <c r="L5" s="307"/>
      <c r="M5" s="433">
        <f aca="true" t="shared" si="1" ref="M5:M34">SUM(C5:L5)</f>
        <v>81</v>
      </c>
      <c r="N5" s="430">
        <v>1336</v>
      </c>
      <c r="O5" s="197">
        <v>0</v>
      </c>
      <c r="P5" s="197">
        <v>0</v>
      </c>
      <c r="Q5" s="197">
        <v>0</v>
      </c>
      <c r="R5" s="197"/>
      <c r="S5" s="428">
        <f aca="true" t="shared" si="2" ref="S5:S34">SUM(N5:Q5)</f>
        <v>1336</v>
      </c>
      <c r="T5" s="427"/>
      <c r="U5" s="197"/>
      <c r="V5" s="197"/>
      <c r="W5" s="197">
        <v>100</v>
      </c>
      <c r="X5" s="432">
        <f t="shared" si="0"/>
        <v>100</v>
      </c>
      <c r="Y5" s="427"/>
      <c r="Z5" s="197"/>
      <c r="AA5" s="197"/>
      <c r="AB5" s="428">
        <f aca="true" t="shared" si="3" ref="AB5:AB23">Y5+Z5+AA5</f>
        <v>0</v>
      </c>
      <c r="AC5" s="666">
        <f aca="true" t="shared" si="4" ref="AC5:AC23">M5+X5+S5+AB5</f>
        <v>1517</v>
      </c>
    </row>
    <row r="6" spans="1:29" ht="21.75" customHeight="1">
      <c r="A6" s="182" t="s">
        <v>1430</v>
      </c>
      <c r="B6" s="196" t="s">
        <v>1533</v>
      </c>
      <c r="C6" s="196"/>
      <c r="D6" s="196"/>
      <c r="E6" s="196"/>
      <c r="F6" s="196"/>
      <c r="G6" s="662"/>
      <c r="H6" s="662"/>
      <c r="I6" s="662"/>
      <c r="J6" s="196"/>
      <c r="K6" s="196"/>
      <c r="L6" s="196"/>
      <c r="M6" s="433">
        <f t="shared" si="1"/>
        <v>0</v>
      </c>
      <c r="N6" s="430">
        <v>1183</v>
      </c>
      <c r="O6" s="197">
        <v>0</v>
      </c>
      <c r="P6" s="197">
        <v>0</v>
      </c>
      <c r="Q6" s="197">
        <v>0</v>
      </c>
      <c r="R6" s="197"/>
      <c r="S6" s="428">
        <f t="shared" si="2"/>
        <v>1183</v>
      </c>
      <c r="T6" s="427"/>
      <c r="U6" s="197"/>
      <c r="V6" s="197"/>
      <c r="W6" s="197"/>
      <c r="X6" s="432">
        <f t="shared" si="0"/>
        <v>0</v>
      </c>
      <c r="Y6" s="427"/>
      <c r="Z6" s="197"/>
      <c r="AA6" s="197"/>
      <c r="AB6" s="428">
        <f t="shared" si="3"/>
        <v>0</v>
      </c>
      <c r="AC6" s="666">
        <f t="shared" si="4"/>
        <v>1183</v>
      </c>
    </row>
    <row r="7" spans="1:29" ht="21.75" customHeight="1">
      <c r="A7" s="182" t="s">
        <v>1431</v>
      </c>
      <c r="B7" s="196" t="s">
        <v>769</v>
      </c>
      <c r="C7" s="196"/>
      <c r="D7" s="196"/>
      <c r="E7" s="196"/>
      <c r="F7" s="196"/>
      <c r="G7" s="662"/>
      <c r="H7" s="662"/>
      <c r="I7" s="662"/>
      <c r="J7" s="196"/>
      <c r="K7" s="196"/>
      <c r="L7" s="196"/>
      <c r="M7" s="433">
        <f t="shared" si="1"/>
        <v>0</v>
      </c>
      <c r="N7" s="430">
        <v>719</v>
      </c>
      <c r="O7" s="197">
        <v>0</v>
      </c>
      <c r="P7" s="197">
        <v>0</v>
      </c>
      <c r="Q7" s="197">
        <v>0</v>
      </c>
      <c r="R7" s="197"/>
      <c r="S7" s="428">
        <f t="shared" si="2"/>
        <v>719</v>
      </c>
      <c r="T7" s="427">
        <v>480</v>
      </c>
      <c r="U7" s="197"/>
      <c r="V7" s="197"/>
      <c r="W7" s="197"/>
      <c r="X7" s="432">
        <f t="shared" si="0"/>
        <v>480</v>
      </c>
      <c r="Y7" s="427">
        <v>1154</v>
      </c>
      <c r="Z7" s="197"/>
      <c r="AA7" s="197">
        <v>240</v>
      </c>
      <c r="AB7" s="428">
        <f t="shared" si="3"/>
        <v>1394</v>
      </c>
      <c r="AC7" s="666">
        <f t="shared" si="4"/>
        <v>2593</v>
      </c>
    </row>
    <row r="8" spans="1:29" ht="21.75" customHeight="1">
      <c r="A8" s="182" t="s">
        <v>1432</v>
      </c>
      <c r="B8" s="196" t="s">
        <v>770</v>
      </c>
      <c r="C8" s="196"/>
      <c r="D8" s="196"/>
      <c r="E8" s="196"/>
      <c r="F8" s="196"/>
      <c r="G8" s="662"/>
      <c r="H8" s="662"/>
      <c r="I8" s="662"/>
      <c r="J8" s="196"/>
      <c r="K8" s="196"/>
      <c r="L8" s="196"/>
      <c r="M8" s="433">
        <f t="shared" si="1"/>
        <v>0</v>
      </c>
      <c r="N8" s="430"/>
      <c r="O8" s="197"/>
      <c r="P8" s="197">
        <v>0</v>
      </c>
      <c r="Q8" s="197">
        <v>0</v>
      </c>
      <c r="R8" s="197"/>
      <c r="S8" s="428">
        <f t="shared" si="2"/>
        <v>0</v>
      </c>
      <c r="T8" s="427"/>
      <c r="U8" s="197"/>
      <c r="V8" s="197"/>
      <c r="W8" s="197"/>
      <c r="X8" s="432">
        <f t="shared" si="0"/>
        <v>0</v>
      </c>
      <c r="Y8" s="427"/>
      <c r="Z8" s="197"/>
      <c r="AA8" s="197"/>
      <c r="AB8" s="428">
        <f t="shared" si="3"/>
        <v>0</v>
      </c>
      <c r="AC8" s="666">
        <f t="shared" si="4"/>
        <v>0</v>
      </c>
    </row>
    <row r="9" spans="1:29" ht="21.75" customHeight="1">
      <c r="A9" s="182" t="s">
        <v>1433</v>
      </c>
      <c r="B9" s="196" t="s">
        <v>771</v>
      </c>
      <c r="C9" s="196"/>
      <c r="D9" s="196"/>
      <c r="E9" s="196"/>
      <c r="F9" s="196"/>
      <c r="G9" s="662"/>
      <c r="H9" s="662"/>
      <c r="I9" s="662"/>
      <c r="J9" s="196"/>
      <c r="K9" s="196"/>
      <c r="L9" s="196"/>
      <c r="M9" s="433">
        <f t="shared" si="1"/>
        <v>0</v>
      </c>
      <c r="N9" s="430"/>
      <c r="O9" s="197">
        <v>0</v>
      </c>
      <c r="P9" s="197">
        <v>0</v>
      </c>
      <c r="Q9" s="197">
        <v>0</v>
      </c>
      <c r="R9" s="197"/>
      <c r="S9" s="428">
        <f t="shared" si="2"/>
        <v>0</v>
      </c>
      <c r="T9" s="427"/>
      <c r="U9" s="197"/>
      <c r="V9" s="197"/>
      <c r="W9" s="197"/>
      <c r="X9" s="432">
        <f t="shared" si="0"/>
        <v>0</v>
      </c>
      <c r="Y9" s="427"/>
      <c r="Z9" s="197"/>
      <c r="AA9" s="197"/>
      <c r="AB9" s="428">
        <f t="shared" si="3"/>
        <v>0</v>
      </c>
      <c r="AC9" s="666">
        <f t="shared" si="4"/>
        <v>0</v>
      </c>
    </row>
    <row r="10" spans="1:29" ht="21.75" customHeight="1">
      <c r="A10" s="182" t="s">
        <v>1434</v>
      </c>
      <c r="B10" s="196" t="s">
        <v>1435</v>
      </c>
      <c r="C10" s="196"/>
      <c r="D10" s="196">
        <v>160</v>
      </c>
      <c r="E10" s="196"/>
      <c r="F10" s="196"/>
      <c r="G10" s="662">
        <v>320</v>
      </c>
      <c r="H10" s="662">
        <v>320</v>
      </c>
      <c r="I10" s="662">
        <v>160</v>
      </c>
      <c r="J10" s="196"/>
      <c r="K10" s="196"/>
      <c r="L10" s="196"/>
      <c r="M10" s="433">
        <f t="shared" si="1"/>
        <v>960</v>
      </c>
      <c r="N10" s="430">
        <v>2941</v>
      </c>
      <c r="O10" s="197">
        <v>0</v>
      </c>
      <c r="P10" s="197">
        <v>0</v>
      </c>
      <c r="Q10" s="197">
        <v>0</v>
      </c>
      <c r="R10" s="197"/>
      <c r="S10" s="428">
        <f t="shared" si="2"/>
        <v>2941</v>
      </c>
      <c r="T10" s="427">
        <v>200</v>
      </c>
      <c r="U10" s="197"/>
      <c r="V10" s="197"/>
      <c r="W10" s="197">
        <v>320</v>
      </c>
      <c r="X10" s="432">
        <f t="shared" si="0"/>
        <v>520</v>
      </c>
      <c r="Y10" s="427">
        <v>1460</v>
      </c>
      <c r="Z10" s="197"/>
      <c r="AA10" s="197">
        <v>900</v>
      </c>
      <c r="AB10" s="428">
        <f t="shared" si="3"/>
        <v>2360</v>
      </c>
      <c r="AC10" s="666">
        <f t="shared" si="4"/>
        <v>6781</v>
      </c>
    </row>
    <row r="11" spans="1:29" ht="21.75" customHeight="1">
      <c r="A11" s="182" t="s">
        <v>1436</v>
      </c>
      <c r="B11" s="196" t="s">
        <v>1437</v>
      </c>
      <c r="C11" s="196"/>
      <c r="D11" s="196">
        <v>2307</v>
      </c>
      <c r="E11" s="196"/>
      <c r="F11" s="196"/>
      <c r="G11" s="662"/>
      <c r="H11" s="662"/>
      <c r="I11" s="662"/>
      <c r="J11" s="196"/>
      <c r="K11" s="196"/>
      <c r="L11" s="196"/>
      <c r="M11" s="433">
        <f t="shared" si="1"/>
        <v>2307</v>
      </c>
      <c r="N11" s="430"/>
      <c r="O11" s="197">
        <v>0</v>
      </c>
      <c r="P11" s="197">
        <v>0</v>
      </c>
      <c r="Q11" s="197">
        <v>0</v>
      </c>
      <c r="R11" s="197"/>
      <c r="S11" s="428">
        <f t="shared" si="2"/>
        <v>0</v>
      </c>
      <c r="T11" s="427"/>
      <c r="U11" s="197"/>
      <c r="V11" s="197"/>
      <c r="W11" s="197"/>
      <c r="X11" s="432">
        <f t="shared" si="0"/>
        <v>0</v>
      </c>
      <c r="Y11" s="427"/>
      <c r="Z11" s="197"/>
      <c r="AA11" s="197"/>
      <c r="AB11" s="428">
        <f t="shared" si="3"/>
        <v>0</v>
      </c>
      <c r="AC11" s="666">
        <f t="shared" si="4"/>
        <v>2307</v>
      </c>
    </row>
    <row r="12" spans="1:29" ht="21.75" customHeight="1">
      <c r="A12" s="182" t="s">
        <v>1438</v>
      </c>
      <c r="B12" s="196" t="s">
        <v>1441</v>
      </c>
      <c r="C12" s="196"/>
      <c r="D12" s="196"/>
      <c r="E12" s="196"/>
      <c r="F12" s="196"/>
      <c r="G12" s="662"/>
      <c r="H12" s="662"/>
      <c r="I12" s="662"/>
      <c r="J12" s="196"/>
      <c r="K12" s="196"/>
      <c r="L12" s="196"/>
      <c r="M12" s="433">
        <f t="shared" si="1"/>
        <v>0</v>
      </c>
      <c r="N12" s="430"/>
      <c r="O12" s="197">
        <v>0</v>
      </c>
      <c r="P12" s="197">
        <v>0</v>
      </c>
      <c r="Q12" s="197">
        <v>0</v>
      </c>
      <c r="R12" s="197"/>
      <c r="S12" s="428">
        <f t="shared" si="2"/>
        <v>0</v>
      </c>
      <c r="T12" s="427"/>
      <c r="U12" s="197"/>
      <c r="V12" s="197"/>
      <c r="W12" s="197"/>
      <c r="X12" s="432">
        <f t="shared" si="0"/>
        <v>0</v>
      </c>
      <c r="Y12" s="427"/>
      <c r="Z12" s="197"/>
      <c r="AA12" s="197"/>
      <c r="AB12" s="428">
        <f t="shared" si="3"/>
        <v>0</v>
      </c>
      <c r="AC12" s="666">
        <f t="shared" si="4"/>
        <v>0</v>
      </c>
    </row>
    <row r="13" spans="1:29" ht="21.75" customHeight="1">
      <c r="A13" s="182" t="s">
        <v>1439</v>
      </c>
      <c r="B13" s="196" t="s">
        <v>1440</v>
      </c>
      <c r="C13" s="196"/>
      <c r="D13" s="196">
        <v>320</v>
      </c>
      <c r="E13" s="196"/>
      <c r="F13" s="196"/>
      <c r="G13" s="662">
        <v>28</v>
      </c>
      <c r="H13" s="662">
        <v>29</v>
      </c>
      <c r="I13" s="662"/>
      <c r="J13" s="196"/>
      <c r="K13" s="196"/>
      <c r="L13" s="196"/>
      <c r="M13" s="433">
        <f t="shared" si="1"/>
        <v>377</v>
      </c>
      <c r="N13" s="430">
        <v>20</v>
      </c>
      <c r="O13" s="197">
        <v>0</v>
      </c>
      <c r="P13" s="197">
        <v>0</v>
      </c>
      <c r="Q13" s="197">
        <v>0</v>
      </c>
      <c r="R13" s="197"/>
      <c r="S13" s="428">
        <f t="shared" si="2"/>
        <v>20</v>
      </c>
      <c r="T13" s="427"/>
      <c r="U13" s="197"/>
      <c r="V13" s="197"/>
      <c r="W13" s="197"/>
      <c r="X13" s="432">
        <f t="shared" si="0"/>
        <v>0</v>
      </c>
      <c r="Y13" s="427"/>
      <c r="Z13" s="197"/>
      <c r="AA13" s="197"/>
      <c r="AB13" s="428">
        <f t="shared" si="3"/>
        <v>0</v>
      </c>
      <c r="AC13" s="666">
        <f t="shared" si="4"/>
        <v>397</v>
      </c>
    </row>
    <row r="14" spans="1:29" ht="21.75" customHeight="1">
      <c r="A14" s="182" t="s">
        <v>1443</v>
      </c>
      <c r="B14" s="196" t="s">
        <v>773</v>
      </c>
      <c r="C14" s="196"/>
      <c r="D14" s="196"/>
      <c r="E14" s="196"/>
      <c r="F14" s="196"/>
      <c r="G14" s="662"/>
      <c r="H14" s="662"/>
      <c r="I14" s="662"/>
      <c r="J14" s="196"/>
      <c r="K14" s="196"/>
      <c r="L14" s="196"/>
      <c r="M14" s="433">
        <f t="shared" si="1"/>
        <v>0</v>
      </c>
      <c r="N14" s="430"/>
      <c r="O14" s="197">
        <v>0</v>
      </c>
      <c r="P14" s="197">
        <v>0</v>
      </c>
      <c r="Q14" s="197">
        <v>0</v>
      </c>
      <c r="R14" s="197"/>
      <c r="S14" s="428">
        <f t="shared" si="2"/>
        <v>0</v>
      </c>
      <c r="T14" s="427"/>
      <c r="U14" s="197"/>
      <c r="V14" s="197"/>
      <c r="W14" s="197"/>
      <c r="X14" s="432">
        <f t="shared" si="0"/>
        <v>0</v>
      </c>
      <c r="Y14" s="427"/>
      <c r="Z14" s="197"/>
      <c r="AA14" s="197"/>
      <c r="AB14" s="428">
        <f t="shared" si="3"/>
        <v>0</v>
      </c>
      <c r="AC14" s="666">
        <f t="shared" si="4"/>
        <v>0</v>
      </c>
    </row>
    <row r="15" spans="1:29" ht="21.75" customHeight="1">
      <c r="A15" s="182" t="s">
        <v>1444</v>
      </c>
      <c r="B15" s="196" t="s">
        <v>774</v>
      </c>
      <c r="C15" s="196"/>
      <c r="D15" s="196"/>
      <c r="E15" s="196"/>
      <c r="F15" s="196"/>
      <c r="G15" s="662"/>
      <c r="H15" s="662"/>
      <c r="I15" s="662"/>
      <c r="J15" s="196"/>
      <c r="K15" s="196"/>
      <c r="L15" s="196"/>
      <c r="M15" s="433">
        <f t="shared" si="1"/>
        <v>0</v>
      </c>
      <c r="N15" s="430"/>
      <c r="O15" s="197">
        <v>0</v>
      </c>
      <c r="P15" s="197">
        <v>0</v>
      </c>
      <c r="Q15" s="197">
        <v>0</v>
      </c>
      <c r="R15" s="197"/>
      <c r="S15" s="428">
        <f t="shared" si="2"/>
        <v>0</v>
      </c>
      <c r="T15" s="427"/>
      <c r="U15" s="197"/>
      <c r="V15" s="197"/>
      <c r="W15" s="197"/>
      <c r="X15" s="432">
        <f t="shared" si="0"/>
        <v>0</v>
      </c>
      <c r="Y15" s="427">
        <v>959</v>
      </c>
      <c r="Z15" s="197"/>
      <c r="AA15" s="197"/>
      <c r="AB15" s="428">
        <f t="shared" si="3"/>
        <v>959</v>
      </c>
      <c r="AC15" s="666">
        <f t="shared" si="4"/>
        <v>959</v>
      </c>
    </row>
    <row r="16" spans="1:29" ht="21.75" customHeight="1">
      <c r="A16" s="182" t="s">
        <v>1445</v>
      </c>
      <c r="B16" s="196" t="s">
        <v>1446</v>
      </c>
      <c r="C16" s="196"/>
      <c r="D16" s="196">
        <v>360</v>
      </c>
      <c r="E16" s="196"/>
      <c r="F16" s="196"/>
      <c r="G16" s="662">
        <v>192</v>
      </c>
      <c r="H16" s="662">
        <v>192</v>
      </c>
      <c r="I16" s="662">
        <v>96</v>
      </c>
      <c r="J16" s="196"/>
      <c r="K16" s="196"/>
      <c r="L16" s="196"/>
      <c r="M16" s="433">
        <f t="shared" si="1"/>
        <v>840</v>
      </c>
      <c r="N16" s="430">
        <v>24</v>
      </c>
      <c r="O16" s="197">
        <v>0</v>
      </c>
      <c r="P16" s="197">
        <v>0</v>
      </c>
      <c r="Q16" s="197">
        <v>0</v>
      </c>
      <c r="R16" s="197"/>
      <c r="S16" s="428">
        <f t="shared" si="2"/>
        <v>24</v>
      </c>
      <c r="T16" s="427">
        <v>192</v>
      </c>
      <c r="U16" s="197"/>
      <c r="V16" s="197"/>
      <c r="W16" s="197">
        <v>192</v>
      </c>
      <c r="X16" s="432">
        <f t="shared" si="0"/>
        <v>384</v>
      </c>
      <c r="Y16" s="427">
        <v>1776</v>
      </c>
      <c r="Z16" s="197"/>
      <c r="AA16" s="197">
        <v>624</v>
      </c>
      <c r="AB16" s="428">
        <f t="shared" si="3"/>
        <v>2400</v>
      </c>
      <c r="AC16" s="666">
        <f t="shared" si="4"/>
        <v>3648</v>
      </c>
    </row>
    <row r="17" spans="1:29" ht="21.75" customHeight="1">
      <c r="A17" s="182" t="s">
        <v>1447</v>
      </c>
      <c r="B17" s="309" t="s">
        <v>1451</v>
      </c>
      <c r="C17" s="309"/>
      <c r="D17" s="309"/>
      <c r="E17" s="309"/>
      <c r="F17" s="309"/>
      <c r="G17" s="663"/>
      <c r="H17" s="663"/>
      <c r="I17" s="663"/>
      <c r="J17" s="309"/>
      <c r="K17" s="309"/>
      <c r="L17" s="309"/>
      <c r="M17" s="433">
        <f t="shared" si="1"/>
        <v>0</v>
      </c>
      <c r="N17" s="430">
        <v>1709</v>
      </c>
      <c r="O17" s="197">
        <v>0</v>
      </c>
      <c r="P17" s="197">
        <v>0</v>
      </c>
      <c r="Q17" s="197">
        <v>0</v>
      </c>
      <c r="R17" s="197"/>
      <c r="S17" s="428">
        <f t="shared" si="2"/>
        <v>1709</v>
      </c>
      <c r="T17" s="427"/>
      <c r="U17" s="197"/>
      <c r="V17" s="197"/>
      <c r="W17" s="197"/>
      <c r="X17" s="432">
        <f t="shared" si="0"/>
        <v>0</v>
      </c>
      <c r="Y17" s="427"/>
      <c r="Z17" s="197"/>
      <c r="AA17" s="197"/>
      <c r="AB17" s="428">
        <f t="shared" si="3"/>
        <v>0</v>
      </c>
      <c r="AC17" s="666">
        <f t="shared" si="4"/>
        <v>1709</v>
      </c>
    </row>
    <row r="18" spans="1:29" ht="21.75" customHeight="1">
      <c r="A18" s="182" t="s">
        <v>1448</v>
      </c>
      <c r="B18" s="196" t="s">
        <v>559</v>
      </c>
      <c r="C18" s="196"/>
      <c r="D18" s="196"/>
      <c r="E18" s="196"/>
      <c r="F18" s="196"/>
      <c r="G18" s="662"/>
      <c r="H18" s="662"/>
      <c r="I18" s="662"/>
      <c r="J18" s="196"/>
      <c r="K18" s="196"/>
      <c r="L18" s="196"/>
      <c r="M18" s="433">
        <f t="shared" si="1"/>
        <v>0</v>
      </c>
      <c r="N18" s="430">
        <v>130</v>
      </c>
      <c r="O18" s="197">
        <v>0</v>
      </c>
      <c r="P18" s="197">
        <v>0</v>
      </c>
      <c r="Q18" s="197">
        <v>0</v>
      </c>
      <c r="R18" s="197"/>
      <c r="S18" s="428">
        <f t="shared" si="2"/>
        <v>130</v>
      </c>
      <c r="T18" s="427"/>
      <c r="U18" s="197"/>
      <c r="V18" s="197"/>
      <c r="W18" s="197"/>
      <c r="X18" s="432">
        <f t="shared" si="0"/>
        <v>0</v>
      </c>
      <c r="Y18" s="427">
        <v>192</v>
      </c>
      <c r="Z18" s="197"/>
      <c r="AA18" s="197"/>
      <c r="AB18" s="428">
        <f t="shared" si="3"/>
        <v>192</v>
      </c>
      <c r="AC18" s="666">
        <f t="shared" si="4"/>
        <v>322</v>
      </c>
    </row>
    <row r="19" spans="1:29" ht="21.75" customHeight="1">
      <c r="A19" s="182" t="s">
        <v>1449</v>
      </c>
      <c r="B19" s="196" t="s">
        <v>1450</v>
      </c>
      <c r="C19" s="196"/>
      <c r="D19" s="196"/>
      <c r="E19" s="196"/>
      <c r="F19" s="196"/>
      <c r="G19" s="662"/>
      <c r="H19" s="662"/>
      <c r="I19" s="662"/>
      <c r="J19" s="196"/>
      <c r="K19" s="196"/>
      <c r="L19" s="196"/>
      <c r="M19" s="433">
        <f t="shared" si="1"/>
        <v>0</v>
      </c>
      <c r="N19" s="430">
        <v>0</v>
      </c>
      <c r="O19" s="197">
        <v>0</v>
      </c>
      <c r="P19" s="197">
        <v>0</v>
      </c>
      <c r="Q19" s="197">
        <v>0</v>
      </c>
      <c r="R19" s="197"/>
      <c r="S19" s="428">
        <f t="shared" si="2"/>
        <v>0</v>
      </c>
      <c r="T19" s="427"/>
      <c r="U19" s="197"/>
      <c r="V19" s="197"/>
      <c r="W19" s="197"/>
      <c r="X19" s="432">
        <f t="shared" si="0"/>
        <v>0</v>
      </c>
      <c r="Y19" s="427"/>
      <c r="Z19" s="197"/>
      <c r="AA19" s="197"/>
      <c r="AB19" s="428">
        <f t="shared" si="3"/>
        <v>0</v>
      </c>
      <c r="AC19" s="666">
        <f t="shared" si="4"/>
        <v>0</v>
      </c>
    </row>
    <row r="20" spans="1:29" ht="21.75" customHeight="1">
      <c r="A20" s="182" t="s">
        <v>1453</v>
      </c>
      <c r="B20" s="196" t="s">
        <v>1452</v>
      </c>
      <c r="C20" s="196"/>
      <c r="D20" s="196"/>
      <c r="E20" s="196"/>
      <c r="F20" s="196"/>
      <c r="G20" s="662"/>
      <c r="H20" s="662"/>
      <c r="I20" s="662"/>
      <c r="J20" s="196"/>
      <c r="K20" s="196"/>
      <c r="L20" s="196"/>
      <c r="M20" s="433">
        <f t="shared" si="1"/>
        <v>0</v>
      </c>
      <c r="N20" s="430"/>
      <c r="O20" s="197"/>
      <c r="P20" s="197"/>
      <c r="Q20" s="197"/>
      <c r="R20" s="197"/>
      <c r="S20" s="428">
        <f t="shared" si="2"/>
        <v>0</v>
      </c>
      <c r="T20" s="427"/>
      <c r="U20" s="197"/>
      <c r="V20" s="197"/>
      <c r="W20" s="197"/>
      <c r="X20" s="432">
        <f t="shared" si="0"/>
        <v>0</v>
      </c>
      <c r="Y20" s="427"/>
      <c r="Z20" s="197"/>
      <c r="AA20" s="197"/>
      <c r="AB20" s="428">
        <f t="shared" si="3"/>
        <v>0</v>
      </c>
      <c r="AC20" s="666">
        <f t="shared" si="4"/>
        <v>0</v>
      </c>
    </row>
    <row r="21" spans="1:29" ht="21.75" customHeight="1">
      <c r="A21" s="182" t="s">
        <v>1454</v>
      </c>
      <c r="B21" s="196" t="s">
        <v>1457</v>
      </c>
      <c r="C21" s="196"/>
      <c r="D21" s="196"/>
      <c r="E21" s="196"/>
      <c r="F21" s="196"/>
      <c r="G21" s="662"/>
      <c r="H21" s="662"/>
      <c r="I21" s="662"/>
      <c r="J21" s="196"/>
      <c r="K21" s="196"/>
      <c r="L21" s="196"/>
      <c r="M21" s="433">
        <f t="shared" si="1"/>
        <v>0</v>
      </c>
      <c r="N21" s="430"/>
      <c r="O21" s="197"/>
      <c r="P21" s="197"/>
      <c r="Q21" s="197"/>
      <c r="R21" s="197"/>
      <c r="S21" s="428">
        <f t="shared" si="2"/>
        <v>0</v>
      </c>
      <c r="T21" s="427"/>
      <c r="U21" s="197"/>
      <c r="V21" s="197"/>
      <c r="W21" s="197"/>
      <c r="X21" s="432">
        <f t="shared" si="0"/>
        <v>0</v>
      </c>
      <c r="Y21" s="427"/>
      <c r="Z21" s="197"/>
      <c r="AA21" s="197"/>
      <c r="AB21" s="428">
        <f t="shared" si="3"/>
        <v>0</v>
      </c>
      <c r="AC21" s="666">
        <f t="shared" si="4"/>
        <v>0</v>
      </c>
    </row>
    <row r="22" spans="1:29" ht="21.75" customHeight="1">
      <c r="A22" s="182" t="s">
        <v>1455</v>
      </c>
      <c r="B22" s="196" t="s">
        <v>772</v>
      </c>
      <c r="C22" s="196"/>
      <c r="D22" s="196"/>
      <c r="E22" s="196"/>
      <c r="F22" s="196"/>
      <c r="G22" s="662"/>
      <c r="H22" s="662"/>
      <c r="I22" s="662"/>
      <c r="J22" s="196"/>
      <c r="K22" s="196"/>
      <c r="L22" s="196"/>
      <c r="M22" s="433">
        <f t="shared" si="1"/>
        <v>0</v>
      </c>
      <c r="N22" s="430"/>
      <c r="O22" s="197"/>
      <c r="P22" s="197"/>
      <c r="Q22" s="197"/>
      <c r="R22" s="197"/>
      <c r="S22" s="428">
        <f t="shared" si="2"/>
        <v>0</v>
      </c>
      <c r="T22" s="427"/>
      <c r="U22" s="197"/>
      <c r="V22" s="197"/>
      <c r="W22" s="197"/>
      <c r="X22" s="432">
        <f t="shared" si="0"/>
        <v>0</v>
      </c>
      <c r="Y22" s="427"/>
      <c r="Z22" s="197"/>
      <c r="AA22" s="197"/>
      <c r="AB22" s="428">
        <f t="shared" si="3"/>
        <v>0</v>
      </c>
      <c r="AC22" s="666">
        <f t="shared" si="4"/>
        <v>0</v>
      </c>
    </row>
    <row r="23" spans="1:29" ht="21.75" customHeight="1">
      <c r="A23" s="182" t="s">
        <v>1456</v>
      </c>
      <c r="B23" s="196" t="s">
        <v>971</v>
      </c>
      <c r="C23" s="196"/>
      <c r="D23" s="196">
        <v>0</v>
      </c>
      <c r="E23" s="196"/>
      <c r="F23" s="196"/>
      <c r="G23" s="662"/>
      <c r="H23" s="662"/>
      <c r="I23" s="662"/>
      <c r="J23" s="196"/>
      <c r="K23" s="196"/>
      <c r="L23" s="196"/>
      <c r="M23" s="433">
        <f t="shared" si="1"/>
        <v>0</v>
      </c>
      <c r="N23" s="430">
        <v>991</v>
      </c>
      <c r="O23" s="197"/>
      <c r="P23" s="197"/>
      <c r="Q23" s="197"/>
      <c r="R23" s="197"/>
      <c r="S23" s="428">
        <f t="shared" si="2"/>
        <v>991</v>
      </c>
      <c r="T23" s="427"/>
      <c r="U23" s="197"/>
      <c r="V23" s="197"/>
      <c r="W23" s="197"/>
      <c r="X23" s="432">
        <f t="shared" si="0"/>
        <v>0</v>
      </c>
      <c r="Y23" s="427">
        <v>230</v>
      </c>
      <c r="Z23" s="197"/>
      <c r="AA23" s="197"/>
      <c r="AB23" s="428">
        <f t="shared" si="3"/>
        <v>230</v>
      </c>
      <c r="AC23" s="666">
        <f t="shared" si="4"/>
        <v>1221</v>
      </c>
    </row>
    <row r="24" spans="1:29" s="31" customFormat="1" ht="21.75" customHeight="1">
      <c r="A24" s="287" t="s">
        <v>1458</v>
      </c>
      <c r="B24" s="310" t="s">
        <v>1459</v>
      </c>
      <c r="C24" s="310">
        <f>SUM(C4:C23)</f>
        <v>1416</v>
      </c>
      <c r="D24" s="310">
        <f aca="true" t="shared" si="5" ref="D24:AC24">SUM(D4:D23)</f>
        <v>10018</v>
      </c>
      <c r="E24" s="310">
        <f>SUM(E4:E23)</f>
        <v>0</v>
      </c>
      <c r="F24" s="310">
        <f>SUM(F4:F23)</f>
        <v>0</v>
      </c>
      <c r="G24" s="664">
        <f>SUM(G4:G23)</f>
        <v>3174</v>
      </c>
      <c r="H24" s="664">
        <f>SUM(H4:H23)</f>
        <v>3175</v>
      </c>
      <c r="I24" s="664">
        <f t="shared" si="5"/>
        <v>1672</v>
      </c>
      <c r="J24" s="310">
        <f t="shared" si="5"/>
        <v>9887</v>
      </c>
      <c r="K24" s="310">
        <f t="shared" si="5"/>
        <v>21306</v>
      </c>
      <c r="L24" s="310">
        <f t="shared" si="5"/>
        <v>0</v>
      </c>
      <c r="M24" s="384">
        <f t="shared" si="5"/>
        <v>50648</v>
      </c>
      <c r="N24" s="429">
        <f t="shared" si="5"/>
        <v>36965</v>
      </c>
      <c r="O24" s="310">
        <f t="shared" si="5"/>
        <v>0</v>
      </c>
      <c r="P24" s="310">
        <f t="shared" si="5"/>
        <v>0</v>
      </c>
      <c r="Q24" s="310">
        <f t="shared" si="5"/>
        <v>0</v>
      </c>
      <c r="R24" s="310">
        <f t="shared" si="5"/>
        <v>0</v>
      </c>
      <c r="S24" s="395">
        <f t="shared" si="5"/>
        <v>36965</v>
      </c>
      <c r="T24" s="429">
        <f t="shared" si="5"/>
        <v>4356</v>
      </c>
      <c r="U24" s="310"/>
      <c r="V24" s="310"/>
      <c r="W24" s="310">
        <f t="shared" si="5"/>
        <v>3704</v>
      </c>
      <c r="X24" s="395">
        <f t="shared" si="5"/>
        <v>8060</v>
      </c>
      <c r="Y24" s="429">
        <f t="shared" si="5"/>
        <v>50934</v>
      </c>
      <c r="Z24" s="310">
        <f t="shared" si="5"/>
        <v>0</v>
      </c>
      <c r="AA24" s="310">
        <f t="shared" si="5"/>
        <v>9600</v>
      </c>
      <c r="AB24" s="395">
        <f t="shared" si="5"/>
        <v>60534</v>
      </c>
      <c r="AC24" s="667">
        <f t="shared" si="5"/>
        <v>156207</v>
      </c>
    </row>
    <row r="25" spans="1:29" ht="21.75" customHeight="1">
      <c r="A25" s="182" t="s">
        <v>1460</v>
      </c>
      <c r="B25" s="196" t="s">
        <v>1461</v>
      </c>
      <c r="C25" s="196"/>
      <c r="D25" s="196"/>
      <c r="E25" s="196"/>
      <c r="F25" s="196"/>
      <c r="G25" s="662"/>
      <c r="H25" s="662"/>
      <c r="I25" s="662"/>
      <c r="J25" s="196"/>
      <c r="K25" s="196"/>
      <c r="L25" s="196"/>
      <c r="M25" s="433">
        <f t="shared" si="1"/>
        <v>0</v>
      </c>
      <c r="N25" s="430">
        <v>13482</v>
      </c>
      <c r="O25" s="197">
        <v>0</v>
      </c>
      <c r="P25" s="197">
        <v>0</v>
      </c>
      <c r="Q25" s="197">
        <v>0</v>
      </c>
      <c r="R25" s="197"/>
      <c r="S25" s="428">
        <f t="shared" si="2"/>
        <v>13482</v>
      </c>
      <c r="T25" s="427"/>
      <c r="U25" s="197"/>
      <c r="V25" s="197"/>
      <c r="W25" s="197"/>
      <c r="X25" s="428">
        <f>SUM(T25:W25)</f>
        <v>0</v>
      </c>
      <c r="Y25" s="427"/>
      <c r="Z25" s="197"/>
      <c r="AA25" s="197"/>
      <c r="AB25" s="428">
        <f>Y25+Z25+AA25</f>
        <v>0</v>
      </c>
      <c r="AC25" s="666">
        <f>M25+X25+S25+AB25</f>
        <v>13482</v>
      </c>
    </row>
    <row r="26" spans="1:29" ht="21.75" customHeight="1">
      <c r="A26" s="182" t="s">
        <v>1462</v>
      </c>
      <c r="B26" s="196" t="s">
        <v>1463</v>
      </c>
      <c r="C26" s="196"/>
      <c r="D26" s="196"/>
      <c r="E26" s="196"/>
      <c r="F26" s="196"/>
      <c r="G26" s="662"/>
      <c r="H26" s="662"/>
      <c r="I26" s="662"/>
      <c r="J26" s="196"/>
      <c r="K26" s="196"/>
      <c r="L26" s="196"/>
      <c r="M26" s="433">
        <f t="shared" si="1"/>
        <v>0</v>
      </c>
      <c r="N26" s="430"/>
      <c r="O26" s="197"/>
      <c r="P26" s="197"/>
      <c r="Q26" s="197"/>
      <c r="R26" s="197"/>
      <c r="S26" s="428"/>
      <c r="T26" s="427"/>
      <c r="U26" s="197"/>
      <c r="V26" s="197"/>
      <c r="W26" s="197"/>
      <c r="X26" s="428">
        <f>SUM(T26:W26)</f>
        <v>0</v>
      </c>
      <c r="Y26" s="427"/>
      <c r="Z26" s="197"/>
      <c r="AA26" s="197"/>
      <c r="AB26" s="428">
        <f>Y26+Z26+AA26</f>
        <v>0</v>
      </c>
      <c r="AC26" s="666">
        <f>M26+X26+S26+AB26</f>
        <v>0</v>
      </c>
    </row>
    <row r="27" spans="1:29" s="31" customFormat="1" ht="21.75" customHeight="1">
      <c r="A27" s="311" t="s">
        <v>1464</v>
      </c>
      <c r="B27" s="312" t="s">
        <v>1465</v>
      </c>
      <c r="C27" s="310">
        <f>C25+C26</f>
        <v>0</v>
      </c>
      <c r="D27" s="310">
        <f aca="true" t="shared" si="6" ref="D27:AC27">D25+D26</f>
        <v>0</v>
      </c>
      <c r="E27" s="310"/>
      <c r="F27" s="310"/>
      <c r="G27" s="664">
        <f>G25+G26</f>
        <v>0</v>
      </c>
      <c r="H27" s="664">
        <f>H25+H26</f>
        <v>0</v>
      </c>
      <c r="I27" s="664">
        <f t="shared" si="6"/>
        <v>0</v>
      </c>
      <c r="J27" s="310">
        <f t="shared" si="6"/>
        <v>0</v>
      </c>
      <c r="K27" s="310">
        <f t="shared" si="6"/>
        <v>0</v>
      </c>
      <c r="L27" s="310">
        <f t="shared" si="6"/>
        <v>0</v>
      </c>
      <c r="M27" s="384">
        <f t="shared" si="6"/>
        <v>0</v>
      </c>
      <c r="N27" s="429">
        <f t="shared" si="6"/>
        <v>13482</v>
      </c>
      <c r="O27" s="310">
        <f t="shared" si="6"/>
        <v>0</v>
      </c>
      <c r="P27" s="310">
        <f t="shared" si="6"/>
        <v>0</v>
      </c>
      <c r="Q27" s="310">
        <f t="shared" si="6"/>
        <v>0</v>
      </c>
      <c r="R27" s="310">
        <f t="shared" si="6"/>
        <v>0</v>
      </c>
      <c r="S27" s="395">
        <f t="shared" si="6"/>
        <v>13482</v>
      </c>
      <c r="T27" s="429">
        <f t="shared" si="6"/>
        <v>0</v>
      </c>
      <c r="U27" s="310"/>
      <c r="V27" s="310"/>
      <c r="W27" s="310">
        <f t="shared" si="6"/>
        <v>0</v>
      </c>
      <c r="X27" s="395">
        <f t="shared" si="6"/>
        <v>0</v>
      </c>
      <c r="Y27" s="402">
        <f t="shared" si="6"/>
        <v>0</v>
      </c>
      <c r="Z27" s="310">
        <f t="shared" si="6"/>
        <v>0</v>
      </c>
      <c r="AA27" s="310">
        <f t="shared" si="6"/>
        <v>0</v>
      </c>
      <c r="AB27" s="395">
        <f t="shared" si="6"/>
        <v>0</v>
      </c>
      <c r="AC27" s="667">
        <f t="shared" si="6"/>
        <v>13482</v>
      </c>
    </row>
    <row r="28" spans="1:29" ht="21.75" customHeight="1">
      <c r="A28" s="182" t="s">
        <v>1468</v>
      </c>
      <c r="B28" s="196" t="s">
        <v>1466</v>
      </c>
      <c r="C28" s="196"/>
      <c r="D28" s="196">
        <v>1180</v>
      </c>
      <c r="E28" s="196"/>
      <c r="F28" s="196"/>
      <c r="G28" s="662"/>
      <c r="H28" s="662"/>
      <c r="I28" s="662"/>
      <c r="J28" s="196"/>
      <c r="K28" s="196"/>
      <c r="L28" s="196"/>
      <c r="M28" s="433">
        <f t="shared" si="1"/>
        <v>1180</v>
      </c>
      <c r="N28" s="430">
        <v>620</v>
      </c>
      <c r="O28" s="197">
        <v>0</v>
      </c>
      <c r="P28" s="197">
        <v>0</v>
      </c>
      <c r="Q28" s="197">
        <v>0</v>
      </c>
      <c r="R28" s="197"/>
      <c r="S28" s="428">
        <f t="shared" si="2"/>
        <v>620</v>
      </c>
      <c r="T28" s="427"/>
      <c r="U28" s="197"/>
      <c r="V28" s="197"/>
      <c r="W28" s="197"/>
      <c r="X28" s="428">
        <f>SUM(T28:W28)</f>
        <v>0</v>
      </c>
      <c r="Y28" s="427"/>
      <c r="Z28" s="197"/>
      <c r="AA28" s="197"/>
      <c r="AB28" s="428">
        <f>Y28+Z28+AA28</f>
        <v>0</v>
      </c>
      <c r="AC28" s="666">
        <f>M28+X28+S28+AB28</f>
        <v>1800</v>
      </c>
    </row>
    <row r="29" spans="1:29" ht="21.75" customHeight="1">
      <c r="A29" s="182" t="s">
        <v>1469</v>
      </c>
      <c r="B29" s="196" t="s">
        <v>1467</v>
      </c>
      <c r="C29" s="196"/>
      <c r="D29" s="196"/>
      <c r="E29" s="196"/>
      <c r="F29" s="196"/>
      <c r="G29" s="662"/>
      <c r="H29" s="662"/>
      <c r="I29" s="662"/>
      <c r="J29" s="196"/>
      <c r="K29" s="196"/>
      <c r="L29" s="196"/>
      <c r="M29" s="433">
        <f t="shared" si="1"/>
        <v>0</v>
      </c>
      <c r="N29" s="430"/>
      <c r="O29" s="197">
        <v>0</v>
      </c>
      <c r="P29" s="197">
        <v>0</v>
      </c>
      <c r="Q29" s="197">
        <v>0</v>
      </c>
      <c r="R29" s="197"/>
      <c r="S29" s="428">
        <f t="shared" si="2"/>
        <v>0</v>
      </c>
      <c r="T29" s="427"/>
      <c r="U29" s="197"/>
      <c r="V29" s="197"/>
      <c r="W29" s="197"/>
      <c r="X29" s="428">
        <f>SUM(T29:W29)</f>
        <v>0</v>
      </c>
      <c r="Y29" s="427"/>
      <c r="Z29" s="197"/>
      <c r="AA29" s="197"/>
      <c r="AB29" s="428">
        <f>Y29+Z29+AA29</f>
        <v>0</v>
      </c>
      <c r="AC29" s="666">
        <f>M29+X29+S29+AB29</f>
        <v>0</v>
      </c>
    </row>
    <row r="30" spans="1:29" s="31" customFormat="1" ht="21.75" customHeight="1">
      <c r="A30" s="311" t="s">
        <v>1470</v>
      </c>
      <c r="B30" s="312" t="s">
        <v>1471</v>
      </c>
      <c r="C30" s="310">
        <f>C28+C29</f>
        <v>0</v>
      </c>
      <c r="D30" s="310">
        <f aca="true" t="shared" si="7" ref="D30:AC30">D28+D29</f>
        <v>1180</v>
      </c>
      <c r="E30" s="310"/>
      <c r="F30" s="310"/>
      <c r="G30" s="664">
        <f>G28+G29</f>
        <v>0</v>
      </c>
      <c r="H30" s="664">
        <f>H28+H29</f>
        <v>0</v>
      </c>
      <c r="I30" s="664">
        <f t="shared" si="7"/>
        <v>0</v>
      </c>
      <c r="J30" s="310">
        <f t="shared" si="7"/>
        <v>0</v>
      </c>
      <c r="K30" s="310">
        <f t="shared" si="7"/>
        <v>0</v>
      </c>
      <c r="L30" s="310">
        <f t="shared" si="7"/>
        <v>0</v>
      </c>
      <c r="M30" s="384">
        <f t="shared" si="7"/>
        <v>1180</v>
      </c>
      <c r="N30" s="429">
        <f t="shared" si="7"/>
        <v>620</v>
      </c>
      <c r="O30" s="310">
        <f t="shared" si="7"/>
        <v>0</v>
      </c>
      <c r="P30" s="310">
        <f t="shared" si="7"/>
        <v>0</v>
      </c>
      <c r="Q30" s="310">
        <f t="shared" si="7"/>
        <v>0</v>
      </c>
      <c r="R30" s="310">
        <f t="shared" si="7"/>
        <v>0</v>
      </c>
      <c r="S30" s="395">
        <f t="shared" si="7"/>
        <v>620</v>
      </c>
      <c r="T30" s="429">
        <f t="shared" si="7"/>
        <v>0</v>
      </c>
      <c r="U30" s="310"/>
      <c r="V30" s="310"/>
      <c r="W30" s="310">
        <f t="shared" si="7"/>
        <v>0</v>
      </c>
      <c r="X30" s="395">
        <f t="shared" si="7"/>
        <v>0</v>
      </c>
      <c r="Y30" s="402">
        <f t="shared" si="7"/>
        <v>0</v>
      </c>
      <c r="Z30" s="310">
        <f t="shared" si="7"/>
        <v>0</v>
      </c>
      <c r="AA30" s="310">
        <f t="shared" si="7"/>
        <v>0</v>
      </c>
      <c r="AB30" s="395">
        <f t="shared" si="7"/>
        <v>0</v>
      </c>
      <c r="AC30" s="667">
        <f t="shared" si="7"/>
        <v>1800</v>
      </c>
    </row>
    <row r="31" spans="1:29" ht="21.75" customHeight="1">
      <c r="A31" s="182" t="s">
        <v>1475</v>
      </c>
      <c r="B31" s="196" t="s">
        <v>1472</v>
      </c>
      <c r="C31" s="196"/>
      <c r="D31" s="196"/>
      <c r="E31" s="196"/>
      <c r="F31" s="196"/>
      <c r="G31" s="662"/>
      <c r="H31" s="662"/>
      <c r="I31" s="662"/>
      <c r="J31" s="196"/>
      <c r="K31" s="196"/>
      <c r="L31" s="196"/>
      <c r="M31" s="433">
        <f t="shared" si="1"/>
        <v>0</v>
      </c>
      <c r="N31" s="430"/>
      <c r="O31" s="197">
        <v>0</v>
      </c>
      <c r="P31" s="197">
        <v>0</v>
      </c>
      <c r="Q31" s="197">
        <v>0</v>
      </c>
      <c r="R31" s="197"/>
      <c r="S31" s="428">
        <f t="shared" si="2"/>
        <v>0</v>
      </c>
      <c r="T31" s="427"/>
      <c r="U31" s="197"/>
      <c r="V31" s="197"/>
      <c r="W31" s="197"/>
      <c r="X31" s="428">
        <f>SUM(T31:W31)</f>
        <v>0</v>
      </c>
      <c r="Y31" s="427"/>
      <c r="Z31" s="197"/>
      <c r="AA31" s="197"/>
      <c r="AB31" s="428">
        <f>Y31+Z31+AA31</f>
        <v>0</v>
      </c>
      <c r="AC31" s="666">
        <f>M31+X31+S31+AB31</f>
        <v>0</v>
      </c>
    </row>
    <row r="32" spans="1:29" ht="21.75" customHeight="1">
      <c r="A32" s="182" t="s">
        <v>1476</v>
      </c>
      <c r="B32" s="196" t="s">
        <v>1473</v>
      </c>
      <c r="C32" s="196"/>
      <c r="D32" s="196"/>
      <c r="E32" s="196"/>
      <c r="F32" s="196"/>
      <c r="G32" s="662"/>
      <c r="H32" s="662"/>
      <c r="I32" s="662"/>
      <c r="J32" s="196"/>
      <c r="K32" s="196"/>
      <c r="L32" s="196"/>
      <c r="M32" s="433">
        <f t="shared" si="1"/>
        <v>0</v>
      </c>
      <c r="N32" s="430"/>
      <c r="O32" s="197">
        <v>0</v>
      </c>
      <c r="P32" s="197">
        <v>0</v>
      </c>
      <c r="Q32" s="197">
        <v>0</v>
      </c>
      <c r="R32" s="197"/>
      <c r="S32" s="428">
        <f t="shared" si="2"/>
        <v>0</v>
      </c>
      <c r="T32" s="427"/>
      <c r="U32" s="197"/>
      <c r="V32" s="197"/>
      <c r="W32" s="197"/>
      <c r="X32" s="428">
        <f>SUM(T32:W32)</f>
        <v>0</v>
      </c>
      <c r="Y32" s="427"/>
      <c r="Z32" s="197"/>
      <c r="AA32" s="197"/>
      <c r="AB32" s="428">
        <f>Y32+Z32+AA32</f>
        <v>0</v>
      </c>
      <c r="AC32" s="666">
        <f>M32+X32+S32+AB32</f>
        <v>0</v>
      </c>
    </row>
    <row r="33" spans="1:29" ht="21.75" customHeight="1">
      <c r="A33" s="182" t="s">
        <v>1477</v>
      </c>
      <c r="B33" s="196" t="s">
        <v>1474</v>
      </c>
      <c r="C33" s="196"/>
      <c r="D33" s="196">
        <v>1500</v>
      </c>
      <c r="E33" s="196">
        <v>50</v>
      </c>
      <c r="F33" s="196">
        <v>500</v>
      </c>
      <c r="G33" s="662"/>
      <c r="H33" s="662"/>
      <c r="I33" s="662"/>
      <c r="J33" s="196"/>
      <c r="K33" s="196"/>
      <c r="L33" s="196"/>
      <c r="M33" s="433">
        <f t="shared" si="1"/>
        <v>2050</v>
      </c>
      <c r="N33" s="430">
        <v>450</v>
      </c>
      <c r="O33" s="197"/>
      <c r="P33" s="197"/>
      <c r="Q33" s="197"/>
      <c r="R33" s="197"/>
      <c r="S33" s="428">
        <f t="shared" si="2"/>
        <v>450</v>
      </c>
      <c r="T33" s="427"/>
      <c r="U33" s="197">
        <v>1200</v>
      </c>
      <c r="V33" s="197">
        <v>50</v>
      </c>
      <c r="W33" s="197">
        <v>50</v>
      </c>
      <c r="X33" s="428">
        <f>SUM(T33:W33)</f>
        <v>1300</v>
      </c>
      <c r="Y33" s="427"/>
      <c r="Z33" s="197">
        <v>45</v>
      </c>
      <c r="AA33" s="197"/>
      <c r="AB33" s="428">
        <f>Y33+Z33+AA33</f>
        <v>45</v>
      </c>
      <c r="AC33" s="666">
        <f>M33+X33+S33+AB33</f>
        <v>3845</v>
      </c>
    </row>
    <row r="34" spans="1:29" ht="21.75" customHeight="1">
      <c r="A34" s="182" t="s">
        <v>1478</v>
      </c>
      <c r="B34" s="196" t="s">
        <v>1479</v>
      </c>
      <c r="C34" s="196"/>
      <c r="D34" s="196"/>
      <c r="E34" s="196"/>
      <c r="F34" s="196"/>
      <c r="G34" s="662"/>
      <c r="H34" s="662"/>
      <c r="I34" s="662"/>
      <c r="J34" s="196"/>
      <c r="K34" s="196"/>
      <c r="L34" s="196"/>
      <c r="M34" s="433">
        <f t="shared" si="1"/>
        <v>0</v>
      </c>
      <c r="N34" s="430"/>
      <c r="O34" s="197"/>
      <c r="P34" s="197"/>
      <c r="Q34" s="197"/>
      <c r="R34" s="197"/>
      <c r="S34" s="428">
        <f t="shared" si="2"/>
        <v>0</v>
      </c>
      <c r="T34" s="427"/>
      <c r="U34" s="197"/>
      <c r="V34" s="197"/>
      <c r="W34" s="197"/>
      <c r="X34" s="428">
        <f>SUM(T34:W34)</f>
        <v>0</v>
      </c>
      <c r="Y34" s="427"/>
      <c r="Z34" s="197"/>
      <c r="AA34" s="197"/>
      <c r="AB34" s="428">
        <f>Y34+Z34+AA34</f>
        <v>0</v>
      </c>
      <c r="AC34" s="666">
        <f>M34+X34+S34+AB34</f>
        <v>0</v>
      </c>
    </row>
    <row r="35" spans="1:29" s="31" customFormat="1" ht="21.75" customHeight="1">
      <c r="A35" s="311" t="s">
        <v>1480</v>
      </c>
      <c r="B35" s="312" t="s">
        <v>1481</v>
      </c>
      <c r="C35" s="310">
        <f>SUM(C31:C34)</f>
        <v>0</v>
      </c>
      <c r="D35" s="310">
        <f aca="true" t="shared" si="8" ref="D35:AC35">SUM(D31:D34)</f>
        <v>1500</v>
      </c>
      <c r="E35" s="310">
        <f t="shared" si="8"/>
        <v>50</v>
      </c>
      <c r="F35" s="310">
        <f t="shared" si="8"/>
        <v>500</v>
      </c>
      <c r="G35" s="664">
        <f>SUM(G31:G34)</f>
        <v>0</v>
      </c>
      <c r="H35" s="664">
        <f>SUM(H31:H34)</f>
        <v>0</v>
      </c>
      <c r="I35" s="664">
        <f>SUM(I31:I34)</f>
        <v>0</v>
      </c>
      <c r="J35" s="310">
        <f t="shared" si="8"/>
        <v>0</v>
      </c>
      <c r="K35" s="310">
        <f t="shared" si="8"/>
        <v>0</v>
      </c>
      <c r="L35" s="310">
        <f t="shared" si="8"/>
        <v>0</v>
      </c>
      <c r="M35" s="384">
        <f t="shared" si="8"/>
        <v>2050</v>
      </c>
      <c r="N35" s="429">
        <f t="shared" si="8"/>
        <v>450</v>
      </c>
      <c r="O35" s="310">
        <f t="shared" si="8"/>
        <v>0</v>
      </c>
      <c r="P35" s="310">
        <f t="shared" si="8"/>
        <v>0</v>
      </c>
      <c r="Q35" s="310">
        <f t="shared" si="8"/>
        <v>0</v>
      </c>
      <c r="R35" s="310">
        <f t="shared" si="8"/>
        <v>0</v>
      </c>
      <c r="S35" s="395">
        <f t="shared" si="8"/>
        <v>450</v>
      </c>
      <c r="T35" s="429">
        <f t="shared" si="8"/>
        <v>0</v>
      </c>
      <c r="U35" s="310">
        <f>SUM(U31:U34)</f>
        <v>1200</v>
      </c>
      <c r="V35" s="310">
        <f>SUM(V31:V34)</f>
        <v>50</v>
      </c>
      <c r="W35" s="310">
        <f t="shared" si="8"/>
        <v>50</v>
      </c>
      <c r="X35" s="395">
        <f t="shared" si="8"/>
        <v>1300</v>
      </c>
      <c r="Y35" s="402">
        <f t="shared" si="8"/>
        <v>0</v>
      </c>
      <c r="Z35" s="310">
        <f t="shared" si="8"/>
        <v>45</v>
      </c>
      <c r="AA35" s="310">
        <f t="shared" si="8"/>
        <v>0</v>
      </c>
      <c r="AB35" s="395">
        <f t="shared" si="8"/>
        <v>45</v>
      </c>
      <c r="AC35" s="667">
        <f t="shared" si="8"/>
        <v>3845</v>
      </c>
    </row>
    <row r="36" spans="1:29" s="31" customFormat="1" ht="21.75" customHeight="1">
      <c r="A36" s="287" t="s">
        <v>1482</v>
      </c>
      <c r="B36" s="310" t="s">
        <v>1483</v>
      </c>
      <c r="C36" s="310">
        <f>C24+C27+C30+C35</f>
        <v>1416</v>
      </c>
      <c r="D36" s="310">
        <f aca="true" t="shared" si="9" ref="D36:AC36">D24+D27+D30+D35</f>
        <v>12698</v>
      </c>
      <c r="E36" s="310">
        <f t="shared" si="9"/>
        <v>50</v>
      </c>
      <c r="F36" s="310">
        <f t="shared" si="9"/>
        <v>500</v>
      </c>
      <c r="G36" s="664">
        <f>G24+G27+G30+G35</f>
        <v>3174</v>
      </c>
      <c r="H36" s="664">
        <f>H24+H27+H30+H35</f>
        <v>3175</v>
      </c>
      <c r="I36" s="664">
        <f t="shared" si="9"/>
        <v>1672</v>
      </c>
      <c r="J36" s="310">
        <f t="shared" si="9"/>
        <v>9887</v>
      </c>
      <c r="K36" s="310">
        <f t="shared" si="9"/>
        <v>21306</v>
      </c>
      <c r="L36" s="310">
        <f t="shared" si="9"/>
        <v>0</v>
      </c>
      <c r="M36" s="384">
        <f t="shared" si="9"/>
        <v>53878</v>
      </c>
      <c r="N36" s="429">
        <f t="shared" si="9"/>
        <v>51517</v>
      </c>
      <c r="O36" s="310">
        <f t="shared" si="9"/>
        <v>0</v>
      </c>
      <c r="P36" s="310">
        <f t="shared" si="9"/>
        <v>0</v>
      </c>
      <c r="Q36" s="310">
        <f t="shared" si="9"/>
        <v>0</v>
      </c>
      <c r="R36" s="310">
        <f t="shared" si="9"/>
        <v>0</v>
      </c>
      <c r="S36" s="395">
        <f t="shared" si="9"/>
        <v>51517</v>
      </c>
      <c r="T36" s="429">
        <f t="shared" si="9"/>
        <v>4356</v>
      </c>
      <c r="U36" s="310">
        <f>U24+U27+U30+U35</f>
        <v>1200</v>
      </c>
      <c r="V36" s="310">
        <f>V24+V27+V30+V35</f>
        <v>50</v>
      </c>
      <c r="W36" s="310">
        <f t="shared" si="9"/>
        <v>3754</v>
      </c>
      <c r="X36" s="395">
        <f t="shared" si="9"/>
        <v>9360</v>
      </c>
      <c r="Y36" s="429">
        <f t="shared" si="9"/>
        <v>50934</v>
      </c>
      <c r="Z36" s="310">
        <f t="shared" si="9"/>
        <v>45</v>
      </c>
      <c r="AA36" s="310">
        <f t="shared" si="9"/>
        <v>9600</v>
      </c>
      <c r="AB36" s="395">
        <f t="shared" si="9"/>
        <v>60579</v>
      </c>
      <c r="AC36" s="667">
        <f t="shared" si="9"/>
        <v>175334</v>
      </c>
    </row>
    <row r="37" spans="1:29" s="31" customFormat="1" ht="21.75" customHeight="1">
      <c r="A37" s="287"/>
      <c r="B37" s="310"/>
      <c r="C37" s="310"/>
      <c r="D37" s="310"/>
      <c r="E37" s="310"/>
      <c r="F37" s="310"/>
      <c r="G37" s="664"/>
      <c r="H37" s="664"/>
      <c r="I37" s="664"/>
      <c r="J37" s="310"/>
      <c r="K37" s="310"/>
      <c r="L37" s="310"/>
      <c r="M37" s="384"/>
      <c r="N37" s="429"/>
      <c r="O37" s="310"/>
      <c r="P37" s="310"/>
      <c r="Q37" s="310"/>
      <c r="R37" s="310"/>
      <c r="S37" s="395"/>
      <c r="T37" s="429"/>
      <c r="U37" s="310"/>
      <c r="V37" s="310"/>
      <c r="W37" s="310"/>
      <c r="X37" s="395"/>
      <c r="Y37" s="402"/>
      <c r="Z37" s="310"/>
      <c r="AA37" s="310"/>
      <c r="AB37" s="395"/>
      <c r="AC37" s="667"/>
    </row>
    <row r="38" spans="1:29" ht="21.75" customHeight="1">
      <c r="A38" s="182" t="s">
        <v>1484</v>
      </c>
      <c r="B38" s="196" t="s">
        <v>1218</v>
      </c>
      <c r="C38" s="196">
        <v>382</v>
      </c>
      <c r="D38" s="196">
        <v>2927</v>
      </c>
      <c r="E38" s="196"/>
      <c r="F38" s="196"/>
      <c r="G38" s="662">
        <v>805</v>
      </c>
      <c r="H38" s="662">
        <v>806</v>
      </c>
      <c r="I38" s="662">
        <v>426</v>
      </c>
      <c r="J38" s="196">
        <v>1335</v>
      </c>
      <c r="K38" s="196">
        <v>2877</v>
      </c>
      <c r="L38" s="196"/>
      <c r="M38" s="433">
        <f aca="true" t="shared" si="10" ref="M38:M45">SUM(C38:L38)</f>
        <v>9558</v>
      </c>
      <c r="N38" s="430">
        <v>12796</v>
      </c>
      <c r="O38" s="183"/>
      <c r="P38" s="183"/>
      <c r="Q38" s="183"/>
      <c r="R38" s="183"/>
      <c r="S38" s="403">
        <f>N38+O38+P38+Q38+R38</f>
        <v>12796</v>
      </c>
      <c r="T38" s="430">
        <v>1125</v>
      </c>
      <c r="U38" s="183"/>
      <c r="V38" s="183"/>
      <c r="W38" s="183">
        <v>949</v>
      </c>
      <c r="X38" s="428">
        <f aca="true" t="shared" si="11" ref="X38:X45">SUM(T38:W38)</f>
        <v>2074</v>
      </c>
      <c r="Y38" s="427">
        <v>13159</v>
      </c>
      <c r="Z38" s="308"/>
      <c r="AA38" s="197">
        <v>2424</v>
      </c>
      <c r="AB38" s="432">
        <f aca="true" t="shared" si="12" ref="AB38:AB45">Y38+Z38+AA38</f>
        <v>15583</v>
      </c>
      <c r="AC38" s="666">
        <f aca="true" t="shared" si="13" ref="AC38:AC45">M38+X38+S38+AB38</f>
        <v>40011</v>
      </c>
    </row>
    <row r="39" spans="1:29" ht="21.75" customHeight="1">
      <c r="A39" s="182" t="s">
        <v>1485</v>
      </c>
      <c r="B39" s="196" t="s">
        <v>1486</v>
      </c>
      <c r="C39" s="196"/>
      <c r="D39" s="196"/>
      <c r="E39" s="196"/>
      <c r="F39" s="196"/>
      <c r="G39" s="662"/>
      <c r="H39" s="662"/>
      <c r="I39" s="662"/>
      <c r="J39" s="196"/>
      <c r="K39" s="196"/>
      <c r="L39" s="196"/>
      <c r="M39" s="433">
        <f t="shared" si="10"/>
        <v>0</v>
      </c>
      <c r="N39" s="430"/>
      <c r="O39" s="313"/>
      <c r="P39" s="313"/>
      <c r="Q39" s="183"/>
      <c r="R39" s="183"/>
      <c r="S39" s="403">
        <f aca="true" t="shared" si="14" ref="S39:S45">N39+O39+P39+Q39+R39</f>
        <v>0</v>
      </c>
      <c r="T39" s="430"/>
      <c r="U39" s="183"/>
      <c r="V39" s="183"/>
      <c r="W39" s="183"/>
      <c r="X39" s="428">
        <f t="shared" si="11"/>
        <v>0</v>
      </c>
      <c r="Y39" s="427"/>
      <c r="Z39" s="197"/>
      <c r="AA39" s="197"/>
      <c r="AB39" s="428">
        <f t="shared" si="12"/>
        <v>0</v>
      </c>
      <c r="AC39" s="666">
        <f t="shared" si="13"/>
        <v>0</v>
      </c>
    </row>
    <row r="40" spans="1:29" ht="21.75" customHeight="1">
      <c r="A40" s="182" t="s">
        <v>1487</v>
      </c>
      <c r="B40" s="196" t="s">
        <v>720</v>
      </c>
      <c r="C40" s="196"/>
      <c r="D40" s="196">
        <f>60+482</f>
        <v>542</v>
      </c>
      <c r="E40" s="196">
        <v>16</v>
      </c>
      <c r="F40" s="196">
        <v>161</v>
      </c>
      <c r="G40" s="662">
        <v>32</v>
      </c>
      <c r="H40" s="662">
        <v>32</v>
      </c>
      <c r="I40" s="662">
        <v>16</v>
      </c>
      <c r="J40" s="196"/>
      <c r="K40" s="196"/>
      <c r="L40" s="196"/>
      <c r="M40" s="433">
        <f t="shared" si="10"/>
        <v>799</v>
      </c>
      <c r="N40" s="430">
        <f>313+145</f>
        <v>458</v>
      </c>
      <c r="O40" s="183">
        <v>0</v>
      </c>
      <c r="P40" s="183"/>
      <c r="Q40" s="183"/>
      <c r="R40" s="183"/>
      <c r="S40" s="403">
        <f t="shared" si="14"/>
        <v>458</v>
      </c>
      <c r="T40" s="430">
        <v>32</v>
      </c>
      <c r="U40" s="183">
        <v>386</v>
      </c>
      <c r="V40" s="183">
        <v>16</v>
      </c>
      <c r="W40" s="183">
        <f>32+16</f>
        <v>48</v>
      </c>
      <c r="X40" s="428">
        <f t="shared" si="11"/>
        <v>482</v>
      </c>
      <c r="Y40" s="427">
        <v>296</v>
      </c>
      <c r="Z40" s="197">
        <v>15</v>
      </c>
      <c r="AA40" s="197">
        <v>104</v>
      </c>
      <c r="AB40" s="428">
        <f t="shared" si="12"/>
        <v>415</v>
      </c>
      <c r="AC40" s="666">
        <f t="shared" si="13"/>
        <v>2154</v>
      </c>
    </row>
    <row r="41" spans="1:29" ht="21.75" customHeight="1">
      <c r="A41" s="182" t="s">
        <v>1488</v>
      </c>
      <c r="B41" s="196" t="s">
        <v>831</v>
      </c>
      <c r="C41" s="196"/>
      <c r="D41" s="196"/>
      <c r="E41" s="196"/>
      <c r="F41" s="196"/>
      <c r="G41" s="662"/>
      <c r="H41" s="662"/>
      <c r="I41" s="662"/>
      <c r="J41" s="196">
        <v>50</v>
      </c>
      <c r="K41" s="196">
        <v>50</v>
      </c>
      <c r="L41" s="196"/>
      <c r="M41" s="433">
        <f t="shared" si="10"/>
        <v>100</v>
      </c>
      <c r="N41" s="430">
        <v>150</v>
      </c>
      <c r="O41" s="197">
        <v>0</v>
      </c>
      <c r="P41" s="197">
        <v>0</v>
      </c>
      <c r="Q41" s="197">
        <v>0</v>
      </c>
      <c r="R41" s="197"/>
      <c r="S41" s="403">
        <f t="shared" si="14"/>
        <v>150</v>
      </c>
      <c r="T41" s="427"/>
      <c r="U41" s="197"/>
      <c r="V41" s="197"/>
      <c r="W41" s="197"/>
      <c r="X41" s="428">
        <f t="shared" si="11"/>
        <v>0</v>
      </c>
      <c r="Y41" s="427">
        <v>250</v>
      </c>
      <c r="Z41" s="197"/>
      <c r="AA41" s="197">
        <v>100</v>
      </c>
      <c r="AB41" s="428">
        <f t="shared" si="12"/>
        <v>350</v>
      </c>
      <c r="AC41" s="666">
        <f t="shared" si="13"/>
        <v>600</v>
      </c>
    </row>
    <row r="42" spans="1:29" ht="21.75" customHeight="1">
      <c r="A42" s="182" t="s">
        <v>1489</v>
      </c>
      <c r="B42" s="196" t="s">
        <v>1490</v>
      </c>
      <c r="C42" s="196"/>
      <c r="D42" s="196"/>
      <c r="E42" s="196"/>
      <c r="F42" s="196"/>
      <c r="G42" s="662"/>
      <c r="H42" s="662"/>
      <c r="I42" s="662"/>
      <c r="J42" s="196"/>
      <c r="K42" s="196"/>
      <c r="L42" s="196"/>
      <c r="M42" s="433">
        <f t="shared" si="10"/>
        <v>0</v>
      </c>
      <c r="N42" s="430"/>
      <c r="O42" s="197">
        <v>0</v>
      </c>
      <c r="P42" s="197">
        <v>0</v>
      </c>
      <c r="Q42" s="197">
        <v>0</v>
      </c>
      <c r="R42" s="197"/>
      <c r="S42" s="403">
        <f t="shared" si="14"/>
        <v>0</v>
      </c>
      <c r="T42" s="427"/>
      <c r="U42" s="197"/>
      <c r="V42" s="197"/>
      <c r="W42" s="197"/>
      <c r="X42" s="428">
        <f t="shared" si="11"/>
        <v>0</v>
      </c>
      <c r="Y42" s="427"/>
      <c r="Z42" s="197"/>
      <c r="AA42" s="197"/>
      <c r="AB42" s="428">
        <f t="shared" si="12"/>
        <v>0</v>
      </c>
      <c r="AC42" s="666">
        <f t="shared" si="13"/>
        <v>0</v>
      </c>
    </row>
    <row r="43" spans="1:29" ht="21.75" customHeight="1">
      <c r="A43" s="182" t="s">
        <v>1492</v>
      </c>
      <c r="B43" s="196" t="s">
        <v>1491</v>
      </c>
      <c r="C43" s="196"/>
      <c r="D43" s="196"/>
      <c r="E43" s="196"/>
      <c r="F43" s="196"/>
      <c r="G43" s="662"/>
      <c r="H43" s="662"/>
      <c r="I43" s="662"/>
      <c r="J43" s="196"/>
      <c r="K43" s="196"/>
      <c r="L43" s="196"/>
      <c r="M43" s="433">
        <f t="shared" si="10"/>
        <v>0</v>
      </c>
      <c r="N43" s="430"/>
      <c r="O43" s="197"/>
      <c r="P43" s="197"/>
      <c r="Q43" s="197"/>
      <c r="R43" s="197"/>
      <c r="S43" s="403"/>
      <c r="T43" s="427"/>
      <c r="U43" s="197"/>
      <c r="V43" s="197"/>
      <c r="W43" s="197"/>
      <c r="X43" s="428">
        <f t="shared" si="11"/>
        <v>0</v>
      </c>
      <c r="Y43" s="427"/>
      <c r="Z43" s="197"/>
      <c r="AA43" s="197"/>
      <c r="AB43" s="428">
        <f t="shared" si="12"/>
        <v>0</v>
      </c>
      <c r="AC43" s="666">
        <f t="shared" si="13"/>
        <v>0</v>
      </c>
    </row>
    <row r="44" spans="1:29" ht="21.75" customHeight="1">
      <c r="A44" s="182" t="s">
        <v>1493</v>
      </c>
      <c r="B44" s="196" t="s">
        <v>1494</v>
      </c>
      <c r="C44" s="196"/>
      <c r="D44" s="196"/>
      <c r="E44" s="196"/>
      <c r="F44" s="196"/>
      <c r="G44" s="662"/>
      <c r="H44" s="662"/>
      <c r="I44" s="662"/>
      <c r="J44" s="196"/>
      <c r="K44" s="196"/>
      <c r="L44" s="196"/>
      <c r="M44" s="433">
        <f t="shared" si="10"/>
        <v>0</v>
      </c>
      <c r="N44" s="430"/>
      <c r="O44" s="197"/>
      <c r="P44" s="197"/>
      <c r="Q44" s="197"/>
      <c r="R44" s="197"/>
      <c r="S44" s="403"/>
      <c r="T44" s="427"/>
      <c r="U44" s="197"/>
      <c r="V44" s="197"/>
      <c r="W44" s="197"/>
      <c r="X44" s="428">
        <f t="shared" si="11"/>
        <v>0</v>
      </c>
      <c r="Y44" s="427"/>
      <c r="Z44" s="197"/>
      <c r="AA44" s="197"/>
      <c r="AB44" s="428">
        <f t="shared" si="12"/>
        <v>0</v>
      </c>
      <c r="AC44" s="666">
        <f t="shared" si="13"/>
        <v>0</v>
      </c>
    </row>
    <row r="45" spans="1:29" ht="21.75" customHeight="1">
      <c r="A45" s="182" t="s">
        <v>1495</v>
      </c>
      <c r="B45" s="196" t="s">
        <v>719</v>
      </c>
      <c r="C45" s="196"/>
      <c r="D45" s="196">
        <f>69+285</f>
        <v>354</v>
      </c>
      <c r="E45" s="196">
        <v>10</v>
      </c>
      <c r="F45" s="196">
        <v>95</v>
      </c>
      <c r="G45" s="662">
        <v>37</v>
      </c>
      <c r="H45" s="662">
        <v>36</v>
      </c>
      <c r="I45" s="662">
        <v>19</v>
      </c>
      <c r="J45" s="196"/>
      <c r="K45" s="196"/>
      <c r="L45" s="196"/>
      <c r="M45" s="433">
        <f t="shared" si="10"/>
        <v>551</v>
      </c>
      <c r="N45" s="430">
        <f>357+86</f>
        <v>443</v>
      </c>
      <c r="O45" s="197">
        <v>0</v>
      </c>
      <c r="P45" s="197">
        <v>0</v>
      </c>
      <c r="Q45" s="197">
        <v>0</v>
      </c>
      <c r="R45" s="197"/>
      <c r="S45" s="403">
        <f t="shared" si="14"/>
        <v>443</v>
      </c>
      <c r="T45" s="427">
        <v>37</v>
      </c>
      <c r="U45" s="197">
        <v>228</v>
      </c>
      <c r="V45" s="197">
        <v>10</v>
      </c>
      <c r="W45" s="197">
        <f>37+10</f>
        <v>47</v>
      </c>
      <c r="X45" s="428">
        <f t="shared" si="11"/>
        <v>322</v>
      </c>
      <c r="Y45" s="427">
        <v>338</v>
      </c>
      <c r="Z45" s="197">
        <v>9</v>
      </c>
      <c r="AA45" s="197">
        <v>119</v>
      </c>
      <c r="AB45" s="428">
        <f t="shared" si="12"/>
        <v>466</v>
      </c>
      <c r="AC45" s="666">
        <f t="shared" si="13"/>
        <v>1782</v>
      </c>
    </row>
    <row r="46" spans="1:29" s="31" customFormat="1" ht="21.75" customHeight="1" thickBot="1">
      <c r="A46" s="287" t="s">
        <v>1496</v>
      </c>
      <c r="B46" s="310" t="s">
        <v>1497</v>
      </c>
      <c r="C46" s="310">
        <f>SUM(C38:C45)</f>
        <v>382</v>
      </c>
      <c r="D46" s="310">
        <f aca="true" t="shared" si="15" ref="D46:AC46">SUM(D38:D45)</f>
        <v>3823</v>
      </c>
      <c r="E46" s="310">
        <f t="shared" si="15"/>
        <v>26</v>
      </c>
      <c r="F46" s="310">
        <f t="shared" si="15"/>
        <v>256</v>
      </c>
      <c r="G46" s="664">
        <f>SUM(G38:G45)</f>
        <v>874</v>
      </c>
      <c r="H46" s="664">
        <f>SUM(H38:H45)</f>
        <v>874</v>
      </c>
      <c r="I46" s="664">
        <f t="shared" si="15"/>
        <v>461</v>
      </c>
      <c r="J46" s="310">
        <f t="shared" si="15"/>
        <v>1385</v>
      </c>
      <c r="K46" s="310">
        <f t="shared" si="15"/>
        <v>2927</v>
      </c>
      <c r="L46" s="310">
        <f t="shared" si="15"/>
        <v>0</v>
      </c>
      <c r="M46" s="384">
        <f t="shared" si="15"/>
        <v>11008</v>
      </c>
      <c r="N46" s="404">
        <f t="shared" si="15"/>
        <v>13847</v>
      </c>
      <c r="O46" s="398">
        <f t="shared" si="15"/>
        <v>0</v>
      </c>
      <c r="P46" s="398">
        <f t="shared" si="15"/>
        <v>0</v>
      </c>
      <c r="Q46" s="398">
        <f t="shared" si="15"/>
        <v>0</v>
      </c>
      <c r="R46" s="398">
        <f t="shared" si="15"/>
        <v>0</v>
      </c>
      <c r="S46" s="399">
        <f t="shared" si="15"/>
        <v>13847</v>
      </c>
      <c r="T46" s="404">
        <f t="shared" si="15"/>
        <v>1194</v>
      </c>
      <c r="U46" s="404">
        <f t="shared" si="15"/>
        <v>614</v>
      </c>
      <c r="V46" s="404">
        <f t="shared" si="15"/>
        <v>26</v>
      </c>
      <c r="W46" s="398">
        <f t="shared" si="15"/>
        <v>1044</v>
      </c>
      <c r="X46" s="399">
        <f t="shared" si="15"/>
        <v>2878</v>
      </c>
      <c r="Y46" s="404">
        <f t="shared" si="15"/>
        <v>14043</v>
      </c>
      <c r="Z46" s="398">
        <f t="shared" si="15"/>
        <v>24</v>
      </c>
      <c r="AA46" s="398">
        <f t="shared" si="15"/>
        <v>2747</v>
      </c>
      <c r="AB46" s="399">
        <f t="shared" si="15"/>
        <v>16814</v>
      </c>
      <c r="AC46" s="668">
        <f t="shared" si="15"/>
        <v>44547</v>
      </c>
    </row>
    <row r="47" spans="25:28" ht="15.75">
      <c r="Y47" s="158">
        <f>SUM(Y39:Y46)</f>
        <v>14927</v>
      </c>
      <c r="Z47" s="158">
        <f>SUM(Z39:Z46)</f>
        <v>48</v>
      </c>
      <c r="AA47" s="158">
        <f>SUM(AA39:AA46)</f>
        <v>3070</v>
      </c>
      <c r="AB47" s="158">
        <f>Y47+Z47+AA47</f>
        <v>18045</v>
      </c>
    </row>
    <row r="48" spans="3:27" ht="15.75">
      <c r="C48" s="63" t="s">
        <v>718</v>
      </c>
      <c r="D48" s="10" t="s">
        <v>407</v>
      </c>
      <c r="E48" s="10"/>
      <c r="F48" s="10"/>
      <c r="G48" s="10" t="s">
        <v>721</v>
      </c>
      <c r="H48" s="10"/>
      <c r="I48" s="10" t="s">
        <v>722</v>
      </c>
      <c r="J48" s="10" t="s">
        <v>725</v>
      </c>
      <c r="K48" s="10" t="s">
        <v>726</v>
      </c>
      <c r="L48" s="10"/>
      <c r="N48" s="44" t="s">
        <v>406</v>
      </c>
      <c r="T48" s="10" t="s">
        <v>729</v>
      </c>
      <c r="W48" s="10" t="s">
        <v>730</v>
      </c>
      <c r="Y48" s="10" t="s">
        <v>727</v>
      </c>
      <c r="AA48" s="10" t="s">
        <v>728</v>
      </c>
    </row>
    <row r="49" spans="2:14" ht="15.75">
      <c r="B49" s="63" t="s">
        <v>723</v>
      </c>
      <c r="D49" s="10">
        <v>0</v>
      </c>
      <c r="E49" s="10"/>
      <c r="F49" s="10"/>
      <c r="G49" s="10"/>
      <c r="H49" s="10"/>
      <c r="I49" s="237"/>
      <c r="J49" s="10" t="s">
        <v>508</v>
      </c>
      <c r="K49" s="10" t="s">
        <v>508</v>
      </c>
      <c r="L49" s="10"/>
      <c r="N49" s="44" t="s">
        <v>859</v>
      </c>
    </row>
    <row r="50" ht="15.75" customHeight="1">
      <c r="B50" s="63" t="s">
        <v>724</v>
      </c>
    </row>
  </sheetData>
  <mergeCells count="7">
    <mergeCell ref="AC1:AC3"/>
    <mergeCell ref="Y1:AB1"/>
    <mergeCell ref="A1:A2"/>
    <mergeCell ref="B1:B2"/>
    <mergeCell ref="N1:S1"/>
    <mergeCell ref="T1:X1"/>
    <mergeCell ref="C1:M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3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P84"/>
  <sheetViews>
    <sheetView view="pageBreakPreview" zoomScale="60" workbookViewId="0" topLeftCell="AD56">
      <selection activeCell="AN5" sqref="AN5"/>
    </sheetView>
  </sheetViews>
  <sheetFormatPr defaultColWidth="9.140625" defaultRowHeight="12.75"/>
  <cols>
    <col min="1" max="1" width="10.00390625" style="61" customWidth="1"/>
    <col min="2" max="2" width="4.7109375" style="44" hidden="1" customWidth="1"/>
    <col min="3" max="3" width="56.57421875" style="63" customWidth="1"/>
    <col min="4" max="4" width="37.8515625" style="63" customWidth="1"/>
    <col min="5" max="5" width="14.57421875" style="63" customWidth="1"/>
    <col min="6" max="7" width="14.57421875" style="63" hidden="1" customWidth="1"/>
    <col min="8" max="8" width="14.57421875" style="63" customWidth="1"/>
    <col min="9" max="14" width="12.7109375" style="63" customWidth="1"/>
    <col min="15" max="16" width="12.7109375" style="63" hidden="1" customWidth="1"/>
    <col min="17" max="19" width="12.7109375" style="63" customWidth="1"/>
    <col min="20" max="20" width="12.7109375" style="63" hidden="1" customWidth="1"/>
    <col min="21" max="23" width="12.7109375" style="159" customWidth="1"/>
    <col min="24" max="25" width="12.7109375" style="61" customWidth="1"/>
    <col min="26" max="27" width="12.7109375" style="178" hidden="1" customWidth="1"/>
    <col min="28" max="32" width="12.7109375" style="61" customWidth="1"/>
    <col min="33" max="33" width="12.7109375" style="61" hidden="1" customWidth="1"/>
    <col min="34" max="34" width="12.7109375" style="61" customWidth="1"/>
    <col min="35" max="35" width="12.7109375" style="61" hidden="1" customWidth="1"/>
    <col min="36" max="36" width="12.7109375" style="466" customWidth="1"/>
    <col min="37" max="38" width="12.7109375" style="61" customWidth="1"/>
    <col min="39" max="39" width="12.7109375" style="61" hidden="1" customWidth="1"/>
    <col min="40" max="43" width="12.7109375" style="61" customWidth="1"/>
    <col min="44" max="44" width="12.7109375" style="61" hidden="1" customWidth="1"/>
    <col min="45" max="45" width="14.421875" style="61" customWidth="1"/>
    <col min="46" max="46" width="13.00390625" style="61" customWidth="1"/>
    <col min="47" max="48" width="12.7109375" style="61" hidden="1" customWidth="1"/>
    <col min="49" max="50" width="12.7109375" style="61" customWidth="1"/>
    <col min="51" max="51" width="12.7109375" style="61" hidden="1" customWidth="1"/>
    <col min="52" max="52" width="12.7109375" style="61" customWidth="1"/>
    <col min="53" max="54" width="12.7109375" style="61" hidden="1" customWidth="1"/>
    <col min="55" max="55" width="14.8515625" style="61" customWidth="1"/>
    <col min="56" max="60" width="12.7109375" style="61" customWidth="1"/>
    <col min="61" max="63" width="12.7109375" style="143" customWidth="1"/>
    <col min="64" max="65" width="12.7109375" style="61" customWidth="1"/>
    <col min="66" max="66" width="29.7109375" style="143" customWidth="1"/>
    <col min="67" max="74" width="12.7109375" style="61" customWidth="1"/>
    <col min="75" max="75" width="15.7109375" style="61" customWidth="1"/>
    <col min="76" max="76" width="12.7109375" style="61" customWidth="1"/>
    <col min="77" max="16384" width="9.140625" style="61" customWidth="1"/>
  </cols>
  <sheetData>
    <row r="1" spans="1:65" ht="94.5" hidden="1">
      <c r="A1" s="191"/>
      <c r="B1" s="182"/>
      <c r="C1" s="300" t="s">
        <v>228</v>
      </c>
      <c r="D1" s="300"/>
      <c r="E1" s="288" t="s">
        <v>1357</v>
      </c>
      <c r="F1" s="288" t="s">
        <v>560</v>
      </c>
      <c r="G1" s="204" t="s">
        <v>850</v>
      </c>
      <c r="H1" s="204"/>
      <c r="I1" s="335" t="s">
        <v>144</v>
      </c>
      <c r="J1" s="335" t="s">
        <v>221</v>
      </c>
      <c r="K1" s="335" t="s">
        <v>561</v>
      </c>
      <c r="L1" s="335" t="s">
        <v>563</v>
      </c>
      <c r="M1" s="335" t="s">
        <v>145</v>
      </c>
      <c r="N1" s="335" t="s">
        <v>146</v>
      </c>
      <c r="O1" s="335" t="s">
        <v>564</v>
      </c>
      <c r="P1" s="302" t="s">
        <v>568</v>
      </c>
      <c r="Q1" s="302"/>
      <c r="R1" s="302"/>
      <c r="S1" s="335" t="s">
        <v>981</v>
      </c>
      <c r="T1" s="335" t="s">
        <v>565</v>
      </c>
      <c r="U1" s="302" t="s">
        <v>982</v>
      </c>
      <c r="V1" s="302" t="s">
        <v>591</v>
      </c>
      <c r="W1" s="302" t="s">
        <v>566</v>
      </c>
      <c r="X1" s="302" t="s">
        <v>983</v>
      </c>
      <c r="Y1" s="302" t="s">
        <v>984</v>
      </c>
      <c r="Z1" s="303" t="s">
        <v>525</v>
      </c>
      <c r="AA1" s="303" t="s">
        <v>763</v>
      </c>
      <c r="AB1" s="302" t="s">
        <v>567</v>
      </c>
      <c r="AC1" s="302" t="s">
        <v>1164</v>
      </c>
      <c r="AD1" s="302" t="s">
        <v>570</v>
      </c>
      <c r="AE1" s="302"/>
      <c r="AF1" s="302" t="s">
        <v>571</v>
      </c>
      <c r="AG1" s="302"/>
      <c r="AH1" s="302" t="s">
        <v>985</v>
      </c>
      <c r="AI1" s="302"/>
      <c r="AJ1" s="461"/>
      <c r="AK1" s="306" t="s">
        <v>923</v>
      </c>
      <c r="AL1" s="306" t="s">
        <v>231</v>
      </c>
      <c r="AM1" s="306" t="s">
        <v>231</v>
      </c>
      <c r="AN1" s="306"/>
      <c r="AO1" s="306" t="s">
        <v>232</v>
      </c>
      <c r="AP1" s="336" t="s">
        <v>71</v>
      </c>
      <c r="AQ1" s="337" t="s">
        <v>72</v>
      </c>
      <c r="AR1" s="302" t="s">
        <v>985</v>
      </c>
      <c r="AS1" s="314" t="s">
        <v>598</v>
      </c>
      <c r="AT1" s="333" t="s">
        <v>1202</v>
      </c>
      <c r="AU1" s="162" t="s">
        <v>564</v>
      </c>
      <c r="AV1" s="161" t="s">
        <v>568</v>
      </c>
      <c r="AW1" s="161" t="s">
        <v>982</v>
      </c>
      <c r="AX1" s="161" t="s">
        <v>569</v>
      </c>
      <c r="AY1" s="548" t="s">
        <v>590</v>
      </c>
      <c r="AZ1" s="555" t="s">
        <v>965</v>
      </c>
      <c r="BA1" s="157" t="s">
        <v>1202</v>
      </c>
      <c r="BB1" s="244" t="s">
        <v>1226</v>
      </c>
      <c r="BC1" s="244" t="s">
        <v>595</v>
      </c>
      <c r="BD1" s="243" t="s">
        <v>596</v>
      </c>
      <c r="BE1" s="242" t="s">
        <v>597</v>
      </c>
      <c r="BF1" s="242" t="s">
        <v>1227</v>
      </c>
      <c r="BG1" s="161" t="s">
        <v>986</v>
      </c>
      <c r="BH1" s="161" t="s">
        <v>987</v>
      </c>
      <c r="BI1" s="240" t="s">
        <v>965</v>
      </c>
      <c r="BJ1" s="161" t="s">
        <v>225</v>
      </c>
      <c r="BK1" s="161" t="s">
        <v>226</v>
      </c>
      <c r="BL1" s="161" t="s">
        <v>227</v>
      </c>
      <c r="BM1" s="240" t="s">
        <v>965</v>
      </c>
    </row>
    <row r="2" spans="1:45" ht="16.5" thickBot="1">
      <c r="A2" s="191"/>
      <c r="B2" s="182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87"/>
      <c r="V2" s="187"/>
      <c r="W2" s="187"/>
      <c r="X2" s="191"/>
      <c r="Y2" s="191"/>
      <c r="Z2" s="338"/>
      <c r="AA2" s="338"/>
      <c r="AB2" s="191"/>
      <c r="AC2" s="191"/>
      <c r="AD2" s="191"/>
      <c r="AE2" s="191"/>
      <c r="AF2" s="191"/>
      <c r="AG2" s="191"/>
      <c r="AH2" s="191"/>
      <c r="AI2" s="191"/>
      <c r="AJ2" s="462"/>
      <c r="AK2" s="191"/>
      <c r="AL2" s="191"/>
      <c r="AM2" s="191"/>
      <c r="AN2" s="191"/>
      <c r="AO2" s="191"/>
      <c r="AP2" s="191"/>
      <c r="AQ2" s="191"/>
      <c r="AR2" s="191"/>
      <c r="AS2" s="191"/>
    </row>
    <row r="3" spans="1:66" s="10" customFormat="1" ht="15.75">
      <c r="A3" s="769" t="s">
        <v>230</v>
      </c>
      <c r="B3" s="698"/>
      <c r="C3" s="765" t="s">
        <v>229</v>
      </c>
      <c r="D3" s="766"/>
      <c r="E3" s="196"/>
      <c r="F3" s="196"/>
      <c r="G3" s="196"/>
      <c r="H3" s="196"/>
      <c r="I3" s="774" t="s">
        <v>1086</v>
      </c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/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4"/>
      <c r="AS3" s="775"/>
      <c r="AT3" s="760" t="s">
        <v>589</v>
      </c>
      <c r="AU3" s="777"/>
      <c r="AV3" s="777"/>
      <c r="AW3" s="777"/>
      <c r="AX3" s="777"/>
      <c r="AY3" s="777"/>
      <c r="AZ3" s="779"/>
      <c r="BA3" s="776" t="s">
        <v>1530</v>
      </c>
      <c r="BB3" s="777"/>
      <c r="BC3" s="777"/>
      <c r="BD3" s="777"/>
      <c r="BE3" s="777"/>
      <c r="BF3" s="777"/>
      <c r="BG3" s="777"/>
      <c r="BH3" s="777"/>
      <c r="BI3" s="778"/>
      <c r="BJ3" s="757" t="s">
        <v>224</v>
      </c>
      <c r="BK3" s="758"/>
      <c r="BL3" s="758"/>
      <c r="BM3" s="758"/>
      <c r="BN3" s="772" t="s">
        <v>562</v>
      </c>
    </row>
    <row r="4" spans="1:68" s="19" customFormat="1" ht="144" customHeight="1">
      <c r="A4" s="770"/>
      <c r="B4" s="698"/>
      <c r="C4" s="767"/>
      <c r="D4" s="768"/>
      <c r="E4" s="288" t="s">
        <v>891</v>
      </c>
      <c r="F4" s="288">
        <v>0</v>
      </c>
      <c r="G4" s="204" t="s">
        <v>850</v>
      </c>
      <c r="H4" s="288" t="s">
        <v>1139</v>
      </c>
      <c r="I4" s="335" t="s">
        <v>892</v>
      </c>
      <c r="J4" s="335" t="s">
        <v>893</v>
      </c>
      <c r="K4" s="335" t="s">
        <v>894</v>
      </c>
      <c r="L4" s="335" t="s">
        <v>909</v>
      </c>
      <c r="M4" s="302" t="s">
        <v>1146</v>
      </c>
      <c r="N4" s="335" t="s">
        <v>902</v>
      </c>
      <c r="O4" s="335" t="s">
        <v>564</v>
      </c>
      <c r="P4" s="302"/>
      <c r="Q4" s="161" t="s">
        <v>90</v>
      </c>
      <c r="R4" s="199" t="s">
        <v>89</v>
      </c>
      <c r="S4" s="335" t="s">
        <v>903</v>
      </c>
      <c r="T4" s="335"/>
      <c r="U4" s="302" t="s">
        <v>959</v>
      </c>
      <c r="V4" s="302" t="s">
        <v>904</v>
      </c>
      <c r="W4" s="302" t="s">
        <v>905</v>
      </c>
      <c r="X4" s="302" t="s">
        <v>906</v>
      </c>
      <c r="Y4" s="302" t="s">
        <v>69</v>
      </c>
      <c r="Z4" s="303" t="s">
        <v>525</v>
      </c>
      <c r="AA4" s="303" t="s">
        <v>763</v>
      </c>
      <c r="AB4" s="302" t="s">
        <v>910</v>
      </c>
      <c r="AC4" s="302" t="s">
        <v>960</v>
      </c>
      <c r="AD4" s="161" t="s">
        <v>1501</v>
      </c>
      <c r="AE4" s="302" t="s">
        <v>1500</v>
      </c>
      <c r="AF4" s="302" t="s">
        <v>70</v>
      </c>
      <c r="AG4" s="302" t="s">
        <v>51</v>
      </c>
      <c r="AH4" s="302" t="s">
        <v>73</v>
      </c>
      <c r="AI4" s="302" t="s">
        <v>1506</v>
      </c>
      <c r="AJ4" s="631" t="s">
        <v>765</v>
      </c>
      <c r="AK4" s="632" t="s">
        <v>74</v>
      </c>
      <c r="AL4" s="632" t="s">
        <v>690</v>
      </c>
      <c r="AM4" s="632" t="s">
        <v>921</v>
      </c>
      <c r="AN4" s="632" t="s">
        <v>691</v>
      </c>
      <c r="AO4" s="632" t="s">
        <v>922</v>
      </c>
      <c r="AP4" s="645" t="s">
        <v>924</v>
      </c>
      <c r="AQ4" s="645" t="s">
        <v>925</v>
      </c>
      <c r="AR4" s="302" t="s">
        <v>985</v>
      </c>
      <c r="AS4" s="380" t="s">
        <v>598</v>
      </c>
      <c r="AT4" s="385" t="s">
        <v>1160</v>
      </c>
      <c r="AU4" s="304"/>
      <c r="AV4" s="302"/>
      <c r="AW4" s="302" t="s">
        <v>912</v>
      </c>
      <c r="AX4" s="302" t="s">
        <v>911</v>
      </c>
      <c r="AY4" s="302"/>
      <c r="AZ4" s="425" t="s">
        <v>965</v>
      </c>
      <c r="BA4" s="354" t="s">
        <v>902</v>
      </c>
      <c r="BB4" s="549" t="s">
        <v>905</v>
      </c>
      <c r="BC4" s="302" t="s">
        <v>905</v>
      </c>
      <c r="BD4" s="302" t="s">
        <v>911</v>
      </c>
      <c r="BE4" s="302" t="s">
        <v>916</v>
      </c>
      <c r="BF4" s="302" t="s">
        <v>913</v>
      </c>
      <c r="BG4" s="302" t="s">
        <v>914</v>
      </c>
      <c r="BH4" s="302" t="s">
        <v>915</v>
      </c>
      <c r="BI4" s="380" t="s">
        <v>965</v>
      </c>
      <c r="BJ4" s="407" t="s">
        <v>689</v>
      </c>
      <c r="BK4" s="302" t="s">
        <v>688</v>
      </c>
      <c r="BL4" s="302" t="s">
        <v>919</v>
      </c>
      <c r="BM4" s="314" t="s">
        <v>965</v>
      </c>
      <c r="BN4" s="773"/>
      <c r="BO4" s="157"/>
      <c r="BP4" s="157"/>
    </row>
    <row r="5" spans="1:68" s="19" customFormat="1" ht="250.5" customHeight="1">
      <c r="A5" s="771"/>
      <c r="B5" s="182"/>
      <c r="C5" s="763" t="s">
        <v>1510</v>
      </c>
      <c r="D5" s="764"/>
      <c r="E5" s="288"/>
      <c r="F5" s="288"/>
      <c r="G5" s="204"/>
      <c r="H5" s="204" t="s">
        <v>678</v>
      </c>
      <c r="I5" s="335"/>
      <c r="J5" s="335" t="s">
        <v>961</v>
      </c>
      <c r="K5" s="335" t="s">
        <v>962</v>
      </c>
      <c r="L5" s="335" t="s">
        <v>963</v>
      </c>
      <c r="M5" s="303"/>
      <c r="N5" s="335" t="s">
        <v>88</v>
      </c>
      <c r="O5" s="335"/>
      <c r="P5" s="302"/>
      <c r="Q5" s="302" t="s">
        <v>953</v>
      </c>
      <c r="R5" s="302" t="s">
        <v>946</v>
      </c>
      <c r="S5" s="335" t="s">
        <v>87</v>
      </c>
      <c r="T5" s="335"/>
      <c r="U5" s="302"/>
      <c r="V5" s="302"/>
      <c r="W5" s="302" t="s">
        <v>1511</v>
      </c>
      <c r="X5" s="302"/>
      <c r="Y5" s="302" t="s">
        <v>686</v>
      </c>
      <c r="Z5" s="303"/>
      <c r="AA5" s="303"/>
      <c r="AB5" s="302"/>
      <c r="AC5" s="302"/>
      <c r="AD5" s="302" t="s">
        <v>1502</v>
      </c>
      <c r="AE5" s="302"/>
      <c r="AF5" s="302" t="s">
        <v>1503</v>
      </c>
      <c r="AG5" s="302"/>
      <c r="AH5" s="302"/>
      <c r="AI5" s="302" t="s">
        <v>1507</v>
      </c>
      <c r="AJ5" s="633"/>
      <c r="AK5" s="632"/>
      <c r="AL5" s="632"/>
      <c r="AM5" s="632"/>
      <c r="AN5" s="632"/>
      <c r="AO5" s="632"/>
      <c r="AP5" s="645"/>
      <c r="AQ5" s="645"/>
      <c r="AR5" s="302"/>
      <c r="AS5" s="380"/>
      <c r="AT5" s="385"/>
      <c r="AU5" s="304"/>
      <c r="AV5" s="302"/>
      <c r="AW5" s="630" t="s">
        <v>687</v>
      </c>
      <c r="AX5" s="302"/>
      <c r="AY5" s="302"/>
      <c r="AZ5" s="425"/>
      <c r="BA5" s="354"/>
      <c r="BB5" s="549"/>
      <c r="BC5" s="302" t="s">
        <v>1118</v>
      </c>
      <c r="BD5" s="302"/>
      <c r="BE5" s="302" t="s">
        <v>1117</v>
      </c>
      <c r="BF5" s="302"/>
      <c r="BG5" s="302"/>
      <c r="BH5" s="630" t="s">
        <v>1116</v>
      </c>
      <c r="BI5" s="380"/>
      <c r="BJ5" s="407"/>
      <c r="BK5" s="302"/>
      <c r="BL5" s="302"/>
      <c r="BM5" s="314"/>
      <c r="BN5" s="408"/>
      <c r="BO5" s="157"/>
      <c r="BP5" s="157"/>
    </row>
    <row r="6" spans="1:66" ht="22.5" customHeight="1">
      <c r="A6" s="191" t="s">
        <v>234</v>
      </c>
      <c r="B6" s="182" t="s">
        <v>531</v>
      </c>
      <c r="C6" s="196" t="s">
        <v>839</v>
      </c>
      <c r="D6" s="196"/>
      <c r="E6" s="196"/>
      <c r="F6" s="196"/>
      <c r="G6" s="196"/>
      <c r="H6" s="196"/>
      <c r="I6" s="339">
        <v>0</v>
      </c>
      <c r="J6" s="339">
        <v>0</v>
      </c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206">
        <v>0</v>
      </c>
      <c r="V6" s="206"/>
      <c r="W6" s="206"/>
      <c r="X6" s="189">
        <v>0</v>
      </c>
      <c r="Y6" s="189">
        <v>0</v>
      </c>
      <c r="Z6" s="294"/>
      <c r="AA6" s="294"/>
      <c r="AB6" s="189"/>
      <c r="AC6" s="189"/>
      <c r="AD6" s="189"/>
      <c r="AE6" s="189"/>
      <c r="AF6" s="189"/>
      <c r="AG6" s="189"/>
      <c r="AH6" s="189"/>
      <c r="AI6" s="189"/>
      <c r="AJ6" s="634"/>
      <c r="AK6" s="635"/>
      <c r="AL6" s="635">
        <v>2</v>
      </c>
      <c r="AM6" s="635"/>
      <c r="AN6" s="635">
        <v>3</v>
      </c>
      <c r="AO6" s="635"/>
      <c r="AP6" s="646"/>
      <c r="AQ6" s="646"/>
      <c r="AR6" s="189"/>
      <c r="AS6" s="381">
        <f>SUM(E6:AQ6)</f>
        <v>5</v>
      </c>
      <c r="AT6" s="386"/>
      <c r="AU6" s="186"/>
      <c r="AV6" s="186"/>
      <c r="AW6" s="189"/>
      <c r="AX6" s="189"/>
      <c r="AY6" s="186"/>
      <c r="AZ6" s="387">
        <f>SUM(AT6:AX6)</f>
        <v>0</v>
      </c>
      <c r="BA6" s="48"/>
      <c r="BB6" s="550"/>
      <c r="BC6" s="186"/>
      <c r="BD6" s="186"/>
      <c r="BE6" s="186"/>
      <c r="BF6" s="186"/>
      <c r="BG6" s="189">
        <v>0</v>
      </c>
      <c r="BH6" s="189">
        <v>0</v>
      </c>
      <c r="BI6" s="381">
        <f aca="true" t="shared" si="0" ref="BI6:BI12">SUM(BA6:BH6)</f>
        <v>0</v>
      </c>
      <c r="BJ6" s="390">
        <v>7</v>
      </c>
      <c r="BK6" s="189"/>
      <c r="BL6" s="189">
        <v>15</v>
      </c>
      <c r="BM6" s="189">
        <f aca="true" t="shared" si="1" ref="BM6:BM19">BJ6+BK6+BL6</f>
        <v>22</v>
      </c>
      <c r="BN6" s="387">
        <f aca="true" t="shared" si="2" ref="BN6:BN69">+BI6+AS6+AZ6+BM6</f>
        <v>27</v>
      </c>
    </row>
    <row r="7" spans="1:66" ht="22.5" customHeight="1">
      <c r="A7" s="191" t="s">
        <v>233</v>
      </c>
      <c r="B7" s="182" t="s">
        <v>546</v>
      </c>
      <c r="C7" s="196" t="s">
        <v>840</v>
      </c>
      <c r="D7" s="196"/>
      <c r="E7" s="196"/>
      <c r="F7" s="196"/>
      <c r="G7" s="196"/>
      <c r="H7" s="196"/>
      <c r="I7" s="339">
        <v>0</v>
      </c>
      <c r="J7" s="339">
        <v>0</v>
      </c>
      <c r="K7" s="339"/>
      <c r="L7" s="339"/>
      <c r="M7" s="339"/>
      <c r="N7" s="339"/>
      <c r="O7" s="339"/>
      <c r="P7" s="339"/>
      <c r="Q7" s="339"/>
      <c r="R7" s="339"/>
      <c r="S7" s="339">
        <v>25</v>
      </c>
      <c r="T7" s="339"/>
      <c r="U7" s="206"/>
      <c r="V7" s="206"/>
      <c r="W7" s="206"/>
      <c r="X7" s="189">
        <v>0</v>
      </c>
      <c r="Y7" s="189"/>
      <c r="Z7" s="294"/>
      <c r="AA7" s="294"/>
      <c r="AB7" s="189"/>
      <c r="AC7" s="189"/>
      <c r="AD7" s="189"/>
      <c r="AE7" s="189"/>
      <c r="AF7" s="189"/>
      <c r="AG7" s="189"/>
      <c r="AH7" s="189"/>
      <c r="AI7" s="189"/>
      <c r="AJ7" s="634"/>
      <c r="AK7" s="635"/>
      <c r="AL7" s="635">
        <v>30</v>
      </c>
      <c r="AM7" s="635"/>
      <c r="AN7" s="635">
        <v>30</v>
      </c>
      <c r="AO7" s="635"/>
      <c r="AP7" s="646"/>
      <c r="AQ7" s="646"/>
      <c r="AR7" s="189"/>
      <c r="AS7" s="381">
        <f aca="true" t="shared" si="3" ref="AS7:AS18">SUM(E7:AR7)</f>
        <v>85</v>
      </c>
      <c r="AT7" s="386"/>
      <c r="AU7" s="186"/>
      <c r="AV7" s="186"/>
      <c r="AW7" s="189"/>
      <c r="AX7" s="189"/>
      <c r="AY7" s="186"/>
      <c r="AZ7" s="387">
        <f aca="true" t="shared" si="4" ref="AZ7:AZ19">SUM(AT7:AX7)</f>
        <v>0</v>
      </c>
      <c r="BA7" s="48"/>
      <c r="BB7" s="550"/>
      <c r="BC7" s="186"/>
      <c r="BD7" s="186"/>
      <c r="BE7" s="186"/>
      <c r="BF7" s="186"/>
      <c r="BG7" s="189">
        <v>0</v>
      </c>
      <c r="BH7" s="189">
        <v>5</v>
      </c>
      <c r="BI7" s="381">
        <f t="shared" si="0"/>
        <v>5</v>
      </c>
      <c r="BJ7" s="390"/>
      <c r="BK7" s="189"/>
      <c r="BL7" s="189"/>
      <c r="BM7" s="189">
        <f t="shared" si="1"/>
        <v>0</v>
      </c>
      <c r="BN7" s="387">
        <f t="shared" si="2"/>
        <v>90</v>
      </c>
    </row>
    <row r="8" spans="1:66" ht="22.5" customHeight="1">
      <c r="A8" s="191" t="s">
        <v>235</v>
      </c>
      <c r="B8" s="182" t="s">
        <v>548</v>
      </c>
      <c r="C8" s="196" t="s">
        <v>841</v>
      </c>
      <c r="D8" s="196" t="s">
        <v>685</v>
      </c>
      <c r="E8" s="196"/>
      <c r="F8" s="196"/>
      <c r="G8" s="196"/>
      <c r="H8" s="196"/>
      <c r="I8" s="339">
        <v>0</v>
      </c>
      <c r="J8" s="339">
        <v>0</v>
      </c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206">
        <v>0</v>
      </c>
      <c r="V8" s="206"/>
      <c r="W8" s="206"/>
      <c r="X8" s="189">
        <v>0</v>
      </c>
      <c r="Y8" s="189"/>
      <c r="Z8" s="294"/>
      <c r="AA8" s="294"/>
      <c r="AB8" s="189"/>
      <c r="AC8" s="189"/>
      <c r="AD8" s="189"/>
      <c r="AE8" s="189"/>
      <c r="AF8" s="189"/>
      <c r="AG8" s="189"/>
      <c r="AH8" s="189"/>
      <c r="AI8" s="189"/>
      <c r="AJ8" s="634"/>
      <c r="AK8" s="635"/>
      <c r="AL8" s="635"/>
      <c r="AM8" s="635"/>
      <c r="AN8" s="635"/>
      <c r="AO8" s="635"/>
      <c r="AP8" s="646"/>
      <c r="AQ8" s="646"/>
      <c r="AR8" s="189"/>
      <c r="AS8" s="381">
        <f t="shared" si="3"/>
        <v>0</v>
      </c>
      <c r="AT8" s="386"/>
      <c r="AU8" s="186"/>
      <c r="AV8" s="186"/>
      <c r="AW8" s="189">
        <v>10</v>
      </c>
      <c r="AX8" s="189"/>
      <c r="AY8" s="186"/>
      <c r="AZ8" s="387">
        <f t="shared" si="4"/>
        <v>10</v>
      </c>
      <c r="BA8" s="48"/>
      <c r="BB8" s="550"/>
      <c r="BC8" s="186"/>
      <c r="BD8" s="186"/>
      <c r="BE8" s="186"/>
      <c r="BF8" s="189">
        <v>366</v>
      </c>
      <c r="BG8" s="189">
        <v>0</v>
      </c>
      <c r="BH8" s="189">
        <v>35</v>
      </c>
      <c r="BI8" s="381">
        <f t="shared" si="0"/>
        <v>401</v>
      </c>
      <c r="BJ8" s="390">
        <v>150</v>
      </c>
      <c r="BK8" s="189"/>
      <c r="BL8" s="189">
        <v>20</v>
      </c>
      <c r="BM8" s="189">
        <f t="shared" si="1"/>
        <v>170</v>
      </c>
      <c r="BN8" s="387">
        <f t="shared" si="2"/>
        <v>581</v>
      </c>
    </row>
    <row r="9" spans="1:66" ht="22.5" customHeight="1">
      <c r="A9" s="191" t="s">
        <v>236</v>
      </c>
      <c r="B9" s="182" t="s">
        <v>549</v>
      </c>
      <c r="C9" s="196" t="s">
        <v>842</v>
      </c>
      <c r="D9" s="196"/>
      <c r="E9" s="196"/>
      <c r="F9" s="196"/>
      <c r="G9" s="196"/>
      <c r="H9" s="196"/>
      <c r="I9" s="339">
        <v>0</v>
      </c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206">
        <v>0</v>
      </c>
      <c r="V9" s="206"/>
      <c r="W9" s="206"/>
      <c r="X9" s="189">
        <v>0</v>
      </c>
      <c r="Y9" s="189"/>
      <c r="Z9" s="294"/>
      <c r="AA9" s="294"/>
      <c r="AB9" s="189"/>
      <c r="AC9" s="189"/>
      <c r="AD9" s="189"/>
      <c r="AE9" s="189"/>
      <c r="AF9" s="189"/>
      <c r="AG9" s="189"/>
      <c r="AH9" s="189"/>
      <c r="AI9" s="189"/>
      <c r="AJ9" s="634"/>
      <c r="AK9" s="635"/>
      <c r="AL9" s="635">
        <v>3</v>
      </c>
      <c r="AM9" s="635"/>
      <c r="AN9" s="635">
        <v>2</v>
      </c>
      <c r="AO9" s="635"/>
      <c r="AP9" s="646"/>
      <c r="AQ9" s="646"/>
      <c r="AR9" s="189"/>
      <c r="AS9" s="381">
        <f t="shared" si="3"/>
        <v>5</v>
      </c>
      <c r="AT9" s="386"/>
      <c r="AU9" s="186"/>
      <c r="AV9" s="186"/>
      <c r="AW9" s="189">
        <v>15</v>
      </c>
      <c r="AX9" s="189"/>
      <c r="AY9" s="186"/>
      <c r="AZ9" s="387">
        <f t="shared" si="4"/>
        <v>15</v>
      </c>
      <c r="BA9" s="48"/>
      <c r="BB9" s="550"/>
      <c r="BC9" s="186"/>
      <c r="BD9" s="186"/>
      <c r="BE9" s="186"/>
      <c r="BF9" s="186"/>
      <c r="BG9" s="189">
        <v>0</v>
      </c>
      <c r="BH9" s="189">
        <v>0</v>
      </c>
      <c r="BI9" s="381">
        <f t="shared" si="0"/>
        <v>0</v>
      </c>
      <c r="BJ9" s="390">
        <v>90</v>
      </c>
      <c r="BK9" s="189"/>
      <c r="BL9" s="189">
        <v>5</v>
      </c>
      <c r="BM9" s="189">
        <f t="shared" si="1"/>
        <v>95</v>
      </c>
      <c r="BN9" s="387">
        <f t="shared" si="2"/>
        <v>115</v>
      </c>
    </row>
    <row r="10" spans="1:66" ht="22.5" customHeight="1">
      <c r="A10" s="191" t="s">
        <v>237</v>
      </c>
      <c r="B10" s="182" t="s">
        <v>551</v>
      </c>
      <c r="C10" s="196" t="s">
        <v>843</v>
      </c>
      <c r="D10" s="196" t="s">
        <v>684</v>
      </c>
      <c r="E10" s="196"/>
      <c r="F10" s="196"/>
      <c r="G10" s="196"/>
      <c r="H10" s="196"/>
      <c r="I10" s="339">
        <v>0</v>
      </c>
      <c r="J10" s="339">
        <v>0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206">
        <v>0</v>
      </c>
      <c r="V10" s="206"/>
      <c r="W10" s="206"/>
      <c r="X10" s="189">
        <v>0</v>
      </c>
      <c r="Y10" s="189"/>
      <c r="Z10" s="294"/>
      <c r="AA10" s="294"/>
      <c r="AB10" s="189"/>
      <c r="AC10" s="189"/>
      <c r="AD10" s="189"/>
      <c r="AE10" s="189"/>
      <c r="AF10" s="189"/>
      <c r="AG10" s="189"/>
      <c r="AH10" s="189"/>
      <c r="AI10" s="189"/>
      <c r="AJ10" s="634"/>
      <c r="AK10" s="635"/>
      <c r="AL10" s="635">
        <v>2</v>
      </c>
      <c r="AM10" s="635"/>
      <c r="AN10" s="635">
        <v>3</v>
      </c>
      <c r="AO10" s="635"/>
      <c r="AP10" s="646"/>
      <c r="AQ10" s="646"/>
      <c r="AR10" s="189"/>
      <c r="AS10" s="381">
        <f t="shared" si="3"/>
        <v>5</v>
      </c>
      <c r="AT10" s="386"/>
      <c r="AU10" s="186"/>
      <c r="AV10" s="186"/>
      <c r="AW10" s="189">
        <v>385</v>
      </c>
      <c r="AX10" s="189"/>
      <c r="AY10" s="186"/>
      <c r="AZ10" s="387">
        <f t="shared" si="4"/>
        <v>385</v>
      </c>
      <c r="BA10" s="48"/>
      <c r="BB10" s="550"/>
      <c r="BC10" s="186"/>
      <c r="BD10" s="186"/>
      <c r="BE10" s="186"/>
      <c r="BF10" s="186"/>
      <c r="BG10" s="189">
        <v>0</v>
      </c>
      <c r="BH10" s="189">
        <v>0</v>
      </c>
      <c r="BI10" s="381">
        <f t="shared" si="0"/>
        <v>0</v>
      </c>
      <c r="BJ10" s="390">
        <v>10</v>
      </c>
      <c r="BK10" s="189"/>
      <c r="BL10" s="189"/>
      <c r="BM10" s="189">
        <f t="shared" si="1"/>
        <v>10</v>
      </c>
      <c r="BN10" s="387">
        <f t="shared" si="2"/>
        <v>400</v>
      </c>
    </row>
    <row r="11" spans="1:66" ht="32.25" customHeight="1">
      <c r="A11" s="191" t="s">
        <v>238</v>
      </c>
      <c r="B11" s="182" t="s">
        <v>552</v>
      </c>
      <c r="C11" s="196" t="s">
        <v>239</v>
      </c>
      <c r="D11" s="196" t="s">
        <v>951</v>
      </c>
      <c r="E11" s="196"/>
      <c r="F11" s="196"/>
      <c r="G11" s="196"/>
      <c r="H11" s="196"/>
      <c r="I11" s="339">
        <v>0</v>
      </c>
      <c r="J11" s="339">
        <v>0</v>
      </c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206">
        <v>0</v>
      </c>
      <c r="V11" s="206"/>
      <c r="W11" s="206"/>
      <c r="X11" s="189">
        <v>0</v>
      </c>
      <c r="Y11" s="189">
        <v>200</v>
      </c>
      <c r="Z11" s="294"/>
      <c r="AA11" s="294"/>
      <c r="AB11" s="189"/>
      <c r="AC11" s="189"/>
      <c r="AD11" s="189"/>
      <c r="AE11" s="189"/>
      <c r="AF11" s="189"/>
      <c r="AG11" s="189"/>
      <c r="AH11" s="189"/>
      <c r="AI11" s="189"/>
      <c r="AJ11" s="634"/>
      <c r="AK11" s="635"/>
      <c r="AL11" s="635"/>
      <c r="AM11" s="635"/>
      <c r="AN11" s="635"/>
      <c r="AO11" s="635"/>
      <c r="AP11" s="646"/>
      <c r="AQ11" s="646"/>
      <c r="AR11" s="189"/>
      <c r="AS11" s="381">
        <f t="shared" si="3"/>
        <v>200</v>
      </c>
      <c r="AT11" s="386">
        <v>125</v>
      </c>
      <c r="AU11" s="186"/>
      <c r="AV11" s="186"/>
      <c r="AW11" s="189">
        <v>50</v>
      </c>
      <c r="AX11" s="189"/>
      <c r="AY11" s="186"/>
      <c r="AZ11" s="387">
        <f t="shared" si="4"/>
        <v>175</v>
      </c>
      <c r="BA11" s="59"/>
      <c r="BB11" s="551"/>
      <c r="BC11" s="189">
        <v>400</v>
      </c>
      <c r="BD11" s="189"/>
      <c r="BE11" s="189">
        <v>100</v>
      </c>
      <c r="BF11" s="189"/>
      <c r="BG11" s="189">
        <v>50</v>
      </c>
      <c r="BH11" s="189">
        <v>50</v>
      </c>
      <c r="BI11" s="405">
        <f t="shared" si="0"/>
        <v>600</v>
      </c>
      <c r="BJ11" s="390">
        <v>450</v>
      </c>
      <c r="BK11" s="189"/>
      <c r="BL11" s="189">
        <v>150</v>
      </c>
      <c r="BM11" s="189">
        <f t="shared" si="1"/>
        <v>600</v>
      </c>
      <c r="BN11" s="387">
        <f t="shared" si="2"/>
        <v>1575</v>
      </c>
    </row>
    <row r="12" spans="1:66" ht="33.75" customHeight="1">
      <c r="A12" s="191" t="s">
        <v>240</v>
      </c>
      <c r="B12" s="182"/>
      <c r="C12" s="196" t="s">
        <v>1422</v>
      </c>
      <c r="D12" s="196" t="s">
        <v>952</v>
      </c>
      <c r="E12" s="196"/>
      <c r="F12" s="196"/>
      <c r="G12" s="196"/>
      <c r="H12" s="196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206"/>
      <c r="V12" s="206"/>
      <c r="W12" s="206"/>
      <c r="X12" s="189"/>
      <c r="Y12" s="189">
        <v>500</v>
      </c>
      <c r="Z12" s="294"/>
      <c r="AA12" s="294"/>
      <c r="AB12" s="189"/>
      <c r="AC12" s="189"/>
      <c r="AD12" s="189"/>
      <c r="AE12" s="189"/>
      <c r="AF12" s="189"/>
      <c r="AG12" s="189"/>
      <c r="AH12" s="189"/>
      <c r="AI12" s="189"/>
      <c r="AJ12" s="634"/>
      <c r="AK12" s="635"/>
      <c r="AL12" s="635"/>
      <c r="AM12" s="635"/>
      <c r="AN12" s="635"/>
      <c r="AO12" s="635"/>
      <c r="AP12" s="646"/>
      <c r="AQ12" s="646"/>
      <c r="AR12" s="189"/>
      <c r="AS12" s="381">
        <f t="shared" si="3"/>
        <v>500</v>
      </c>
      <c r="AT12" s="386"/>
      <c r="AU12" s="186"/>
      <c r="AV12" s="186"/>
      <c r="AW12" s="189">
        <v>150</v>
      </c>
      <c r="AX12" s="189"/>
      <c r="AY12" s="186"/>
      <c r="AZ12" s="387">
        <f t="shared" si="4"/>
        <v>150</v>
      </c>
      <c r="BA12" s="48"/>
      <c r="BB12" s="550"/>
      <c r="BC12" s="186"/>
      <c r="BD12" s="186"/>
      <c r="BE12" s="186"/>
      <c r="BF12" s="186"/>
      <c r="BG12" s="189"/>
      <c r="BH12" s="189"/>
      <c r="BI12" s="381">
        <f t="shared" si="0"/>
        <v>0</v>
      </c>
      <c r="BJ12" s="390">
        <v>500</v>
      </c>
      <c r="BK12" s="189"/>
      <c r="BL12" s="189">
        <v>260</v>
      </c>
      <c r="BM12" s="189">
        <f t="shared" si="1"/>
        <v>760</v>
      </c>
      <c r="BN12" s="387">
        <f t="shared" si="2"/>
        <v>1410</v>
      </c>
    </row>
    <row r="13" spans="1:66" ht="22.5" customHeight="1">
      <c r="A13" s="295" t="s">
        <v>242</v>
      </c>
      <c r="B13" s="182"/>
      <c r="C13" s="312" t="s">
        <v>241</v>
      </c>
      <c r="D13" s="312"/>
      <c r="E13" s="312">
        <f>SUM(E6:E12)</f>
        <v>0</v>
      </c>
      <c r="F13" s="312">
        <f aca="true" t="shared" si="5" ref="F13:AT13">SUM(F6:F12)</f>
        <v>0</v>
      </c>
      <c r="G13" s="312">
        <f t="shared" si="5"/>
        <v>0</v>
      </c>
      <c r="H13" s="312"/>
      <c r="I13" s="312">
        <f t="shared" si="5"/>
        <v>0</v>
      </c>
      <c r="J13" s="312">
        <f t="shared" si="5"/>
        <v>0</v>
      </c>
      <c r="K13" s="312">
        <f t="shared" si="5"/>
        <v>0</v>
      </c>
      <c r="L13" s="312">
        <f t="shared" si="5"/>
        <v>0</v>
      </c>
      <c r="M13" s="312">
        <f t="shared" si="5"/>
        <v>0</v>
      </c>
      <c r="N13" s="312">
        <f t="shared" si="5"/>
        <v>0</v>
      </c>
      <c r="O13" s="312">
        <f>SUM(O6:O12)</f>
        <v>0</v>
      </c>
      <c r="P13" s="312">
        <f>SUM(P6:P12)</f>
        <v>0</v>
      </c>
      <c r="Q13" s="312">
        <f>SUM(Q6:Q12)</f>
        <v>0</v>
      </c>
      <c r="R13" s="312">
        <f>SUM(R6:R12)</f>
        <v>0</v>
      </c>
      <c r="S13" s="312">
        <f t="shared" si="5"/>
        <v>25</v>
      </c>
      <c r="T13" s="312">
        <f t="shared" si="5"/>
        <v>0</v>
      </c>
      <c r="U13" s="312">
        <f t="shared" si="5"/>
        <v>0</v>
      </c>
      <c r="V13" s="312">
        <f t="shared" si="5"/>
        <v>0</v>
      </c>
      <c r="W13" s="312">
        <f t="shared" si="5"/>
        <v>0</v>
      </c>
      <c r="X13" s="312">
        <f t="shared" si="5"/>
        <v>0</v>
      </c>
      <c r="Y13" s="312">
        <f t="shared" si="5"/>
        <v>700</v>
      </c>
      <c r="Z13" s="312">
        <f t="shared" si="5"/>
        <v>0</v>
      </c>
      <c r="AA13" s="312">
        <f t="shared" si="5"/>
        <v>0</v>
      </c>
      <c r="AB13" s="312">
        <f t="shared" si="5"/>
        <v>0</v>
      </c>
      <c r="AC13" s="312">
        <f t="shared" si="5"/>
        <v>0</v>
      </c>
      <c r="AD13" s="312">
        <f t="shared" si="5"/>
        <v>0</v>
      </c>
      <c r="AE13" s="312">
        <f t="shared" si="5"/>
        <v>0</v>
      </c>
      <c r="AF13" s="312">
        <f t="shared" si="5"/>
        <v>0</v>
      </c>
      <c r="AG13" s="312"/>
      <c r="AH13" s="312">
        <f t="shared" si="5"/>
        <v>0</v>
      </c>
      <c r="AI13" s="312">
        <f t="shared" si="5"/>
        <v>0</v>
      </c>
      <c r="AJ13" s="636">
        <f t="shared" si="5"/>
        <v>0</v>
      </c>
      <c r="AK13" s="636">
        <f t="shared" si="5"/>
        <v>0</v>
      </c>
      <c r="AL13" s="636">
        <f>SUM(AL6:AL12)</f>
        <v>37</v>
      </c>
      <c r="AM13" s="636">
        <f>SUM(AM6:AM12)</f>
        <v>0</v>
      </c>
      <c r="AN13" s="636">
        <f>SUM(AN6:AN12)</f>
        <v>38</v>
      </c>
      <c r="AO13" s="636">
        <f t="shared" si="5"/>
        <v>0</v>
      </c>
      <c r="AP13" s="647">
        <f t="shared" si="5"/>
        <v>0</v>
      </c>
      <c r="AQ13" s="647">
        <f t="shared" si="5"/>
        <v>0</v>
      </c>
      <c r="AR13" s="312">
        <f t="shared" si="5"/>
        <v>0</v>
      </c>
      <c r="AS13" s="382">
        <f t="shared" si="5"/>
        <v>800</v>
      </c>
      <c r="AT13" s="388">
        <f t="shared" si="5"/>
        <v>125</v>
      </c>
      <c r="AU13" s="331">
        <f aca="true" t="shared" si="6" ref="AU13:BM13">SUM(AU6:AU12)</f>
        <v>0</v>
      </c>
      <c r="AV13" s="331">
        <f t="shared" si="6"/>
        <v>0</v>
      </c>
      <c r="AW13" s="331">
        <f t="shared" si="6"/>
        <v>610</v>
      </c>
      <c r="AX13" s="331">
        <f t="shared" si="6"/>
        <v>0</v>
      </c>
      <c r="AY13" s="331">
        <f t="shared" si="6"/>
        <v>0</v>
      </c>
      <c r="AZ13" s="570">
        <f t="shared" si="6"/>
        <v>735</v>
      </c>
      <c r="BA13" s="377">
        <f t="shared" si="6"/>
        <v>0</v>
      </c>
      <c r="BB13" s="552">
        <f t="shared" si="6"/>
        <v>0</v>
      </c>
      <c r="BC13" s="331">
        <f t="shared" si="6"/>
        <v>400</v>
      </c>
      <c r="BD13" s="331">
        <f t="shared" si="6"/>
        <v>0</v>
      </c>
      <c r="BE13" s="331">
        <f t="shared" si="6"/>
        <v>100</v>
      </c>
      <c r="BF13" s="331">
        <f t="shared" si="6"/>
        <v>366</v>
      </c>
      <c r="BG13" s="331">
        <f t="shared" si="6"/>
        <v>50</v>
      </c>
      <c r="BH13" s="331">
        <f t="shared" si="6"/>
        <v>90</v>
      </c>
      <c r="BI13" s="382">
        <f t="shared" si="6"/>
        <v>1006</v>
      </c>
      <c r="BJ13" s="388">
        <f t="shared" si="6"/>
        <v>1207</v>
      </c>
      <c r="BK13" s="331">
        <f t="shared" si="6"/>
        <v>0</v>
      </c>
      <c r="BL13" s="331">
        <f t="shared" si="6"/>
        <v>450</v>
      </c>
      <c r="BM13" s="331">
        <f t="shared" si="6"/>
        <v>1657</v>
      </c>
      <c r="BN13" s="387">
        <f t="shared" si="2"/>
        <v>4198</v>
      </c>
    </row>
    <row r="14" spans="1:66" ht="22.5" customHeight="1">
      <c r="A14" s="191" t="s">
        <v>243</v>
      </c>
      <c r="B14" s="182"/>
      <c r="C14" s="196" t="s">
        <v>838</v>
      </c>
      <c r="D14" s="196"/>
      <c r="E14" s="196"/>
      <c r="F14" s="196"/>
      <c r="G14" s="196"/>
      <c r="H14" s="196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206"/>
      <c r="V14" s="206"/>
      <c r="W14" s="206"/>
      <c r="X14" s="189"/>
      <c r="Y14" s="189"/>
      <c r="Z14" s="294"/>
      <c r="AA14" s="294"/>
      <c r="AB14" s="189"/>
      <c r="AC14" s="189"/>
      <c r="AD14" s="189"/>
      <c r="AE14" s="189"/>
      <c r="AF14" s="189"/>
      <c r="AG14" s="189"/>
      <c r="AH14" s="189"/>
      <c r="AI14" s="189"/>
      <c r="AJ14" s="634"/>
      <c r="AK14" s="635"/>
      <c r="AL14" s="635"/>
      <c r="AM14" s="635"/>
      <c r="AN14" s="635"/>
      <c r="AO14" s="635"/>
      <c r="AP14" s="646"/>
      <c r="AQ14" s="646"/>
      <c r="AR14" s="189"/>
      <c r="AS14" s="381">
        <f t="shared" si="3"/>
        <v>0</v>
      </c>
      <c r="AT14" s="386"/>
      <c r="AU14" s="186"/>
      <c r="AV14" s="186"/>
      <c r="AW14" s="189"/>
      <c r="AX14" s="189"/>
      <c r="AY14" s="186"/>
      <c r="AZ14" s="387">
        <f t="shared" si="4"/>
        <v>0</v>
      </c>
      <c r="BA14" s="48"/>
      <c r="BB14" s="550"/>
      <c r="BC14" s="186"/>
      <c r="BD14" s="186"/>
      <c r="BE14" s="186"/>
      <c r="BF14" s="186"/>
      <c r="BG14" s="189"/>
      <c r="BH14" s="189"/>
      <c r="BI14" s="381">
        <f aca="true" t="shared" si="7" ref="BI14:BI19">SUM(BA14:BH14)</f>
        <v>0</v>
      </c>
      <c r="BJ14" s="390"/>
      <c r="BK14" s="189"/>
      <c r="BL14" s="189"/>
      <c r="BM14" s="189">
        <f t="shared" si="1"/>
        <v>0</v>
      </c>
      <c r="BN14" s="387">
        <f t="shared" si="2"/>
        <v>0</v>
      </c>
    </row>
    <row r="15" spans="1:66" ht="22.5" customHeight="1">
      <c r="A15" s="191" t="s">
        <v>245</v>
      </c>
      <c r="B15" s="182"/>
      <c r="C15" s="196" t="s">
        <v>244</v>
      </c>
      <c r="D15" s="196"/>
      <c r="E15" s="196"/>
      <c r="F15" s="196"/>
      <c r="G15" s="196"/>
      <c r="H15" s="196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206"/>
      <c r="V15" s="206">
        <v>100</v>
      </c>
      <c r="W15" s="206"/>
      <c r="X15" s="189"/>
      <c r="Y15" s="189">
        <v>10</v>
      </c>
      <c r="Z15" s="294"/>
      <c r="AA15" s="294"/>
      <c r="AB15" s="189"/>
      <c r="AC15" s="189"/>
      <c r="AD15" s="189"/>
      <c r="AE15" s="189"/>
      <c r="AF15" s="189"/>
      <c r="AG15" s="189"/>
      <c r="AH15" s="189"/>
      <c r="AI15" s="189"/>
      <c r="AJ15" s="634"/>
      <c r="AK15" s="635"/>
      <c r="AL15" s="635">
        <v>40</v>
      </c>
      <c r="AM15" s="635"/>
      <c r="AN15" s="635">
        <v>40</v>
      </c>
      <c r="AO15" s="635"/>
      <c r="AP15" s="646"/>
      <c r="AQ15" s="646"/>
      <c r="AR15" s="189"/>
      <c r="AS15" s="381">
        <f t="shared" si="3"/>
        <v>190</v>
      </c>
      <c r="AT15" s="386"/>
      <c r="AU15" s="186"/>
      <c r="AV15" s="186"/>
      <c r="AW15" s="189">
        <v>500</v>
      </c>
      <c r="AX15" s="189"/>
      <c r="AY15" s="186"/>
      <c r="AZ15" s="387">
        <f t="shared" si="4"/>
        <v>500</v>
      </c>
      <c r="BA15" s="48"/>
      <c r="BB15" s="550"/>
      <c r="BC15" s="186"/>
      <c r="BD15" s="186"/>
      <c r="BE15" s="186"/>
      <c r="BF15" s="186"/>
      <c r="BG15" s="189"/>
      <c r="BH15" s="189">
        <v>120</v>
      </c>
      <c r="BI15" s="381">
        <f t="shared" si="7"/>
        <v>120</v>
      </c>
      <c r="BJ15" s="390"/>
      <c r="BK15" s="189">
        <v>120</v>
      </c>
      <c r="BL15" s="189"/>
      <c r="BM15" s="189">
        <f t="shared" si="1"/>
        <v>120</v>
      </c>
      <c r="BN15" s="387">
        <f t="shared" si="2"/>
        <v>930</v>
      </c>
    </row>
    <row r="16" spans="1:66" ht="22.5" customHeight="1">
      <c r="A16" s="191" t="s">
        <v>246</v>
      </c>
      <c r="B16" s="182" t="s">
        <v>553</v>
      </c>
      <c r="C16" s="196" t="s">
        <v>844</v>
      </c>
      <c r="D16" s="196"/>
      <c r="E16" s="196"/>
      <c r="F16" s="196"/>
      <c r="G16" s="196"/>
      <c r="H16" s="196"/>
      <c r="I16" s="339">
        <v>0</v>
      </c>
      <c r="J16" s="339">
        <v>0</v>
      </c>
      <c r="K16" s="339"/>
      <c r="L16" s="339"/>
      <c r="M16" s="339"/>
      <c r="N16" s="339"/>
      <c r="O16" s="339"/>
      <c r="P16" s="339"/>
      <c r="Q16" s="339"/>
      <c r="R16" s="339"/>
      <c r="S16" s="339">
        <v>20</v>
      </c>
      <c r="T16" s="339"/>
      <c r="U16" s="206"/>
      <c r="V16" s="206"/>
      <c r="W16" s="206"/>
      <c r="X16" s="189">
        <v>0</v>
      </c>
      <c r="Y16" s="189">
        <v>2000</v>
      </c>
      <c r="Z16" s="294"/>
      <c r="AA16" s="294"/>
      <c r="AB16" s="189"/>
      <c r="AC16" s="189"/>
      <c r="AD16" s="189"/>
      <c r="AE16" s="189"/>
      <c r="AF16" s="189"/>
      <c r="AG16" s="189"/>
      <c r="AH16" s="189"/>
      <c r="AI16" s="189"/>
      <c r="AJ16" s="634"/>
      <c r="AK16" s="635"/>
      <c r="AL16" s="635">
        <v>8</v>
      </c>
      <c r="AM16" s="635"/>
      <c r="AN16" s="635">
        <v>7</v>
      </c>
      <c r="AO16" s="635"/>
      <c r="AP16" s="646"/>
      <c r="AQ16" s="646"/>
      <c r="AR16" s="189"/>
      <c r="AS16" s="381">
        <f t="shared" si="3"/>
        <v>2035</v>
      </c>
      <c r="AT16" s="386"/>
      <c r="AU16" s="186"/>
      <c r="AV16" s="186"/>
      <c r="AW16" s="189">
        <v>50</v>
      </c>
      <c r="AX16" s="189"/>
      <c r="AY16" s="186"/>
      <c r="AZ16" s="387">
        <f t="shared" si="4"/>
        <v>50</v>
      </c>
      <c r="BA16" s="48"/>
      <c r="BB16" s="550"/>
      <c r="BC16" s="186"/>
      <c r="BD16" s="186"/>
      <c r="BE16" s="186"/>
      <c r="BF16" s="186"/>
      <c r="BG16" s="189">
        <v>0</v>
      </c>
      <c r="BH16" s="189">
        <v>0</v>
      </c>
      <c r="BI16" s="381">
        <f t="shared" si="7"/>
        <v>0</v>
      </c>
      <c r="BJ16" s="390"/>
      <c r="BK16" s="189">
        <v>5</v>
      </c>
      <c r="BL16" s="189"/>
      <c r="BM16" s="189">
        <f t="shared" si="1"/>
        <v>5</v>
      </c>
      <c r="BN16" s="387">
        <f t="shared" si="2"/>
        <v>2090</v>
      </c>
    </row>
    <row r="17" spans="1:66" ht="22.5" customHeight="1">
      <c r="A17" s="191" t="s">
        <v>247</v>
      </c>
      <c r="B17" s="182" t="s">
        <v>374</v>
      </c>
      <c r="C17" s="196" t="s">
        <v>845</v>
      </c>
      <c r="D17" s="196"/>
      <c r="E17" s="196"/>
      <c r="F17" s="196"/>
      <c r="G17" s="196"/>
      <c r="H17" s="196"/>
      <c r="I17" s="339">
        <v>0</v>
      </c>
      <c r="J17" s="339">
        <v>0</v>
      </c>
      <c r="K17" s="339"/>
      <c r="L17" s="339"/>
      <c r="M17" s="339"/>
      <c r="N17" s="339"/>
      <c r="O17" s="339"/>
      <c r="P17" s="339"/>
      <c r="Q17" s="339"/>
      <c r="R17" s="339">
        <v>354</v>
      </c>
      <c r="S17" s="339"/>
      <c r="T17" s="339"/>
      <c r="U17" s="206">
        <v>0</v>
      </c>
      <c r="V17" s="206"/>
      <c r="W17" s="206"/>
      <c r="X17" s="189">
        <v>0</v>
      </c>
      <c r="Y17" s="189"/>
      <c r="Z17" s="294"/>
      <c r="AA17" s="294"/>
      <c r="AB17" s="189"/>
      <c r="AC17" s="189"/>
      <c r="AD17" s="189"/>
      <c r="AE17" s="189"/>
      <c r="AF17" s="189"/>
      <c r="AG17" s="189"/>
      <c r="AH17" s="189"/>
      <c r="AI17" s="189"/>
      <c r="AJ17" s="634"/>
      <c r="AK17" s="635"/>
      <c r="AL17" s="635"/>
      <c r="AM17" s="635"/>
      <c r="AN17" s="635"/>
      <c r="AO17" s="635"/>
      <c r="AP17" s="646"/>
      <c r="AQ17" s="646"/>
      <c r="AR17" s="189"/>
      <c r="AS17" s="381">
        <f t="shared" si="3"/>
        <v>354</v>
      </c>
      <c r="AT17" s="386"/>
      <c r="AU17" s="186"/>
      <c r="AV17" s="186"/>
      <c r="AW17" s="189"/>
      <c r="AX17" s="189"/>
      <c r="AY17" s="186"/>
      <c r="AZ17" s="387">
        <f t="shared" si="4"/>
        <v>0</v>
      </c>
      <c r="BA17" s="48"/>
      <c r="BB17" s="550"/>
      <c r="BC17" s="186"/>
      <c r="BD17" s="186"/>
      <c r="BE17" s="186"/>
      <c r="BF17" s="186"/>
      <c r="BG17" s="189">
        <v>0</v>
      </c>
      <c r="BH17" s="189">
        <v>0</v>
      </c>
      <c r="BI17" s="381">
        <f t="shared" si="7"/>
        <v>0</v>
      </c>
      <c r="BJ17" s="390"/>
      <c r="BK17" s="189"/>
      <c r="BL17" s="189"/>
      <c r="BM17" s="189">
        <f t="shared" si="1"/>
        <v>0</v>
      </c>
      <c r="BN17" s="387">
        <f t="shared" si="2"/>
        <v>354</v>
      </c>
    </row>
    <row r="18" spans="1:66" ht="43.5" customHeight="1">
      <c r="A18" s="191" t="s">
        <v>249</v>
      </c>
      <c r="B18" s="182" t="s">
        <v>375</v>
      </c>
      <c r="C18" s="196" t="s">
        <v>248</v>
      </c>
      <c r="D18" s="196" t="s">
        <v>683</v>
      </c>
      <c r="E18" s="196"/>
      <c r="F18" s="196"/>
      <c r="G18" s="196"/>
      <c r="H18" s="196"/>
      <c r="I18" s="339">
        <v>0</v>
      </c>
      <c r="J18" s="339">
        <v>0</v>
      </c>
      <c r="K18" s="339"/>
      <c r="L18" s="339"/>
      <c r="M18" s="339"/>
      <c r="N18" s="339"/>
      <c r="O18" s="339"/>
      <c r="P18" s="339"/>
      <c r="Q18" s="339"/>
      <c r="R18" s="339"/>
      <c r="S18" s="339">
        <f>100+200</f>
        <v>300</v>
      </c>
      <c r="T18" s="339"/>
      <c r="U18" s="206">
        <v>0</v>
      </c>
      <c r="V18" s="206"/>
      <c r="W18" s="206"/>
      <c r="X18" s="189">
        <v>0</v>
      </c>
      <c r="Y18" s="189">
        <v>350</v>
      </c>
      <c r="Z18" s="294"/>
      <c r="AA18" s="294"/>
      <c r="AB18" s="189"/>
      <c r="AC18" s="189"/>
      <c r="AD18" s="189">
        <v>50</v>
      </c>
      <c r="AE18" s="189"/>
      <c r="AF18" s="189"/>
      <c r="AG18" s="189"/>
      <c r="AH18" s="189"/>
      <c r="AI18" s="189"/>
      <c r="AJ18" s="634"/>
      <c r="AK18" s="635"/>
      <c r="AL18" s="635">
        <v>175</v>
      </c>
      <c r="AM18" s="635"/>
      <c r="AN18" s="635">
        <v>175</v>
      </c>
      <c r="AO18" s="635"/>
      <c r="AP18" s="646"/>
      <c r="AQ18" s="646"/>
      <c r="AR18" s="189"/>
      <c r="AS18" s="381">
        <f t="shared" si="3"/>
        <v>1050</v>
      </c>
      <c r="AT18" s="386"/>
      <c r="AU18" s="186"/>
      <c r="AV18" s="186"/>
      <c r="AW18" s="189">
        <v>250</v>
      </c>
      <c r="AX18" s="189"/>
      <c r="AY18" s="186"/>
      <c r="AZ18" s="387">
        <f t="shared" si="4"/>
        <v>250</v>
      </c>
      <c r="BA18" s="48"/>
      <c r="BB18" s="551">
        <v>0</v>
      </c>
      <c r="BC18" s="189">
        <v>0</v>
      </c>
      <c r="BD18" s="186"/>
      <c r="BE18" s="189">
        <v>50</v>
      </c>
      <c r="BF18" s="186"/>
      <c r="BG18" s="189">
        <v>0</v>
      </c>
      <c r="BH18" s="189">
        <v>400</v>
      </c>
      <c r="BI18" s="381">
        <f t="shared" si="7"/>
        <v>450</v>
      </c>
      <c r="BJ18" s="390"/>
      <c r="BK18" s="189">
        <v>600</v>
      </c>
      <c r="BL18" s="189"/>
      <c r="BM18" s="189">
        <f t="shared" si="1"/>
        <v>600</v>
      </c>
      <c r="BN18" s="387">
        <f t="shared" si="2"/>
        <v>2350</v>
      </c>
    </row>
    <row r="19" spans="1:66" ht="22.5" customHeight="1">
      <c r="A19" s="191" t="s">
        <v>250</v>
      </c>
      <c r="B19" s="182" t="s">
        <v>376</v>
      </c>
      <c r="C19" s="196" t="s">
        <v>1424</v>
      </c>
      <c r="D19" s="196" t="s">
        <v>1423</v>
      </c>
      <c r="E19" s="196"/>
      <c r="F19" s="196"/>
      <c r="G19" s="196"/>
      <c r="H19" s="196"/>
      <c r="I19" s="339"/>
      <c r="J19" s="339"/>
      <c r="K19" s="339"/>
      <c r="L19" s="339"/>
      <c r="M19" s="339"/>
      <c r="N19" s="339"/>
      <c r="O19" s="339"/>
      <c r="P19" s="339"/>
      <c r="Q19" s="339">
        <v>750</v>
      </c>
      <c r="R19" s="339">
        <v>775</v>
      </c>
      <c r="S19" s="339">
        <v>375</v>
      </c>
      <c r="T19" s="339"/>
      <c r="U19" s="206">
        <v>0</v>
      </c>
      <c r="V19" s="206"/>
      <c r="W19" s="206"/>
      <c r="X19" s="189"/>
      <c r="Y19" s="189">
        <v>350</v>
      </c>
      <c r="Z19" s="294"/>
      <c r="AA19" s="294"/>
      <c r="AB19" s="189"/>
      <c r="AC19" s="189"/>
      <c r="AD19" s="189">
        <v>50</v>
      </c>
      <c r="AE19" s="189"/>
      <c r="AF19" s="189"/>
      <c r="AG19" s="189"/>
      <c r="AH19" s="189"/>
      <c r="AI19" s="189"/>
      <c r="AJ19" s="634"/>
      <c r="AK19" s="635"/>
      <c r="AL19" s="635">
        <v>125</v>
      </c>
      <c r="AM19" s="635"/>
      <c r="AN19" s="635">
        <v>125</v>
      </c>
      <c r="AO19" s="635"/>
      <c r="AP19" s="646"/>
      <c r="AQ19" s="646"/>
      <c r="AR19" s="189"/>
      <c r="AS19" s="381">
        <f>SUM(E19:AR19)</f>
        <v>2550</v>
      </c>
      <c r="AT19" s="386"/>
      <c r="AU19" s="186"/>
      <c r="AV19" s="186"/>
      <c r="AW19" s="189">
        <v>800</v>
      </c>
      <c r="AX19" s="189"/>
      <c r="AY19" s="186"/>
      <c r="AZ19" s="387">
        <f t="shared" si="4"/>
        <v>800</v>
      </c>
      <c r="BA19" s="48"/>
      <c r="BB19" s="550"/>
      <c r="BC19" s="186"/>
      <c r="BD19" s="186"/>
      <c r="BE19" s="189">
        <v>0</v>
      </c>
      <c r="BF19" s="186"/>
      <c r="BG19" s="189">
        <v>0</v>
      </c>
      <c r="BH19" s="189">
        <v>200</v>
      </c>
      <c r="BI19" s="381">
        <f t="shared" si="7"/>
        <v>200</v>
      </c>
      <c r="BJ19" s="390"/>
      <c r="BK19" s="189">
        <v>300</v>
      </c>
      <c r="BL19" s="189"/>
      <c r="BM19" s="189">
        <f t="shared" si="1"/>
        <v>300</v>
      </c>
      <c r="BN19" s="387">
        <f t="shared" si="2"/>
        <v>3850</v>
      </c>
    </row>
    <row r="20" spans="1:66" s="143" customFormat="1" ht="22.5" customHeight="1">
      <c r="A20" s="295" t="s">
        <v>251</v>
      </c>
      <c r="B20" s="287" t="s">
        <v>376</v>
      </c>
      <c r="C20" s="312" t="s">
        <v>252</v>
      </c>
      <c r="D20" s="312"/>
      <c r="E20" s="312">
        <f>SUM(E14:E19)</f>
        <v>0</v>
      </c>
      <c r="F20" s="312">
        <f aca="true" t="shared" si="8" ref="F20:AT20">SUM(F14:F19)</f>
        <v>0</v>
      </c>
      <c r="G20" s="312">
        <f t="shared" si="8"/>
        <v>0</v>
      </c>
      <c r="H20" s="312"/>
      <c r="I20" s="312">
        <f t="shared" si="8"/>
        <v>0</v>
      </c>
      <c r="J20" s="312">
        <f t="shared" si="8"/>
        <v>0</v>
      </c>
      <c r="K20" s="312">
        <f t="shared" si="8"/>
        <v>0</v>
      </c>
      <c r="L20" s="312">
        <f t="shared" si="8"/>
        <v>0</v>
      </c>
      <c r="M20" s="312">
        <f t="shared" si="8"/>
        <v>0</v>
      </c>
      <c r="N20" s="312">
        <f t="shared" si="8"/>
        <v>0</v>
      </c>
      <c r="O20" s="312">
        <f>SUM(O14:O19)</f>
        <v>0</v>
      </c>
      <c r="P20" s="312">
        <f>SUM(P14:P19)</f>
        <v>0</v>
      </c>
      <c r="Q20" s="312">
        <f>SUM(Q14:Q19)</f>
        <v>750</v>
      </c>
      <c r="R20" s="312">
        <f>SUM(R14:R19)</f>
        <v>1129</v>
      </c>
      <c r="S20" s="312">
        <f t="shared" si="8"/>
        <v>695</v>
      </c>
      <c r="T20" s="312">
        <f t="shared" si="8"/>
        <v>0</v>
      </c>
      <c r="U20" s="312">
        <f t="shared" si="8"/>
        <v>0</v>
      </c>
      <c r="V20" s="312">
        <f t="shared" si="8"/>
        <v>100</v>
      </c>
      <c r="W20" s="312">
        <f t="shared" si="8"/>
        <v>0</v>
      </c>
      <c r="X20" s="312">
        <f t="shared" si="8"/>
        <v>0</v>
      </c>
      <c r="Y20" s="312">
        <f t="shared" si="8"/>
        <v>2710</v>
      </c>
      <c r="Z20" s="312">
        <f t="shared" si="8"/>
        <v>0</v>
      </c>
      <c r="AA20" s="312">
        <f t="shared" si="8"/>
        <v>0</v>
      </c>
      <c r="AB20" s="312">
        <f t="shared" si="8"/>
        <v>0</v>
      </c>
      <c r="AC20" s="312">
        <f t="shared" si="8"/>
        <v>0</v>
      </c>
      <c r="AD20" s="312">
        <f t="shared" si="8"/>
        <v>100</v>
      </c>
      <c r="AE20" s="312">
        <f t="shared" si="8"/>
        <v>0</v>
      </c>
      <c r="AF20" s="312">
        <f t="shared" si="8"/>
        <v>0</v>
      </c>
      <c r="AG20" s="312"/>
      <c r="AH20" s="312">
        <f t="shared" si="8"/>
        <v>0</v>
      </c>
      <c r="AI20" s="312">
        <f t="shared" si="8"/>
        <v>0</v>
      </c>
      <c r="AJ20" s="636">
        <f t="shared" si="8"/>
        <v>0</v>
      </c>
      <c r="AK20" s="636">
        <f t="shared" si="8"/>
        <v>0</v>
      </c>
      <c r="AL20" s="636">
        <f>SUM(AL14:AL19)</f>
        <v>348</v>
      </c>
      <c r="AM20" s="636">
        <f>SUM(AM14:AM19)</f>
        <v>0</v>
      </c>
      <c r="AN20" s="636">
        <f>SUM(AN14:AN19)</f>
        <v>347</v>
      </c>
      <c r="AO20" s="636">
        <f t="shared" si="8"/>
        <v>0</v>
      </c>
      <c r="AP20" s="647">
        <f t="shared" si="8"/>
        <v>0</v>
      </c>
      <c r="AQ20" s="647">
        <f t="shared" si="8"/>
        <v>0</v>
      </c>
      <c r="AR20" s="312">
        <f t="shared" si="8"/>
        <v>0</v>
      </c>
      <c r="AS20" s="382">
        <f t="shared" si="8"/>
        <v>6179</v>
      </c>
      <c r="AT20" s="388">
        <f t="shared" si="8"/>
        <v>0</v>
      </c>
      <c r="AU20" s="331">
        <f aca="true" t="shared" si="9" ref="AU20:BM20">SUM(AU14:AU19)</f>
        <v>0</v>
      </c>
      <c r="AV20" s="331">
        <f t="shared" si="9"/>
        <v>0</v>
      </c>
      <c r="AW20" s="331">
        <f t="shared" si="9"/>
        <v>1600</v>
      </c>
      <c r="AX20" s="331">
        <f t="shared" si="9"/>
        <v>0</v>
      </c>
      <c r="AY20" s="331">
        <f t="shared" si="9"/>
        <v>0</v>
      </c>
      <c r="AZ20" s="570">
        <f t="shared" si="9"/>
        <v>1600</v>
      </c>
      <c r="BA20" s="377">
        <f t="shared" si="9"/>
        <v>0</v>
      </c>
      <c r="BB20" s="552">
        <f t="shared" si="9"/>
        <v>0</v>
      </c>
      <c r="BC20" s="331">
        <f t="shared" si="9"/>
        <v>0</v>
      </c>
      <c r="BD20" s="331">
        <f t="shared" si="9"/>
        <v>0</v>
      </c>
      <c r="BE20" s="331">
        <f t="shared" si="9"/>
        <v>50</v>
      </c>
      <c r="BF20" s="331">
        <f t="shared" si="9"/>
        <v>0</v>
      </c>
      <c r="BG20" s="331">
        <f t="shared" si="9"/>
        <v>0</v>
      </c>
      <c r="BH20" s="331">
        <f t="shared" si="9"/>
        <v>720</v>
      </c>
      <c r="BI20" s="382">
        <f t="shared" si="9"/>
        <v>770</v>
      </c>
      <c r="BJ20" s="388">
        <f t="shared" si="9"/>
        <v>0</v>
      </c>
      <c r="BK20" s="331">
        <f t="shared" si="9"/>
        <v>1025</v>
      </c>
      <c r="BL20" s="331">
        <f t="shared" si="9"/>
        <v>0</v>
      </c>
      <c r="BM20" s="331">
        <f t="shared" si="9"/>
        <v>1025</v>
      </c>
      <c r="BN20" s="387">
        <f t="shared" si="2"/>
        <v>9574</v>
      </c>
    </row>
    <row r="21" spans="1:66" s="143" customFormat="1" ht="22.5" customHeight="1">
      <c r="A21" s="192" t="s">
        <v>253</v>
      </c>
      <c r="B21" s="287"/>
      <c r="C21" s="310" t="s">
        <v>254</v>
      </c>
      <c r="D21" s="310"/>
      <c r="E21" s="310">
        <f>E13+E20</f>
        <v>0</v>
      </c>
      <c r="F21" s="310">
        <f aca="true" t="shared" si="10" ref="F21:AT21">F13+F20</f>
        <v>0</v>
      </c>
      <c r="G21" s="310">
        <f t="shared" si="10"/>
        <v>0</v>
      </c>
      <c r="H21" s="310"/>
      <c r="I21" s="310">
        <f t="shared" si="10"/>
        <v>0</v>
      </c>
      <c r="J21" s="310">
        <f t="shared" si="10"/>
        <v>0</v>
      </c>
      <c r="K21" s="310">
        <f t="shared" si="10"/>
        <v>0</v>
      </c>
      <c r="L21" s="310">
        <f t="shared" si="10"/>
        <v>0</v>
      </c>
      <c r="M21" s="310">
        <f t="shared" si="10"/>
        <v>0</v>
      </c>
      <c r="N21" s="310">
        <f t="shared" si="10"/>
        <v>0</v>
      </c>
      <c r="O21" s="310">
        <f>O13+O20</f>
        <v>0</v>
      </c>
      <c r="P21" s="310">
        <f>P13+P20</f>
        <v>0</v>
      </c>
      <c r="Q21" s="310">
        <f>Q13+Q20</f>
        <v>750</v>
      </c>
      <c r="R21" s="310">
        <f>R13+R20</f>
        <v>1129</v>
      </c>
      <c r="S21" s="310">
        <f t="shared" si="10"/>
        <v>720</v>
      </c>
      <c r="T21" s="310">
        <f t="shared" si="10"/>
        <v>0</v>
      </c>
      <c r="U21" s="310">
        <f t="shared" si="10"/>
        <v>0</v>
      </c>
      <c r="V21" s="310">
        <f t="shared" si="10"/>
        <v>100</v>
      </c>
      <c r="W21" s="310">
        <f t="shared" si="10"/>
        <v>0</v>
      </c>
      <c r="X21" s="310">
        <f t="shared" si="10"/>
        <v>0</v>
      </c>
      <c r="Y21" s="310">
        <f t="shared" si="10"/>
        <v>3410</v>
      </c>
      <c r="Z21" s="310">
        <f t="shared" si="10"/>
        <v>0</v>
      </c>
      <c r="AA21" s="310">
        <f t="shared" si="10"/>
        <v>0</v>
      </c>
      <c r="AB21" s="310">
        <f t="shared" si="10"/>
        <v>0</v>
      </c>
      <c r="AC21" s="310">
        <f t="shared" si="10"/>
        <v>0</v>
      </c>
      <c r="AD21" s="310">
        <f t="shared" si="10"/>
        <v>100</v>
      </c>
      <c r="AE21" s="310">
        <f t="shared" si="10"/>
        <v>0</v>
      </c>
      <c r="AF21" s="310">
        <f t="shared" si="10"/>
        <v>0</v>
      </c>
      <c r="AG21" s="310"/>
      <c r="AH21" s="310">
        <f t="shared" si="10"/>
        <v>0</v>
      </c>
      <c r="AI21" s="310">
        <f t="shared" si="10"/>
        <v>0</v>
      </c>
      <c r="AJ21" s="637">
        <f t="shared" si="10"/>
        <v>0</v>
      </c>
      <c r="AK21" s="637">
        <f t="shared" si="10"/>
        <v>0</v>
      </c>
      <c r="AL21" s="637">
        <f>AL13+AL20</f>
        <v>385</v>
      </c>
      <c r="AM21" s="637">
        <f>AM13+AM20</f>
        <v>0</v>
      </c>
      <c r="AN21" s="637">
        <f>AN13+AN20</f>
        <v>385</v>
      </c>
      <c r="AO21" s="637">
        <f t="shared" si="10"/>
        <v>0</v>
      </c>
      <c r="AP21" s="648">
        <f t="shared" si="10"/>
        <v>0</v>
      </c>
      <c r="AQ21" s="648">
        <f t="shared" si="10"/>
        <v>0</v>
      </c>
      <c r="AR21" s="310">
        <f t="shared" si="10"/>
        <v>0</v>
      </c>
      <c r="AS21" s="381">
        <f t="shared" si="10"/>
        <v>6979</v>
      </c>
      <c r="AT21" s="386">
        <f t="shared" si="10"/>
        <v>125</v>
      </c>
      <c r="AU21" s="186">
        <f aca="true" t="shared" si="11" ref="AU21:BM21">AU13+AU20</f>
        <v>0</v>
      </c>
      <c r="AV21" s="186">
        <f t="shared" si="11"/>
        <v>0</v>
      </c>
      <c r="AW21" s="186">
        <f t="shared" si="11"/>
        <v>2210</v>
      </c>
      <c r="AX21" s="186">
        <f t="shared" si="11"/>
        <v>0</v>
      </c>
      <c r="AY21" s="186">
        <f t="shared" si="11"/>
        <v>0</v>
      </c>
      <c r="AZ21" s="387">
        <f t="shared" si="11"/>
        <v>2335</v>
      </c>
      <c r="BA21" s="48">
        <f t="shared" si="11"/>
        <v>0</v>
      </c>
      <c r="BB21" s="550">
        <f t="shared" si="11"/>
        <v>0</v>
      </c>
      <c r="BC21" s="186">
        <f t="shared" si="11"/>
        <v>400</v>
      </c>
      <c r="BD21" s="186">
        <f t="shared" si="11"/>
        <v>0</v>
      </c>
      <c r="BE21" s="186">
        <f t="shared" si="11"/>
        <v>150</v>
      </c>
      <c r="BF21" s="186">
        <f t="shared" si="11"/>
        <v>366</v>
      </c>
      <c r="BG21" s="186">
        <f t="shared" si="11"/>
        <v>50</v>
      </c>
      <c r="BH21" s="186">
        <f t="shared" si="11"/>
        <v>810</v>
      </c>
      <c r="BI21" s="381">
        <f t="shared" si="11"/>
        <v>1776</v>
      </c>
      <c r="BJ21" s="386">
        <f t="shared" si="11"/>
        <v>1207</v>
      </c>
      <c r="BK21" s="186">
        <f t="shared" si="11"/>
        <v>1025</v>
      </c>
      <c r="BL21" s="186">
        <f t="shared" si="11"/>
        <v>450</v>
      </c>
      <c r="BM21" s="186">
        <f t="shared" si="11"/>
        <v>2682</v>
      </c>
      <c r="BN21" s="387">
        <f t="shared" si="2"/>
        <v>13772</v>
      </c>
    </row>
    <row r="22" spans="1:66" s="143" customFormat="1" ht="22.5" customHeight="1">
      <c r="A22" s="191" t="s">
        <v>255</v>
      </c>
      <c r="B22" s="287"/>
      <c r="C22" s="196" t="s">
        <v>256</v>
      </c>
      <c r="D22" s="196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637"/>
      <c r="AK22" s="637"/>
      <c r="AL22" s="637"/>
      <c r="AM22" s="637"/>
      <c r="AN22" s="637"/>
      <c r="AO22" s="637"/>
      <c r="AP22" s="648"/>
      <c r="AQ22" s="648"/>
      <c r="AR22" s="310"/>
      <c r="AS22" s="381">
        <f aca="true" t="shared" si="12" ref="AS22:AS28">SUM(E22:AR22)</f>
        <v>0</v>
      </c>
      <c r="AT22" s="386"/>
      <c r="AU22" s="186"/>
      <c r="AV22" s="186"/>
      <c r="AW22" s="186"/>
      <c r="AX22" s="186"/>
      <c r="AY22" s="186"/>
      <c r="AZ22" s="387">
        <f aca="true" t="shared" si="13" ref="AZ22:AZ29">SUM(AT22:AX22)</f>
        <v>0</v>
      </c>
      <c r="BA22" s="48"/>
      <c r="BB22" s="550"/>
      <c r="BC22" s="186"/>
      <c r="BD22" s="186"/>
      <c r="BE22" s="186"/>
      <c r="BF22" s="186"/>
      <c r="BG22" s="186"/>
      <c r="BH22" s="186"/>
      <c r="BI22" s="381">
        <f aca="true" t="shared" si="14" ref="BI22:BI29">SUM(BA22:BH22)</f>
        <v>0</v>
      </c>
      <c r="BJ22" s="386"/>
      <c r="BK22" s="186"/>
      <c r="BL22" s="186"/>
      <c r="BM22" s="186">
        <f aca="true" t="shared" si="15" ref="BM22:BM29">BJ22+BK22+BL22</f>
        <v>0</v>
      </c>
      <c r="BN22" s="387">
        <f t="shared" si="2"/>
        <v>0</v>
      </c>
    </row>
    <row r="23" spans="1:66" s="143" customFormat="1" ht="22.5" customHeight="1">
      <c r="A23" s="191" t="s">
        <v>257</v>
      </c>
      <c r="B23" s="287"/>
      <c r="C23" s="196" t="s">
        <v>258</v>
      </c>
      <c r="D23" s="196" t="s">
        <v>1426</v>
      </c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637"/>
      <c r="AK23" s="637"/>
      <c r="AL23" s="637">
        <v>8</v>
      </c>
      <c r="AM23" s="637"/>
      <c r="AN23" s="637">
        <v>7</v>
      </c>
      <c r="AO23" s="637"/>
      <c r="AP23" s="648"/>
      <c r="AQ23" s="648"/>
      <c r="AR23" s="310"/>
      <c r="AS23" s="381">
        <f t="shared" si="12"/>
        <v>15</v>
      </c>
      <c r="AT23" s="386"/>
      <c r="AU23" s="186"/>
      <c r="AV23" s="186"/>
      <c r="AW23" s="186">
        <v>500</v>
      </c>
      <c r="AX23" s="186"/>
      <c r="AY23" s="186"/>
      <c r="AZ23" s="387">
        <f t="shared" si="13"/>
        <v>500</v>
      </c>
      <c r="BA23" s="48"/>
      <c r="BB23" s="550"/>
      <c r="BC23" s="186"/>
      <c r="BD23" s="186"/>
      <c r="BE23" s="186"/>
      <c r="BF23" s="186"/>
      <c r="BG23" s="186"/>
      <c r="BH23" s="186"/>
      <c r="BI23" s="381">
        <f t="shared" si="14"/>
        <v>0</v>
      </c>
      <c r="BJ23" s="386"/>
      <c r="BK23" s="186"/>
      <c r="BL23" s="186"/>
      <c r="BM23" s="186">
        <f t="shared" si="15"/>
        <v>0</v>
      </c>
      <c r="BN23" s="387">
        <f t="shared" si="2"/>
        <v>515</v>
      </c>
    </row>
    <row r="24" spans="1:66" ht="22.5" customHeight="1">
      <c r="A24" s="191" t="s">
        <v>259</v>
      </c>
      <c r="B24" s="182" t="s">
        <v>377</v>
      </c>
      <c r="C24" s="196" t="s">
        <v>260</v>
      </c>
      <c r="D24" s="196"/>
      <c r="E24" s="196"/>
      <c r="F24" s="196"/>
      <c r="G24" s="196"/>
      <c r="H24" s="196"/>
      <c r="I24" s="339">
        <v>0</v>
      </c>
      <c r="J24" s="339">
        <v>0</v>
      </c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206">
        <v>0</v>
      </c>
      <c r="V24" s="206"/>
      <c r="W24" s="206"/>
      <c r="X24" s="189">
        <v>0</v>
      </c>
      <c r="Y24" s="189"/>
      <c r="Z24" s="294"/>
      <c r="AA24" s="294"/>
      <c r="AB24" s="189"/>
      <c r="AC24" s="189"/>
      <c r="AD24" s="189"/>
      <c r="AE24" s="189"/>
      <c r="AF24" s="189"/>
      <c r="AG24" s="189"/>
      <c r="AH24" s="189"/>
      <c r="AI24" s="189"/>
      <c r="AJ24" s="634"/>
      <c r="AK24" s="635"/>
      <c r="AL24" s="635"/>
      <c r="AM24" s="635"/>
      <c r="AN24" s="635"/>
      <c r="AO24" s="635"/>
      <c r="AP24" s="646"/>
      <c r="AQ24" s="646"/>
      <c r="AR24" s="189"/>
      <c r="AS24" s="381">
        <f t="shared" si="12"/>
        <v>0</v>
      </c>
      <c r="AT24" s="386"/>
      <c r="AU24" s="186"/>
      <c r="AV24" s="186"/>
      <c r="AW24" s="189">
        <v>50</v>
      </c>
      <c r="AX24" s="189"/>
      <c r="AY24" s="186"/>
      <c r="AZ24" s="387">
        <f t="shared" si="13"/>
        <v>50</v>
      </c>
      <c r="BA24" s="48"/>
      <c r="BB24" s="550"/>
      <c r="BC24" s="186"/>
      <c r="BD24" s="186"/>
      <c r="BE24" s="186"/>
      <c r="BF24" s="186"/>
      <c r="BG24" s="189">
        <v>0</v>
      </c>
      <c r="BH24" s="189">
        <v>0</v>
      </c>
      <c r="BI24" s="381">
        <f t="shared" si="14"/>
        <v>0</v>
      </c>
      <c r="BJ24" s="390"/>
      <c r="BK24" s="189"/>
      <c r="BL24" s="189"/>
      <c r="BM24" s="186">
        <f t="shared" si="15"/>
        <v>0</v>
      </c>
      <c r="BN24" s="387">
        <f t="shared" si="2"/>
        <v>50</v>
      </c>
    </row>
    <row r="25" spans="1:66" ht="22.5" customHeight="1">
      <c r="A25" s="191" t="s">
        <v>261</v>
      </c>
      <c r="B25" s="182" t="s">
        <v>378</v>
      </c>
      <c r="C25" s="196" t="s">
        <v>846</v>
      </c>
      <c r="D25" s="196" t="s">
        <v>1508</v>
      </c>
      <c r="E25" s="196"/>
      <c r="F25" s="196"/>
      <c r="G25" s="196"/>
      <c r="H25" s="196"/>
      <c r="I25" s="339">
        <v>0</v>
      </c>
      <c r="J25" s="339">
        <v>0</v>
      </c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206">
        <v>0</v>
      </c>
      <c r="V25" s="206"/>
      <c r="W25" s="206"/>
      <c r="X25" s="189">
        <v>0</v>
      </c>
      <c r="Y25" s="189">
        <v>120</v>
      </c>
      <c r="Z25" s="294"/>
      <c r="AA25" s="294"/>
      <c r="AB25" s="189"/>
      <c r="AC25" s="189"/>
      <c r="AD25" s="189"/>
      <c r="AE25" s="189"/>
      <c r="AF25" s="189"/>
      <c r="AG25" s="189"/>
      <c r="AH25" s="189"/>
      <c r="AI25" s="189"/>
      <c r="AJ25" s="634"/>
      <c r="AK25" s="635"/>
      <c r="AL25" s="635">
        <v>89</v>
      </c>
      <c r="AM25" s="635"/>
      <c r="AN25" s="635">
        <v>90</v>
      </c>
      <c r="AO25" s="635"/>
      <c r="AP25" s="646"/>
      <c r="AQ25" s="646"/>
      <c r="AR25" s="189"/>
      <c r="AS25" s="381">
        <f t="shared" si="12"/>
        <v>299</v>
      </c>
      <c r="AT25" s="386"/>
      <c r="AU25" s="186"/>
      <c r="AV25" s="186"/>
      <c r="AW25" s="189">
        <v>130</v>
      </c>
      <c r="AX25" s="189"/>
      <c r="AY25" s="186"/>
      <c r="AZ25" s="387">
        <f t="shared" si="13"/>
        <v>130</v>
      </c>
      <c r="BA25" s="48"/>
      <c r="BB25" s="550"/>
      <c r="BC25" s="186"/>
      <c r="BD25" s="186"/>
      <c r="BE25" s="186"/>
      <c r="BF25" s="186"/>
      <c r="BG25" s="189">
        <v>0</v>
      </c>
      <c r="BH25" s="189">
        <v>130</v>
      </c>
      <c r="BI25" s="381">
        <f t="shared" si="14"/>
        <v>130</v>
      </c>
      <c r="BJ25" s="390"/>
      <c r="BK25" s="189">
        <v>115</v>
      </c>
      <c r="BL25" s="189"/>
      <c r="BM25" s="186">
        <f t="shared" si="15"/>
        <v>115</v>
      </c>
      <c r="BN25" s="387">
        <f t="shared" si="2"/>
        <v>674</v>
      </c>
    </row>
    <row r="26" spans="1:66" ht="22.5" customHeight="1">
      <c r="A26" s="191" t="s">
        <v>262</v>
      </c>
      <c r="B26" s="182"/>
      <c r="C26" s="196" t="s">
        <v>263</v>
      </c>
      <c r="D26" s="196" t="s">
        <v>1425</v>
      </c>
      <c r="E26" s="196"/>
      <c r="F26" s="196"/>
      <c r="G26" s="196"/>
      <c r="H26" s="196"/>
      <c r="I26" s="339"/>
      <c r="J26" s="339"/>
      <c r="K26" s="339"/>
      <c r="L26" s="339">
        <v>125</v>
      </c>
      <c r="M26" s="339"/>
      <c r="N26" s="339"/>
      <c r="O26" s="339"/>
      <c r="P26" s="339"/>
      <c r="Q26" s="339"/>
      <c r="R26" s="339"/>
      <c r="S26" s="339"/>
      <c r="T26" s="339"/>
      <c r="U26" s="206"/>
      <c r="V26" s="206"/>
      <c r="W26" s="206"/>
      <c r="X26" s="189"/>
      <c r="Y26" s="189"/>
      <c r="Z26" s="294"/>
      <c r="AA26" s="294"/>
      <c r="AB26" s="189"/>
      <c r="AC26" s="189"/>
      <c r="AD26" s="189"/>
      <c r="AE26" s="189"/>
      <c r="AF26" s="189"/>
      <c r="AG26" s="189"/>
      <c r="AH26" s="189"/>
      <c r="AI26" s="189"/>
      <c r="AJ26" s="634"/>
      <c r="AK26" s="635"/>
      <c r="AL26" s="635"/>
      <c r="AM26" s="635"/>
      <c r="AN26" s="635"/>
      <c r="AO26" s="635"/>
      <c r="AP26" s="646"/>
      <c r="AQ26" s="646"/>
      <c r="AR26" s="189"/>
      <c r="AS26" s="381">
        <f t="shared" si="12"/>
        <v>125</v>
      </c>
      <c r="AT26" s="386"/>
      <c r="AU26" s="186"/>
      <c r="AV26" s="186"/>
      <c r="AW26" s="189"/>
      <c r="AX26" s="189"/>
      <c r="AY26" s="186"/>
      <c r="AZ26" s="387">
        <f t="shared" si="13"/>
        <v>0</v>
      </c>
      <c r="BA26" s="48"/>
      <c r="BB26" s="550"/>
      <c r="BC26" s="186"/>
      <c r="BD26" s="186"/>
      <c r="BE26" s="186"/>
      <c r="BF26" s="186"/>
      <c r="BG26" s="189"/>
      <c r="BH26" s="189"/>
      <c r="BI26" s="381">
        <f t="shared" si="14"/>
        <v>0</v>
      </c>
      <c r="BJ26" s="390"/>
      <c r="BK26" s="189"/>
      <c r="BL26" s="189"/>
      <c r="BM26" s="186">
        <f t="shared" si="15"/>
        <v>0</v>
      </c>
      <c r="BN26" s="387">
        <f t="shared" si="2"/>
        <v>125</v>
      </c>
    </row>
    <row r="27" spans="1:66" ht="22.5" customHeight="1">
      <c r="A27" s="295" t="s">
        <v>265</v>
      </c>
      <c r="B27" s="182"/>
      <c r="C27" s="312" t="s">
        <v>264</v>
      </c>
      <c r="D27" s="312"/>
      <c r="E27" s="312">
        <f>SUM(E22:E26)</f>
        <v>0</v>
      </c>
      <c r="F27" s="312">
        <f aca="true" t="shared" si="16" ref="F27:AT27">SUM(F22:F26)</f>
        <v>0</v>
      </c>
      <c r="G27" s="312">
        <f t="shared" si="16"/>
        <v>0</v>
      </c>
      <c r="H27" s="312"/>
      <c r="I27" s="312">
        <f t="shared" si="16"/>
        <v>0</v>
      </c>
      <c r="J27" s="312">
        <f t="shared" si="16"/>
        <v>0</v>
      </c>
      <c r="K27" s="312">
        <f t="shared" si="16"/>
        <v>0</v>
      </c>
      <c r="L27" s="312">
        <f t="shared" si="16"/>
        <v>125</v>
      </c>
      <c r="M27" s="312">
        <f t="shared" si="16"/>
        <v>0</v>
      </c>
      <c r="N27" s="312">
        <f t="shared" si="16"/>
        <v>0</v>
      </c>
      <c r="O27" s="312">
        <f>SUM(O22:O26)</f>
        <v>0</v>
      </c>
      <c r="P27" s="312">
        <f>SUM(P22:P26)</f>
        <v>0</v>
      </c>
      <c r="Q27" s="312">
        <f>SUM(Q22:Q26)</f>
        <v>0</v>
      </c>
      <c r="R27" s="312">
        <f>SUM(R22:R26)</f>
        <v>0</v>
      </c>
      <c r="S27" s="312">
        <f t="shared" si="16"/>
        <v>0</v>
      </c>
      <c r="T27" s="312">
        <f t="shared" si="16"/>
        <v>0</v>
      </c>
      <c r="U27" s="312">
        <f t="shared" si="16"/>
        <v>0</v>
      </c>
      <c r="V27" s="312">
        <f t="shared" si="16"/>
        <v>0</v>
      </c>
      <c r="W27" s="312">
        <f t="shared" si="16"/>
        <v>0</v>
      </c>
      <c r="X27" s="312">
        <f t="shared" si="16"/>
        <v>0</v>
      </c>
      <c r="Y27" s="312">
        <f t="shared" si="16"/>
        <v>120</v>
      </c>
      <c r="Z27" s="312">
        <f t="shared" si="16"/>
        <v>0</v>
      </c>
      <c r="AA27" s="312">
        <f t="shared" si="16"/>
        <v>0</v>
      </c>
      <c r="AB27" s="312">
        <f t="shared" si="16"/>
        <v>0</v>
      </c>
      <c r="AC27" s="312">
        <f t="shared" si="16"/>
        <v>0</v>
      </c>
      <c r="AD27" s="312">
        <f t="shared" si="16"/>
        <v>0</v>
      </c>
      <c r="AE27" s="312">
        <f t="shared" si="16"/>
        <v>0</v>
      </c>
      <c r="AF27" s="312">
        <f t="shared" si="16"/>
        <v>0</v>
      </c>
      <c r="AG27" s="312"/>
      <c r="AH27" s="312">
        <f t="shared" si="16"/>
        <v>0</v>
      </c>
      <c r="AI27" s="312">
        <f t="shared" si="16"/>
        <v>0</v>
      </c>
      <c r="AJ27" s="636">
        <f t="shared" si="16"/>
        <v>0</v>
      </c>
      <c r="AK27" s="636">
        <f t="shared" si="16"/>
        <v>0</v>
      </c>
      <c r="AL27" s="636">
        <f>SUM(AL22:AL26)</f>
        <v>97</v>
      </c>
      <c r="AM27" s="636">
        <f>SUM(AM22:AM26)</f>
        <v>0</v>
      </c>
      <c r="AN27" s="636">
        <f>SUM(AN22:AN26)</f>
        <v>97</v>
      </c>
      <c r="AO27" s="636">
        <f t="shared" si="16"/>
        <v>0</v>
      </c>
      <c r="AP27" s="647">
        <f t="shared" si="16"/>
        <v>0</v>
      </c>
      <c r="AQ27" s="647">
        <f t="shared" si="16"/>
        <v>0</v>
      </c>
      <c r="AR27" s="312">
        <f t="shared" si="16"/>
        <v>0</v>
      </c>
      <c r="AS27" s="383">
        <f t="shared" si="16"/>
        <v>439</v>
      </c>
      <c r="AT27" s="386">
        <f t="shared" si="16"/>
        <v>0</v>
      </c>
      <c r="AU27" s="186">
        <f aca="true" t="shared" si="17" ref="AU27:BJ27">SUM(AU22:AU26)</f>
        <v>0</v>
      </c>
      <c r="AV27" s="186">
        <f t="shared" si="17"/>
        <v>0</v>
      </c>
      <c r="AW27" s="186">
        <f t="shared" si="17"/>
        <v>680</v>
      </c>
      <c r="AX27" s="186">
        <f t="shared" si="17"/>
        <v>0</v>
      </c>
      <c r="AY27" s="186">
        <f t="shared" si="17"/>
        <v>0</v>
      </c>
      <c r="AZ27" s="387">
        <f t="shared" si="17"/>
        <v>680</v>
      </c>
      <c r="BA27" s="377">
        <f t="shared" si="17"/>
        <v>0</v>
      </c>
      <c r="BB27" s="552">
        <f t="shared" si="17"/>
        <v>0</v>
      </c>
      <c r="BC27" s="331">
        <f t="shared" si="17"/>
        <v>0</v>
      </c>
      <c r="BD27" s="331">
        <f t="shared" si="17"/>
        <v>0</v>
      </c>
      <c r="BE27" s="331">
        <f t="shared" si="17"/>
        <v>0</v>
      </c>
      <c r="BF27" s="331">
        <f t="shared" si="17"/>
        <v>0</v>
      </c>
      <c r="BG27" s="331">
        <f t="shared" si="17"/>
        <v>0</v>
      </c>
      <c r="BH27" s="331">
        <f t="shared" si="17"/>
        <v>130</v>
      </c>
      <c r="BI27" s="382">
        <f t="shared" si="17"/>
        <v>130</v>
      </c>
      <c r="BJ27" s="390">
        <f t="shared" si="17"/>
        <v>0</v>
      </c>
      <c r="BK27" s="390">
        <f>SUM(BK22:BK26)</f>
        <v>115</v>
      </c>
      <c r="BL27" s="390">
        <f>SUM(BL22:BL26)</f>
        <v>0</v>
      </c>
      <c r="BM27" s="390">
        <f>SUM(BM22:BM26)</f>
        <v>115</v>
      </c>
      <c r="BN27" s="387">
        <f t="shared" si="2"/>
        <v>1364</v>
      </c>
    </row>
    <row r="28" spans="1:66" ht="22.5" customHeight="1">
      <c r="A28" s="191" t="s">
        <v>267</v>
      </c>
      <c r="B28" s="182"/>
      <c r="C28" s="196" t="s">
        <v>266</v>
      </c>
      <c r="D28" s="196" t="s">
        <v>1420</v>
      </c>
      <c r="E28" s="196"/>
      <c r="F28" s="196"/>
      <c r="G28" s="196"/>
      <c r="H28" s="196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206"/>
      <c r="V28" s="206"/>
      <c r="W28" s="206"/>
      <c r="X28" s="189"/>
      <c r="Y28" s="189">
        <v>5</v>
      </c>
      <c r="Z28" s="294"/>
      <c r="AA28" s="294"/>
      <c r="AB28" s="189"/>
      <c r="AC28" s="189"/>
      <c r="AD28" s="189"/>
      <c r="AE28" s="189"/>
      <c r="AF28" s="189"/>
      <c r="AG28" s="189"/>
      <c r="AH28" s="189"/>
      <c r="AI28" s="189"/>
      <c r="AJ28" s="634"/>
      <c r="AK28" s="635"/>
      <c r="AL28" s="635">
        <v>60</v>
      </c>
      <c r="AM28" s="635"/>
      <c r="AN28" s="635">
        <v>60</v>
      </c>
      <c r="AO28" s="635"/>
      <c r="AP28" s="646"/>
      <c r="AQ28" s="646"/>
      <c r="AR28" s="189"/>
      <c r="AS28" s="381">
        <f t="shared" si="12"/>
        <v>125</v>
      </c>
      <c r="AT28" s="386"/>
      <c r="AU28" s="186"/>
      <c r="AV28" s="186"/>
      <c r="AW28" s="189">
        <v>820</v>
      </c>
      <c r="AX28" s="189"/>
      <c r="AY28" s="186"/>
      <c r="AZ28" s="387">
        <f t="shared" si="13"/>
        <v>820</v>
      </c>
      <c r="BA28" s="48"/>
      <c r="BB28" s="550"/>
      <c r="BC28" s="186"/>
      <c r="BD28" s="186"/>
      <c r="BE28" s="186"/>
      <c r="BF28" s="186"/>
      <c r="BG28" s="189"/>
      <c r="BH28" s="189">
        <v>150</v>
      </c>
      <c r="BI28" s="381">
        <f t="shared" si="14"/>
        <v>150</v>
      </c>
      <c r="BJ28" s="390"/>
      <c r="BK28" s="189">
        <v>280</v>
      </c>
      <c r="BL28" s="189">
        <v>75</v>
      </c>
      <c r="BM28" s="186">
        <f t="shared" si="15"/>
        <v>355</v>
      </c>
      <c r="BN28" s="387">
        <f t="shared" si="2"/>
        <v>1450</v>
      </c>
    </row>
    <row r="29" spans="1:66" ht="22.5" customHeight="1">
      <c r="A29" s="191" t="s">
        <v>269</v>
      </c>
      <c r="B29" s="182" t="s">
        <v>379</v>
      </c>
      <c r="C29" s="196" t="s">
        <v>268</v>
      </c>
      <c r="D29" s="196" t="s">
        <v>1421</v>
      </c>
      <c r="E29" s="196"/>
      <c r="F29" s="196"/>
      <c r="G29" s="196"/>
      <c r="H29" s="196"/>
      <c r="I29" s="339">
        <v>0</v>
      </c>
      <c r="J29" s="339">
        <v>0</v>
      </c>
      <c r="K29" s="339"/>
      <c r="L29" s="339"/>
      <c r="M29" s="339"/>
      <c r="N29" s="339"/>
      <c r="O29" s="339"/>
      <c r="P29" s="339"/>
      <c r="Q29" s="339"/>
      <c r="R29" s="339"/>
      <c r="S29" s="339">
        <v>0</v>
      </c>
      <c r="T29" s="339"/>
      <c r="U29" s="206">
        <v>0</v>
      </c>
      <c r="V29" s="206"/>
      <c r="W29" s="206"/>
      <c r="X29" s="189">
        <v>0</v>
      </c>
      <c r="Y29" s="189"/>
      <c r="Z29" s="294"/>
      <c r="AA29" s="294"/>
      <c r="AB29" s="189"/>
      <c r="AC29" s="189"/>
      <c r="AD29" s="189"/>
      <c r="AE29" s="189"/>
      <c r="AF29" s="189"/>
      <c r="AG29" s="189"/>
      <c r="AH29" s="189"/>
      <c r="AI29" s="189"/>
      <c r="AJ29" s="634"/>
      <c r="AK29" s="635"/>
      <c r="AL29" s="635"/>
      <c r="AM29" s="635"/>
      <c r="AN29" s="635"/>
      <c r="AO29" s="635"/>
      <c r="AP29" s="646"/>
      <c r="AQ29" s="646"/>
      <c r="AR29" s="189"/>
      <c r="AS29" s="381">
        <f aca="true" t="shared" si="18" ref="AS29:AS79">SUM(E29:AR29)</f>
        <v>0</v>
      </c>
      <c r="AT29" s="386"/>
      <c r="AU29" s="186"/>
      <c r="AV29" s="186"/>
      <c r="AW29" s="189"/>
      <c r="AX29" s="189"/>
      <c r="AY29" s="186"/>
      <c r="AZ29" s="387">
        <f t="shared" si="13"/>
        <v>0</v>
      </c>
      <c r="BA29" s="48"/>
      <c r="BB29" s="550"/>
      <c r="BC29" s="186"/>
      <c r="BD29" s="186"/>
      <c r="BE29" s="186"/>
      <c r="BF29" s="186"/>
      <c r="BG29" s="189">
        <v>0</v>
      </c>
      <c r="BH29" s="189">
        <v>0</v>
      </c>
      <c r="BI29" s="381">
        <f t="shared" si="14"/>
        <v>0</v>
      </c>
      <c r="BJ29" s="390"/>
      <c r="BK29" s="189"/>
      <c r="BL29" s="189"/>
      <c r="BM29" s="186">
        <f t="shared" si="15"/>
        <v>0</v>
      </c>
      <c r="BN29" s="387">
        <f t="shared" si="2"/>
        <v>0</v>
      </c>
    </row>
    <row r="30" spans="1:66" s="143" customFormat="1" ht="22.5" customHeight="1">
      <c r="A30" s="295" t="s">
        <v>270</v>
      </c>
      <c r="B30" s="287" t="s">
        <v>380</v>
      </c>
      <c r="C30" s="312" t="s">
        <v>273</v>
      </c>
      <c r="D30" s="312"/>
      <c r="E30" s="312">
        <f>E28+E29</f>
        <v>0</v>
      </c>
      <c r="F30" s="312">
        <f aca="true" t="shared" si="19" ref="F30:AT30">F28+F29</f>
        <v>0</v>
      </c>
      <c r="G30" s="312">
        <f t="shared" si="19"/>
        <v>0</v>
      </c>
      <c r="H30" s="312"/>
      <c r="I30" s="312">
        <f t="shared" si="19"/>
        <v>0</v>
      </c>
      <c r="J30" s="312">
        <f t="shared" si="19"/>
        <v>0</v>
      </c>
      <c r="K30" s="312">
        <f t="shared" si="19"/>
        <v>0</v>
      </c>
      <c r="L30" s="312">
        <f t="shared" si="19"/>
        <v>0</v>
      </c>
      <c r="M30" s="312">
        <f t="shared" si="19"/>
        <v>0</v>
      </c>
      <c r="N30" s="312">
        <f t="shared" si="19"/>
        <v>0</v>
      </c>
      <c r="O30" s="312">
        <f>O28+O29</f>
        <v>0</v>
      </c>
      <c r="P30" s="312">
        <f>P28+P29</f>
        <v>0</v>
      </c>
      <c r="Q30" s="312">
        <f>Q28+Q29</f>
        <v>0</v>
      </c>
      <c r="R30" s="312">
        <f>R28+R29</f>
        <v>0</v>
      </c>
      <c r="S30" s="312">
        <f t="shared" si="19"/>
        <v>0</v>
      </c>
      <c r="T30" s="312">
        <f t="shared" si="19"/>
        <v>0</v>
      </c>
      <c r="U30" s="312">
        <f t="shared" si="19"/>
        <v>0</v>
      </c>
      <c r="V30" s="312">
        <f t="shared" si="19"/>
        <v>0</v>
      </c>
      <c r="W30" s="312">
        <f t="shared" si="19"/>
        <v>0</v>
      </c>
      <c r="X30" s="312">
        <f t="shared" si="19"/>
        <v>0</v>
      </c>
      <c r="Y30" s="312">
        <f t="shared" si="19"/>
        <v>5</v>
      </c>
      <c r="Z30" s="312">
        <f t="shared" si="19"/>
        <v>0</v>
      </c>
      <c r="AA30" s="312">
        <f t="shared" si="19"/>
        <v>0</v>
      </c>
      <c r="AB30" s="312">
        <f t="shared" si="19"/>
        <v>0</v>
      </c>
      <c r="AC30" s="312">
        <f t="shared" si="19"/>
        <v>0</v>
      </c>
      <c r="AD30" s="312">
        <f t="shared" si="19"/>
        <v>0</v>
      </c>
      <c r="AE30" s="312">
        <f t="shared" si="19"/>
        <v>0</v>
      </c>
      <c r="AF30" s="312">
        <f t="shared" si="19"/>
        <v>0</v>
      </c>
      <c r="AG30" s="312"/>
      <c r="AH30" s="312">
        <f t="shared" si="19"/>
        <v>0</v>
      </c>
      <c r="AI30" s="312">
        <f t="shared" si="19"/>
        <v>0</v>
      </c>
      <c r="AJ30" s="636">
        <f t="shared" si="19"/>
        <v>0</v>
      </c>
      <c r="AK30" s="636">
        <f t="shared" si="19"/>
        <v>0</v>
      </c>
      <c r="AL30" s="636">
        <f t="shared" si="19"/>
        <v>60</v>
      </c>
      <c r="AM30" s="636">
        <f>AM28+AM29</f>
        <v>0</v>
      </c>
      <c r="AN30" s="636">
        <f>AN28+AN29</f>
        <v>60</v>
      </c>
      <c r="AO30" s="636">
        <f t="shared" si="19"/>
        <v>0</v>
      </c>
      <c r="AP30" s="647">
        <f t="shared" si="19"/>
        <v>0</v>
      </c>
      <c r="AQ30" s="647">
        <f t="shared" si="19"/>
        <v>0</v>
      </c>
      <c r="AR30" s="312">
        <f t="shared" si="19"/>
        <v>0</v>
      </c>
      <c r="AS30" s="383">
        <f t="shared" si="19"/>
        <v>125</v>
      </c>
      <c r="AT30" s="389">
        <f t="shared" si="19"/>
        <v>0</v>
      </c>
      <c r="AU30" s="312">
        <f aca="true" t="shared" si="20" ref="AU30:BM30">AU28+AU29</f>
        <v>0</v>
      </c>
      <c r="AV30" s="312">
        <f t="shared" si="20"/>
        <v>0</v>
      </c>
      <c r="AW30" s="312">
        <f t="shared" si="20"/>
        <v>820</v>
      </c>
      <c r="AX30" s="312">
        <f t="shared" si="20"/>
        <v>0</v>
      </c>
      <c r="AY30" s="312">
        <f t="shared" si="20"/>
        <v>0</v>
      </c>
      <c r="AZ30" s="571">
        <f t="shared" si="20"/>
        <v>820</v>
      </c>
      <c r="BA30" s="377">
        <f t="shared" si="20"/>
        <v>0</v>
      </c>
      <c r="BB30" s="552">
        <f t="shared" si="20"/>
        <v>0</v>
      </c>
      <c r="BC30" s="331">
        <f t="shared" si="20"/>
        <v>0</v>
      </c>
      <c r="BD30" s="331">
        <f t="shared" si="20"/>
        <v>0</v>
      </c>
      <c r="BE30" s="331">
        <f t="shared" si="20"/>
        <v>0</v>
      </c>
      <c r="BF30" s="331">
        <f t="shared" si="20"/>
        <v>0</v>
      </c>
      <c r="BG30" s="331">
        <f t="shared" si="20"/>
        <v>0</v>
      </c>
      <c r="BH30" s="331">
        <f t="shared" si="20"/>
        <v>150</v>
      </c>
      <c r="BI30" s="382">
        <f t="shared" si="20"/>
        <v>150</v>
      </c>
      <c r="BJ30" s="388">
        <f t="shared" si="20"/>
        <v>0</v>
      </c>
      <c r="BK30" s="331">
        <f t="shared" si="20"/>
        <v>280</v>
      </c>
      <c r="BL30" s="331">
        <f t="shared" si="20"/>
        <v>75</v>
      </c>
      <c r="BM30" s="331">
        <f t="shared" si="20"/>
        <v>355</v>
      </c>
      <c r="BN30" s="387">
        <f t="shared" si="2"/>
        <v>1450</v>
      </c>
    </row>
    <row r="31" spans="1:66" s="143" customFormat="1" ht="22.5" customHeight="1">
      <c r="A31" s="192" t="s">
        <v>271</v>
      </c>
      <c r="B31" s="287"/>
      <c r="C31" s="310" t="s">
        <v>272</v>
      </c>
      <c r="D31" s="310"/>
      <c r="E31" s="310">
        <f>E27+E30</f>
        <v>0</v>
      </c>
      <c r="F31" s="310">
        <f aca="true" t="shared" si="21" ref="F31:AT31">F27+F30</f>
        <v>0</v>
      </c>
      <c r="G31" s="310">
        <f t="shared" si="21"/>
        <v>0</v>
      </c>
      <c r="H31" s="310"/>
      <c r="I31" s="310">
        <f t="shared" si="21"/>
        <v>0</v>
      </c>
      <c r="J31" s="310">
        <f t="shared" si="21"/>
        <v>0</v>
      </c>
      <c r="K31" s="310">
        <f t="shared" si="21"/>
        <v>0</v>
      </c>
      <c r="L31" s="310">
        <f t="shared" si="21"/>
        <v>125</v>
      </c>
      <c r="M31" s="310">
        <f t="shared" si="21"/>
        <v>0</v>
      </c>
      <c r="N31" s="310">
        <f t="shared" si="21"/>
        <v>0</v>
      </c>
      <c r="O31" s="310">
        <f>O27+O30</f>
        <v>0</v>
      </c>
      <c r="P31" s="310">
        <f>P27+P30</f>
        <v>0</v>
      </c>
      <c r="Q31" s="310">
        <f>Q27+Q30</f>
        <v>0</v>
      </c>
      <c r="R31" s="310">
        <f>R27+R30</f>
        <v>0</v>
      </c>
      <c r="S31" s="310">
        <f t="shared" si="21"/>
        <v>0</v>
      </c>
      <c r="T31" s="310">
        <f t="shared" si="21"/>
        <v>0</v>
      </c>
      <c r="U31" s="310">
        <f t="shared" si="21"/>
        <v>0</v>
      </c>
      <c r="V31" s="310">
        <f t="shared" si="21"/>
        <v>0</v>
      </c>
      <c r="W31" s="310">
        <f t="shared" si="21"/>
        <v>0</v>
      </c>
      <c r="X31" s="310">
        <f t="shared" si="21"/>
        <v>0</v>
      </c>
      <c r="Y31" s="310">
        <f t="shared" si="21"/>
        <v>125</v>
      </c>
      <c r="Z31" s="310">
        <f t="shared" si="21"/>
        <v>0</v>
      </c>
      <c r="AA31" s="310">
        <f t="shared" si="21"/>
        <v>0</v>
      </c>
      <c r="AB31" s="310">
        <f t="shared" si="21"/>
        <v>0</v>
      </c>
      <c r="AC31" s="310">
        <f t="shared" si="21"/>
        <v>0</v>
      </c>
      <c r="AD31" s="310">
        <f t="shared" si="21"/>
        <v>0</v>
      </c>
      <c r="AE31" s="310">
        <f t="shared" si="21"/>
        <v>0</v>
      </c>
      <c r="AF31" s="310">
        <f t="shared" si="21"/>
        <v>0</v>
      </c>
      <c r="AG31" s="310"/>
      <c r="AH31" s="310">
        <f t="shared" si="21"/>
        <v>0</v>
      </c>
      <c r="AI31" s="310">
        <f t="shared" si="21"/>
        <v>0</v>
      </c>
      <c r="AJ31" s="637">
        <f t="shared" si="21"/>
        <v>0</v>
      </c>
      <c r="AK31" s="637">
        <f t="shared" si="21"/>
        <v>0</v>
      </c>
      <c r="AL31" s="637">
        <f t="shared" si="21"/>
        <v>157</v>
      </c>
      <c r="AM31" s="637">
        <f>AM27+AM30</f>
        <v>0</v>
      </c>
      <c r="AN31" s="637">
        <f>AN27+AN30</f>
        <v>157</v>
      </c>
      <c r="AO31" s="637">
        <f t="shared" si="21"/>
        <v>0</v>
      </c>
      <c r="AP31" s="648">
        <f t="shared" si="21"/>
        <v>0</v>
      </c>
      <c r="AQ31" s="648">
        <f t="shared" si="21"/>
        <v>0</v>
      </c>
      <c r="AR31" s="310">
        <f t="shared" si="21"/>
        <v>0</v>
      </c>
      <c r="AS31" s="384">
        <f t="shared" si="21"/>
        <v>564</v>
      </c>
      <c r="AT31" s="386">
        <f t="shared" si="21"/>
        <v>0</v>
      </c>
      <c r="AU31" s="186">
        <f aca="true" t="shared" si="22" ref="AU31:BM31">AU27+AU30</f>
        <v>0</v>
      </c>
      <c r="AV31" s="186">
        <f t="shared" si="22"/>
        <v>0</v>
      </c>
      <c r="AW31" s="186">
        <f t="shared" si="22"/>
        <v>1500</v>
      </c>
      <c r="AX31" s="186">
        <f t="shared" si="22"/>
        <v>0</v>
      </c>
      <c r="AY31" s="186">
        <f t="shared" si="22"/>
        <v>0</v>
      </c>
      <c r="AZ31" s="387">
        <f t="shared" si="22"/>
        <v>1500</v>
      </c>
      <c r="BA31" s="48">
        <f t="shared" si="22"/>
        <v>0</v>
      </c>
      <c r="BB31" s="550">
        <f t="shared" si="22"/>
        <v>0</v>
      </c>
      <c r="BC31" s="386">
        <f t="shared" si="22"/>
        <v>0</v>
      </c>
      <c r="BD31" s="386">
        <f t="shared" si="22"/>
        <v>0</v>
      </c>
      <c r="BE31" s="386">
        <f t="shared" si="22"/>
        <v>0</v>
      </c>
      <c r="BF31" s="386">
        <f t="shared" si="22"/>
        <v>0</v>
      </c>
      <c r="BG31" s="386">
        <f t="shared" si="22"/>
        <v>0</v>
      </c>
      <c r="BH31" s="386">
        <f t="shared" si="22"/>
        <v>280</v>
      </c>
      <c r="BI31" s="406">
        <f t="shared" si="22"/>
        <v>280</v>
      </c>
      <c r="BJ31" s="386">
        <f t="shared" si="22"/>
        <v>0</v>
      </c>
      <c r="BK31" s="186">
        <f t="shared" si="22"/>
        <v>395</v>
      </c>
      <c r="BL31" s="186">
        <f t="shared" si="22"/>
        <v>75</v>
      </c>
      <c r="BM31" s="186">
        <f t="shared" si="22"/>
        <v>470</v>
      </c>
      <c r="BN31" s="387">
        <f t="shared" si="2"/>
        <v>2814</v>
      </c>
    </row>
    <row r="32" spans="1:66" ht="22.5" customHeight="1">
      <c r="A32" s="191" t="s">
        <v>275</v>
      </c>
      <c r="B32" s="182" t="s">
        <v>386</v>
      </c>
      <c r="C32" s="196" t="s">
        <v>848</v>
      </c>
      <c r="D32" s="196"/>
      <c r="E32" s="196"/>
      <c r="F32" s="196"/>
      <c r="G32" s="196"/>
      <c r="H32" s="196"/>
      <c r="I32" s="339">
        <v>0</v>
      </c>
      <c r="J32" s="339">
        <v>0</v>
      </c>
      <c r="K32" s="339"/>
      <c r="L32" s="339"/>
      <c r="M32" s="339">
        <v>0</v>
      </c>
      <c r="N32" s="339"/>
      <c r="O32" s="339"/>
      <c r="P32" s="339"/>
      <c r="Q32" s="339"/>
      <c r="R32" s="339"/>
      <c r="S32" s="339"/>
      <c r="T32" s="339"/>
      <c r="U32" s="206">
        <v>0</v>
      </c>
      <c r="V32" s="206"/>
      <c r="W32" s="206"/>
      <c r="X32" s="189">
        <v>7700</v>
      </c>
      <c r="Y32" s="189">
        <v>450</v>
      </c>
      <c r="Z32" s="294"/>
      <c r="AA32" s="294"/>
      <c r="AB32" s="189"/>
      <c r="AC32" s="189"/>
      <c r="AD32" s="189">
        <v>60</v>
      </c>
      <c r="AE32" s="189"/>
      <c r="AF32" s="189">
        <v>250</v>
      </c>
      <c r="AG32" s="189"/>
      <c r="AH32" s="189"/>
      <c r="AI32" s="189"/>
      <c r="AJ32" s="634"/>
      <c r="AK32" s="635"/>
      <c r="AL32" s="635">
        <v>800</v>
      </c>
      <c r="AM32" s="635"/>
      <c r="AN32" s="635">
        <v>800</v>
      </c>
      <c r="AO32" s="635">
        <v>500</v>
      </c>
      <c r="AP32" s="646"/>
      <c r="AQ32" s="646"/>
      <c r="AR32" s="189"/>
      <c r="AS32" s="381">
        <f t="shared" si="18"/>
        <v>10560</v>
      </c>
      <c r="AT32" s="390">
        <v>0</v>
      </c>
      <c r="AU32" s="189"/>
      <c r="AV32" s="189"/>
      <c r="AW32" s="189">
        <v>2500</v>
      </c>
      <c r="AX32" s="189"/>
      <c r="AY32" s="186"/>
      <c r="AZ32" s="387">
        <f aca="true" t="shared" si="23" ref="AZ32:AZ64">SUM(AT32:AX32)</f>
        <v>2500</v>
      </c>
      <c r="BA32" s="59">
        <v>0</v>
      </c>
      <c r="BB32" s="550"/>
      <c r="BC32" s="186">
        <v>450</v>
      </c>
      <c r="BD32" s="186"/>
      <c r="BE32" s="186"/>
      <c r="BF32" s="186"/>
      <c r="BG32" s="189">
        <v>0</v>
      </c>
      <c r="BH32" s="189">
        <v>300</v>
      </c>
      <c r="BI32" s="381">
        <f>SUM(BA32:BH32)</f>
        <v>750</v>
      </c>
      <c r="BJ32" s="390"/>
      <c r="BK32" s="189">
        <v>420</v>
      </c>
      <c r="BL32" s="189"/>
      <c r="BM32" s="186">
        <f aca="true" t="shared" si="24" ref="BM32:BM37">BJ32+BK32+BL32</f>
        <v>420</v>
      </c>
      <c r="BN32" s="387">
        <f t="shared" si="2"/>
        <v>14230</v>
      </c>
    </row>
    <row r="33" spans="1:66" ht="22.5" customHeight="1">
      <c r="A33" s="191" t="s">
        <v>276</v>
      </c>
      <c r="B33" s="182" t="s">
        <v>387</v>
      </c>
      <c r="C33" s="196" t="s">
        <v>274</v>
      </c>
      <c r="D33" s="196"/>
      <c r="E33" s="196"/>
      <c r="F33" s="196"/>
      <c r="G33" s="196"/>
      <c r="H33" s="196"/>
      <c r="I33" s="339">
        <v>0</v>
      </c>
      <c r="J33" s="339">
        <v>0</v>
      </c>
      <c r="K33" s="339"/>
      <c r="L33" s="339"/>
      <c r="M33" s="339">
        <v>0</v>
      </c>
      <c r="N33" s="339"/>
      <c r="O33" s="339"/>
      <c r="P33" s="339"/>
      <c r="Q33" s="339"/>
      <c r="R33" s="339"/>
      <c r="S33" s="339"/>
      <c r="T33" s="339"/>
      <c r="U33" s="206">
        <v>0</v>
      </c>
      <c r="V33" s="206"/>
      <c r="W33" s="206"/>
      <c r="X33" s="189"/>
      <c r="Y33" s="189">
        <v>860</v>
      </c>
      <c r="Z33" s="294"/>
      <c r="AA33" s="294"/>
      <c r="AB33" s="189"/>
      <c r="AC33" s="189"/>
      <c r="AD33" s="189">
        <v>400</v>
      </c>
      <c r="AE33" s="189"/>
      <c r="AF33" s="189">
        <v>450</v>
      </c>
      <c r="AG33" s="189"/>
      <c r="AH33" s="189"/>
      <c r="AI33" s="189"/>
      <c r="AJ33" s="634"/>
      <c r="AK33" s="635"/>
      <c r="AL33" s="635">
        <v>1850</v>
      </c>
      <c r="AM33" s="635"/>
      <c r="AN33" s="635">
        <v>1850</v>
      </c>
      <c r="AO33" s="635">
        <v>2400</v>
      </c>
      <c r="AP33" s="646"/>
      <c r="AQ33" s="646"/>
      <c r="AR33" s="189"/>
      <c r="AS33" s="381">
        <f t="shared" si="18"/>
        <v>7810</v>
      </c>
      <c r="AT33" s="390">
        <v>0</v>
      </c>
      <c r="AU33" s="189"/>
      <c r="AV33" s="189"/>
      <c r="AW33" s="189">
        <v>1300</v>
      </c>
      <c r="AX33" s="189"/>
      <c r="AY33" s="186"/>
      <c r="AZ33" s="387">
        <f t="shared" si="23"/>
        <v>1300</v>
      </c>
      <c r="BA33" s="59">
        <v>0</v>
      </c>
      <c r="BB33" s="550"/>
      <c r="BC33" s="189">
        <v>0</v>
      </c>
      <c r="BD33" s="186"/>
      <c r="BE33" s="186"/>
      <c r="BF33" s="186"/>
      <c r="BG33" s="189">
        <v>0</v>
      </c>
      <c r="BH33" s="189">
        <v>1800</v>
      </c>
      <c r="BI33" s="381">
        <f aca="true" t="shared" si="25" ref="BI33:BI50">SUM(BA33:BH33)</f>
        <v>1800</v>
      </c>
      <c r="BJ33" s="390"/>
      <c r="BK33" s="189">
        <v>2100</v>
      </c>
      <c r="BL33" s="189"/>
      <c r="BM33" s="186">
        <f t="shared" si="24"/>
        <v>2100</v>
      </c>
      <c r="BN33" s="387">
        <f t="shared" si="2"/>
        <v>13010</v>
      </c>
    </row>
    <row r="34" spans="1:66" ht="22.5" customHeight="1">
      <c r="A34" s="191" t="s">
        <v>277</v>
      </c>
      <c r="B34" s="182" t="s">
        <v>390</v>
      </c>
      <c r="C34" s="196" t="s">
        <v>849</v>
      </c>
      <c r="D34" s="196"/>
      <c r="E34" s="196"/>
      <c r="F34" s="196"/>
      <c r="G34" s="196"/>
      <c r="H34" s="196"/>
      <c r="I34" s="339">
        <v>0</v>
      </c>
      <c r="J34" s="339">
        <v>0</v>
      </c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206">
        <v>0</v>
      </c>
      <c r="V34" s="206"/>
      <c r="W34" s="206"/>
      <c r="X34" s="189">
        <v>0</v>
      </c>
      <c r="Y34" s="189">
        <f>300+250</f>
        <v>550</v>
      </c>
      <c r="Z34" s="294"/>
      <c r="AA34" s="294"/>
      <c r="AB34" s="189"/>
      <c r="AC34" s="189"/>
      <c r="AD34" s="189">
        <v>130</v>
      </c>
      <c r="AE34" s="189"/>
      <c r="AF34" s="189">
        <v>450</v>
      </c>
      <c r="AG34" s="189"/>
      <c r="AH34" s="189"/>
      <c r="AI34" s="189"/>
      <c r="AJ34" s="634"/>
      <c r="AK34" s="635"/>
      <c r="AL34" s="635">
        <v>475</v>
      </c>
      <c r="AM34" s="635"/>
      <c r="AN34" s="635">
        <v>475</v>
      </c>
      <c r="AO34" s="635">
        <v>600</v>
      </c>
      <c r="AP34" s="646"/>
      <c r="AQ34" s="646"/>
      <c r="AR34" s="189"/>
      <c r="AS34" s="381">
        <f t="shared" si="18"/>
        <v>2680</v>
      </c>
      <c r="AT34" s="390">
        <v>0</v>
      </c>
      <c r="AU34" s="189"/>
      <c r="AV34" s="189"/>
      <c r="AW34" s="189">
        <v>350</v>
      </c>
      <c r="AX34" s="189"/>
      <c r="AY34" s="186"/>
      <c r="AZ34" s="387">
        <f t="shared" si="23"/>
        <v>350</v>
      </c>
      <c r="BA34" s="59">
        <v>0</v>
      </c>
      <c r="BB34" s="550"/>
      <c r="BC34" s="186"/>
      <c r="BD34" s="186"/>
      <c r="BE34" s="186"/>
      <c r="BF34" s="186"/>
      <c r="BG34" s="189">
        <v>0</v>
      </c>
      <c r="BH34" s="189">
        <v>250</v>
      </c>
      <c r="BI34" s="381">
        <f t="shared" si="25"/>
        <v>250</v>
      </c>
      <c r="BJ34" s="390"/>
      <c r="BK34" s="189">
        <v>1130</v>
      </c>
      <c r="BL34" s="189"/>
      <c r="BM34" s="186">
        <f t="shared" si="24"/>
        <v>1130</v>
      </c>
      <c r="BN34" s="387">
        <f t="shared" si="2"/>
        <v>4410</v>
      </c>
    </row>
    <row r="35" spans="1:66" ht="22.5" customHeight="1">
      <c r="A35" s="295" t="s">
        <v>278</v>
      </c>
      <c r="B35" s="182"/>
      <c r="C35" s="312" t="s">
        <v>279</v>
      </c>
      <c r="D35" s="312"/>
      <c r="E35" s="312">
        <f>SUM(E32:E34)</f>
        <v>0</v>
      </c>
      <c r="F35" s="312">
        <f aca="true" t="shared" si="26" ref="F35:AS35">SUM(F32:F34)</f>
        <v>0</v>
      </c>
      <c r="G35" s="312">
        <f t="shared" si="26"/>
        <v>0</v>
      </c>
      <c r="H35" s="312"/>
      <c r="I35" s="312">
        <f t="shared" si="26"/>
        <v>0</v>
      </c>
      <c r="J35" s="312">
        <f t="shared" si="26"/>
        <v>0</v>
      </c>
      <c r="K35" s="312">
        <f t="shared" si="26"/>
        <v>0</v>
      </c>
      <c r="L35" s="312">
        <f t="shared" si="26"/>
        <v>0</v>
      </c>
      <c r="M35" s="312">
        <f t="shared" si="26"/>
        <v>0</v>
      </c>
      <c r="N35" s="312">
        <f t="shared" si="26"/>
        <v>0</v>
      </c>
      <c r="O35" s="312">
        <f>SUM(O32:O34)</f>
        <v>0</v>
      </c>
      <c r="P35" s="312">
        <f>SUM(P32:P34)</f>
        <v>0</v>
      </c>
      <c r="Q35" s="312">
        <f>SUM(Q32:Q34)</f>
        <v>0</v>
      </c>
      <c r="R35" s="312">
        <f>SUM(R32:R34)</f>
        <v>0</v>
      </c>
      <c r="S35" s="312">
        <f t="shared" si="26"/>
        <v>0</v>
      </c>
      <c r="T35" s="312">
        <f t="shared" si="26"/>
        <v>0</v>
      </c>
      <c r="U35" s="312">
        <f t="shared" si="26"/>
        <v>0</v>
      </c>
      <c r="V35" s="312">
        <f t="shared" si="26"/>
        <v>0</v>
      </c>
      <c r="W35" s="312">
        <f t="shared" si="26"/>
        <v>0</v>
      </c>
      <c r="X35" s="312">
        <f t="shared" si="26"/>
        <v>7700</v>
      </c>
      <c r="Y35" s="312">
        <f t="shared" si="26"/>
        <v>1860</v>
      </c>
      <c r="Z35" s="312">
        <f t="shared" si="26"/>
        <v>0</v>
      </c>
      <c r="AA35" s="312">
        <f t="shared" si="26"/>
        <v>0</v>
      </c>
      <c r="AB35" s="312">
        <f t="shared" si="26"/>
        <v>0</v>
      </c>
      <c r="AC35" s="312">
        <f t="shared" si="26"/>
        <v>0</v>
      </c>
      <c r="AD35" s="312">
        <f t="shared" si="26"/>
        <v>590</v>
      </c>
      <c r="AE35" s="312">
        <f t="shared" si="26"/>
        <v>0</v>
      </c>
      <c r="AF35" s="312">
        <f t="shared" si="26"/>
        <v>1150</v>
      </c>
      <c r="AG35" s="312"/>
      <c r="AH35" s="312">
        <f t="shared" si="26"/>
        <v>0</v>
      </c>
      <c r="AI35" s="312">
        <f t="shared" si="26"/>
        <v>0</v>
      </c>
      <c r="AJ35" s="636">
        <f t="shared" si="26"/>
        <v>0</v>
      </c>
      <c r="AK35" s="636">
        <f t="shared" si="26"/>
        <v>0</v>
      </c>
      <c r="AL35" s="636">
        <f t="shared" si="26"/>
        <v>3125</v>
      </c>
      <c r="AM35" s="636">
        <f>SUM(AM32:AM34)</f>
        <v>0</v>
      </c>
      <c r="AN35" s="636">
        <f>SUM(AN32:AN34)</f>
        <v>3125</v>
      </c>
      <c r="AO35" s="636">
        <f t="shared" si="26"/>
        <v>3500</v>
      </c>
      <c r="AP35" s="647">
        <f t="shared" si="26"/>
        <v>0</v>
      </c>
      <c r="AQ35" s="647">
        <f t="shared" si="26"/>
        <v>0</v>
      </c>
      <c r="AR35" s="312">
        <f t="shared" si="26"/>
        <v>0</v>
      </c>
      <c r="AS35" s="383">
        <f t="shared" si="26"/>
        <v>21050</v>
      </c>
      <c r="AT35" s="388">
        <v>0</v>
      </c>
      <c r="AU35" s="331">
        <f aca="true" t="shared" si="27" ref="AU35:BM35">SUM(AU32:AU34)</f>
        <v>0</v>
      </c>
      <c r="AV35" s="331">
        <f t="shared" si="27"/>
        <v>0</v>
      </c>
      <c r="AW35" s="331">
        <f t="shared" si="27"/>
        <v>4150</v>
      </c>
      <c r="AX35" s="331">
        <f t="shared" si="27"/>
        <v>0</v>
      </c>
      <c r="AY35" s="331">
        <f t="shared" si="27"/>
        <v>0</v>
      </c>
      <c r="AZ35" s="570">
        <f t="shared" si="27"/>
        <v>4150</v>
      </c>
      <c r="BA35" s="377">
        <f t="shared" si="27"/>
        <v>0</v>
      </c>
      <c r="BB35" s="552">
        <f t="shared" si="27"/>
        <v>0</v>
      </c>
      <c r="BC35" s="331">
        <f t="shared" si="27"/>
        <v>450</v>
      </c>
      <c r="BD35" s="331">
        <f t="shared" si="27"/>
        <v>0</v>
      </c>
      <c r="BE35" s="331">
        <f t="shared" si="27"/>
        <v>0</v>
      </c>
      <c r="BF35" s="331">
        <f t="shared" si="27"/>
        <v>0</v>
      </c>
      <c r="BG35" s="331">
        <f t="shared" si="27"/>
        <v>0</v>
      </c>
      <c r="BH35" s="331">
        <f t="shared" si="27"/>
        <v>2350</v>
      </c>
      <c r="BI35" s="382">
        <f t="shared" si="27"/>
        <v>2800</v>
      </c>
      <c r="BJ35" s="388">
        <f t="shared" si="27"/>
        <v>0</v>
      </c>
      <c r="BK35" s="331">
        <f t="shared" si="27"/>
        <v>3650</v>
      </c>
      <c r="BL35" s="331">
        <f t="shared" si="27"/>
        <v>0</v>
      </c>
      <c r="BM35" s="331">
        <f t="shared" si="27"/>
        <v>3650</v>
      </c>
      <c r="BN35" s="387">
        <f t="shared" si="2"/>
        <v>31650</v>
      </c>
    </row>
    <row r="36" spans="1:66" ht="22.5" customHeight="1">
      <c r="A36" s="295" t="s">
        <v>280</v>
      </c>
      <c r="B36" s="182"/>
      <c r="C36" s="312" t="s">
        <v>847</v>
      </c>
      <c r="D36" s="312"/>
      <c r="E36" s="312"/>
      <c r="F36" s="312"/>
      <c r="G36" s="312"/>
      <c r="H36" s="312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2"/>
      <c r="V36" s="342"/>
      <c r="W36" s="342"/>
      <c r="X36" s="331"/>
      <c r="Y36" s="331"/>
      <c r="Z36" s="343"/>
      <c r="AA36" s="343"/>
      <c r="AB36" s="331"/>
      <c r="AC36" s="331"/>
      <c r="AD36" s="331"/>
      <c r="AE36" s="331"/>
      <c r="AF36" s="331"/>
      <c r="AG36" s="331"/>
      <c r="AH36" s="331"/>
      <c r="AI36" s="331">
        <v>0</v>
      </c>
      <c r="AJ36" s="638"/>
      <c r="AK36" s="639">
        <v>16392</v>
      </c>
      <c r="AL36" s="639"/>
      <c r="AM36" s="639"/>
      <c r="AN36" s="639"/>
      <c r="AO36" s="639"/>
      <c r="AP36" s="649">
        <v>12755</v>
      </c>
      <c r="AQ36" s="649">
        <v>2629</v>
      </c>
      <c r="AR36" s="331"/>
      <c r="AS36" s="382">
        <f t="shared" si="18"/>
        <v>31776</v>
      </c>
      <c r="AT36" s="388"/>
      <c r="AU36" s="331"/>
      <c r="AV36" s="331"/>
      <c r="AW36" s="331"/>
      <c r="AX36" s="331"/>
      <c r="AY36" s="331"/>
      <c r="AZ36" s="570">
        <f t="shared" si="23"/>
        <v>0</v>
      </c>
      <c r="BA36" s="59"/>
      <c r="BB36" s="550"/>
      <c r="BC36" s="186"/>
      <c r="BD36" s="186"/>
      <c r="BE36" s="186"/>
      <c r="BF36" s="186"/>
      <c r="BG36" s="189"/>
      <c r="BH36" s="189"/>
      <c r="BI36" s="381">
        <f t="shared" si="25"/>
        <v>0</v>
      </c>
      <c r="BJ36" s="390"/>
      <c r="BK36" s="189"/>
      <c r="BL36" s="189"/>
      <c r="BM36" s="186">
        <f t="shared" si="24"/>
        <v>0</v>
      </c>
      <c r="BN36" s="387">
        <f t="shared" si="2"/>
        <v>31776</v>
      </c>
    </row>
    <row r="37" spans="1:66" ht="22.5" customHeight="1">
      <c r="A37" s="191" t="s">
        <v>281</v>
      </c>
      <c r="B37" s="182"/>
      <c r="C37" s="196" t="s">
        <v>283</v>
      </c>
      <c r="D37" s="196"/>
      <c r="E37" s="312"/>
      <c r="F37" s="312"/>
      <c r="G37" s="312"/>
      <c r="H37" s="312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2"/>
      <c r="V37" s="342"/>
      <c r="W37" s="342">
        <v>250</v>
      </c>
      <c r="X37" s="331"/>
      <c r="Y37" s="331">
        <v>200</v>
      </c>
      <c r="Z37" s="343"/>
      <c r="AA37" s="343"/>
      <c r="AB37" s="331"/>
      <c r="AC37" s="331"/>
      <c r="AD37" s="331"/>
      <c r="AE37" s="331"/>
      <c r="AF37" s="331"/>
      <c r="AG37" s="331"/>
      <c r="AH37" s="331"/>
      <c r="AI37" s="331"/>
      <c r="AJ37" s="638"/>
      <c r="AK37" s="639"/>
      <c r="AL37" s="639">
        <v>90</v>
      </c>
      <c r="AM37" s="639"/>
      <c r="AN37" s="639">
        <v>90</v>
      </c>
      <c r="AO37" s="639"/>
      <c r="AP37" s="649"/>
      <c r="AQ37" s="649"/>
      <c r="AR37" s="331"/>
      <c r="AS37" s="382">
        <f t="shared" si="18"/>
        <v>630</v>
      </c>
      <c r="AT37" s="390"/>
      <c r="AU37" s="189"/>
      <c r="AV37" s="189"/>
      <c r="AW37" s="189">
        <v>100</v>
      </c>
      <c r="AX37" s="189"/>
      <c r="AY37" s="186"/>
      <c r="AZ37" s="387">
        <f t="shared" si="23"/>
        <v>100</v>
      </c>
      <c r="BA37" s="59"/>
      <c r="BB37" s="550"/>
      <c r="BC37" s="186">
        <v>450</v>
      </c>
      <c r="BD37" s="186"/>
      <c r="BE37" s="186"/>
      <c r="BF37" s="186"/>
      <c r="BG37" s="189"/>
      <c r="BH37" s="189">
        <v>60</v>
      </c>
      <c r="BI37" s="381">
        <f t="shared" si="25"/>
        <v>510</v>
      </c>
      <c r="BJ37" s="390"/>
      <c r="BK37" s="189"/>
      <c r="BL37" s="189"/>
      <c r="BM37" s="186">
        <f t="shared" si="24"/>
        <v>0</v>
      </c>
      <c r="BN37" s="387">
        <f t="shared" si="2"/>
        <v>1240</v>
      </c>
    </row>
    <row r="38" spans="1:66" ht="22.5" customHeight="1">
      <c r="A38" s="295" t="s">
        <v>282</v>
      </c>
      <c r="B38" s="182"/>
      <c r="C38" s="312" t="s">
        <v>292</v>
      </c>
      <c r="D38" s="312"/>
      <c r="E38" s="312">
        <f>E37</f>
        <v>0</v>
      </c>
      <c r="F38" s="312">
        <f aca="true" t="shared" si="28" ref="F38:AT38">F37</f>
        <v>0</v>
      </c>
      <c r="G38" s="312">
        <f t="shared" si="28"/>
        <v>0</v>
      </c>
      <c r="H38" s="312"/>
      <c r="I38" s="312">
        <f t="shared" si="28"/>
        <v>0</v>
      </c>
      <c r="J38" s="312">
        <f t="shared" si="28"/>
        <v>0</v>
      </c>
      <c r="K38" s="312">
        <f t="shared" si="28"/>
        <v>0</v>
      </c>
      <c r="L38" s="312">
        <f t="shared" si="28"/>
        <v>0</v>
      </c>
      <c r="M38" s="312">
        <f t="shared" si="28"/>
        <v>0</v>
      </c>
      <c r="N38" s="312">
        <f t="shared" si="28"/>
        <v>0</v>
      </c>
      <c r="O38" s="312">
        <f>O37</f>
        <v>0</v>
      </c>
      <c r="P38" s="312">
        <f>P37</f>
        <v>0</v>
      </c>
      <c r="Q38" s="312">
        <f>Q37</f>
        <v>0</v>
      </c>
      <c r="R38" s="312">
        <f>R37</f>
        <v>0</v>
      </c>
      <c r="S38" s="312">
        <f t="shared" si="28"/>
        <v>0</v>
      </c>
      <c r="T38" s="312">
        <f t="shared" si="28"/>
        <v>0</v>
      </c>
      <c r="U38" s="312">
        <f t="shared" si="28"/>
        <v>0</v>
      </c>
      <c r="V38" s="312">
        <f t="shared" si="28"/>
        <v>0</v>
      </c>
      <c r="W38" s="312">
        <f t="shared" si="28"/>
        <v>250</v>
      </c>
      <c r="X38" s="312">
        <f t="shared" si="28"/>
        <v>0</v>
      </c>
      <c r="Y38" s="312">
        <f t="shared" si="28"/>
        <v>200</v>
      </c>
      <c r="Z38" s="312">
        <f t="shared" si="28"/>
        <v>0</v>
      </c>
      <c r="AA38" s="312">
        <f t="shared" si="28"/>
        <v>0</v>
      </c>
      <c r="AB38" s="312">
        <f t="shared" si="28"/>
        <v>0</v>
      </c>
      <c r="AC38" s="312">
        <f t="shared" si="28"/>
        <v>0</v>
      </c>
      <c r="AD38" s="312">
        <f t="shared" si="28"/>
        <v>0</v>
      </c>
      <c r="AE38" s="312">
        <f t="shared" si="28"/>
        <v>0</v>
      </c>
      <c r="AF38" s="312">
        <f t="shared" si="28"/>
        <v>0</v>
      </c>
      <c r="AG38" s="312"/>
      <c r="AH38" s="312">
        <f t="shared" si="28"/>
        <v>0</v>
      </c>
      <c r="AI38" s="312">
        <f t="shared" si="28"/>
        <v>0</v>
      </c>
      <c r="AJ38" s="636">
        <f t="shared" si="28"/>
        <v>0</v>
      </c>
      <c r="AK38" s="636">
        <f t="shared" si="28"/>
        <v>0</v>
      </c>
      <c r="AL38" s="636">
        <f t="shared" si="28"/>
        <v>90</v>
      </c>
      <c r="AM38" s="636">
        <f>AM37</f>
        <v>0</v>
      </c>
      <c r="AN38" s="636">
        <f>AN37</f>
        <v>90</v>
      </c>
      <c r="AO38" s="636">
        <f t="shared" si="28"/>
        <v>0</v>
      </c>
      <c r="AP38" s="647">
        <f t="shared" si="28"/>
        <v>0</v>
      </c>
      <c r="AQ38" s="647">
        <f t="shared" si="28"/>
        <v>0</v>
      </c>
      <c r="AR38" s="312">
        <f t="shared" si="28"/>
        <v>0</v>
      </c>
      <c r="AS38" s="383">
        <f t="shared" si="28"/>
        <v>630</v>
      </c>
      <c r="AT38" s="388">
        <f t="shared" si="28"/>
        <v>0</v>
      </c>
      <c r="AU38" s="331">
        <f aca="true" t="shared" si="29" ref="AU38:BM38">AU37</f>
        <v>0</v>
      </c>
      <c r="AV38" s="331">
        <f t="shared" si="29"/>
        <v>0</v>
      </c>
      <c r="AW38" s="331">
        <f t="shared" si="29"/>
        <v>100</v>
      </c>
      <c r="AX38" s="331">
        <f t="shared" si="29"/>
        <v>0</v>
      </c>
      <c r="AY38" s="331">
        <f t="shared" si="29"/>
        <v>0</v>
      </c>
      <c r="AZ38" s="570">
        <f t="shared" si="29"/>
        <v>100</v>
      </c>
      <c r="BA38" s="377">
        <f t="shared" si="29"/>
        <v>0</v>
      </c>
      <c r="BB38" s="553">
        <f t="shared" si="29"/>
        <v>0</v>
      </c>
      <c r="BC38" s="382">
        <f t="shared" si="29"/>
        <v>450</v>
      </c>
      <c r="BD38" s="382">
        <f t="shared" si="29"/>
        <v>0</v>
      </c>
      <c r="BE38" s="382">
        <f t="shared" si="29"/>
        <v>0</v>
      </c>
      <c r="BF38" s="382">
        <f t="shared" si="29"/>
        <v>0</v>
      </c>
      <c r="BG38" s="382">
        <f t="shared" si="29"/>
        <v>0</v>
      </c>
      <c r="BH38" s="382">
        <f t="shared" si="29"/>
        <v>60</v>
      </c>
      <c r="BI38" s="382">
        <f t="shared" si="29"/>
        <v>510</v>
      </c>
      <c r="BJ38" s="388">
        <f t="shared" si="29"/>
        <v>0</v>
      </c>
      <c r="BK38" s="331">
        <f t="shared" si="29"/>
        <v>0</v>
      </c>
      <c r="BL38" s="331">
        <f t="shared" si="29"/>
        <v>0</v>
      </c>
      <c r="BM38" s="331">
        <f t="shared" si="29"/>
        <v>0</v>
      </c>
      <c r="BN38" s="387">
        <f t="shared" si="2"/>
        <v>1240</v>
      </c>
    </row>
    <row r="39" spans="1:66" ht="22.5" customHeight="1">
      <c r="A39" s="295" t="s">
        <v>284</v>
      </c>
      <c r="B39" s="182" t="s">
        <v>391</v>
      </c>
      <c r="C39" s="312" t="s">
        <v>285</v>
      </c>
      <c r="D39" s="312" t="s">
        <v>1294</v>
      </c>
      <c r="E39" s="312"/>
      <c r="F39" s="312"/>
      <c r="G39" s="312"/>
      <c r="H39" s="312"/>
      <c r="I39" s="312">
        <v>500</v>
      </c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>
        <f>500+800</f>
        <v>1300</v>
      </c>
      <c r="Z39" s="312"/>
      <c r="AA39" s="312"/>
      <c r="AB39" s="312">
        <v>500</v>
      </c>
      <c r="AC39" s="312"/>
      <c r="AD39" s="312"/>
      <c r="AE39" s="312"/>
      <c r="AF39" s="312">
        <v>200</v>
      </c>
      <c r="AG39" s="312"/>
      <c r="AH39" s="312"/>
      <c r="AI39" s="312"/>
      <c r="AJ39" s="636"/>
      <c r="AK39" s="636"/>
      <c r="AL39" s="636">
        <v>300</v>
      </c>
      <c r="AM39" s="636"/>
      <c r="AN39" s="636">
        <v>300</v>
      </c>
      <c r="AO39" s="636"/>
      <c r="AP39" s="647"/>
      <c r="AQ39" s="647"/>
      <c r="AR39" s="312"/>
      <c r="AS39" s="383">
        <f t="shared" si="18"/>
        <v>3100</v>
      </c>
      <c r="AT39" s="390"/>
      <c r="AU39" s="189"/>
      <c r="AV39" s="189"/>
      <c r="AW39" s="189">
        <v>700</v>
      </c>
      <c r="AX39" s="189"/>
      <c r="AY39" s="186"/>
      <c r="AZ39" s="387">
        <f t="shared" si="23"/>
        <v>700</v>
      </c>
      <c r="BA39" s="48"/>
      <c r="BB39" s="550"/>
      <c r="BC39" s="186"/>
      <c r="BD39" s="186"/>
      <c r="BE39" s="186"/>
      <c r="BF39" s="186"/>
      <c r="BG39" s="189">
        <v>0</v>
      </c>
      <c r="BH39" s="189">
        <v>200</v>
      </c>
      <c r="BI39" s="382">
        <f t="shared" si="25"/>
        <v>200</v>
      </c>
      <c r="BJ39" s="390"/>
      <c r="BK39" s="189">
        <v>450</v>
      </c>
      <c r="BL39" s="189">
        <v>50</v>
      </c>
      <c r="BM39" s="186">
        <f>BJ39+BK39+BL39</f>
        <v>500</v>
      </c>
      <c r="BN39" s="387">
        <f t="shared" si="2"/>
        <v>4500</v>
      </c>
    </row>
    <row r="40" spans="1:66" ht="22.5" customHeight="1">
      <c r="A40" s="191" t="s">
        <v>288</v>
      </c>
      <c r="B40" s="182" t="s">
        <v>396</v>
      </c>
      <c r="C40" s="196" t="s">
        <v>286</v>
      </c>
      <c r="D40" s="196"/>
      <c r="E40" s="196"/>
      <c r="F40" s="196"/>
      <c r="G40" s="196"/>
      <c r="H40" s="196"/>
      <c r="I40" s="339">
        <v>0</v>
      </c>
      <c r="J40" s="339">
        <v>0</v>
      </c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45"/>
      <c r="V40" s="346"/>
      <c r="W40" s="346"/>
      <c r="X40" s="346">
        <v>0</v>
      </c>
      <c r="Y40" s="346">
        <f>150+350</f>
        <v>500</v>
      </c>
      <c r="Z40" s="345"/>
      <c r="AA40" s="345"/>
      <c r="AB40" s="346"/>
      <c r="AC40" s="346"/>
      <c r="AD40" s="346"/>
      <c r="AE40" s="346"/>
      <c r="AF40" s="346"/>
      <c r="AG40" s="346"/>
      <c r="AH40" s="346"/>
      <c r="AI40" s="346"/>
      <c r="AJ40" s="640"/>
      <c r="AK40" s="635"/>
      <c r="AL40" s="635"/>
      <c r="AM40" s="635"/>
      <c r="AN40" s="635"/>
      <c r="AO40" s="635"/>
      <c r="AP40" s="646"/>
      <c r="AQ40" s="646"/>
      <c r="AR40" s="346"/>
      <c r="AS40" s="381">
        <f t="shared" si="18"/>
        <v>500</v>
      </c>
      <c r="AT40" s="386"/>
      <c r="AU40" s="186"/>
      <c r="AV40" s="186"/>
      <c r="AW40" s="189">
        <v>30</v>
      </c>
      <c r="AX40" s="189"/>
      <c r="AY40" s="186"/>
      <c r="AZ40" s="387">
        <f t="shared" si="23"/>
        <v>30</v>
      </c>
      <c r="BA40" s="48"/>
      <c r="BB40" s="550"/>
      <c r="BC40" s="186"/>
      <c r="BD40" s="186"/>
      <c r="BE40" s="186"/>
      <c r="BF40" s="186"/>
      <c r="BG40" s="346">
        <v>0</v>
      </c>
      <c r="BH40" s="346">
        <v>0</v>
      </c>
      <c r="BI40" s="382">
        <f t="shared" si="25"/>
        <v>0</v>
      </c>
      <c r="BJ40" s="390">
        <v>0</v>
      </c>
      <c r="BK40" s="189"/>
      <c r="BL40" s="189"/>
      <c r="BM40" s="186">
        <f>BJ40+BK40+BL40</f>
        <v>0</v>
      </c>
      <c r="BN40" s="387">
        <f t="shared" si="2"/>
        <v>530</v>
      </c>
    </row>
    <row r="41" spans="1:66" ht="22.5" customHeight="1">
      <c r="A41" s="191" t="s">
        <v>289</v>
      </c>
      <c r="B41" s="182" t="s">
        <v>397</v>
      </c>
      <c r="C41" s="196" t="s">
        <v>287</v>
      </c>
      <c r="D41" s="196"/>
      <c r="E41" s="196"/>
      <c r="F41" s="196"/>
      <c r="G41" s="196"/>
      <c r="H41" s="196"/>
      <c r="I41" s="339">
        <v>0</v>
      </c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45"/>
      <c r="V41" s="346"/>
      <c r="W41" s="346"/>
      <c r="X41" s="346">
        <v>0</v>
      </c>
      <c r="Y41" s="346">
        <v>150</v>
      </c>
      <c r="Z41" s="345"/>
      <c r="AA41" s="345"/>
      <c r="AB41" s="346"/>
      <c r="AC41" s="346"/>
      <c r="AD41" s="346"/>
      <c r="AE41" s="346"/>
      <c r="AF41" s="346"/>
      <c r="AG41" s="346"/>
      <c r="AH41" s="346"/>
      <c r="AI41" s="346"/>
      <c r="AJ41" s="640">
        <v>2000</v>
      </c>
      <c r="AK41" s="635"/>
      <c r="AL41" s="635"/>
      <c r="AM41" s="635"/>
      <c r="AN41" s="635"/>
      <c r="AO41" s="635"/>
      <c r="AP41" s="646"/>
      <c r="AQ41" s="646"/>
      <c r="AR41" s="346"/>
      <c r="AS41" s="381">
        <f t="shared" si="18"/>
        <v>2150</v>
      </c>
      <c r="AT41" s="386"/>
      <c r="AU41" s="186"/>
      <c r="AV41" s="186"/>
      <c r="AW41" s="189"/>
      <c r="AX41" s="189"/>
      <c r="AY41" s="186"/>
      <c r="AZ41" s="387">
        <f t="shared" si="23"/>
        <v>0</v>
      </c>
      <c r="BA41" s="48"/>
      <c r="BB41" s="550"/>
      <c r="BC41" s="186"/>
      <c r="BD41" s="186"/>
      <c r="BE41" s="186"/>
      <c r="BF41" s="186"/>
      <c r="BG41" s="346">
        <v>0</v>
      </c>
      <c r="BH41" s="346">
        <v>0</v>
      </c>
      <c r="BI41" s="382">
        <f t="shared" si="25"/>
        <v>0</v>
      </c>
      <c r="BJ41" s="390"/>
      <c r="BK41" s="189"/>
      <c r="BL41" s="189"/>
      <c r="BM41" s="186">
        <f>BJ41+BK41+BL41</f>
        <v>0</v>
      </c>
      <c r="BN41" s="387">
        <f t="shared" si="2"/>
        <v>2150</v>
      </c>
    </row>
    <row r="42" spans="1:66" ht="22.5" customHeight="1">
      <c r="A42" s="295" t="s">
        <v>290</v>
      </c>
      <c r="B42" s="182" t="s">
        <v>398</v>
      </c>
      <c r="C42" s="312" t="s">
        <v>291</v>
      </c>
      <c r="D42" s="312"/>
      <c r="E42" s="312">
        <f>E40+E41</f>
        <v>0</v>
      </c>
      <c r="F42" s="312">
        <f aca="true" t="shared" si="30" ref="F42:AT42">F40+F41</f>
        <v>0</v>
      </c>
      <c r="G42" s="312">
        <f t="shared" si="30"/>
        <v>0</v>
      </c>
      <c r="H42" s="312"/>
      <c r="I42" s="312">
        <f t="shared" si="30"/>
        <v>0</v>
      </c>
      <c r="J42" s="312">
        <f t="shared" si="30"/>
        <v>0</v>
      </c>
      <c r="K42" s="312">
        <f t="shared" si="30"/>
        <v>0</v>
      </c>
      <c r="L42" s="312">
        <f t="shared" si="30"/>
        <v>0</v>
      </c>
      <c r="M42" s="312">
        <f t="shared" si="30"/>
        <v>0</v>
      </c>
      <c r="N42" s="312">
        <f t="shared" si="30"/>
        <v>0</v>
      </c>
      <c r="O42" s="312">
        <f>O40+O41</f>
        <v>0</v>
      </c>
      <c r="P42" s="312">
        <f>P40+P41</f>
        <v>0</v>
      </c>
      <c r="Q42" s="312">
        <f>Q40+Q41</f>
        <v>0</v>
      </c>
      <c r="R42" s="312">
        <f>R40+R41</f>
        <v>0</v>
      </c>
      <c r="S42" s="312">
        <f t="shared" si="30"/>
        <v>0</v>
      </c>
      <c r="T42" s="312">
        <f t="shared" si="30"/>
        <v>0</v>
      </c>
      <c r="U42" s="312">
        <f t="shared" si="30"/>
        <v>0</v>
      </c>
      <c r="V42" s="312">
        <f t="shared" si="30"/>
        <v>0</v>
      </c>
      <c r="W42" s="312">
        <f t="shared" si="30"/>
        <v>0</v>
      </c>
      <c r="X42" s="312">
        <f t="shared" si="30"/>
        <v>0</v>
      </c>
      <c r="Y42" s="312">
        <f t="shared" si="30"/>
        <v>650</v>
      </c>
      <c r="Z42" s="312">
        <f t="shared" si="30"/>
        <v>0</v>
      </c>
      <c r="AA42" s="312">
        <f t="shared" si="30"/>
        <v>0</v>
      </c>
      <c r="AB42" s="312">
        <f t="shared" si="30"/>
        <v>0</v>
      </c>
      <c r="AC42" s="312">
        <f t="shared" si="30"/>
        <v>0</v>
      </c>
      <c r="AD42" s="312">
        <f t="shared" si="30"/>
        <v>0</v>
      </c>
      <c r="AE42" s="312">
        <f t="shared" si="30"/>
        <v>0</v>
      </c>
      <c r="AF42" s="312">
        <f t="shared" si="30"/>
        <v>0</v>
      </c>
      <c r="AG42" s="312"/>
      <c r="AH42" s="312">
        <f t="shared" si="30"/>
        <v>0</v>
      </c>
      <c r="AI42" s="312">
        <f t="shared" si="30"/>
        <v>0</v>
      </c>
      <c r="AJ42" s="636">
        <f t="shared" si="30"/>
        <v>2000</v>
      </c>
      <c r="AK42" s="636">
        <f t="shared" si="30"/>
        <v>0</v>
      </c>
      <c r="AL42" s="636">
        <f t="shared" si="30"/>
        <v>0</v>
      </c>
      <c r="AM42" s="636">
        <f>AM40+AM41</f>
        <v>0</v>
      </c>
      <c r="AN42" s="636">
        <f>AN40+AN41</f>
        <v>0</v>
      </c>
      <c r="AO42" s="636">
        <f t="shared" si="30"/>
        <v>0</v>
      </c>
      <c r="AP42" s="647">
        <f t="shared" si="30"/>
        <v>0</v>
      </c>
      <c r="AQ42" s="647">
        <f t="shared" si="30"/>
        <v>0</v>
      </c>
      <c r="AR42" s="312">
        <f t="shared" si="30"/>
        <v>0</v>
      </c>
      <c r="AS42" s="383">
        <f t="shared" si="30"/>
        <v>2650</v>
      </c>
      <c r="AT42" s="388">
        <f t="shared" si="30"/>
        <v>0</v>
      </c>
      <c r="AU42" s="331">
        <f aca="true" t="shared" si="31" ref="AU42:BM42">AU40+AU41</f>
        <v>0</v>
      </c>
      <c r="AV42" s="331">
        <f t="shared" si="31"/>
        <v>0</v>
      </c>
      <c r="AW42" s="331">
        <f t="shared" si="31"/>
        <v>30</v>
      </c>
      <c r="AX42" s="331">
        <f t="shared" si="31"/>
        <v>0</v>
      </c>
      <c r="AY42" s="331">
        <f t="shared" si="31"/>
        <v>0</v>
      </c>
      <c r="AZ42" s="570">
        <f t="shared" si="31"/>
        <v>30</v>
      </c>
      <c r="BA42" s="377">
        <f t="shared" si="31"/>
        <v>0</v>
      </c>
      <c r="BB42" s="552">
        <f t="shared" si="31"/>
        <v>0</v>
      </c>
      <c r="BC42" s="331">
        <f t="shared" si="31"/>
        <v>0</v>
      </c>
      <c r="BD42" s="331">
        <f t="shared" si="31"/>
        <v>0</v>
      </c>
      <c r="BE42" s="331">
        <f t="shared" si="31"/>
        <v>0</v>
      </c>
      <c r="BF42" s="331">
        <f t="shared" si="31"/>
        <v>0</v>
      </c>
      <c r="BG42" s="331">
        <f t="shared" si="31"/>
        <v>0</v>
      </c>
      <c r="BH42" s="331">
        <f t="shared" si="31"/>
        <v>0</v>
      </c>
      <c r="BI42" s="382">
        <f t="shared" si="31"/>
        <v>0</v>
      </c>
      <c r="BJ42" s="388">
        <f t="shared" si="31"/>
        <v>0</v>
      </c>
      <c r="BK42" s="331">
        <f t="shared" si="31"/>
        <v>0</v>
      </c>
      <c r="BL42" s="331">
        <f t="shared" si="31"/>
        <v>0</v>
      </c>
      <c r="BM42" s="331">
        <f t="shared" si="31"/>
        <v>0</v>
      </c>
      <c r="BN42" s="387">
        <f t="shared" si="2"/>
        <v>2680</v>
      </c>
    </row>
    <row r="43" spans="1:66" ht="22.5" customHeight="1">
      <c r="A43" s="191" t="s">
        <v>295</v>
      </c>
      <c r="B43" s="182"/>
      <c r="C43" s="196" t="s">
        <v>1023</v>
      </c>
      <c r="D43" s="196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636"/>
      <c r="AK43" s="636"/>
      <c r="AL43" s="636"/>
      <c r="AM43" s="636"/>
      <c r="AN43" s="636"/>
      <c r="AO43" s="636"/>
      <c r="AP43" s="647"/>
      <c r="AQ43" s="647"/>
      <c r="AR43" s="312"/>
      <c r="AS43" s="383">
        <f t="shared" si="18"/>
        <v>0</v>
      </c>
      <c r="AT43" s="386"/>
      <c r="AU43" s="186"/>
      <c r="AV43" s="186"/>
      <c r="AW43" s="189"/>
      <c r="AX43" s="189"/>
      <c r="AY43" s="186"/>
      <c r="AZ43" s="387">
        <f t="shared" si="23"/>
        <v>0</v>
      </c>
      <c r="BA43" s="48"/>
      <c r="BB43" s="550"/>
      <c r="BC43" s="186"/>
      <c r="BD43" s="186"/>
      <c r="BE43" s="186"/>
      <c r="BF43" s="186"/>
      <c r="BG43" s="346"/>
      <c r="BH43" s="346"/>
      <c r="BI43" s="381">
        <f t="shared" si="25"/>
        <v>0</v>
      </c>
      <c r="BJ43" s="390"/>
      <c r="BK43" s="189"/>
      <c r="BL43" s="189"/>
      <c r="BM43" s="186">
        <f>BJ43+BK43+BL43</f>
        <v>0</v>
      </c>
      <c r="BN43" s="387">
        <f t="shared" si="2"/>
        <v>0</v>
      </c>
    </row>
    <row r="44" spans="1:66" ht="22.5" customHeight="1">
      <c r="A44" s="191" t="s">
        <v>296</v>
      </c>
      <c r="B44" s="182"/>
      <c r="C44" s="196" t="s">
        <v>293</v>
      </c>
      <c r="D44" s="196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636"/>
      <c r="AK44" s="636"/>
      <c r="AL44" s="636"/>
      <c r="AM44" s="636"/>
      <c r="AN44" s="636"/>
      <c r="AO44" s="636"/>
      <c r="AP44" s="647"/>
      <c r="AQ44" s="647"/>
      <c r="AR44" s="312"/>
      <c r="AS44" s="383">
        <f t="shared" si="18"/>
        <v>0</v>
      </c>
      <c r="AT44" s="386"/>
      <c r="AU44" s="186"/>
      <c r="AV44" s="186"/>
      <c r="AW44" s="189"/>
      <c r="AX44" s="189"/>
      <c r="AY44" s="186"/>
      <c r="AZ44" s="387">
        <f t="shared" si="23"/>
        <v>0</v>
      </c>
      <c r="BA44" s="48"/>
      <c r="BB44" s="550"/>
      <c r="BC44" s="186"/>
      <c r="BD44" s="186"/>
      <c r="BE44" s="186">
        <v>100</v>
      </c>
      <c r="BF44" s="186"/>
      <c r="BG44" s="346"/>
      <c r="BH44" s="346"/>
      <c r="BI44" s="381">
        <f t="shared" si="25"/>
        <v>100</v>
      </c>
      <c r="BJ44" s="390"/>
      <c r="BK44" s="189"/>
      <c r="BL44" s="189"/>
      <c r="BM44" s="186">
        <f aca="true" t="shared" si="32" ref="BM44:BM50">BJ44+BK44+BL44</f>
        <v>0</v>
      </c>
      <c r="BN44" s="387">
        <f t="shared" si="2"/>
        <v>100</v>
      </c>
    </row>
    <row r="45" spans="1:66" ht="95.25" customHeight="1">
      <c r="A45" s="191" t="s">
        <v>832</v>
      </c>
      <c r="B45" s="182"/>
      <c r="C45" s="196" t="s">
        <v>294</v>
      </c>
      <c r="D45" s="196" t="s">
        <v>86</v>
      </c>
      <c r="E45" s="312"/>
      <c r="F45" s="312"/>
      <c r="G45" s="312"/>
      <c r="H45" s="312">
        <v>900</v>
      </c>
      <c r="I45" s="312"/>
      <c r="J45" s="312"/>
      <c r="K45" s="312"/>
      <c r="L45" s="312"/>
      <c r="M45" s="312"/>
      <c r="N45" s="312">
        <f>1500+100</f>
        <v>1600</v>
      </c>
      <c r="O45" s="312"/>
      <c r="P45" s="312"/>
      <c r="Q45" s="312">
        <v>200</v>
      </c>
      <c r="R45" s="312"/>
      <c r="S45" s="312"/>
      <c r="T45" s="312"/>
      <c r="U45" s="312">
        <f>200+460</f>
        <v>660</v>
      </c>
      <c r="V45" s="312"/>
      <c r="W45" s="312"/>
      <c r="X45" s="312"/>
      <c r="Y45" s="312"/>
      <c r="Z45" s="312"/>
      <c r="AA45" s="312"/>
      <c r="AB45" s="312"/>
      <c r="AC45" s="312"/>
      <c r="AD45" s="312"/>
      <c r="AE45" s="312">
        <v>60</v>
      </c>
      <c r="AF45" s="312"/>
      <c r="AG45" s="312"/>
      <c r="AH45" s="312"/>
      <c r="AI45" s="312"/>
      <c r="AJ45" s="636"/>
      <c r="AK45" s="636"/>
      <c r="AL45" s="636">
        <v>250</v>
      </c>
      <c r="AM45" s="636"/>
      <c r="AN45" s="636">
        <v>250</v>
      </c>
      <c r="AO45" s="636"/>
      <c r="AP45" s="647"/>
      <c r="AQ45" s="647"/>
      <c r="AR45" s="312"/>
      <c r="AS45" s="383">
        <f t="shared" si="18"/>
        <v>3920</v>
      </c>
      <c r="AT45" s="386"/>
      <c r="AU45" s="186"/>
      <c r="AV45" s="186"/>
      <c r="AW45" s="189">
        <v>400</v>
      </c>
      <c r="AX45" s="189">
        <v>50</v>
      </c>
      <c r="AY45" s="186"/>
      <c r="AZ45" s="387">
        <f t="shared" si="23"/>
        <v>450</v>
      </c>
      <c r="BA45" s="59"/>
      <c r="BB45" s="551"/>
      <c r="BC45" s="189">
        <v>3000</v>
      </c>
      <c r="BD45" s="189">
        <v>20</v>
      </c>
      <c r="BE45" s="189">
        <v>150</v>
      </c>
      <c r="BF45" s="189"/>
      <c r="BG45" s="346"/>
      <c r="BH45" s="346">
        <v>390</v>
      </c>
      <c r="BI45" s="405">
        <f t="shared" si="25"/>
        <v>3560</v>
      </c>
      <c r="BJ45" s="390"/>
      <c r="BK45" s="189">
        <v>110</v>
      </c>
      <c r="BL45" s="189">
        <v>35</v>
      </c>
      <c r="BM45" s="186">
        <f t="shared" si="32"/>
        <v>145</v>
      </c>
      <c r="BN45" s="387">
        <f t="shared" si="2"/>
        <v>8075</v>
      </c>
    </row>
    <row r="46" spans="1:66" ht="22.5" customHeight="1">
      <c r="A46" s="295" t="s">
        <v>298</v>
      </c>
      <c r="B46" s="182"/>
      <c r="C46" s="312" t="s">
        <v>309</v>
      </c>
      <c r="D46" s="312"/>
      <c r="E46" s="312">
        <f>E43+E44+E45</f>
        <v>0</v>
      </c>
      <c r="F46" s="312">
        <f>F43+F44+F45</f>
        <v>0</v>
      </c>
      <c r="G46" s="312">
        <f>G43+G44+G45</f>
        <v>0</v>
      </c>
      <c r="H46" s="312">
        <f>H43+H44+H45</f>
        <v>900</v>
      </c>
      <c r="I46" s="312">
        <f aca="true" t="shared" si="33" ref="I46:AT46">I43+I44+I45</f>
        <v>0</v>
      </c>
      <c r="J46" s="312">
        <f t="shared" si="33"/>
        <v>0</v>
      </c>
      <c r="K46" s="312">
        <f t="shared" si="33"/>
        <v>0</v>
      </c>
      <c r="L46" s="312">
        <f t="shared" si="33"/>
        <v>0</v>
      </c>
      <c r="M46" s="312">
        <f t="shared" si="33"/>
        <v>0</v>
      </c>
      <c r="N46" s="312">
        <f t="shared" si="33"/>
        <v>1600</v>
      </c>
      <c r="O46" s="312">
        <f>O43+O44+O45</f>
        <v>0</v>
      </c>
      <c r="P46" s="312">
        <f>P43+P44+P45</f>
        <v>0</v>
      </c>
      <c r="Q46" s="312">
        <f>Q43+Q44+Q45</f>
        <v>200</v>
      </c>
      <c r="R46" s="312">
        <f>R43+R44+R45</f>
        <v>0</v>
      </c>
      <c r="S46" s="312">
        <f t="shared" si="33"/>
        <v>0</v>
      </c>
      <c r="T46" s="312">
        <f t="shared" si="33"/>
        <v>0</v>
      </c>
      <c r="U46" s="312">
        <f t="shared" si="33"/>
        <v>660</v>
      </c>
      <c r="V46" s="312">
        <f t="shared" si="33"/>
        <v>0</v>
      </c>
      <c r="W46" s="312">
        <f t="shared" si="33"/>
        <v>0</v>
      </c>
      <c r="X46" s="312">
        <f t="shared" si="33"/>
        <v>0</v>
      </c>
      <c r="Y46" s="312">
        <f t="shared" si="33"/>
        <v>0</v>
      </c>
      <c r="Z46" s="312">
        <f t="shared" si="33"/>
        <v>0</v>
      </c>
      <c r="AA46" s="312">
        <f t="shared" si="33"/>
        <v>0</v>
      </c>
      <c r="AB46" s="312">
        <f t="shared" si="33"/>
        <v>0</v>
      </c>
      <c r="AC46" s="312">
        <f t="shared" si="33"/>
        <v>0</v>
      </c>
      <c r="AD46" s="312">
        <f t="shared" si="33"/>
        <v>0</v>
      </c>
      <c r="AE46" s="312">
        <f t="shared" si="33"/>
        <v>60</v>
      </c>
      <c r="AF46" s="312">
        <f t="shared" si="33"/>
        <v>0</v>
      </c>
      <c r="AG46" s="312"/>
      <c r="AH46" s="312">
        <f t="shared" si="33"/>
        <v>0</v>
      </c>
      <c r="AI46" s="374">
        <f t="shared" si="33"/>
        <v>0</v>
      </c>
      <c r="AJ46" s="636">
        <f t="shared" si="33"/>
        <v>0</v>
      </c>
      <c r="AK46" s="636">
        <f t="shared" si="33"/>
        <v>0</v>
      </c>
      <c r="AL46" s="636">
        <f t="shared" si="33"/>
        <v>250</v>
      </c>
      <c r="AM46" s="636">
        <f>AM43+AM44+AM45</f>
        <v>0</v>
      </c>
      <c r="AN46" s="636">
        <f>AN43+AN44+AN45</f>
        <v>250</v>
      </c>
      <c r="AO46" s="636">
        <f t="shared" si="33"/>
        <v>0</v>
      </c>
      <c r="AP46" s="647">
        <f t="shared" si="33"/>
        <v>0</v>
      </c>
      <c r="AQ46" s="647">
        <f t="shared" si="33"/>
        <v>0</v>
      </c>
      <c r="AR46" s="312">
        <f t="shared" si="33"/>
        <v>0</v>
      </c>
      <c r="AS46" s="383">
        <f t="shared" si="33"/>
        <v>3920</v>
      </c>
      <c r="AT46" s="388">
        <f t="shared" si="33"/>
        <v>0</v>
      </c>
      <c r="AU46" s="331">
        <f aca="true" t="shared" si="34" ref="AU46:BM46">AU43+AU44+AU45</f>
        <v>0</v>
      </c>
      <c r="AV46" s="331">
        <f t="shared" si="34"/>
        <v>0</v>
      </c>
      <c r="AW46" s="331">
        <f t="shared" si="34"/>
        <v>400</v>
      </c>
      <c r="AX46" s="331">
        <f t="shared" si="34"/>
        <v>50</v>
      </c>
      <c r="AY46" s="331">
        <f t="shared" si="34"/>
        <v>0</v>
      </c>
      <c r="AZ46" s="570">
        <f t="shared" si="34"/>
        <v>450</v>
      </c>
      <c r="BA46" s="377">
        <f t="shared" si="34"/>
        <v>0</v>
      </c>
      <c r="BB46" s="552">
        <f t="shared" si="34"/>
        <v>0</v>
      </c>
      <c r="BC46" s="331">
        <f t="shared" si="34"/>
        <v>3000</v>
      </c>
      <c r="BD46" s="331">
        <f t="shared" si="34"/>
        <v>20</v>
      </c>
      <c r="BE46" s="331">
        <f t="shared" si="34"/>
        <v>250</v>
      </c>
      <c r="BF46" s="331">
        <f t="shared" si="34"/>
        <v>0</v>
      </c>
      <c r="BG46" s="331">
        <f t="shared" si="34"/>
        <v>0</v>
      </c>
      <c r="BH46" s="331">
        <f t="shared" si="34"/>
        <v>390</v>
      </c>
      <c r="BI46" s="382">
        <f t="shared" si="34"/>
        <v>3660</v>
      </c>
      <c r="BJ46" s="388">
        <f t="shared" si="34"/>
        <v>0</v>
      </c>
      <c r="BK46" s="331">
        <f t="shared" si="34"/>
        <v>110</v>
      </c>
      <c r="BL46" s="331">
        <f t="shared" si="34"/>
        <v>35</v>
      </c>
      <c r="BM46" s="331">
        <f t="shared" si="34"/>
        <v>145</v>
      </c>
      <c r="BN46" s="387">
        <f t="shared" si="2"/>
        <v>8175</v>
      </c>
    </row>
    <row r="47" spans="1:66" ht="22.5" customHeight="1">
      <c r="A47" s="191" t="s">
        <v>299</v>
      </c>
      <c r="B47" s="182"/>
      <c r="C47" s="196" t="s">
        <v>300</v>
      </c>
      <c r="D47" s="196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>
        <v>1000</v>
      </c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636"/>
      <c r="AK47" s="636"/>
      <c r="AL47" s="636"/>
      <c r="AM47" s="636"/>
      <c r="AN47" s="636"/>
      <c r="AO47" s="636"/>
      <c r="AP47" s="647"/>
      <c r="AQ47" s="647"/>
      <c r="AR47" s="312"/>
      <c r="AS47" s="383">
        <f t="shared" si="18"/>
        <v>1000</v>
      </c>
      <c r="AT47" s="386"/>
      <c r="AU47" s="186"/>
      <c r="AV47" s="186"/>
      <c r="AW47" s="189">
        <v>250</v>
      </c>
      <c r="AX47" s="189"/>
      <c r="AY47" s="186"/>
      <c r="AZ47" s="387">
        <f t="shared" si="23"/>
        <v>250</v>
      </c>
      <c r="BA47" s="48"/>
      <c r="BB47" s="550"/>
      <c r="BC47" s="186"/>
      <c r="BD47" s="186"/>
      <c r="BE47" s="186"/>
      <c r="BF47" s="186"/>
      <c r="BG47" s="346"/>
      <c r="BH47" s="346"/>
      <c r="BI47" s="381">
        <f t="shared" si="25"/>
        <v>0</v>
      </c>
      <c r="BJ47" s="390"/>
      <c r="BK47" s="189"/>
      <c r="BL47" s="189"/>
      <c r="BM47" s="186">
        <f t="shared" si="32"/>
        <v>0</v>
      </c>
      <c r="BN47" s="387">
        <f t="shared" si="2"/>
        <v>1250</v>
      </c>
    </row>
    <row r="48" spans="1:66" ht="22.5" customHeight="1">
      <c r="A48" s="191" t="s">
        <v>304</v>
      </c>
      <c r="B48" s="182"/>
      <c r="C48" s="196" t="s">
        <v>301</v>
      </c>
      <c r="D48" s="196" t="s">
        <v>681</v>
      </c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>
        <v>3000</v>
      </c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636"/>
      <c r="AK48" s="636"/>
      <c r="AL48" s="636"/>
      <c r="AM48" s="636"/>
      <c r="AN48" s="636"/>
      <c r="AO48" s="636"/>
      <c r="AP48" s="647"/>
      <c r="AQ48" s="647"/>
      <c r="AR48" s="312"/>
      <c r="AS48" s="383">
        <f t="shared" si="18"/>
        <v>3000</v>
      </c>
      <c r="AT48" s="386"/>
      <c r="AU48" s="186"/>
      <c r="AV48" s="186"/>
      <c r="AW48" s="189"/>
      <c r="AX48" s="189"/>
      <c r="AY48" s="186"/>
      <c r="AZ48" s="387">
        <f t="shared" si="23"/>
        <v>0</v>
      </c>
      <c r="BA48" s="48"/>
      <c r="BB48" s="550"/>
      <c r="BC48" s="186"/>
      <c r="BD48" s="186"/>
      <c r="BE48" s="186"/>
      <c r="BF48" s="186"/>
      <c r="BG48" s="346"/>
      <c r="BH48" s="346"/>
      <c r="BI48" s="381">
        <f t="shared" si="25"/>
        <v>0</v>
      </c>
      <c r="BJ48" s="390"/>
      <c r="BK48" s="189"/>
      <c r="BL48" s="189"/>
      <c r="BM48" s="186">
        <f t="shared" si="32"/>
        <v>0</v>
      </c>
      <c r="BN48" s="387">
        <f t="shared" si="2"/>
        <v>3000</v>
      </c>
    </row>
    <row r="49" spans="1:66" ht="22.5" customHeight="1">
      <c r="A49" s="191" t="s">
        <v>305</v>
      </c>
      <c r="B49" s="182"/>
      <c r="C49" s="196" t="s">
        <v>302</v>
      </c>
      <c r="D49" s="196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>
        <v>500</v>
      </c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636"/>
      <c r="AK49" s="636"/>
      <c r="AL49" s="636">
        <v>125</v>
      </c>
      <c r="AM49" s="636">
        <v>0</v>
      </c>
      <c r="AN49" s="636">
        <v>125</v>
      </c>
      <c r="AO49" s="636"/>
      <c r="AP49" s="647"/>
      <c r="AQ49" s="647"/>
      <c r="AR49" s="312"/>
      <c r="AS49" s="383">
        <f t="shared" si="18"/>
        <v>750</v>
      </c>
      <c r="AT49" s="386"/>
      <c r="AU49" s="186"/>
      <c r="AV49" s="186"/>
      <c r="AW49" s="189">
        <v>70</v>
      </c>
      <c r="AX49" s="189"/>
      <c r="AY49" s="186"/>
      <c r="AZ49" s="387">
        <f t="shared" si="23"/>
        <v>70</v>
      </c>
      <c r="BA49" s="48"/>
      <c r="BB49" s="550"/>
      <c r="BC49" s="186"/>
      <c r="BD49" s="186"/>
      <c r="BE49" s="186"/>
      <c r="BF49" s="186"/>
      <c r="BG49" s="346"/>
      <c r="BH49" s="346"/>
      <c r="BI49" s="381">
        <f t="shared" si="25"/>
        <v>0</v>
      </c>
      <c r="BJ49" s="390"/>
      <c r="BK49" s="189"/>
      <c r="BL49" s="189"/>
      <c r="BM49" s="186">
        <f t="shared" si="32"/>
        <v>0</v>
      </c>
      <c r="BN49" s="387">
        <f t="shared" si="2"/>
        <v>820</v>
      </c>
    </row>
    <row r="50" spans="1:66" ht="46.5" customHeight="1">
      <c r="A50" s="191" t="s">
        <v>679</v>
      </c>
      <c r="B50" s="182"/>
      <c r="C50" s="196" t="s">
        <v>303</v>
      </c>
      <c r="D50" s="196" t="s">
        <v>680</v>
      </c>
      <c r="E50" s="312">
        <v>250</v>
      </c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>
        <v>757</v>
      </c>
      <c r="R50" s="312"/>
      <c r="S50" s="312">
        <v>1000</v>
      </c>
      <c r="T50" s="312"/>
      <c r="U50" s="312"/>
      <c r="V50" s="312"/>
      <c r="W50" s="312">
        <v>1000</v>
      </c>
      <c r="X50" s="312"/>
      <c r="Y50" s="312">
        <v>6500</v>
      </c>
      <c r="Z50" s="312"/>
      <c r="AA50" s="312"/>
      <c r="AB50" s="312"/>
      <c r="AC50" s="312"/>
      <c r="AD50" s="312"/>
      <c r="AE50" s="312"/>
      <c r="AF50" s="312"/>
      <c r="AG50" s="312"/>
      <c r="AH50" s="312">
        <v>345</v>
      </c>
      <c r="AI50" s="312"/>
      <c r="AJ50" s="636"/>
      <c r="AK50" s="636"/>
      <c r="AL50" s="636">
        <v>400</v>
      </c>
      <c r="AM50" s="636"/>
      <c r="AN50" s="636">
        <v>400</v>
      </c>
      <c r="AO50" s="636"/>
      <c r="AP50" s="647"/>
      <c r="AQ50" s="647"/>
      <c r="AR50" s="312"/>
      <c r="AS50" s="383">
        <f t="shared" si="18"/>
        <v>10652</v>
      </c>
      <c r="AT50" s="386"/>
      <c r="AU50" s="186"/>
      <c r="AV50" s="186"/>
      <c r="AW50" s="189">
        <v>1900</v>
      </c>
      <c r="AX50" s="189"/>
      <c r="AY50" s="186"/>
      <c r="AZ50" s="387">
        <f t="shared" si="23"/>
        <v>1900</v>
      </c>
      <c r="BA50" s="48"/>
      <c r="BB50" s="550"/>
      <c r="BC50" s="186">
        <v>50</v>
      </c>
      <c r="BD50" s="186"/>
      <c r="BE50" s="186"/>
      <c r="BF50" s="186"/>
      <c r="BG50" s="346"/>
      <c r="BH50" s="346">
        <v>400</v>
      </c>
      <c r="BI50" s="381">
        <f t="shared" si="25"/>
        <v>450</v>
      </c>
      <c r="BJ50" s="390"/>
      <c r="BK50" s="189">
        <v>700</v>
      </c>
      <c r="BL50" s="189"/>
      <c r="BM50" s="186">
        <f t="shared" si="32"/>
        <v>700</v>
      </c>
      <c r="BN50" s="387">
        <f t="shared" si="2"/>
        <v>13702</v>
      </c>
    </row>
    <row r="51" spans="1:66" ht="22.5" customHeight="1">
      <c r="A51" s="295" t="s">
        <v>307</v>
      </c>
      <c r="B51" s="182"/>
      <c r="C51" s="312" t="s">
        <v>308</v>
      </c>
      <c r="D51" s="312"/>
      <c r="E51" s="312">
        <f>SUM(E47:E50)</f>
        <v>250</v>
      </c>
      <c r="F51" s="312">
        <f>SUM(F47:F50)</f>
        <v>0</v>
      </c>
      <c r="G51" s="312">
        <f>SUM(G47:G50)</f>
        <v>0</v>
      </c>
      <c r="H51" s="312">
        <f>SUM(H47:H50)</f>
        <v>0</v>
      </c>
      <c r="I51" s="312">
        <f aca="true" t="shared" si="35" ref="I51:AT51">SUM(I47:I50)</f>
        <v>0</v>
      </c>
      <c r="J51" s="312">
        <f t="shared" si="35"/>
        <v>0</v>
      </c>
      <c r="K51" s="312">
        <f t="shared" si="35"/>
        <v>0</v>
      </c>
      <c r="L51" s="312">
        <f t="shared" si="35"/>
        <v>0</v>
      </c>
      <c r="M51" s="312">
        <f t="shared" si="35"/>
        <v>0</v>
      </c>
      <c r="N51" s="312">
        <f t="shared" si="35"/>
        <v>0</v>
      </c>
      <c r="O51" s="312">
        <f>SUM(O47:O50)</f>
        <v>0</v>
      </c>
      <c r="P51" s="312">
        <f>SUM(P47:P50)</f>
        <v>0</v>
      </c>
      <c r="Q51" s="312">
        <f>SUM(Q47:Q50)</f>
        <v>757</v>
      </c>
      <c r="R51" s="312">
        <f>SUM(R47:R50)</f>
        <v>0</v>
      </c>
      <c r="S51" s="312">
        <f t="shared" si="35"/>
        <v>1000</v>
      </c>
      <c r="T51" s="312">
        <f t="shared" si="35"/>
        <v>0</v>
      </c>
      <c r="U51" s="312">
        <f t="shared" si="35"/>
        <v>0</v>
      </c>
      <c r="V51" s="312">
        <f t="shared" si="35"/>
        <v>0</v>
      </c>
      <c r="W51" s="312">
        <f t="shared" si="35"/>
        <v>1000</v>
      </c>
      <c r="X51" s="312">
        <f t="shared" si="35"/>
        <v>0</v>
      </c>
      <c r="Y51" s="312">
        <f t="shared" si="35"/>
        <v>11000</v>
      </c>
      <c r="Z51" s="312">
        <f t="shared" si="35"/>
        <v>0</v>
      </c>
      <c r="AA51" s="312">
        <f t="shared" si="35"/>
        <v>0</v>
      </c>
      <c r="AB51" s="312">
        <f t="shared" si="35"/>
        <v>0</v>
      </c>
      <c r="AC51" s="312">
        <f t="shared" si="35"/>
        <v>0</v>
      </c>
      <c r="AD51" s="312">
        <f t="shared" si="35"/>
        <v>0</v>
      </c>
      <c r="AE51" s="312">
        <f t="shared" si="35"/>
        <v>0</v>
      </c>
      <c r="AF51" s="312">
        <f t="shared" si="35"/>
        <v>0</v>
      </c>
      <c r="AG51" s="312"/>
      <c r="AH51" s="312">
        <f t="shared" si="35"/>
        <v>345</v>
      </c>
      <c r="AI51" s="312">
        <f t="shared" si="35"/>
        <v>0</v>
      </c>
      <c r="AJ51" s="636">
        <f t="shared" si="35"/>
        <v>0</v>
      </c>
      <c r="AK51" s="636">
        <f t="shared" si="35"/>
        <v>0</v>
      </c>
      <c r="AL51" s="636">
        <f t="shared" si="35"/>
        <v>525</v>
      </c>
      <c r="AM51" s="636">
        <v>0</v>
      </c>
      <c r="AN51" s="636">
        <f>SUM(AN47:AN50)</f>
        <v>525</v>
      </c>
      <c r="AO51" s="636">
        <f t="shared" si="35"/>
        <v>0</v>
      </c>
      <c r="AP51" s="647">
        <f t="shared" si="35"/>
        <v>0</v>
      </c>
      <c r="AQ51" s="647">
        <f t="shared" si="35"/>
        <v>0</v>
      </c>
      <c r="AR51" s="312">
        <f t="shared" si="35"/>
        <v>0</v>
      </c>
      <c r="AS51" s="383">
        <f t="shared" si="35"/>
        <v>15402</v>
      </c>
      <c r="AT51" s="388">
        <f t="shared" si="35"/>
        <v>0</v>
      </c>
      <c r="AU51" s="331">
        <f aca="true" t="shared" si="36" ref="AU51:BM51">SUM(AU47:AU50)</f>
        <v>0</v>
      </c>
      <c r="AV51" s="331">
        <f t="shared" si="36"/>
        <v>0</v>
      </c>
      <c r="AW51" s="331">
        <f t="shared" si="36"/>
        <v>2220</v>
      </c>
      <c r="AX51" s="331">
        <f t="shared" si="36"/>
        <v>0</v>
      </c>
      <c r="AY51" s="331">
        <f t="shared" si="36"/>
        <v>0</v>
      </c>
      <c r="AZ51" s="570">
        <f t="shared" si="36"/>
        <v>2220</v>
      </c>
      <c r="BA51" s="377">
        <f t="shared" si="36"/>
        <v>0</v>
      </c>
      <c r="BB51" s="552">
        <f t="shared" si="36"/>
        <v>0</v>
      </c>
      <c r="BC51" s="331">
        <f t="shared" si="36"/>
        <v>50</v>
      </c>
      <c r="BD51" s="331">
        <f t="shared" si="36"/>
        <v>0</v>
      </c>
      <c r="BE51" s="331">
        <f t="shared" si="36"/>
        <v>0</v>
      </c>
      <c r="BF51" s="331">
        <f t="shared" si="36"/>
        <v>0</v>
      </c>
      <c r="BG51" s="331">
        <f t="shared" si="36"/>
        <v>0</v>
      </c>
      <c r="BH51" s="331">
        <f t="shared" si="36"/>
        <v>400</v>
      </c>
      <c r="BI51" s="382">
        <f t="shared" si="36"/>
        <v>450</v>
      </c>
      <c r="BJ51" s="388">
        <f t="shared" si="36"/>
        <v>0</v>
      </c>
      <c r="BK51" s="331">
        <f t="shared" si="36"/>
        <v>700</v>
      </c>
      <c r="BL51" s="331">
        <f t="shared" si="36"/>
        <v>0</v>
      </c>
      <c r="BM51" s="331">
        <f t="shared" si="36"/>
        <v>700</v>
      </c>
      <c r="BN51" s="387">
        <f t="shared" si="2"/>
        <v>18772</v>
      </c>
    </row>
    <row r="52" spans="1:66" s="143" customFormat="1" ht="22.5" customHeight="1">
      <c r="A52" s="192" t="s">
        <v>310</v>
      </c>
      <c r="B52" s="287" t="s">
        <v>400</v>
      </c>
      <c r="C52" s="310" t="s">
        <v>314</v>
      </c>
      <c r="D52" s="310"/>
      <c r="E52" s="310">
        <f>E35+E36+E38+E39+E42+E46+E51</f>
        <v>250</v>
      </c>
      <c r="F52" s="310">
        <f>F35+F36+F38+F39+F42+F46+F51</f>
        <v>0</v>
      </c>
      <c r="G52" s="310">
        <f>G35+G36+G38+G39+G42+G46+G51</f>
        <v>0</v>
      </c>
      <c r="H52" s="310">
        <f>H35+H36+H38+H39+H42+H46+H51</f>
        <v>900</v>
      </c>
      <c r="I52" s="310">
        <f aca="true" t="shared" si="37" ref="I52:AT52">I35+I36+I38+I39+I42+I46+I51</f>
        <v>500</v>
      </c>
      <c r="J52" s="310">
        <f t="shared" si="37"/>
        <v>0</v>
      </c>
      <c r="K52" s="310">
        <f t="shared" si="37"/>
        <v>0</v>
      </c>
      <c r="L52" s="310">
        <f t="shared" si="37"/>
        <v>0</v>
      </c>
      <c r="M52" s="310">
        <f t="shared" si="37"/>
        <v>0</v>
      </c>
      <c r="N52" s="310">
        <f t="shared" si="37"/>
        <v>1600</v>
      </c>
      <c r="O52" s="310">
        <f>O35+O36+O38+O39+O42+O46+O51</f>
        <v>0</v>
      </c>
      <c r="P52" s="310">
        <f>P35+P36+P38+P39+P42+P46+P51</f>
        <v>0</v>
      </c>
      <c r="Q52" s="310">
        <f>Q35+Q36+Q38+Q39+Q42+Q46+Q51</f>
        <v>957</v>
      </c>
      <c r="R52" s="310">
        <f>R35+R36+R38+R39+R42+R46+R51</f>
        <v>0</v>
      </c>
      <c r="S52" s="310">
        <f t="shared" si="37"/>
        <v>1000</v>
      </c>
      <c r="T52" s="310">
        <f t="shared" si="37"/>
        <v>0</v>
      </c>
      <c r="U52" s="310">
        <f t="shared" si="37"/>
        <v>660</v>
      </c>
      <c r="V52" s="310">
        <f t="shared" si="37"/>
        <v>0</v>
      </c>
      <c r="W52" s="310">
        <f t="shared" si="37"/>
        <v>1250</v>
      </c>
      <c r="X52" s="310">
        <f t="shared" si="37"/>
        <v>7700</v>
      </c>
      <c r="Y52" s="310">
        <f t="shared" si="37"/>
        <v>15010</v>
      </c>
      <c r="Z52" s="310">
        <f t="shared" si="37"/>
        <v>0</v>
      </c>
      <c r="AA52" s="310">
        <f t="shared" si="37"/>
        <v>0</v>
      </c>
      <c r="AB52" s="310">
        <f t="shared" si="37"/>
        <v>500</v>
      </c>
      <c r="AC52" s="310">
        <f t="shared" si="37"/>
        <v>0</v>
      </c>
      <c r="AD52" s="310">
        <f t="shared" si="37"/>
        <v>590</v>
      </c>
      <c r="AE52" s="310">
        <f t="shared" si="37"/>
        <v>60</v>
      </c>
      <c r="AF52" s="310">
        <f t="shared" si="37"/>
        <v>1350</v>
      </c>
      <c r="AG52" s="310"/>
      <c r="AH52" s="310">
        <f t="shared" si="37"/>
        <v>345</v>
      </c>
      <c r="AI52" s="310">
        <f t="shared" si="37"/>
        <v>0</v>
      </c>
      <c r="AJ52" s="637">
        <f t="shared" si="37"/>
        <v>2000</v>
      </c>
      <c r="AK52" s="637">
        <f t="shared" si="37"/>
        <v>16392</v>
      </c>
      <c r="AL52" s="637">
        <f t="shared" si="37"/>
        <v>4290</v>
      </c>
      <c r="AM52" s="637">
        <f>AM35+AM36+AM38+AM39+AM42+AM46+AM51</f>
        <v>0</v>
      </c>
      <c r="AN52" s="637">
        <f>AN35+AN36+AN38+AN39+AN42+AN46+AN51</f>
        <v>4290</v>
      </c>
      <c r="AO52" s="637">
        <f t="shared" si="37"/>
        <v>3500</v>
      </c>
      <c r="AP52" s="648">
        <f t="shared" si="37"/>
        <v>12755</v>
      </c>
      <c r="AQ52" s="648">
        <f t="shared" si="37"/>
        <v>2629</v>
      </c>
      <c r="AR52" s="310">
        <f t="shared" si="37"/>
        <v>0</v>
      </c>
      <c r="AS52" s="384">
        <f t="shared" si="37"/>
        <v>78528</v>
      </c>
      <c r="AT52" s="386">
        <f t="shared" si="37"/>
        <v>0</v>
      </c>
      <c r="AU52" s="186">
        <f aca="true" t="shared" si="38" ref="AU52:BM52">AU35+AU36+AU38+AU39+AU42+AU46+AU51</f>
        <v>0</v>
      </c>
      <c r="AV52" s="186">
        <f t="shared" si="38"/>
        <v>0</v>
      </c>
      <c r="AW52" s="186">
        <f t="shared" si="38"/>
        <v>7600</v>
      </c>
      <c r="AX52" s="186">
        <f t="shared" si="38"/>
        <v>50</v>
      </c>
      <c r="AY52" s="186">
        <f t="shared" si="38"/>
        <v>0</v>
      </c>
      <c r="AZ52" s="387">
        <f t="shared" si="38"/>
        <v>7650</v>
      </c>
      <c r="BA52" s="48">
        <f t="shared" si="38"/>
        <v>0</v>
      </c>
      <c r="BB52" s="550">
        <f t="shared" si="38"/>
        <v>0</v>
      </c>
      <c r="BC52" s="186">
        <f t="shared" si="38"/>
        <v>3950</v>
      </c>
      <c r="BD52" s="186">
        <f t="shared" si="38"/>
        <v>20</v>
      </c>
      <c r="BE52" s="186">
        <f t="shared" si="38"/>
        <v>250</v>
      </c>
      <c r="BF52" s="186">
        <f t="shared" si="38"/>
        <v>0</v>
      </c>
      <c r="BG52" s="186">
        <f t="shared" si="38"/>
        <v>0</v>
      </c>
      <c r="BH52" s="186">
        <f t="shared" si="38"/>
        <v>3400</v>
      </c>
      <c r="BI52" s="381">
        <f t="shared" si="38"/>
        <v>7620</v>
      </c>
      <c r="BJ52" s="386">
        <f t="shared" si="38"/>
        <v>0</v>
      </c>
      <c r="BK52" s="186">
        <f t="shared" si="38"/>
        <v>4910</v>
      </c>
      <c r="BL52" s="186">
        <f t="shared" si="38"/>
        <v>85</v>
      </c>
      <c r="BM52" s="186">
        <f t="shared" si="38"/>
        <v>4995</v>
      </c>
      <c r="BN52" s="387">
        <f t="shared" si="2"/>
        <v>98793</v>
      </c>
    </row>
    <row r="53" spans="1:66" s="143" customFormat="1" ht="22.5" customHeight="1">
      <c r="A53" s="191" t="s">
        <v>312</v>
      </c>
      <c r="B53" s="287" t="s">
        <v>402</v>
      </c>
      <c r="C53" s="196" t="s">
        <v>311</v>
      </c>
      <c r="D53" s="196"/>
      <c r="E53" s="310"/>
      <c r="F53" s="310"/>
      <c r="G53" s="310"/>
      <c r="H53" s="310"/>
      <c r="I53" s="347">
        <v>0</v>
      </c>
      <c r="J53" s="347">
        <v>0</v>
      </c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207">
        <v>0</v>
      </c>
      <c r="V53" s="207"/>
      <c r="W53" s="207"/>
      <c r="X53" s="186">
        <v>0</v>
      </c>
      <c r="Y53" s="186"/>
      <c r="Z53" s="348"/>
      <c r="AA53" s="348"/>
      <c r="AB53" s="186"/>
      <c r="AC53" s="186"/>
      <c r="AD53" s="186"/>
      <c r="AE53" s="186"/>
      <c r="AF53" s="186"/>
      <c r="AG53" s="186"/>
      <c r="AH53" s="186"/>
      <c r="AI53" s="186"/>
      <c r="AJ53" s="641"/>
      <c r="AK53" s="642"/>
      <c r="AL53" s="642"/>
      <c r="AM53" s="642"/>
      <c r="AN53" s="642"/>
      <c r="AO53" s="642"/>
      <c r="AP53" s="650"/>
      <c r="AQ53" s="650"/>
      <c r="AR53" s="186"/>
      <c r="AS53" s="381">
        <f t="shared" si="18"/>
        <v>0</v>
      </c>
      <c r="AT53" s="386"/>
      <c r="AU53" s="186"/>
      <c r="AV53" s="186"/>
      <c r="AW53" s="189">
        <v>100</v>
      </c>
      <c r="AX53" s="189"/>
      <c r="AY53" s="186"/>
      <c r="AZ53" s="387">
        <f t="shared" si="23"/>
        <v>100</v>
      </c>
      <c r="BA53" s="48"/>
      <c r="BB53" s="550"/>
      <c r="BC53" s="186"/>
      <c r="BD53" s="186"/>
      <c r="BE53" s="186"/>
      <c r="BF53" s="186"/>
      <c r="BG53" s="186">
        <v>0</v>
      </c>
      <c r="BH53" s="186">
        <v>0</v>
      </c>
      <c r="BI53" s="381">
        <f aca="true" t="shared" si="39" ref="BI53:BI79">SUM(BA53:BH53)</f>
        <v>0</v>
      </c>
      <c r="BJ53" s="386"/>
      <c r="BK53" s="186">
        <v>32</v>
      </c>
      <c r="BL53" s="186">
        <v>10</v>
      </c>
      <c r="BM53" s="186">
        <f>BJ53+BK53+BL53</f>
        <v>42</v>
      </c>
      <c r="BN53" s="387">
        <f t="shared" si="2"/>
        <v>142</v>
      </c>
    </row>
    <row r="54" spans="1:66" s="143" customFormat="1" ht="22.5" customHeight="1">
      <c r="A54" s="295" t="s">
        <v>313</v>
      </c>
      <c r="B54" s="287"/>
      <c r="C54" s="312" t="s">
        <v>317</v>
      </c>
      <c r="D54" s="312"/>
      <c r="E54" s="310">
        <f>E53</f>
        <v>0</v>
      </c>
      <c r="F54" s="310">
        <f aca="true" t="shared" si="40" ref="F54:AT54">F53</f>
        <v>0</v>
      </c>
      <c r="G54" s="310">
        <f t="shared" si="40"/>
        <v>0</v>
      </c>
      <c r="H54" s="310"/>
      <c r="I54" s="310">
        <f t="shared" si="40"/>
        <v>0</v>
      </c>
      <c r="J54" s="310">
        <f t="shared" si="40"/>
        <v>0</v>
      </c>
      <c r="K54" s="310">
        <f t="shared" si="40"/>
        <v>0</v>
      </c>
      <c r="L54" s="310">
        <f t="shared" si="40"/>
        <v>0</v>
      </c>
      <c r="M54" s="310">
        <f t="shared" si="40"/>
        <v>0</v>
      </c>
      <c r="N54" s="310">
        <f t="shared" si="40"/>
        <v>0</v>
      </c>
      <c r="O54" s="310">
        <f>O53</f>
        <v>0</v>
      </c>
      <c r="P54" s="310">
        <f>P53</f>
        <v>0</v>
      </c>
      <c r="Q54" s="310">
        <f>Q53</f>
        <v>0</v>
      </c>
      <c r="R54" s="310">
        <f>R53</f>
        <v>0</v>
      </c>
      <c r="S54" s="310">
        <f t="shared" si="40"/>
        <v>0</v>
      </c>
      <c r="T54" s="310">
        <f t="shared" si="40"/>
        <v>0</v>
      </c>
      <c r="U54" s="310">
        <f t="shared" si="40"/>
        <v>0</v>
      </c>
      <c r="V54" s="310">
        <f t="shared" si="40"/>
        <v>0</v>
      </c>
      <c r="W54" s="310">
        <f t="shared" si="40"/>
        <v>0</v>
      </c>
      <c r="X54" s="310">
        <f t="shared" si="40"/>
        <v>0</v>
      </c>
      <c r="Y54" s="310">
        <f t="shared" si="40"/>
        <v>0</v>
      </c>
      <c r="Z54" s="310">
        <f t="shared" si="40"/>
        <v>0</v>
      </c>
      <c r="AA54" s="310">
        <f t="shared" si="40"/>
        <v>0</v>
      </c>
      <c r="AB54" s="310">
        <f t="shared" si="40"/>
        <v>0</v>
      </c>
      <c r="AC54" s="310">
        <f t="shared" si="40"/>
        <v>0</v>
      </c>
      <c r="AD54" s="310">
        <f t="shared" si="40"/>
        <v>0</v>
      </c>
      <c r="AE54" s="310">
        <f t="shared" si="40"/>
        <v>0</v>
      </c>
      <c r="AF54" s="310">
        <f t="shared" si="40"/>
        <v>0</v>
      </c>
      <c r="AG54" s="310"/>
      <c r="AH54" s="310">
        <f t="shared" si="40"/>
        <v>0</v>
      </c>
      <c r="AI54" s="310">
        <f t="shared" si="40"/>
        <v>0</v>
      </c>
      <c r="AJ54" s="637">
        <f t="shared" si="40"/>
        <v>0</v>
      </c>
      <c r="AK54" s="637">
        <f t="shared" si="40"/>
        <v>0</v>
      </c>
      <c r="AL54" s="637">
        <f t="shared" si="40"/>
        <v>0</v>
      </c>
      <c r="AM54" s="637">
        <f>AM53</f>
        <v>0</v>
      </c>
      <c r="AN54" s="637">
        <f>AN53</f>
        <v>0</v>
      </c>
      <c r="AO54" s="637">
        <f t="shared" si="40"/>
        <v>0</v>
      </c>
      <c r="AP54" s="648">
        <f t="shared" si="40"/>
        <v>0</v>
      </c>
      <c r="AQ54" s="648">
        <f t="shared" si="40"/>
        <v>0</v>
      </c>
      <c r="AR54" s="310">
        <f t="shared" si="40"/>
        <v>0</v>
      </c>
      <c r="AS54" s="384">
        <f t="shared" si="40"/>
        <v>0</v>
      </c>
      <c r="AT54" s="386">
        <f t="shared" si="40"/>
        <v>0</v>
      </c>
      <c r="AU54" s="186">
        <f aca="true" t="shared" si="41" ref="AU54:BJ54">AU53</f>
        <v>0</v>
      </c>
      <c r="AV54" s="186">
        <f t="shared" si="41"/>
        <v>0</v>
      </c>
      <c r="AW54" s="186">
        <f t="shared" si="41"/>
        <v>100</v>
      </c>
      <c r="AX54" s="186">
        <f t="shared" si="41"/>
        <v>0</v>
      </c>
      <c r="AY54" s="186">
        <f t="shared" si="41"/>
        <v>0</v>
      </c>
      <c r="AZ54" s="387">
        <f t="shared" si="41"/>
        <v>100</v>
      </c>
      <c r="BA54" s="48">
        <f t="shared" si="41"/>
        <v>0</v>
      </c>
      <c r="BB54" s="550">
        <f t="shared" si="41"/>
        <v>0</v>
      </c>
      <c r="BC54" s="186">
        <f t="shared" si="41"/>
        <v>0</v>
      </c>
      <c r="BD54" s="186">
        <f t="shared" si="41"/>
        <v>0</v>
      </c>
      <c r="BE54" s="186">
        <f t="shared" si="41"/>
        <v>0</v>
      </c>
      <c r="BF54" s="186">
        <f t="shared" si="41"/>
        <v>0</v>
      </c>
      <c r="BG54" s="186">
        <f t="shared" si="41"/>
        <v>0</v>
      </c>
      <c r="BH54" s="186">
        <f t="shared" si="41"/>
        <v>0</v>
      </c>
      <c r="BI54" s="381">
        <f t="shared" si="41"/>
        <v>0</v>
      </c>
      <c r="BJ54" s="386">
        <f t="shared" si="41"/>
        <v>0</v>
      </c>
      <c r="BK54" s="386">
        <f>BK53</f>
        <v>32</v>
      </c>
      <c r="BL54" s="386">
        <f>BL53</f>
        <v>10</v>
      </c>
      <c r="BM54" s="186">
        <f>BJ54+BK54+BL54</f>
        <v>42</v>
      </c>
      <c r="BN54" s="387">
        <f t="shared" si="2"/>
        <v>142</v>
      </c>
    </row>
    <row r="55" spans="1:66" s="143" customFormat="1" ht="22.5" customHeight="1">
      <c r="A55" s="295" t="s">
        <v>315</v>
      </c>
      <c r="B55" s="287"/>
      <c r="C55" s="312" t="s">
        <v>1027</v>
      </c>
      <c r="D55" s="312"/>
      <c r="E55" s="312"/>
      <c r="F55" s="312"/>
      <c r="G55" s="312"/>
      <c r="H55" s="312"/>
      <c r="I55" s="312"/>
      <c r="J55" s="312">
        <v>1100</v>
      </c>
      <c r="K55" s="312">
        <v>360</v>
      </c>
      <c r="L55" s="312"/>
      <c r="M55" s="312"/>
      <c r="N55" s="312"/>
      <c r="O55" s="312"/>
      <c r="P55" s="312"/>
      <c r="Q55" s="312">
        <v>600</v>
      </c>
      <c r="R55" s="312"/>
      <c r="S55" s="312"/>
      <c r="T55" s="312"/>
      <c r="U55" s="312"/>
      <c r="V55" s="312"/>
      <c r="W55" s="312"/>
      <c r="X55" s="312"/>
      <c r="Y55" s="312">
        <v>400</v>
      </c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636"/>
      <c r="AK55" s="636"/>
      <c r="AL55" s="636"/>
      <c r="AM55" s="636"/>
      <c r="AN55" s="636"/>
      <c r="AO55" s="636"/>
      <c r="AP55" s="647"/>
      <c r="AQ55" s="647"/>
      <c r="AR55" s="312"/>
      <c r="AS55" s="383">
        <f t="shared" si="18"/>
        <v>2460</v>
      </c>
      <c r="AT55" s="386"/>
      <c r="AU55" s="186"/>
      <c r="AV55" s="186"/>
      <c r="AW55" s="189"/>
      <c r="AX55" s="189"/>
      <c r="AY55" s="186"/>
      <c r="AZ55" s="387">
        <f t="shared" si="23"/>
        <v>0</v>
      </c>
      <c r="BA55" s="48"/>
      <c r="BB55" s="550"/>
      <c r="BC55" s="186"/>
      <c r="BD55" s="186"/>
      <c r="BE55" s="186"/>
      <c r="BF55" s="186"/>
      <c r="BG55" s="186"/>
      <c r="BH55" s="186"/>
      <c r="BI55" s="381">
        <f t="shared" si="39"/>
        <v>0</v>
      </c>
      <c r="BJ55" s="386"/>
      <c r="BK55" s="186"/>
      <c r="BL55" s="186"/>
      <c r="BM55" s="186">
        <f>BJ55+BK55+BL55</f>
        <v>0</v>
      </c>
      <c r="BN55" s="387">
        <f t="shared" si="2"/>
        <v>2460</v>
      </c>
    </row>
    <row r="56" spans="1:66" s="143" customFormat="1" ht="22.5" customHeight="1">
      <c r="A56" s="192" t="s">
        <v>316</v>
      </c>
      <c r="B56" s="287"/>
      <c r="C56" s="310" t="s">
        <v>318</v>
      </c>
      <c r="D56" s="310"/>
      <c r="E56" s="312">
        <f>E54+E55</f>
        <v>0</v>
      </c>
      <c r="F56" s="312">
        <f aca="true" t="shared" si="42" ref="F56:AT56">F54+F55</f>
        <v>0</v>
      </c>
      <c r="G56" s="312">
        <f t="shared" si="42"/>
        <v>0</v>
      </c>
      <c r="H56" s="312"/>
      <c r="I56" s="312">
        <f t="shared" si="42"/>
        <v>0</v>
      </c>
      <c r="J56" s="312">
        <f t="shared" si="42"/>
        <v>1100</v>
      </c>
      <c r="K56" s="312">
        <f t="shared" si="42"/>
        <v>360</v>
      </c>
      <c r="L56" s="312">
        <f t="shared" si="42"/>
        <v>0</v>
      </c>
      <c r="M56" s="312">
        <f t="shared" si="42"/>
        <v>0</v>
      </c>
      <c r="N56" s="312">
        <f t="shared" si="42"/>
        <v>0</v>
      </c>
      <c r="O56" s="312">
        <f>O54+O55</f>
        <v>0</v>
      </c>
      <c r="P56" s="312">
        <f>P54+P55</f>
        <v>0</v>
      </c>
      <c r="Q56" s="312">
        <f>Q54+Q55</f>
        <v>600</v>
      </c>
      <c r="R56" s="312">
        <f>R54+R55</f>
        <v>0</v>
      </c>
      <c r="S56" s="312">
        <f t="shared" si="42"/>
        <v>0</v>
      </c>
      <c r="T56" s="312">
        <f t="shared" si="42"/>
        <v>0</v>
      </c>
      <c r="U56" s="312">
        <f t="shared" si="42"/>
        <v>0</v>
      </c>
      <c r="V56" s="312">
        <f t="shared" si="42"/>
        <v>0</v>
      </c>
      <c r="W56" s="312">
        <f t="shared" si="42"/>
        <v>0</v>
      </c>
      <c r="X56" s="312">
        <f t="shared" si="42"/>
        <v>0</v>
      </c>
      <c r="Y56" s="312">
        <f t="shared" si="42"/>
        <v>400</v>
      </c>
      <c r="Z56" s="312">
        <f t="shared" si="42"/>
        <v>0</v>
      </c>
      <c r="AA56" s="312">
        <f t="shared" si="42"/>
        <v>0</v>
      </c>
      <c r="AB56" s="312">
        <f t="shared" si="42"/>
        <v>0</v>
      </c>
      <c r="AC56" s="312">
        <f t="shared" si="42"/>
        <v>0</v>
      </c>
      <c r="AD56" s="312">
        <f t="shared" si="42"/>
        <v>0</v>
      </c>
      <c r="AE56" s="312">
        <f t="shared" si="42"/>
        <v>0</v>
      </c>
      <c r="AF56" s="312">
        <f t="shared" si="42"/>
        <v>0</v>
      </c>
      <c r="AG56" s="312"/>
      <c r="AH56" s="312">
        <f t="shared" si="42"/>
        <v>0</v>
      </c>
      <c r="AI56" s="312">
        <f t="shared" si="42"/>
        <v>0</v>
      </c>
      <c r="AJ56" s="636">
        <f t="shared" si="42"/>
        <v>0</v>
      </c>
      <c r="AK56" s="636">
        <f t="shared" si="42"/>
        <v>0</v>
      </c>
      <c r="AL56" s="636">
        <f t="shared" si="42"/>
        <v>0</v>
      </c>
      <c r="AM56" s="636">
        <f>AM54+AM55</f>
        <v>0</v>
      </c>
      <c r="AN56" s="636">
        <f>AN54+AN55</f>
        <v>0</v>
      </c>
      <c r="AO56" s="636">
        <f t="shared" si="42"/>
        <v>0</v>
      </c>
      <c r="AP56" s="647">
        <f t="shared" si="42"/>
        <v>0</v>
      </c>
      <c r="AQ56" s="647">
        <f t="shared" si="42"/>
        <v>0</v>
      </c>
      <c r="AR56" s="312">
        <f t="shared" si="42"/>
        <v>0</v>
      </c>
      <c r="AS56" s="383">
        <f t="shared" si="42"/>
        <v>2460</v>
      </c>
      <c r="AT56" s="388">
        <f t="shared" si="42"/>
        <v>0</v>
      </c>
      <c r="AU56" s="331">
        <f aca="true" t="shared" si="43" ref="AU56:BM56">AU54+AU55</f>
        <v>0</v>
      </c>
      <c r="AV56" s="331">
        <f t="shared" si="43"/>
        <v>0</v>
      </c>
      <c r="AW56" s="331">
        <f t="shared" si="43"/>
        <v>100</v>
      </c>
      <c r="AX56" s="331">
        <f t="shared" si="43"/>
        <v>0</v>
      </c>
      <c r="AY56" s="331">
        <f t="shared" si="43"/>
        <v>0</v>
      </c>
      <c r="AZ56" s="570">
        <f t="shared" si="43"/>
        <v>100</v>
      </c>
      <c r="BA56" s="377">
        <f t="shared" si="43"/>
        <v>0</v>
      </c>
      <c r="BB56" s="552">
        <f t="shared" si="43"/>
        <v>0</v>
      </c>
      <c r="BC56" s="331">
        <f t="shared" si="43"/>
        <v>0</v>
      </c>
      <c r="BD56" s="331">
        <f t="shared" si="43"/>
        <v>0</v>
      </c>
      <c r="BE56" s="331">
        <f t="shared" si="43"/>
        <v>0</v>
      </c>
      <c r="BF56" s="331">
        <f t="shared" si="43"/>
        <v>0</v>
      </c>
      <c r="BG56" s="331">
        <f t="shared" si="43"/>
        <v>0</v>
      </c>
      <c r="BH56" s="331">
        <f t="shared" si="43"/>
        <v>0</v>
      </c>
      <c r="BI56" s="382">
        <f t="shared" si="43"/>
        <v>0</v>
      </c>
      <c r="BJ56" s="388">
        <f t="shared" si="43"/>
        <v>0</v>
      </c>
      <c r="BK56" s="331">
        <f t="shared" si="43"/>
        <v>32</v>
      </c>
      <c r="BL56" s="331">
        <f t="shared" si="43"/>
        <v>10</v>
      </c>
      <c r="BM56" s="331">
        <f t="shared" si="43"/>
        <v>42</v>
      </c>
      <c r="BN56" s="387">
        <f t="shared" si="2"/>
        <v>2602</v>
      </c>
    </row>
    <row r="57" spans="1:66" ht="22.5" customHeight="1">
      <c r="A57" s="191" t="s">
        <v>321</v>
      </c>
      <c r="B57" s="182" t="s">
        <v>403</v>
      </c>
      <c r="C57" s="196" t="s">
        <v>319</v>
      </c>
      <c r="D57" s="196"/>
      <c r="E57" s="196"/>
      <c r="F57" s="196">
        <v>0</v>
      </c>
      <c r="G57" s="196"/>
      <c r="H57" s="196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>
        <v>0</v>
      </c>
      <c r="U57" s="206">
        <v>0</v>
      </c>
      <c r="V57" s="206"/>
      <c r="W57" s="206"/>
      <c r="X57" s="189"/>
      <c r="Y57" s="189"/>
      <c r="Z57" s="294"/>
      <c r="AA57" s="294"/>
      <c r="AB57" s="189"/>
      <c r="AC57" s="189"/>
      <c r="AD57" s="189"/>
      <c r="AE57" s="189"/>
      <c r="AF57" s="189"/>
      <c r="AG57" s="189"/>
      <c r="AH57" s="189"/>
      <c r="AI57" s="189"/>
      <c r="AJ57" s="634">
        <v>305</v>
      </c>
      <c r="AK57" s="635">
        <v>2567</v>
      </c>
      <c r="AL57" s="635"/>
      <c r="AM57" s="635"/>
      <c r="AN57" s="635"/>
      <c r="AO57" s="635"/>
      <c r="AP57" s="646">
        <v>2617</v>
      </c>
      <c r="AQ57" s="646">
        <v>639</v>
      </c>
      <c r="AR57" s="189">
        <v>0</v>
      </c>
      <c r="AS57" s="381">
        <f t="shared" si="18"/>
        <v>6128</v>
      </c>
      <c r="AT57" s="390"/>
      <c r="AU57" s="189"/>
      <c r="AV57" s="189">
        <v>0</v>
      </c>
      <c r="AW57" s="189"/>
      <c r="AX57" s="189"/>
      <c r="AY57" s="186"/>
      <c r="AZ57" s="387">
        <f t="shared" si="23"/>
        <v>0</v>
      </c>
      <c r="BA57" s="59">
        <v>0</v>
      </c>
      <c r="BB57" s="551">
        <v>0</v>
      </c>
      <c r="BC57" s="189">
        <v>0</v>
      </c>
      <c r="BD57" s="189">
        <v>0</v>
      </c>
      <c r="BE57" s="189">
        <v>0</v>
      </c>
      <c r="BF57" s="189">
        <v>0</v>
      </c>
      <c r="BG57" s="189">
        <v>0</v>
      </c>
      <c r="BH57" s="189">
        <v>0</v>
      </c>
      <c r="BI57" s="381">
        <f t="shared" si="39"/>
        <v>0</v>
      </c>
      <c r="BJ57" s="390"/>
      <c r="BK57" s="189"/>
      <c r="BL57" s="189"/>
      <c r="BM57" s="186">
        <f>BJ57+BK57+BL57</f>
        <v>0</v>
      </c>
      <c r="BN57" s="387">
        <f t="shared" si="2"/>
        <v>6128</v>
      </c>
    </row>
    <row r="58" spans="1:66" ht="22.5" customHeight="1">
      <c r="A58" s="191" t="s">
        <v>322</v>
      </c>
      <c r="B58" s="182" t="s">
        <v>223</v>
      </c>
      <c r="C58" s="196" t="s">
        <v>320</v>
      </c>
      <c r="D58" s="196"/>
      <c r="E58" s="196">
        <v>68</v>
      </c>
      <c r="F58" s="196"/>
      <c r="G58" s="196"/>
      <c r="H58" s="196">
        <v>243</v>
      </c>
      <c r="I58" s="339">
        <v>135</v>
      </c>
      <c r="J58" s="339">
        <v>55</v>
      </c>
      <c r="K58" s="339"/>
      <c r="L58" s="339">
        <v>35</v>
      </c>
      <c r="M58" s="339"/>
      <c r="N58" s="339">
        <v>0</v>
      </c>
      <c r="O58" s="339"/>
      <c r="P58" s="339"/>
      <c r="Q58" s="339">
        <v>623</v>
      </c>
      <c r="R58" s="339">
        <v>305</v>
      </c>
      <c r="S58" s="339">
        <f>66+425</f>
        <v>491</v>
      </c>
      <c r="T58" s="339"/>
      <c r="U58" s="206"/>
      <c r="V58" s="206">
        <v>27</v>
      </c>
      <c r="W58" s="206">
        <v>350</v>
      </c>
      <c r="X58" s="189">
        <v>2079</v>
      </c>
      <c r="Y58" s="189">
        <v>4312</v>
      </c>
      <c r="Z58" s="294"/>
      <c r="AA58" s="294"/>
      <c r="AB58" s="189">
        <v>135</v>
      </c>
      <c r="AC58" s="189"/>
      <c r="AD58" s="189">
        <v>186</v>
      </c>
      <c r="AE58" s="189"/>
      <c r="AF58" s="189">
        <v>365</v>
      </c>
      <c r="AG58" s="189"/>
      <c r="AH58" s="189">
        <v>93</v>
      </c>
      <c r="AI58" s="189">
        <v>0</v>
      </c>
      <c r="AJ58" s="634">
        <v>235</v>
      </c>
      <c r="AK58" s="635">
        <v>1859</v>
      </c>
      <c r="AL58" s="635">
        <v>1305</v>
      </c>
      <c r="AM58" s="635">
        <v>0</v>
      </c>
      <c r="AN58" s="635">
        <v>1305</v>
      </c>
      <c r="AO58" s="635">
        <v>945</v>
      </c>
      <c r="AP58" s="646">
        <v>826</v>
      </c>
      <c r="AQ58" s="646">
        <v>71</v>
      </c>
      <c r="AR58" s="189"/>
      <c r="AS58" s="381">
        <f t="shared" si="18"/>
        <v>16048</v>
      </c>
      <c r="AT58" s="386">
        <v>25</v>
      </c>
      <c r="AU58" s="186"/>
      <c r="AV58" s="186"/>
      <c r="AW58" s="189">
        <v>3220</v>
      </c>
      <c r="AX58" s="189"/>
      <c r="AY58" s="186"/>
      <c r="AZ58" s="387">
        <f t="shared" si="23"/>
        <v>3245</v>
      </c>
      <c r="BA58" s="59"/>
      <c r="BB58" s="551"/>
      <c r="BC58" s="189">
        <v>1175</v>
      </c>
      <c r="BD58" s="189"/>
      <c r="BE58" s="189">
        <v>108</v>
      </c>
      <c r="BF58" s="189">
        <v>18</v>
      </c>
      <c r="BG58" s="189">
        <v>14</v>
      </c>
      <c r="BH58" s="189">
        <v>1120</v>
      </c>
      <c r="BI58" s="405">
        <f t="shared" si="39"/>
        <v>2435</v>
      </c>
      <c r="BJ58" s="390">
        <v>326</v>
      </c>
      <c r="BK58" s="189">
        <v>1700</v>
      </c>
      <c r="BL58" s="189">
        <v>165</v>
      </c>
      <c r="BM58" s="186">
        <f>BJ58+BK58+BL58</f>
        <v>2191</v>
      </c>
      <c r="BN58" s="387">
        <f t="shared" si="2"/>
        <v>23919</v>
      </c>
    </row>
    <row r="59" spans="1:66" ht="22.5" customHeight="1">
      <c r="A59" s="295" t="s">
        <v>323</v>
      </c>
      <c r="B59" s="182" t="s">
        <v>212</v>
      </c>
      <c r="C59" s="312" t="s">
        <v>324</v>
      </c>
      <c r="D59" s="312"/>
      <c r="E59" s="312">
        <f>E57+E58</f>
        <v>68</v>
      </c>
      <c r="F59" s="312">
        <f>F57+F58</f>
        <v>0</v>
      </c>
      <c r="G59" s="312">
        <f>G57+G58</f>
        <v>0</v>
      </c>
      <c r="H59" s="312">
        <f>H57+H58</f>
        <v>243</v>
      </c>
      <c r="I59" s="312">
        <f aca="true" t="shared" si="44" ref="I59:AT59">I57+I58</f>
        <v>135</v>
      </c>
      <c r="J59" s="312">
        <f t="shared" si="44"/>
        <v>55</v>
      </c>
      <c r="K59" s="312">
        <f t="shared" si="44"/>
        <v>0</v>
      </c>
      <c r="L59" s="312">
        <f t="shared" si="44"/>
        <v>35</v>
      </c>
      <c r="M59" s="312">
        <f t="shared" si="44"/>
        <v>0</v>
      </c>
      <c r="N59" s="312">
        <f t="shared" si="44"/>
        <v>0</v>
      </c>
      <c r="O59" s="312">
        <f>O57+O58</f>
        <v>0</v>
      </c>
      <c r="P59" s="312">
        <f>P57+P58</f>
        <v>0</v>
      </c>
      <c r="Q59" s="312">
        <f>Q57+Q58</f>
        <v>623</v>
      </c>
      <c r="R59" s="312">
        <f>R57+R58</f>
        <v>305</v>
      </c>
      <c r="S59" s="312">
        <f t="shared" si="44"/>
        <v>491</v>
      </c>
      <c r="T59" s="312">
        <f t="shared" si="44"/>
        <v>0</v>
      </c>
      <c r="U59" s="312">
        <f t="shared" si="44"/>
        <v>0</v>
      </c>
      <c r="V59" s="312">
        <f t="shared" si="44"/>
        <v>27</v>
      </c>
      <c r="W59" s="312">
        <f t="shared" si="44"/>
        <v>350</v>
      </c>
      <c r="X59" s="312">
        <f t="shared" si="44"/>
        <v>2079</v>
      </c>
      <c r="Y59" s="312">
        <f t="shared" si="44"/>
        <v>4312</v>
      </c>
      <c r="Z59" s="312">
        <f t="shared" si="44"/>
        <v>0</v>
      </c>
      <c r="AA59" s="312">
        <f t="shared" si="44"/>
        <v>0</v>
      </c>
      <c r="AB59" s="312">
        <f t="shared" si="44"/>
        <v>135</v>
      </c>
      <c r="AC59" s="312">
        <f t="shared" si="44"/>
        <v>0</v>
      </c>
      <c r="AD59" s="312">
        <f t="shared" si="44"/>
        <v>186</v>
      </c>
      <c r="AE59" s="312">
        <f t="shared" si="44"/>
        <v>0</v>
      </c>
      <c r="AF59" s="312">
        <f t="shared" si="44"/>
        <v>365</v>
      </c>
      <c r="AG59" s="312"/>
      <c r="AH59" s="312">
        <f t="shared" si="44"/>
        <v>93</v>
      </c>
      <c r="AI59" s="312">
        <f t="shared" si="44"/>
        <v>0</v>
      </c>
      <c r="AJ59" s="636">
        <f t="shared" si="44"/>
        <v>540</v>
      </c>
      <c r="AK59" s="636">
        <f t="shared" si="44"/>
        <v>4426</v>
      </c>
      <c r="AL59" s="636">
        <f t="shared" si="44"/>
        <v>1305</v>
      </c>
      <c r="AM59" s="636">
        <f>AM57+AM58</f>
        <v>0</v>
      </c>
      <c r="AN59" s="636">
        <f>AN57+AN58</f>
        <v>1305</v>
      </c>
      <c r="AO59" s="636">
        <f t="shared" si="44"/>
        <v>945</v>
      </c>
      <c r="AP59" s="647">
        <f t="shared" si="44"/>
        <v>3443</v>
      </c>
      <c r="AQ59" s="647">
        <f t="shared" si="44"/>
        <v>710</v>
      </c>
      <c r="AR59" s="312">
        <f t="shared" si="44"/>
        <v>0</v>
      </c>
      <c r="AS59" s="383">
        <f t="shared" si="44"/>
        <v>22176</v>
      </c>
      <c r="AT59" s="388">
        <f t="shared" si="44"/>
        <v>25</v>
      </c>
      <c r="AU59" s="331">
        <f aca="true" t="shared" si="45" ref="AU59:BM59">AU57+AU58</f>
        <v>0</v>
      </c>
      <c r="AV59" s="331">
        <f t="shared" si="45"/>
        <v>0</v>
      </c>
      <c r="AW59" s="331">
        <f t="shared" si="45"/>
        <v>3220</v>
      </c>
      <c r="AX59" s="331">
        <f t="shared" si="45"/>
        <v>0</v>
      </c>
      <c r="AY59" s="331">
        <f t="shared" si="45"/>
        <v>0</v>
      </c>
      <c r="AZ59" s="570">
        <f t="shared" si="45"/>
        <v>3245</v>
      </c>
      <c r="BA59" s="377">
        <f t="shared" si="45"/>
        <v>0</v>
      </c>
      <c r="BB59" s="552">
        <f t="shared" si="45"/>
        <v>0</v>
      </c>
      <c r="BC59" s="331">
        <f t="shared" si="45"/>
        <v>1175</v>
      </c>
      <c r="BD59" s="331">
        <f t="shared" si="45"/>
        <v>0</v>
      </c>
      <c r="BE59" s="331">
        <f t="shared" si="45"/>
        <v>108</v>
      </c>
      <c r="BF59" s="331">
        <f t="shared" si="45"/>
        <v>18</v>
      </c>
      <c r="BG59" s="331">
        <f t="shared" si="45"/>
        <v>14</v>
      </c>
      <c r="BH59" s="331">
        <f t="shared" si="45"/>
        <v>1120</v>
      </c>
      <c r="BI59" s="382">
        <f t="shared" si="45"/>
        <v>2435</v>
      </c>
      <c r="BJ59" s="388">
        <f t="shared" si="45"/>
        <v>326</v>
      </c>
      <c r="BK59" s="331">
        <f t="shared" si="45"/>
        <v>1700</v>
      </c>
      <c r="BL59" s="331">
        <f t="shared" si="45"/>
        <v>165</v>
      </c>
      <c r="BM59" s="331">
        <f t="shared" si="45"/>
        <v>2191</v>
      </c>
      <c r="BN59" s="387">
        <f t="shared" si="2"/>
        <v>30047</v>
      </c>
    </row>
    <row r="60" spans="1:66" ht="22.5" customHeight="1">
      <c r="A60" s="191" t="s">
        <v>328</v>
      </c>
      <c r="B60" s="182"/>
      <c r="C60" s="196" t="s">
        <v>325</v>
      </c>
      <c r="D60" s="196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26"/>
      <c r="W60" s="312"/>
      <c r="X60" s="312"/>
      <c r="Y60" s="312">
        <v>94</v>
      </c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636">
        <v>235</v>
      </c>
      <c r="AK60" s="636"/>
      <c r="AL60" s="636"/>
      <c r="AM60" s="636"/>
      <c r="AN60" s="636"/>
      <c r="AO60" s="636"/>
      <c r="AP60" s="647"/>
      <c r="AQ60" s="647"/>
      <c r="AR60" s="312"/>
      <c r="AS60" s="383">
        <f t="shared" si="18"/>
        <v>329</v>
      </c>
      <c r="AT60" s="386"/>
      <c r="AU60" s="186"/>
      <c r="AV60" s="186"/>
      <c r="AW60" s="189"/>
      <c r="AX60" s="189"/>
      <c r="AY60" s="186"/>
      <c r="AZ60" s="387">
        <f t="shared" si="23"/>
        <v>0</v>
      </c>
      <c r="BA60" s="48"/>
      <c r="BB60" s="550"/>
      <c r="BC60" s="186"/>
      <c r="BD60" s="186"/>
      <c r="BE60" s="186"/>
      <c r="BF60" s="186"/>
      <c r="BG60" s="189"/>
      <c r="BH60" s="189"/>
      <c r="BI60" s="381">
        <f t="shared" si="39"/>
        <v>0</v>
      </c>
      <c r="BJ60" s="390"/>
      <c r="BK60" s="189"/>
      <c r="BL60" s="189"/>
      <c r="BM60" s="186">
        <f>BJ60+BK60+BL60</f>
        <v>0</v>
      </c>
      <c r="BN60" s="387">
        <f t="shared" si="2"/>
        <v>329</v>
      </c>
    </row>
    <row r="61" spans="1:66" ht="22.5" customHeight="1">
      <c r="A61" s="191" t="s">
        <v>329</v>
      </c>
      <c r="B61" s="182"/>
      <c r="C61" s="196" t="s">
        <v>326</v>
      </c>
      <c r="D61" s="196"/>
      <c r="E61" s="312"/>
      <c r="F61" s="312"/>
      <c r="G61" s="312"/>
      <c r="H61" s="312"/>
      <c r="I61" s="312"/>
      <c r="J61" s="312"/>
      <c r="K61" s="312"/>
      <c r="L61" s="312"/>
      <c r="M61" s="312"/>
      <c r="N61" s="312">
        <v>170</v>
      </c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636"/>
      <c r="AK61" s="636"/>
      <c r="AL61" s="636"/>
      <c r="AM61" s="636">
        <v>0</v>
      </c>
      <c r="AN61" s="636"/>
      <c r="AO61" s="636"/>
      <c r="AP61" s="647"/>
      <c r="AQ61" s="647"/>
      <c r="AR61" s="312"/>
      <c r="AS61" s="383">
        <f t="shared" si="18"/>
        <v>170</v>
      </c>
      <c r="AT61" s="386"/>
      <c r="AU61" s="186"/>
      <c r="AV61" s="186"/>
      <c r="AW61" s="189"/>
      <c r="AX61" s="189"/>
      <c r="AY61" s="186"/>
      <c r="AZ61" s="387">
        <f t="shared" si="23"/>
        <v>0</v>
      </c>
      <c r="BA61" s="48"/>
      <c r="BB61" s="550"/>
      <c r="BC61" s="186"/>
      <c r="BD61" s="186"/>
      <c r="BE61" s="186"/>
      <c r="BF61" s="186"/>
      <c r="BG61" s="189"/>
      <c r="BH61" s="189"/>
      <c r="BI61" s="381">
        <f t="shared" si="39"/>
        <v>0</v>
      </c>
      <c r="BJ61" s="390"/>
      <c r="BK61" s="189"/>
      <c r="BL61" s="189"/>
      <c r="BM61" s="186">
        <f>BJ61+BK61+BL61</f>
        <v>0</v>
      </c>
      <c r="BN61" s="387">
        <f t="shared" si="2"/>
        <v>170</v>
      </c>
    </row>
    <row r="62" spans="1:66" ht="22.5" customHeight="1">
      <c r="A62" s="191" t="s">
        <v>330</v>
      </c>
      <c r="B62" s="182"/>
      <c r="C62" s="196" t="s">
        <v>327</v>
      </c>
      <c r="D62" s="196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636"/>
      <c r="AK62" s="636"/>
      <c r="AL62" s="636"/>
      <c r="AM62" s="636"/>
      <c r="AN62" s="636"/>
      <c r="AO62" s="636"/>
      <c r="AP62" s="647"/>
      <c r="AQ62" s="647"/>
      <c r="AR62" s="312"/>
      <c r="AS62" s="383">
        <f t="shared" si="18"/>
        <v>0</v>
      </c>
      <c r="AT62" s="386"/>
      <c r="AU62" s="186"/>
      <c r="AV62" s="186"/>
      <c r="AW62" s="189"/>
      <c r="AX62" s="189"/>
      <c r="AY62" s="186"/>
      <c r="AZ62" s="387">
        <f t="shared" si="23"/>
        <v>0</v>
      </c>
      <c r="BA62" s="48"/>
      <c r="BB62" s="550"/>
      <c r="BC62" s="186"/>
      <c r="BD62" s="186"/>
      <c r="BE62" s="186"/>
      <c r="BF62" s="186"/>
      <c r="BG62" s="189"/>
      <c r="BH62" s="189"/>
      <c r="BI62" s="381">
        <f t="shared" si="39"/>
        <v>0</v>
      </c>
      <c r="BJ62" s="390"/>
      <c r="BK62" s="189"/>
      <c r="BL62" s="189"/>
      <c r="BM62" s="186">
        <f>BJ62+BK62+BL62</f>
        <v>0</v>
      </c>
      <c r="BN62" s="387">
        <f t="shared" si="2"/>
        <v>0</v>
      </c>
    </row>
    <row r="63" spans="1:66" s="143" customFormat="1" ht="22.5" customHeight="1">
      <c r="A63" s="295" t="s">
        <v>331</v>
      </c>
      <c r="B63" s="287" t="s">
        <v>1151</v>
      </c>
      <c r="C63" s="312" t="s">
        <v>332</v>
      </c>
      <c r="D63" s="312"/>
      <c r="E63" s="310">
        <f>SUM(E60:E62)</f>
        <v>0</v>
      </c>
      <c r="F63" s="310">
        <f>SUM(F60:F62)</f>
        <v>0</v>
      </c>
      <c r="G63" s="310">
        <f>SUM(G60:G62)</f>
        <v>0</v>
      </c>
      <c r="H63" s="310">
        <f>SUM(H60:H62)</f>
        <v>0</v>
      </c>
      <c r="I63" s="310">
        <f aca="true" t="shared" si="46" ref="I63:AT63">SUM(I60:I62)</f>
        <v>0</v>
      </c>
      <c r="J63" s="310">
        <f t="shared" si="46"/>
        <v>0</v>
      </c>
      <c r="K63" s="310">
        <f t="shared" si="46"/>
        <v>0</v>
      </c>
      <c r="L63" s="310">
        <f t="shared" si="46"/>
        <v>0</v>
      </c>
      <c r="M63" s="310">
        <f t="shared" si="46"/>
        <v>0</v>
      </c>
      <c r="N63" s="310">
        <f t="shared" si="46"/>
        <v>170</v>
      </c>
      <c r="O63" s="310">
        <f>SUM(O60:O62)</f>
        <v>0</v>
      </c>
      <c r="P63" s="310">
        <f>SUM(P60:P62)</f>
        <v>0</v>
      </c>
      <c r="Q63" s="310">
        <f>SUM(Q60:Q62)</f>
        <v>0</v>
      </c>
      <c r="R63" s="310">
        <f>SUM(R60:R62)</f>
        <v>0</v>
      </c>
      <c r="S63" s="310">
        <f t="shared" si="46"/>
        <v>0</v>
      </c>
      <c r="T63" s="310">
        <f t="shared" si="46"/>
        <v>0</v>
      </c>
      <c r="U63" s="310">
        <f t="shared" si="46"/>
        <v>0</v>
      </c>
      <c r="V63" s="310">
        <f t="shared" si="46"/>
        <v>0</v>
      </c>
      <c r="W63" s="310">
        <f t="shared" si="46"/>
        <v>0</v>
      </c>
      <c r="X63" s="310">
        <f t="shared" si="46"/>
        <v>0</v>
      </c>
      <c r="Y63" s="310">
        <f t="shared" si="46"/>
        <v>94</v>
      </c>
      <c r="Z63" s="310">
        <f t="shared" si="46"/>
        <v>0</v>
      </c>
      <c r="AA63" s="310">
        <f t="shared" si="46"/>
        <v>0</v>
      </c>
      <c r="AB63" s="310">
        <f t="shared" si="46"/>
        <v>0</v>
      </c>
      <c r="AC63" s="310">
        <f t="shared" si="46"/>
        <v>0</v>
      </c>
      <c r="AD63" s="310">
        <f t="shared" si="46"/>
        <v>0</v>
      </c>
      <c r="AE63" s="310">
        <f t="shared" si="46"/>
        <v>0</v>
      </c>
      <c r="AF63" s="310">
        <f t="shared" si="46"/>
        <v>0</v>
      </c>
      <c r="AG63" s="310"/>
      <c r="AH63" s="310">
        <f t="shared" si="46"/>
        <v>0</v>
      </c>
      <c r="AI63" s="310">
        <f t="shared" si="46"/>
        <v>0</v>
      </c>
      <c r="AJ63" s="637">
        <f t="shared" si="46"/>
        <v>235</v>
      </c>
      <c r="AK63" s="637">
        <f t="shared" si="46"/>
        <v>0</v>
      </c>
      <c r="AL63" s="637">
        <f t="shared" si="46"/>
        <v>0</v>
      </c>
      <c r="AM63" s="637">
        <f>SUM(AM60:AM62)</f>
        <v>0</v>
      </c>
      <c r="AN63" s="637">
        <f>SUM(AN60:AN62)</f>
        <v>0</v>
      </c>
      <c r="AO63" s="637">
        <f t="shared" si="46"/>
        <v>0</v>
      </c>
      <c r="AP63" s="648">
        <f t="shared" si="46"/>
        <v>0</v>
      </c>
      <c r="AQ63" s="648">
        <f t="shared" si="46"/>
        <v>0</v>
      </c>
      <c r="AR63" s="310">
        <f t="shared" si="46"/>
        <v>0</v>
      </c>
      <c r="AS63" s="384">
        <f t="shared" si="46"/>
        <v>499</v>
      </c>
      <c r="AT63" s="386">
        <f t="shared" si="46"/>
        <v>0</v>
      </c>
      <c r="AU63" s="186">
        <f aca="true" t="shared" si="47" ref="AU63:BM63">SUM(AU60:AU62)</f>
        <v>0</v>
      </c>
      <c r="AV63" s="186">
        <f t="shared" si="47"/>
        <v>0</v>
      </c>
      <c r="AW63" s="186">
        <f t="shared" si="47"/>
        <v>0</v>
      </c>
      <c r="AX63" s="186">
        <f t="shared" si="47"/>
        <v>0</v>
      </c>
      <c r="AY63" s="186">
        <f t="shared" si="47"/>
        <v>0</v>
      </c>
      <c r="AZ63" s="387">
        <f t="shared" si="47"/>
        <v>0</v>
      </c>
      <c r="BA63" s="48">
        <f t="shared" si="47"/>
        <v>0</v>
      </c>
      <c r="BB63" s="550">
        <f t="shared" si="47"/>
        <v>0</v>
      </c>
      <c r="BC63" s="186">
        <f t="shared" si="47"/>
        <v>0</v>
      </c>
      <c r="BD63" s="186">
        <f t="shared" si="47"/>
        <v>0</v>
      </c>
      <c r="BE63" s="186">
        <f t="shared" si="47"/>
        <v>0</v>
      </c>
      <c r="BF63" s="186">
        <f t="shared" si="47"/>
        <v>0</v>
      </c>
      <c r="BG63" s="186">
        <f t="shared" si="47"/>
        <v>0</v>
      </c>
      <c r="BH63" s="186">
        <f t="shared" si="47"/>
        <v>0</v>
      </c>
      <c r="BI63" s="381">
        <f t="shared" si="47"/>
        <v>0</v>
      </c>
      <c r="BJ63" s="388">
        <f t="shared" si="47"/>
        <v>0</v>
      </c>
      <c r="BK63" s="331">
        <f t="shared" si="47"/>
        <v>0</v>
      </c>
      <c r="BL63" s="331">
        <f t="shared" si="47"/>
        <v>0</v>
      </c>
      <c r="BM63" s="331">
        <f t="shared" si="47"/>
        <v>0</v>
      </c>
      <c r="BN63" s="387">
        <f t="shared" si="2"/>
        <v>499</v>
      </c>
    </row>
    <row r="64" spans="1:66" ht="22.5" customHeight="1">
      <c r="A64" s="191" t="s">
        <v>338</v>
      </c>
      <c r="B64" s="182" t="s">
        <v>1152</v>
      </c>
      <c r="C64" s="196" t="s">
        <v>333</v>
      </c>
      <c r="D64" s="196"/>
      <c r="E64" s="196"/>
      <c r="F64" s="196"/>
      <c r="G64" s="196"/>
      <c r="H64" s="196"/>
      <c r="I64" s="339">
        <v>0</v>
      </c>
      <c r="J64" s="339">
        <v>0</v>
      </c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206">
        <v>0</v>
      </c>
      <c r="V64" s="206"/>
      <c r="W64" s="206"/>
      <c r="X64" s="189">
        <v>0</v>
      </c>
      <c r="Y64" s="189"/>
      <c r="Z64" s="294"/>
      <c r="AA64" s="294"/>
      <c r="AB64" s="189"/>
      <c r="AC64" s="189"/>
      <c r="AD64" s="189"/>
      <c r="AE64" s="189"/>
      <c r="AF64" s="189"/>
      <c r="AG64" s="189"/>
      <c r="AH64" s="189"/>
      <c r="AI64" s="189"/>
      <c r="AJ64" s="634"/>
      <c r="AK64" s="635"/>
      <c r="AL64" s="635"/>
      <c r="AM64" s="635"/>
      <c r="AN64" s="635"/>
      <c r="AO64" s="635"/>
      <c r="AP64" s="646"/>
      <c r="AQ64" s="646"/>
      <c r="AR64" s="189"/>
      <c r="AS64" s="381">
        <f t="shared" si="18"/>
        <v>0</v>
      </c>
      <c r="AT64" s="386"/>
      <c r="AU64" s="186"/>
      <c r="AV64" s="186"/>
      <c r="AW64" s="189"/>
      <c r="AX64" s="189"/>
      <c r="AY64" s="186"/>
      <c r="AZ64" s="387">
        <f t="shared" si="23"/>
        <v>0</v>
      </c>
      <c r="BA64" s="48"/>
      <c r="BB64" s="550"/>
      <c r="BC64" s="186"/>
      <c r="BD64" s="186"/>
      <c r="BE64" s="186"/>
      <c r="BF64" s="186"/>
      <c r="BG64" s="189">
        <v>0</v>
      </c>
      <c r="BH64" s="189">
        <v>0</v>
      </c>
      <c r="BI64" s="381">
        <f t="shared" si="39"/>
        <v>0</v>
      </c>
      <c r="BJ64" s="390"/>
      <c r="BK64" s="189"/>
      <c r="BL64" s="189"/>
      <c r="BM64" s="186">
        <f aca="true" t="shared" si="48" ref="BM64:BM79">BJ64+BK64+BL64</f>
        <v>0</v>
      </c>
      <c r="BN64" s="387">
        <f t="shared" si="2"/>
        <v>0</v>
      </c>
    </row>
    <row r="65" spans="1:66" ht="22.5" customHeight="1">
      <c r="A65" s="191" t="s">
        <v>339</v>
      </c>
      <c r="B65" s="182" t="s">
        <v>1153</v>
      </c>
      <c r="C65" s="309" t="s">
        <v>334</v>
      </c>
      <c r="D65" s="309"/>
      <c r="E65" s="309"/>
      <c r="F65" s="309"/>
      <c r="G65" s="309"/>
      <c r="H65" s="309"/>
      <c r="I65" s="339">
        <v>0</v>
      </c>
      <c r="J65" s="339">
        <v>0</v>
      </c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206">
        <v>0</v>
      </c>
      <c r="V65" s="206"/>
      <c r="W65" s="206"/>
      <c r="X65" s="189">
        <v>0</v>
      </c>
      <c r="Y65" s="189"/>
      <c r="Z65" s="294"/>
      <c r="AA65" s="294"/>
      <c r="AB65" s="189"/>
      <c r="AC65" s="189"/>
      <c r="AD65" s="189"/>
      <c r="AE65" s="189"/>
      <c r="AF65" s="189"/>
      <c r="AG65" s="189"/>
      <c r="AH65" s="189"/>
      <c r="AI65" s="189"/>
      <c r="AJ65" s="634"/>
      <c r="AK65" s="635"/>
      <c r="AL65" s="635"/>
      <c r="AM65" s="635"/>
      <c r="AN65" s="635"/>
      <c r="AO65" s="635"/>
      <c r="AP65" s="646"/>
      <c r="AQ65" s="646"/>
      <c r="AR65" s="189"/>
      <c r="AS65" s="381">
        <f t="shared" si="18"/>
        <v>0</v>
      </c>
      <c r="AT65" s="386"/>
      <c r="AU65" s="186"/>
      <c r="AV65" s="186"/>
      <c r="AW65" s="189"/>
      <c r="AX65" s="189"/>
      <c r="AY65" s="186"/>
      <c r="AZ65" s="387">
        <f aca="true" t="shared" si="49" ref="AZ65:AZ79">SUM(AT65:AY65)</f>
        <v>0</v>
      </c>
      <c r="BA65" s="48"/>
      <c r="BB65" s="550"/>
      <c r="BC65" s="186"/>
      <c r="BD65" s="186"/>
      <c r="BE65" s="186"/>
      <c r="BF65" s="186"/>
      <c r="BG65" s="189">
        <v>0</v>
      </c>
      <c r="BH65" s="189">
        <v>0</v>
      </c>
      <c r="BI65" s="381">
        <f t="shared" si="39"/>
        <v>0</v>
      </c>
      <c r="BJ65" s="390"/>
      <c r="BK65" s="189"/>
      <c r="BL65" s="189"/>
      <c r="BM65" s="186">
        <f t="shared" si="48"/>
        <v>0</v>
      </c>
      <c r="BN65" s="387">
        <f t="shared" si="2"/>
        <v>0</v>
      </c>
    </row>
    <row r="66" spans="1:66" ht="22.5" customHeight="1">
      <c r="A66" s="191" t="s">
        <v>340</v>
      </c>
      <c r="B66" s="182" t="s">
        <v>1154</v>
      </c>
      <c r="C66" s="196" t="s">
        <v>335</v>
      </c>
      <c r="D66" s="196"/>
      <c r="E66" s="196"/>
      <c r="F66" s="196"/>
      <c r="G66" s="196"/>
      <c r="H66" s="196"/>
      <c r="I66" s="339">
        <v>0</v>
      </c>
      <c r="J66" s="339">
        <v>0</v>
      </c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50"/>
      <c r="V66" s="206"/>
      <c r="W66" s="206"/>
      <c r="X66" s="189">
        <v>0</v>
      </c>
      <c r="Y66" s="189"/>
      <c r="Z66" s="294"/>
      <c r="AA66" s="294"/>
      <c r="AB66" s="189"/>
      <c r="AC66" s="189"/>
      <c r="AD66" s="189"/>
      <c r="AE66" s="189"/>
      <c r="AF66" s="189"/>
      <c r="AG66" s="189"/>
      <c r="AH66" s="189"/>
      <c r="AI66" s="189"/>
      <c r="AJ66" s="634"/>
      <c r="AK66" s="635"/>
      <c r="AL66" s="635"/>
      <c r="AM66" s="635"/>
      <c r="AN66" s="635"/>
      <c r="AO66" s="635"/>
      <c r="AP66" s="646"/>
      <c r="AQ66" s="646"/>
      <c r="AR66" s="189"/>
      <c r="AS66" s="381">
        <f t="shared" si="18"/>
        <v>0</v>
      </c>
      <c r="AT66" s="386"/>
      <c r="AU66" s="186"/>
      <c r="AV66" s="186"/>
      <c r="AW66" s="189"/>
      <c r="AX66" s="189"/>
      <c r="AY66" s="186"/>
      <c r="AZ66" s="387">
        <f t="shared" si="49"/>
        <v>0</v>
      </c>
      <c r="BA66" s="48"/>
      <c r="BB66" s="550"/>
      <c r="BC66" s="189">
        <v>0</v>
      </c>
      <c r="BD66" s="186"/>
      <c r="BE66" s="186">
        <v>0</v>
      </c>
      <c r="BF66" s="186"/>
      <c r="BG66" s="189">
        <v>0</v>
      </c>
      <c r="BH66" s="189"/>
      <c r="BI66" s="381">
        <f t="shared" si="39"/>
        <v>0</v>
      </c>
      <c r="BJ66" s="390"/>
      <c r="BK66" s="189"/>
      <c r="BL66" s="189"/>
      <c r="BM66" s="186">
        <f t="shared" si="48"/>
        <v>0</v>
      </c>
      <c r="BN66" s="387">
        <f t="shared" si="2"/>
        <v>0</v>
      </c>
    </row>
    <row r="67" spans="1:66" ht="22.5" customHeight="1">
      <c r="A67" s="191" t="s">
        <v>341</v>
      </c>
      <c r="B67" s="182" t="s">
        <v>1155</v>
      </c>
      <c r="C67" s="196" t="s">
        <v>336</v>
      </c>
      <c r="D67" s="196"/>
      <c r="E67" s="196"/>
      <c r="F67" s="196"/>
      <c r="G67" s="196"/>
      <c r="H67" s="196"/>
      <c r="I67" s="339">
        <v>0</v>
      </c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50"/>
      <c r="V67" s="206"/>
      <c r="W67" s="206"/>
      <c r="X67" s="189">
        <v>0</v>
      </c>
      <c r="Y67" s="189"/>
      <c r="Z67" s="294"/>
      <c r="AA67" s="294"/>
      <c r="AB67" s="189"/>
      <c r="AC67" s="189"/>
      <c r="AD67" s="189"/>
      <c r="AE67" s="189"/>
      <c r="AF67" s="189"/>
      <c r="AG67" s="189"/>
      <c r="AH67" s="189"/>
      <c r="AI67" s="189"/>
      <c r="AJ67" s="634"/>
      <c r="AK67" s="635"/>
      <c r="AL67" s="635"/>
      <c r="AM67" s="635"/>
      <c r="AN67" s="635"/>
      <c r="AO67" s="635"/>
      <c r="AP67" s="646"/>
      <c r="AQ67" s="646"/>
      <c r="AR67" s="189"/>
      <c r="AS67" s="381">
        <f t="shared" si="18"/>
        <v>0</v>
      </c>
      <c r="AT67" s="386"/>
      <c r="AU67" s="186"/>
      <c r="AV67" s="186"/>
      <c r="AW67" s="189"/>
      <c r="AX67" s="189"/>
      <c r="AY67" s="186"/>
      <c r="AZ67" s="387">
        <f t="shared" si="49"/>
        <v>0</v>
      </c>
      <c r="BA67" s="48"/>
      <c r="BB67" s="550"/>
      <c r="BC67" s="186"/>
      <c r="BD67" s="186"/>
      <c r="BE67" s="186"/>
      <c r="BF67" s="186"/>
      <c r="BG67" s="189">
        <v>0</v>
      </c>
      <c r="BH67" s="189">
        <v>0</v>
      </c>
      <c r="BI67" s="381">
        <f t="shared" si="39"/>
        <v>0</v>
      </c>
      <c r="BJ67" s="390"/>
      <c r="BK67" s="189"/>
      <c r="BL67" s="189"/>
      <c r="BM67" s="186">
        <f t="shared" si="48"/>
        <v>0</v>
      </c>
      <c r="BN67" s="387">
        <f t="shared" si="2"/>
        <v>0</v>
      </c>
    </row>
    <row r="68" spans="1:66" s="143" customFormat="1" ht="22.5" customHeight="1">
      <c r="A68" s="191" t="s">
        <v>342</v>
      </c>
      <c r="B68" s="287" t="s">
        <v>1223</v>
      </c>
      <c r="C68" s="196" t="s">
        <v>337</v>
      </c>
      <c r="D68" s="196"/>
      <c r="E68" s="310"/>
      <c r="F68" s="310"/>
      <c r="G68" s="310"/>
      <c r="H68" s="310"/>
      <c r="I68" s="186">
        <f>SUM(I64:I67)</f>
        <v>0</v>
      </c>
      <c r="J68" s="186">
        <f>SUM(J64:J67)</f>
        <v>0</v>
      </c>
      <c r="K68" s="186">
        <f>SUM(K64:K67)</f>
        <v>0</v>
      </c>
      <c r="L68" s="186">
        <f aca="true" t="shared" si="50" ref="L68:Z68">SUM(L64:L67)</f>
        <v>0</v>
      </c>
      <c r="M68" s="186">
        <f t="shared" si="50"/>
        <v>0</v>
      </c>
      <c r="N68" s="186">
        <f t="shared" si="50"/>
        <v>0</v>
      </c>
      <c r="O68" s="186">
        <f t="shared" si="50"/>
        <v>0</v>
      </c>
      <c r="P68" s="186">
        <f t="shared" si="50"/>
        <v>0</v>
      </c>
      <c r="Q68" s="186"/>
      <c r="R68" s="186"/>
      <c r="S68" s="186">
        <f t="shared" si="50"/>
        <v>0</v>
      </c>
      <c r="T68" s="186">
        <f t="shared" si="50"/>
        <v>0</v>
      </c>
      <c r="U68" s="186">
        <f t="shared" si="50"/>
        <v>0</v>
      </c>
      <c r="V68" s="186">
        <f t="shared" si="50"/>
        <v>0</v>
      </c>
      <c r="W68" s="186">
        <f t="shared" si="50"/>
        <v>0</v>
      </c>
      <c r="X68" s="186">
        <f t="shared" si="50"/>
        <v>0</v>
      </c>
      <c r="Y68" s="186">
        <f t="shared" si="50"/>
        <v>0</v>
      </c>
      <c r="Z68" s="348">
        <f t="shared" si="50"/>
        <v>0</v>
      </c>
      <c r="AA68" s="348"/>
      <c r="AB68" s="186"/>
      <c r="AC68" s="186"/>
      <c r="AD68" s="186"/>
      <c r="AE68" s="186"/>
      <c r="AF68" s="186"/>
      <c r="AG68" s="186"/>
      <c r="AH68" s="186"/>
      <c r="AI68" s="186"/>
      <c r="AJ68" s="641"/>
      <c r="AK68" s="641">
        <f>SUM(AK64:AK67)</f>
        <v>0</v>
      </c>
      <c r="AL68" s="641"/>
      <c r="AM68" s="641">
        <f>SUM(AM64:AM67)</f>
        <v>0</v>
      </c>
      <c r="AN68" s="641"/>
      <c r="AO68" s="641"/>
      <c r="AP68" s="651"/>
      <c r="AQ68" s="651"/>
      <c r="AR68" s="186"/>
      <c r="AS68" s="381">
        <f t="shared" si="18"/>
        <v>0</v>
      </c>
      <c r="AT68" s="386"/>
      <c r="AU68" s="186"/>
      <c r="AV68" s="186"/>
      <c r="AW68" s="189">
        <f>SUM(AW64:AW67)</f>
        <v>0</v>
      </c>
      <c r="AX68" s="189"/>
      <c r="AY68" s="186">
        <f>SUM(AY64:AY67)</f>
        <v>0</v>
      </c>
      <c r="AZ68" s="387">
        <f t="shared" si="49"/>
        <v>0</v>
      </c>
      <c r="BA68" s="48">
        <f>SUM(BA64:BA67)</f>
        <v>0</v>
      </c>
      <c r="BB68" s="550"/>
      <c r="BC68" s="186">
        <f>SUM(BC64:BC67)</f>
        <v>0</v>
      </c>
      <c r="BD68" s="186">
        <f>SUM(BD64:BD67)</f>
        <v>0</v>
      </c>
      <c r="BE68" s="186">
        <f>SUM(BE64:BE67)</f>
        <v>0</v>
      </c>
      <c r="BF68" s="186"/>
      <c r="BG68" s="186">
        <f>SUM(BG64:BG67)</f>
        <v>0</v>
      </c>
      <c r="BH68" s="186">
        <v>0</v>
      </c>
      <c r="BI68" s="381">
        <f t="shared" si="39"/>
        <v>0</v>
      </c>
      <c r="BJ68" s="386">
        <f>SUM(BJ64:BJ67)</f>
        <v>0</v>
      </c>
      <c r="BK68" s="186">
        <f>SUM(BK64:BK67)</f>
        <v>0</v>
      </c>
      <c r="BL68" s="186">
        <f>SUM(BL64:BL67)</f>
        <v>0</v>
      </c>
      <c r="BM68" s="186">
        <f t="shared" si="48"/>
        <v>0</v>
      </c>
      <c r="BN68" s="387">
        <f t="shared" si="2"/>
        <v>0</v>
      </c>
    </row>
    <row r="69" spans="1:66" s="143" customFormat="1" ht="22.5" customHeight="1">
      <c r="A69" s="295" t="s">
        <v>343</v>
      </c>
      <c r="B69" s="182" t="s">
        <v>1224</v>
      </c>
      <c r="C69" s="312" t="s">
        <v>344</v>
      </c>
      <c r="D69" s="312"/>
      <c r="E69" s="312">
        <f aca="true" t="shared" si="51" ref="E69:AT69">SUM(E64:E68)</f>
        <v>0</v>
      </c>
      <c r="F69" s="312">
        <f>SUM(F64:F68)</f>
        <v>0</v>
      </c>
      <c r="G69" s="312">
        <f>SUM(G64:G68)</f>
        <v>0</v>
      </c>
      <c r="H69" s="312">
        <f>SUM(H64:H68)</f>
        <v>0</v>
      </c>
      <c r="I69" s="312">
        <f t="shared" si="51"/>
        <v>0</v>
      </c>
      <c r="J69" s="312">
        <f t="shared" si="51"/>
        <v>0</v>
      </c>
      <c r="K69" s="312">
        <f t="shared" si="51"/>
        <v>0</v>
      </c>
      <c r="L69" s="312">
        <f t="shared" si="51"/>
        <v>0</v>
      </c>
      <c r="M69" s="312">
        <f t="shared" si="51"/>
        <v>0</v>
      </c>
      <c r="N69" s="312">
        <f t="shared" si="51"/>
        <v>0</v>
      </c>
      <c r="O69" s="312">
        <f>SUM(O64:O68)</f>
        <v>0</v>
      </c>
      <c r="P69" s="312">
        <f>SUM(P64:P68)</f>
        <v>0</v>
      </c>
      <c r="Q69" s="312">
        <f>SUM(Q64:Q68)</f>
        <v>0</v>
      </c>
      <c r="R69" s="312">
        <f>SUM(R64:R68)</f>
        <v>0</v>
      </c>
      <c r="S69" s="312">
        <f t="shared" si="51"/>
        <v>0</v>
      </c>
      <c r="T69" s="312">
        <f t="shared" si="51"/>
        <v>0</v>
      </c>
      <c r="U69" s="312">
        <f t="shared" si="51"/>
        <v>0</v>
      </c>
      <c r="V69" s="312">
        <f t="shared" si="51"/>
        <v>0</v>
      </c>
      <c r="W69" s="312">
        <f t="shared" si="51"/>
        <v>0</v>
      </c>
      <c r="X69" s="312">
        <f t="shared" si="51"/>
        <v>0</v>
      </c>
      <c r="Y69" s="312">
        <f t="shared" si="51"/>
        <v>0</v>
      </c>
      <c r="Z69" s="312">
        <f t="shared" si="51"/>
        <v>0</v>
      </c>
      <c r="AA69" s="312">
        <f t="shared" si="51"/>
        <v>0</v>
      </c>
      <c r="AB69" s="312">
        <f t="shared" si="51"/>
        <v>0</v>
      </c>
      <c r="AC69" s="312">
        <f t="shared" si="51"/>
        <v>0</v>
      </c>
      <c r="AD69" s="312">
        <f t="shared" si="51"/>
        <v>0</v>
      </c>
      <c r="AE69" s="312">
        <f t="shared" si="51"/>
        <v>0</v>
      </c>
      <c r="AF69" s="312">
        <f t="shared" si="51"/>
        <v>0</v>
      </c>
      <c r="AG69" s="312"/>
      <c r="AH69" s="312">
        <f t="shared" si="51"/>
        <v>0</v>
      </c>
      <c r="AI69" s="312">
        <f t="shared" si="51"/>
        <v>0</v>
      </c>
      <c r="AJ69" s="636">
        <f t="shared" si="51"/>
        <v>0</v>
      </c>
      <c r="AK69" s="636">
        <f t="shared" si="51"/>
        <v>0</v>
      </c>
      <c r="AL69" s="636">
        <f t="shared" si="51"/>
        <v>0</v>
      </c>
      <c r="AM69" s="636">
        <f>SUM(AM64:AM68)</f>
        <v>0</v>
      </c>
      <c r="AN69" s="636">
        <f>SUM(AN64:AN68)</f>
        <v>0</v>
      </c>
      <c r="AO69" s="636">
        <f t="shared" si="51"/>
        <v>0</v>
      </c>
      <c r="AP69" s="647">
        <f t="shared" si="51"/>
        <v>0</v>
      </c>
      <c r="AQ69" s="647">
        <f t="shared" si="51"/>
        <v>0</v>
      </c>
      <c r="AR69" s="312">
        <f t="shared" si="51"/>
        <v>0</v>
      </c>
      <c r="AS69" s="383">
        <f t="shared" si="51"/>
        <v>0</v>
      </c>
      <c r="AT69" s="388">
        <f t="shared" si="51"/>
        <v>0</v>
      </c>
      <c r="AU69" s="331">
        <f aca="true" t="shared" si="52" ref="AU69:BM69">SUM(AU64:AU68)</f>
        <v>0</v>
      </c>
      <c r="AV69" s="331">
        <f t="shared" si="52"/>
        <v>0</v>
      </c>
      <c r="AW69" s="331">
        <f t="shared" si="52"/>
        <v>0</v>
      </c>
      <c r="AX69" s="331">
        <f t="shared" si="52"/>
        <v>0</v>
      </c>
      <c r="AY69" s="331">
        <f t="shared" si="52"/>
        <v>0</v>
      </c>
      <c r="AZ69" s="570">
        <f t="shared" si="52"/>
        <v>0</v>
      </c>
      <c r="BA69" s="377">
        <f t="shared" si="52"/>
        <v>0</v>
      </c>
      <c r="BB69" s="552">
        <f t="shared" si="52"/>
        <v>0</v>
      </c>
      <c r="BC69" s="331">
        <f t="shared" si="52"/>
        <v>0</v>
      </c>
      <c r="BD69" s="331">
        <f t="shared" si="52"/>
        <v>0</v>
      </c>
      <c r="BE69" s="331">
        <f t="shared" si="52"/>
        <v>0</v>
      </c>
      <c r="BF69" s="331">
        <f t="shared" si="52"/>
        <v>0</v>
      </c>
      <c r="BG69" s="331">
        <f t="shared" si="52"/>
        <v>0</v>
      </c>
      <c r="BH69" s="331">
        <f t="shared" si="52"/>
        <v>0</v>
      </c>
      <c r="BI69" s="382">
        <f t="shared" si="52"/>
        <v>0</v>
      </c>
      <c r="BJ69" s="388">
        <f t="shared" si="52"/>
        <v>0</v>
      </c>
      <c r="BK69" s="331">
        <f t="shared" si="52"/>
        <v>0</v>
      </c>
      <c r="BL69" s="331">
        <f t="shared" si="52"/>
        <v>0</v>
      </c>
      <c r="BM69" s="331">
        <f t="shared" si="52"/>
        <v>0</v>
      </c>
      <c r="BN69" s="387">
        <f t="shared" si="2"/>
        <v>0</v>
      </c>
    </row>
    <row r="70" spans="1:66" ht="22.5" customHeight="1">
      <c r="A70" s="191" t="s">
        <v>346</v>
      </c>
      <c r="B70" s="182" t="s">
        <v>1225</v>
      </c>
      <c r="C70" s="307" t="s">
        <v>345</v>
      </c>
      <c r="D70" s="307"/>
      <c r="E70" s="307"/>
      <c r="F70" s="307"/>
      <c r="G70" s="307"/>
      <c r="H70" s="307"/>
      <c r="I70" s="351">
        <v>0</v>
      </c>
      <c r="J70" s="351">
        <v>0</v>
      </c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206">
        <v>0</v>
      </c>
      <c r="V70" s="206"/>
      <c r="W70" s="206"/>
      <c r="X70" s="189">
        <v>0</v>
      </c>
      <c r="Y70" s="189">
        <v>0</v>
      </c>
      <c r="Z70" s="294"/>
      <c r="AA70" s="294"/>
      <c r="AB70" s="189"/>
      <c r="AC70" s="189"/>
      <c r="AD70" s="189"/>
      <c r="AE70" s="189"/>
      <c r="AF70" s="189"/>
      <c r="AG70" s="189"/>
      <c r="AH70" s="189"/>
      <c r="AI70" s="189"/>
      <c r="AJ70" s="634"/>
      <c r="AK70" s="643"/>
      <c r="AL70" s="643"/>
      <c r="AM70" s="643"/>
      <c r="AN70" s="643"/>
      <c r="AO70" s="643"/>
      <c r="AP70" s="652"/>
      <c r="AQ70" s="652"/>
      <c r="AR70" s="189"/>
      <c r="AS70" s="381">
        <f t="shared" si="18"/>
        <v>0</v>
      </c>
      <c r="AT70" s="386"/>
      <c r="AU70" s="186"/>
      <c r="AV70" s="186"/>
      <c r="AW70" s="189">
        <v>220</v>
      </c>
      <c r="AX70" s="189"/>
      <c r="AY70" s="186"/>
      <c r="AZ70" s="387">
        <f t="shared" si="49"/>
        <v>220</v>
      </c>
      <c r="BA70" s="48"/>
      <c r="BB70" s="550"/>
      <c r="BC70" s="186">
        <v>0</v>
      </c>
      <c r="BD70" s="186"/>
      <c r="BE70" s="186"/>
      <c r="BF70" s="186"/>
      <c r="BG70" s="189">
        <v>0</v>
      </c>
      <c r="BH70" s="189">
        <v>85</v>
      </c>
      <c r="BI70" s="381">
        <f t="shared" si="39"/>
        <v>85</v>
      </c>
      <c r="BJ70" s="390"/>
      <c r="BK70" s="189">
        <v>136</v>
      </c>
      <c r="BL70" s="189"/>
      <c r="BM70" s="186">
        <f t="shared" si="48"/>
        <v>136</v>
      </c>
      <c r="BN70" s="387">
        <f aca="true" t="shared" si="53" ref="BN70:BN82">+BI70+AS70+AZ70+BM70</f>
        <v>441</v>
      </c>
    </row>
    <row r="71" spans="1:66" ht="22.5" customHeight="1">
      <c r="A71" s="295" t="s">
        <v>348</v>
      </c>
      <c r="B71" s="182"/>
      <c r="C71" s="353" t="s">
        <v>347</v>
      </c>
      <c r="D71" s="353"/>
      <c r="E71" s="312">
        <f>E70</f>
        <v>0</v>
      </c>
      <c r="F71" s="312">
        <f>F70</f>
        <v>0</v>
      </c>
      <c r="G71" s="312">
        <f>G70</f>
        <v>0</v>
      </c>
      <c r="H71" s="312">
        <f>H70</f>
        <v>0</v>
      </c>
      <c r="I71" s="312">
        <f aca="true" t="shared" si="54" ref="I71:AT71">I70</f>
        <v>0</v>
      </c>
      <c r="J71" s="312">
        <f t="shared" si="54"/>
        <v>0</v>
      </c>
      <c r="K71" s="312">
        <f t="shared" si="54"/>
        <v>0</v>
      </c>
      <c r="L71" s="312">
        <f t="shared" si="54"/>
        <v>0</v>
      </c>
      <c r="M71" s="312">
        <f t="shared" si="54"/>
        <v>0</v>
      </c>
      <c r="N71" s="312">
        <f t="shared" si="54"/>
        <v>0</v>
      </c>
      <c r="O71" s="312">
        <f>O70</f>
        <v>0</v>
      </c>
      <c r="P71" s="312">
        <f>P70</f>
        <v>0</v>
      </c>
      <c r="Q71" s="312">
        <f>Q70</f>
        <v>0</v>
      </c>
      <c r="R71" s="312">
        <f>R70</f>
        <v>0</v>
      </c>
      <c r="S71" s="312">
        <f t="shared" si="54"/>
        <v>0</v>
      </c>
      <c r="T71" s="312">
        <f t="shared" si="54"/>
        <v>0</v>
      </c>
      <c r="U71" s="312">
        <f t="shared" si="54"/>
        <v>0</v>
      </c>
      <c r="V71" s="312">
        <f t="shared" si="54"/>
        <v>0</v>
      </c>
      <c r="W71" s="312">
        <f t="shared" si="54"/>
        <v>0</v>
      </c>
      <c r="X71" s="312">
        <f t="shared" si="54"/>
        <v>0</v>
      </c>
      <c r="Y71" s="312">
        <f t="shared" si="54"/>
        <v>0</v>
      </c>
      <c r="Z71" s="312">
        <f t="shared" si="54"/>
        <v>0</v>
      </c>
      <c r="AA71" s="312">
        <f t="shared" si="54"/>
        <v>0</v>
      </c>
      <c r="AB71" s="312">
        <f t="shared" si="54"/>
        <v>0</v>
      </c>
      <c r="AC71" s="312">
        <f t="shared" si="54"/>
        <v>0</v>
      </c>
      <c r="AD71" s="312">
        <f t="shared" si="54"/>
        <v>0</v>
      </c>
      <c r="AE71" s="312">
        <f t="shared" si="54"/>
        <v>0</v>
      </c>
      <c r="AF71" s="312">
        <f t="shared" si="54"/>
        <v>0</v>
      </c>
      <c r="AG71" s="312"/>
      <c r="AH71" s="312">
        <f t="shared" si="54"/>
        <v>0</v>
      </c>
      <c r="AI71" s="312">
        <f t="shared" si="54"/>
        <v>0</v>
      </c>
      <c r="AJ71" s="636">
        <f t="shared" si="54"/>
        <v>0</v>
      </c>
      <c r="AK71" s="636">
        <f t="shared" si="54"/>
        <v>0</v>
      </c>
      <c r="AL71" s="636">
        <f t="shared" si="54"/>
        <v>0</v>
      </c>
      <c r="AM71" s="636">
        <f>AM70</f>
        <v>0</v>
      </c>
      <c r="AN71" s="636">
        <f>AN70</f>
        <v>0</v>
      </c>
      <c r="AO71" s="636">
        <f t="shared" si="54"/>
        <v>0</v>
      </c>
      <c r="AP71" s="647">
        <f t="shared" si="54"/>
        <v>0</v>
      </c>
      <c r="AQ71" s="647">
        <f t="shared" si="54"/>
        <v>0</v>
      </c>
      <c r="AR71" s="312">
        <f t="shared" si="54"/>
        <v>0</v>
      </c>
      <c r="AS71" s="383">
        <f t="shared" si="54"/>
        <v>0</v>
      </c>
      <c r="AT71" s="388">
        <f t="shared" si="54"/>
        <v>0</v>
      </c>
      <c r="AU71" s="331">
        <f aca="true" t="shared" si="55" ref="AU71:BM71">AU70</f>
        <v>0</v>
      </c>
      <c r="AV71" s="331">
        <f t="shared" si="55"/>
        <v>0</v>
      </c>
      <c r="AW71" s="331">
        <f t="shared" si="55"/>
        <v>220</v>
      </c>
      <c r="AX71" s="331">
        <f t="shared" si="55"/>
        <v>0</v>
      </c>
      <c r="AY71" s="331">
        <f t="shared" si="55"/>
        <v>0</v>
      </c>
      <c r="AZ71" s="570">
        <f t="shared" si="55"/>
        <v>220</v>
      </c>
      <c r="BA71" s="377">
        <f t="shared" si="55"/>
        <v>0</v>
      </c>
      <c r="BB71" s="552">
        <f t="shared" si="55"/>
        <v>0</v>
      </c>
      <c r="BC71" s="331">
        <f t="shared" si="55"/>
        <v>0</v>
      </c>
      <c r="BD71" s="331">
        <f t="shared" si="55"/>
        <v>0</v>
      </c>
      <c r="BE71" s="331">
        <f t="shared" si="55"/>
        <v>0</v>
      </c>
      <c r="BF71" s="331">
        <f t="shared" si="55"/>
        <v>0</v>
      </c>
      <c r="BG71" s="331">
        <f t="shared" si="55"/>
        <v>0</v>
      </c>
      <c r="BH71" s="331">
        <f t="shared" si="55"/>
        <v>85</v>
      </c>
      <c r="BI71" s="382">
        <f t="shared" si="55"/>
        <v>85</v>
      </c>
      <c r="BJ71" s="388">
        <f t="shared" si="55"/>
        <v>0</v>
      </c>
      <c r="BK71" s="331">
        <f t="shared" si="55"/>
        <v>136</v>
      </c>
      <c r="BL71" s="331">
        <f t="shared" si="55"/>
        <v>0</v>
      </c>
      <c r="BM71" s="331">
        <f t="shared" si="55"/>
        <v>136</v>
      </c>
      <c r="BN71" s="387">
        <f t="shared" si="53"/>
        <v>441</v>
      </c>
    </row>
    <row r="72" spans="1:66" ht="22.5" customHeight="1">
      <c r="A72" s="191" t="s">
        <v>357</v>
      </c>
      <c r="B72" s="182"/>
      <c r="C72" s="307" t="s">
        <v>349</v>
      </c>
      <c r="D72" s="307" t="s">
        <v>1498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>
        <v>528</v>
      </c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636"/>
      <c r="AK72" s="636"/>
      <c r="AL72" s="636"/>
      <c r="AM72" s="636"/>
      <c r="AN72" s="636"/>
      <c r="AO72" s="636"/>
      <c r="AP72" s="647"/>
      <c r="AQ72" s="647"/>
      <c r="AR72" s="312"/>
      <c r="AS72" s="383">
        <f t="shared" si="18"/>
        <v>528</v>
      </c>
      <c r="AT72" s="386"/>
      <c r="AU72" s="186"/>
      <c r="AV72" s="186"/>
      <c r="AW72" s="189"/>
      <c r="AX72" s="189"/>
      <c r="AY72" s="186"/>
      <c r="AZ72" s="387">
        <f t="shared" si="49"/>
        <v>0</v>
      </c>
      <c r="BA72" s="48"/>
      <c r="BB72" s="550"/>
      <c r="BC72" s="186">
        <v>150</v>
      </c>
      <c r="BD72" s="186"/>
      <c r="BE72" s="186"/>
      <c r="BF72" s="186"/>
      <c r="BG72" s="189"/>
      <c r="BH72" s="189"/>
      <c r="BI72" s="381">
        <f t="shared" si="39"/>
        <v>150</v>
      </c>
      <c r="BJ72" s="390"/>
      <c r="BK72" s="189"/>
      <c r="BL72" s="189"/>
      <c r="BM72" s="186">
        <f t="shared" si="48"/>
        <v>0</v>
      </c>
      <c r="BN72" s="387">
        <f t="shared" si="53"/>
        <v>678</v>
      </c>
    </row>
    <row r="73" spans="1:66" ht="108" customHeight="1">
      <c r="A73" s="191" t="s">
        <v>358</v>
      </c>
      <c r="B73" s="182"/>
      <c r="C73" s="307" t="s">
        <v>350</v>
      </c>
      <c r="D73" s="307" t="s">
        <v>682</v>
      </c>
      <c r="E73" s="312"/>
      <c r="F73" s="312"/>
      <c r="G73" s="312"/>
      <c r="H73" s="312"/>
      <c r="I73" s="312"/>
      <c r="J73" s="312"/>
      <c r="K73" s="312"/>
      <c r="L73" s="312"/>
      <c r="M73" s="312">
        <v>50</v>
      </c>
      <c r="N73" s="312">
        <f>713+800+400</f>
        <v>1913</v>
      </c>
      <c r="O73" s="312"/>
      <c r="P73" s="312"/>
      <c r="Q73" s="312"/>
      <c r="R73" s="312"/>
      <c r="S73" s="312"/>
      <c r="T73" s="312"/>
      <c r="U73" s="312">
        <f>100+250</f>
        <v>350</v>
      </c>
      <c r="V73" s="312">
        <v>20</v>
      </c>
      <c r="W73" s="312"/>
      <c r="X73" s="312"/>
      <c r="Y73" s="312">
        <v>250</v>
      </c>
      <c r="Z73" s="312"/>
      <c r="AA73" s="312"/>
      <c r="AB73" s="312"/>
      <c r="AC73" s="312">
        <v>1200</v>
      </c>
      <c r="AD73" s="312"/>
      <c r="AE73" s="312"/>
      <c r="AF73" s="312"/>
      <c r="AG73" s="312"/>
      <c r="AH73" s="312"/>
      <c r="AI73" s="312"/>
      <c r="AJ73" s="636"/>
      <c r="AK73" s="636"/>
      <c r="AL73" s="636">
        <v>30</v>
      </c>
      <c r="AM73" s="636"/>
      <c r="AN73" s="636">
        <v>30</v>
      </c>
      <c r="AO73" s="636"/>
      <c r="AP73" s="647"/>
      <c r="AQ73" s="647"/>
      <c r="AR73" s="312"/>
      <c r="AS73" s="383">
        <f t="shared" si="18"/>
        <v>3843</v>
      </c>
      <c r="AT73" s="386"/>
      <c r="AU73" s="186"/>
      <c r="AV73" s="186"/>
      <c r="AW73" s="189">
        <v>350</v>
      </c>
      <c r="AX73" s="189"/>
      <c r="AY73" s="186"/>
      <c r="AZ73" s="387">
        <f t="shared" si="49"/>
        <v>350</v>
      </c>
      <c r="BA73" s="48"/>
      <c r="BB73" s="550"/>
      <c r="BC73" s="186"/>
      <c r="BD73" s="186"/>
      <c r="BE73" s="186"/>
      <c r="BF73" s="186"/>
      <c r="BG73" s="189"/>
      <c r="BH73" s="189">
        <v>30</v>
      </c>
      <c r="BI73" s="381">
        <f t="shared" si="39"/>
        <v>30</v>
      </c>
      <c r="BJ73" s="390"/>
      <c r="BK73" s="189"/>
      <c r="BL73" s="189"/>
      <c r="BM73" s="186">
        <f t="shared" si="48"/>
        <v>0</v>
      </c>
      <c r="BN73" s="387">
        <f t="shared" si="53"/>
        <v>4223</v>
      </c>
    </row>
    <row r="74" spans="1:66" ht="22.5" customHeight="1">
      <c r="A74" s="191" t="s">
        <v>359</v>
      </c>
      <c r="B74" s="182"/>
      <c r="C74" s="307" t="s">
        <v>351</v>
      </c>
      <c r="D74" s="307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636"/>
      <c r="AK74" s="636"/>
      <c r="AL74" s="636"/>
      <c r="AM74" s="636"/>
      <c r="AN74" s="636"/>
      <c r="AO74" s="636"/>
      <c r="AP74" s="647"/>
      <c r="AQ74" s="647"/>
      <c r="AR74" s="312"/>
      <c r="AS74" s="383">
        <f t="shared" si="18"/>
        <v>0</v>
      </c>
      <c r="AT74" s="386"/>
      <c r="AU74" s="186"/>
      <c r="AV74" s="186"/>
      <c r="AW74" s="189"/>
      <c r="AX74" s="189"/>
      <c r="AY74" s="186"/>
      <c r="AZ74" s="387">
        <f t="shared" si="49"/>
        <v>0</v>
      </c>
      <c r="BA74" s="48"/>
      <c r="BB74" s="550"/>
      <c r="BC74" s="186"/>
      <c r="BD74" s="186"/>
      <c r="BE74" s="186"/>
      <c r="BF74" s="186"/>
      <c r="BG74" s="189"/>
      <c r="BH74" s="189"/>
      <c r="BI74" s="381">
        <f t="shared" si="39"/>
        <v>0</v>
      </c>
      <c r="BJ74" s="390"/>
      <c r="BK74" s="189"/>
      <c r="BL74" s="189"/>
      <c r="BM74" s="186">
        <f t="shared" si="48"/>
        <v>0</v>
      </c>
      <c r="BN74" s="387">
        <f t="shared" si="53"/>
        <v>0</v>
      </c>
    </row>
    <row r="75" spans="1:66" ht="22.5" customHeight="1">
      <c r="A75" s="191" t="s">
        <v>360</v>
      </c>
      <c r="B75" s="182"/>
      <c r="C75" s="307" t="s">
        <v>352</v>
      </c>
      <c r="D75" s="307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636"/>
      <c r="AK75" s="636"/>
      <c r="AL75" s="636"/>
      <c r="AM75" s="636"/>
      <c r="AN75" s="636"/>
      <c r="AO75" s="636"/>
      <c r="AP75" s="647"/>
      <c r="AQ75" s="647"/>
      <c r="AR75" s="312"/>
      <c r="AS75" s="383">
        <f t="shared" si="18"/>
        <v>0</v>
      </c>
      <c r="AT75" s="386"/>
      <c r="AU75" s="186"/>
      <c r="AV75" s="186"/>
      <c r="AW75" s="189"/>
      <c r="AX75" s="189"/>
      <c r="AY75" s="186"/>
      <c r="AZ75" s="387">
        <f t="shared" si="49"/>
        <v>0</v>
      </c>
      <c r="BA75" s="48"/>
      <c r="BB75" s="550"/>
      <c r="BC75" s="186"/>
      <c r="BD75" s="186"/>
      <c r="BE75" s="186"/>
      <c r="BF75" s="186"/>
      <c r="BG75" s="189"/>
      <c r="BH75" s="189"/>
      <c r="BI75" s="381">
        <f t="shared" si="39"/>
        <v>0</v>
      </c>
      <c r="BJ75" s="390"/>
      <c r="BK75" s="189"/>
      <c r="BL75" s="189"/>
      <c r="BM75" s="186">
        <f t="shared" si="48"/>
        <v>0</v>
      </c>
      <c r="BN75" s="387">
        <f t="shared" si="53"/>
        <v>0</v>
      </c>
    </row>
    <row r="76" spans="1:66" ht="22.5" customHeight="1">
      <c r="A76" s="191" t="s">
        <v>361</v>
      </c>
      <c r="B76" s="182"/>
      <c r="C76" s="307" t="s">
        <v>353</v>
      </c>
      <c r="D76" s="307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636"/>
      <c r="AK76" s="636"/>
      <c r="AL76" s="636"/>
      <c r="AM76" s="636"/>
      <c r="AN76" s="636"/>
      <c r="AO76" s="636"/>
      <c r="AP76" s="647"/>
      <c r="AQ76" s="647"/>
      <c r="AR76" s="312"/>
      <c r="AS76" s="383">
        <f t="shared" si="18"/>
        <v>0</v>
      </c>
      <c r="AT76" s="386"/>
      <c r="AU76" s="186"/>
      <c r="AV76" s="186"/>
      <c r="AW76" s="189"/>
      <c r="AX76" s="189"/>
      <c r="AY76" s="186"/>
      <c r="AZ76" s="387">
        <f t="shared" si="49"/>
        <v>0</v>
      </c>
      <c r="BA76" s="48"/>
      <c r="BB76" s="550"/>
      <c r="BC76" s="186"/>
      <c r="BD76" s="186"/>
      <c r="BE76" s="186"/>
      <c r="BF76" s="186"/>
      <c r="BG76" s="189"/>
      <c r="BH76" s="189"/>
      <c r="BI76" s="381">
        <f t="shared" si="39"/>
        <v>0</v>
      </c>
      <c r="BJ76" s="390"/>
      <c r="BK76" s="189"/>
      <c r="BL76" s="189"/>
      <c r="BM76" s="186">
        <f t="shared" si="48"/>
        <v>0</v>
      </c>
      <c r="BN76" s="387">
        <f t="shared" si="53"/>
        <v>0</v>
      </c>
    </row>
    <row r="77" spans="1:66" ht="22.5" customHeight="1">
      <c r="A77" s="191" t="s">
        <v>362</v>
      </c>
      <c r="B77" s="182"/>
      <c r="C77" s="307" t="s">
        <v>354</v>
      </c>
      <c r="D77" s="307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636"/>
      <c r="AK77" s="636"/>
      <c r="AL77" s="636"/>
      <c r="AM77" s="636"/>
      <c r="AN77" s="636"/>
      <c r="AO77" s="636"/>
      <c r="AP77" s="647"/>
      <c r="AQ77" s="647"/>
      <c r="AR77" s="312"/>
      <c r="AS77" s="383">
        <f t="shared" si="18"/>
        <v>0</v>
      </c>
      <c r="AT77" s="386"/>
      <c r="AU77" s="186"/>
      <c r="AV77" s="186"/>
      <c r="AW77" s="189"/>
      <c r="AX77" s="189"/>
      <c r="AY77" s="186"/>
      <c r="AZ77" s="387">
        <f t="shared" si="49"/>
        <v>0</v>
      </c>
      <c r="BA77" s="48"/>
      <c r="BB77" s="550"/>
      <c r="BC77" s="186"/>
      <c r="BD77" s="186"/>
      <c r="BE77" s="186"/>
      <c r="BF77" s="186"/>
      <c r="BG77" s="189"/>
      <c r="BH77" s="189"/>
      <c r="BI77" s="381">
        <f t="shared" si="39"/>
        <v>0</v>
      </c>
      <c r="BJ77" s="390"/>
      <c r="BK77" s="189"/>
      <c r="BL77" s="189"/>
      <c r="BM77" s="186">
        <f t="shared" si="48"/>
        <v>0</v>
      </c>
      <c r="BN77" s="387">
        <f t="shared" si="53"/>
        <v>0</v>
      </c>
    </row>
    <row r="78" spans="1:66" ht="22.5" customHeight="1">
      <c r="A78" s="191" t="s">
        <v>363</v>
      </c>
      <c r="B78" s="182"/>
      <c r="C78" s="307" t="s">
        <v>355</v>
      </c>
      <c r="D78" s="307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636"/>
      <c r="AK78" s="636"/>
      <c r="AL78" s="636"/>
      <c r="AM78" s="636"/>
      <c r="AN78" s="636"/>
      <c r="AO78" s="636"/>
      <c r="AP78" s="647"/>
      <c r="AQ78" s="647"/>
      <c r="AR78" s="312"/>
      <c r="AS78" s="383">
        <f t="shared" si="18"/>
        <v>0</v>
      </c>
      <c r="AT78" s="386"/>
      <c r="AU78" s="186"/>
      <c r="AV78" s="186"/>
      <c r="AW78" s="189"/>
      <c r="AX78" s="189"/>
      <c r="AY78" s="186"/>
      <c r="AZ78" s="387">
        <f t="shared" si="49"/>
        <v>0</v>
      </c>
      <c r="BA78" s="48"/>
      <c r="BB78" s="550"/>
      <c r="BC78" s="186"/>
      <c r="BD78" s="186"/>
      <c r="BE78" s="186"/>
      <c r="BF78" s="186"/>
      <c r="BG78" s="189"/>
      <c r="BH78" s="189"/>
      <c r="BI78" s="381">
        <f t="shared" si="39"/>
        <v>0</v>
      </c>
      <c r="BJ78" s="390"/>
      <c r="BK78" s="189"/>
      <c r="BL78" s="189"/>
      <c r="BM78" s="186">
        <f t="shared" si="48"/>
        <v>0</v>
      </c>
      <c r="BN78" s="387">
        <f t="shared" si="53"/>
        <v>0</v>
      </c>
    </row>
    <row r="79" spans="1:66" ht="22.5" customHeight="1">
      <c r="A79" s="191" t="s">
        <v>364</v>
      </c>
      <c r="B79" s="182"/>
      <c r="C79" s="307" t="s">
        <v>356</v>
      </c>
      <c r="D79" s="307" t="s">
        <v>1427</v>
      </c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636"/>
      <c r="AK79" s="636"/>
      <c r="AL79" s="636"/>
      <c r="AM79" s="636"/>
      <c r="AN79" s="636"/>
      <c r="AO79" s="636"/>
      <c r="AP79" s="647"/>
      <c r="AQ79" s="647"/>
      <c r="AR79" s="312"/>
      <c r="AS79" s="383">
        <f t="shared" si="18"/>
        <v>0</v>
      </c>
      <c r="AT79" s="386"/>
      <c r="AU79" s="186"/>
      <c r="AV79" s="186"/>
      <c r="AW79" s="189"/>
      <c r="AX79" s="189"/>
      <c r="AY79" s="186"/>
      <c r="AZ79" s="387">
        <f t="shared" si="49"/>
        <v>0</v>
      </c>
      <c r="BA79" s="48"/>
      <c r="BB79" s="550"/>
      <c r="BC79" s="186"/>
      <c r="BD79" s="186"/>
      <c r="BE79" s="186"/>
      <c r="BF79" s="186"/>
      <c r="BG79" s="189"/>
      <c r="BH79" s="189"/>
      <c r="BI79" s="381">
        <f t="shared" si="39"/>
        <v>0</v>
      </c>
      <c r="BJ79" s="390"/>
      <c r="BK79" s="189"/>
      <c r="BL79" s="189"/>
      <c r="BM79" s="186">
        <f t="shared" si="48"/>
        <v>0</v>
      </c>
      <c r="BN79" s="387">
        <f t="shared" si="53"/>
        <v>0</v>
      </c>
    </row>
    <row r="80" spans="1:66" ht="22.5" customHeight="1">
      <c r="A80" s="295" t="s">
        <v>365</v>
      </c>
      <c r="B80" s="182"/>
      <c r="C80" s="353" t="s">
        <v>366</v>
      </c>
      <c r="D80" s="353"/>
      <c r="E80" s="312">
        <f>SUM(E72:E79)</f>
        <v>0</v>
      </c>
      <c r="F80" s="312">
        <f>SUM(F72:F79)</f>
        <v>0</v>
      </c>
      <c r="G80" s="312">
        <f>SUM(G72:G79)</f>
        <v>0</v>
      </c>
      <c r="H80" s="312">
        <f>SUM(H72:H79)</f>
        <v>0</v>
      </c>
      <c r="I80" s="312">
        <f aca="true" t="shared" si="56" ref="I80:AT80">SUM(I72:I79)</f>
        <v>0</v>
      </c>
      <c r="J80" s="312">
        <f t="shared" si="56"/>
        <v>0</v>
      </c>
      <c r="K80" s="312">
        <f t="shared" si="56"/>
        <v>0</v>
      </c>
      <c r="L80" s="312">
        <f t="shared" si="56"/>
        <v>0</v>
      </c>
      <c r="M80" s="312">
        <f t="shared" si="56"/>
        <v>50</v>
      </c>
      <c r="N80" s="312">
        <f t="shared" si="56"/>
        <v>1913</v>
      </c>
      <c r="O80" s="312">
        <f>SUM(O72:O79)</f>
        <v>0</v>
      </c>
      <c r="P80" s="312">
        <f>SUM(P72:P79)</f>
        <v>0</v>
      </c>
      <c r="Q80" s="312">
        <f>SUM(Q72:Q79)</f>
        <v>0</v>
      </c>
      <c r="R80" s="312">
        <f>SUM(R72:R79)</f>
        <v>0</v>
      </c>
      <c r="S80" s="312">
        <f t="shared" si="56"/>
        <v>0</v>
      </c>
      <c r="T80" s="312">
        <f t="shared" si="56"/>
        <v>0</v>
      </c>
      <c r="U80" s="312">
        <f t="shared" si="56"/>
        <v>350</v>
      </c>
      <c r="V80" s="312">
        <f t="shared" si="56"/>
        <v>548</v>
      </c>
      <c r="W80" s="312">
        <f t="shared" si="56"/>
        <v>0</v>
      </c>
      <c r="X80" s="312">
        <f t="shared" si="56"/>
        <v>0</v>
      </c>
      <c r="Y80" s="312">
        <f t="shared" si="56"/>
        <v>250</v>
      </c>
      <c r="Z80" s="312">
        <f t="shared" si="56"/>
        <v>0</v>
      </c>
      <c r="AA80" s="312">
        <f t="shared" si="56"/>
        <v>0</v>
      </c>
      <c r="AB80" s="312">
        <f t="shared" si="56"/>
        <v>0</v>
      </c>
      <c r="AC80" s="312">
        <f t="shared" si="56"/>
        <v>1200</v>
      </c>
      <c r="AD80" s="312">
        <f t="shared" si="56"/>
        <v>0</v>
      </c>
      <c r="AE80" s="312">
        <f t="shared" si="56"/>
        <v>0</v>
      </c>
      <c r="AF80" s="312">
        <f t="shared" si="56"/>
        <v>0</v>
      </c>
      <c r="AG80" s="312"/>
      <c r="AH80" s="312">
        <f t="shared" si="56"/>
        <v>0</v>
      </c>
      <c r="AI80" s="312">
        <f t="shared" si="56"/>
        <v>0</v>
      </c>
      <c r="AJ80" s="636">
        <f t="shared" si="56"/>
        <v>0</v>
      </c>
      <c r="AK80" s="636">
        <f t="shared" si="56"/>
        <v>0</v>
      </c>
      <c r="AL80" s="636">
        <f t="shared" si="56"/>
        <v>30</v>
      </c>
      <c r="AM80" s="636">
        <f>SUM(AM72:AM79)</f>
        <v>0</v>
      </c>
      <c r="AN80" s="636">
        <f>SUM(AN72:AN79)</f>
        <v>30</v>
      </c>
      <c r="AO80" s="636">
        <f t="shared" si="56"/>
        <v>0</v>
      </c>
      <c r="AP80" s="647">
        <f t="shared" si="56"/>
        <v>0</v>
      </c>
      <c r="AQ80" s="647">
        <f t="shared" si="56"/>
        <v>0</v>
      </c>
      <c r="AR80" s="312">
        <f t="shared" si="56"/>
        <v>0</v>
      </c>
      <c r="AS80" s="383">
        <f t="shared" si="56"/>
        <v>4371</v>
      </c>
      <c r="AT80" s="388">
        <f t="shared" si="56"/>
        <v>0</v>
      </c>
      <c r="AU80" s="331">
        <f aca="true" t="shared" si="57" ref="AU80:BM80">SUM(AU72:AU79)</f>
        <v>0</v>
      </c>
      <c r="AV80" s="331">
        <f t="shared" si="57"/>
        <v>0</v>
      </c>
      <c r="AW80" s="331">
        <f t="shared" si="57"/>
        <v>350</v>
      </c>
      <c r="AX80" s="331">
        <f t="shared" si="57"/>
        <v>0</v>
      </c>
      <c r="AY80" s="331">
        <f t="shared" si="57"/>
        <v>0</v>
      </c>
      <c r="AZ80" s="570">
        <f t="shared" si="57"/>
        <v>350</v>
      </c>
      <c r="BA80" s="377">
        <f t="shared" si="57"/>
        <v>0</v>
      </c>
      <c r="BB80" s="552">
        <f t="shared" si="57"/>
        <v>0</v>
      </c>
      <c r="BC80" s="331">
        <f t="shared" si="57"/>
        <v>150</v>
      </c>
      <c r="BD80" s="331">
        <f t="shared" si="57"/>
        <v>0</v>
      </c>
      <c r="BE80" s="331">
        <f t="shared" si="57"/>
        <v>0</v>
      </c>
      <c r="BF80" s="331">
        <f t="shared" si="57"/>
        <v>0</v>
      </c>
      <c r="BG80" s="331">
        <f t="shared" si="57"/>
        <v>0</v>
      </c>
      <c r="BH80" s="331">
        <f t="shared" si="57"/>
        <v>30</v>
      </c>
      <c r="BI80" s="382">
        <f t="shared" si="57"/>
        <v>180</v>
      </c>
      <c r="BJ80" s="388">
        <f t="shared" si="57"/>
        <v>0</v>
      </c>
      <c r="BK80" s="331">
        <f t="shared" si="57"/>
        <v>0</v>
      </c>
      <c r="BL80" s="331">
        <f t="shared" si="57"/>
        <v>0</v>
      </c>
      <c r="BM80" s="331">
        <f t="shared" si="57"/>
        <v>0</v>
      </c>
      <c r="BN80" s="387">
        <f t="shared" si="53"/>
        <v>4901</v>
      </c>
    </row>
    <row r="81" spans="1:66" ht="22.5" customHeight="1">
      <c r="A81" s="192" t="s">
        <v>367</v>
      </c>
      <c r="B81" s="182"/>
      <c r="C81" s="319" t="s">
        <v>368</v>
      </c>
      <c r="D81" s="319"/>
      <c r="E81" s="310">
        <f>E59+E63+E69+E71+E80</f>
        <v>68</v>
      </c>
      <c r="F81" s="310">
        <f>F59+F63+F69+F71+F80</f>
        <v>0</v>
      </c>
      <c r="G81" s="310">
        <f>G59+G63+G69+G71+G80</f>
        <v>0</v>
      </c>
      <c r="H81" s="310">
        <f>H59+H63+H69+H71+H80</f>
        <v>243</v>
      </c>
      <c r="I81" s="310">
        <f aca="true" t="shared" si="58" ref="I81:AT81">I59+I63+I69+I71+I80</f>
        <v>135</v>
      </c>
      <c r="J81" s="310">
        <f t="shared" si="58"/>
        <v>55</v>
      </c>
      <c r="K81" s="310">
        <f t="shared" si="58"/>
        <v>0</v>
      </c>
      <c r="L81" s="310">
        <f t="shared" si="58"/>
        <v>35</v>
      </c>
      <c r="M81" s="310">
        <f t="shared" si="58"/>
        <v>50</v>
      </c>
      <c r="N81" s="310">
        <f t="shared" si="58"/>
        <v>2083</v>
      </c>
      <c r="O81" s="310">
        <f>O59+O63+O69+O71+O80</f>
        <v>0</v>
      </c>
      <c r="P81" s="310">
        <f>P59+P63+P69+P71+P80</f>
        <v>0</v>
      </c>
      <c r="Q81" s="310">
        <f>Q59+Q63+Q69+Q71+Q80</f>
        <v>623</v>
      </c>
      <c r="R81" s="310">
        <f>R59+R63+R69+R71+R80</f>
        <v>305</v>
      </c>
      <c r="S81" s="310">
        <f t="shared" si="58"/>
        <v>491</v>
      </c>
      <c r="T81" s="310">
        <f t="shared" si="58"/>
        <v>0</v>
      </c>
      <c r="U81" s="310">
        <f t="shared" si="58"/>
        <v>350</v>
      </c>
      <c r="V81" s="310">
        <f t="shared" si="58"/>
        <v>575</v>
      </c>
      <c r="W81" s="310">
        <f t="shared" si="58"/>
        <v>350</v>
      </c>
      <c r="X81" s="310">
        <f t="shared" si="58"/>
        <v>2079</v>
      </c>
      <c r="Y81" s="310">
        <f t="shared" si="58"/>
        <v>4656</v>
      </c>
      <c r="Z81" s="310">
        <f t="shared" si="58"/>
        <v>0</v>
      </c>
      <c r="AA81" s="310">
        <f t="shared" si="58"/>
        <v>0</v>
      </c>
      <c r="AB81" s="310">
        <f t="shared" si="58"/>
        <v>135</v>
      </c>
      <c r="AC81" s="310">
        <f t="shared" si="58"/>
        <v>1200</v>
      </c>
      <c r="AD81" s="310">
        <f t="shared" si="58"/>
        <v>186</v>
      </c>
      <c r="AE81" s="310">
        <f t="shared" si="58"/>
        <v>0</v>
      </c>
      <c r="AF81" s="310">
        <f t="shared" si="58"/>
        <v>365</v>
      </c>
      <c r="AG81" s="310"/>
      <c r="AH81" s="310">
        <f t="shared" si="58"/>
        <v>93</v>
      </c>
      <c r="AI81" s="310">
        <f t="shared" si="58"/>
        <v>0</v>
      </c>
      <c r="AJ81" s="637">
        <f t="shared" si="58"/>
        <v>775</v>
      </c>
      <c r="AK81" s="637">
        <f t="shared" si="58"/>
        <v>4426</v>
      </c>
      <c r="AL81" s="637">
        <f>AL59+AL63+AL69+AL71+AL80</f>
        <v>1335</v>
      </c>
      <c r="AM81" s="637">
        <f>AM59+AM63+AM69+AM71+AM80</f>
        <v>0</v>
      </c>
      <c r="AN81" s="637">
        <f>AN59+AN63+AN69+AN71+AN80</f>
        <v>1335</v>
      </c>
      <c r="AO81" s="637">
        <f t="shared" si="58"/>
        <v>945</v>
      </c>
      <c r="AP81" s="648">
        <f t="shared" si="58"/>
        <v>3443</v>
      </c>
      <c r="AQ81" s="648">
        <f t="shared" si="58"/>
        <v>710</v>
      </c>
      <c r="AR81" s="310">
        <f t="shared" si="58"/>
        <v>0</v>
      </c>
      <c r="AS81" s="384">
        <f t="shared" si="58"/>
        <v>27046</v>
      </c>
      <c r="AT81" s="386">
        <f t="shared" si="58"/>
        <v>25</v>
      </c>
      <c r="AU81" s="186">
        <f aca="true" t="shared" si="59" ref="AU81:BM81">AU59+AU63+AU69+AU71+AU80</f>
        <v>0</v>
      </c>
      <c r="AV81" s="186">
        <f t="shared" si="59"/>
        <v>0</v>
      </c>
      <c r="AW81" s="186">
        <f t="shared" si="59"/>
        <v>3790</v>
      </c>
      <c r="AX81" s="186">
        <f t="shared" si="59"/>
        <v>0</v>
      </c>
      <c r="AY81" s="186">
        <f t="shared" si="59"/>
        <v>0</v>
      </c>
      <c r="AZ81" s="387">
        <f t="shared" si="59"/>
        <v>3815</v>
      </c>
      <c r="BA81" s="48">
        <f t="shared" si="59"/>
        <v>0</v>
      </c>
      <c r="BB81" s="550">
        <f t="shared" si="59"/>
        <v>0</v>
      </c>
      <c r="BC81" s="186">
        <f t="shared" si="59"/>
        <v>1325</v>
      </c>
      <c r="BD81" s="186">
        <f t="shared" si="59"/>
        <v>0</v>
      </c>
      <c r="BE81" s="186">
        <f t="shared" si="59"/>
        <v>108</v>
      </c>
      <c r="BF81" s="186">
        <f t="shared" si="59"/>
        <v>18</v>
      </c>
      <c r="BG81" s="186">
        <f t="shared" si="59"/>
        <v>14</v>
      </c>
      <c r="BH81" s="186">
        <f t="shared" si="59"/>
        <v>1235</v>
      </c>
      <c r="BI81" s="381">
        <f t="shared" si="59"/>
        <v>2700</v>
      </c>
      <c r="BJ81" s="386">
        <f t="shared" si="59"/>
        <v>326</v>
      </c>
      <c r="BK81" s="186">
        <f t="shared" si="59"/>
        <v>1836</v>
      </c>
      <c r="BL81" s="186">
        <f t="shared" si="59"/>
        <v>165</v>
      </c>
      <c r="BM81" s="186">
        <f t="shared" si="59"/>
        <v>2327</v>
      </c>
      <c r="BN81" s="387">
        <f t="shared" si="53"/>
        <v>35888</v>
      </c>
    </row>
    <row r="82" spans="1:66" s="143" customFormat="1" ht="22.5" customHeight="1" thickBot="1">
      <c r="A82" s="396" t="s">
        <v>369</v>
      </c>
      <c r="B82" s="397" t="s">
        <v>600</v>
      </c>
      <c r="C82" s="398" t="s">
        <v>370</v>
      </c>
      <c r="D82" s="398"/>
      <c r="E82" s="398">
        <f>E21+E31+E52+E56+E81</f>
        <v>318</v>
      </c>
      <c r="F82" s="398">
        <f>F21+F31+F52+F56+F81</f>
        <v>0</v>
      </c>
      <c r="G82" s="398">
        <f>G21+G31+G52+G56+G81</f>
        <v>0</v>
      </c>
      <c r="H82" s="398">
        <f>H21+H31+H52+H56+H81</f>
        <v>1143</v>
      </c>
      <c r="I82" s="398">
        <f aca="true" t="shared" si="60" ref="I82:AT82">I21+I31+I52+I56+I81</f>
        <v>635</v>
      </c>
      <c r="J82" s="398">
        <f t="shared" si="60"/>
        <v>1155</v>
      </c>
      <c r="K82" s="398">
        <f t="shared" si="60"/>
        <v>360</v>
      </c>
      <c r="L82" s="398">
        <f t="shared" si="60"/>
        <v>160</v>
      </c>
      <c r="M82" s="398">
        <f t="shared" si="60"/>
        <v>50</v>
      </c>
      <c r="N82" s="398">
        <f t="shared" si="60"/>
        <v>3683</v>
      </c>
      <c r="O82" s="398">
        <f>O21+O31+O52+O56+O81</f>
        <v>0</v>
      </c>
      <c r="P82" s="398">
        <f>P21+P31+P52+P56+P81</f>
        <v>0</v>
      </c>
      <c r="Q82" s="398">
        <f>Q21+Q31+Q52+Q56+Q81</f>
        <v>2930</v>
      </c>
      <c r="R82" s="398">
        <f>R21+R31+R52+R56+R81</f>
        <v>1434</v>
      </c>
      <c r="S82" s="398">
        <f t="shared" si="60"/>
        <v>2211</v>
      </c>
      <c r="T82" s="398">
        <f t="shared" si="60"/>
        <v>0</v>
      </c>
      <c r="U82" s="398">
        <f t="shared" si="60"/>
        <v>1010</v>
      </c>
      <c r="V82" s="398">
        <f t="shared" si="60"/>
        <v>675</v>
      </c>
      <c r="W82" s="398">
        <f t="shared" si="60"/>
        <v>1600</v>
      </c>
      <c r="X82" s="398">
        <f t="shared" si="60"/>
        <v>9779</v>
      </c>
      <c r="Y82" s="398">
        <f t="shared" si="60"/>
        <v>23601</v>
      </c>
      <c r="Z82" s="398">
        <f t="shared" si="60"/>
        <v>0</v>
      </c>
      <c r="AA82" s="398">
        <f t="shared" si="60"/>
        <v>0</v>
      </c>
      <c r="AB82" s="398">
        <f t="shared" si="60"/>
        <v>635</v>
      </c>
      <c r="AC82" s="398">
        <f t="shared" si="60"/>
        <v>1200</v>
      </c>
      <c r="AD82" s="398">
        <f t="shared" si="60"/>
        <v>876</v>
      </c>
      <c r="AE82" s="398">
        <f>AE21+AE31+AE52+AE56+AE81</f>
        <v>60</v>
      </c>
      <c r="AF82" s="398">
        <f t="shared" si="60"/>
        <v>1715</v>
      </c>
      <c r="AG82" s="398"/>
      <c r="AH82" s="398">
        <f t="shared" si="60"/>
        <v>438</v>
      </c>
      <c r="AI82" s="398">
        <f t="shared" si="60"/>
        <v>0</v>
      </c>
      <c r="AJ82" s="644">
        <f t="shared" si="60"/>
        <v>2775</v>
      </c>
      <c r="AK82" s="644">
        <f t="shared" si="60"/>
        <v>20818</v>
      </c>
      <c r="AL82" s="644">
        <f>AL21+AL31+AL52+AL56+AL81</f>
        <v>6167</v>
      </c>
      <c r="AM82" s="644">
        <f>AM21+AM31+AM52+AM56+AM81</f>
        <v>0</v>
      </c>
      <c r="AN82" s="644">
        <f>AN21+AN31+AN52+AN56+AN81</f>
        <v>6167</v>
      </c>
      <c r="AO82" s="644">
        <f t="shared" si="60"/>
        <v>4445</v>
      </c>
      <c r="AP82" s="653">
        <f t="shared" si="60"/>
        <v>16198</v>
      </c>
      <c r="AQ82" s="653">
        <f t="shared" si="60"/>
        <v>3339</v>
      </c>
      <c r="AR82" s="398">
        <f t="shared" si="60"/>
        <v>0</v>
      </c>
      <c r="AS82" s="569">
        <f t="shared" si="60"/>
        <v>115577</v>
      </c>
      <c r="AT82" s="391">
        <f t="shared" si="60"/>
        <v>150</v>
      </c>
      <c r="AU82" s="392">
        <f aca="true" t="shared" si="61" ref="AU82:BM82">AU21+AU31+AU52+AU56+AU81</f>
        <v>0</v>
      </c>
      <c r="AV82" s="392">
        <f t="shared" si="61"/>
        <v>0</v>
      </c>
      <c r="AW82" s="392">
        <f t="shared" si="61"/>
        <v>15200</v>
      </c>
      <c r="AX82" s="392">
        <f t="shared" si="61"/>
        <v>50</v>
      </c>
      <c r="AY82" s="392">
        <f t="shared" si="61"/>
        <v>0</v>
      </c>
      <c r="AZ82" s="393">
        <f t="shared" si="61"/>
        <v>15400</v>
      </c>
      <c r="BA82" s="48">
        <f t="shared" si="61"/>
        <v>0</v>
      </c>
      <c r="BB82" s="554">
        <f t="shared" si="61"/>
        <v>0</v>
      </c>
      <c r="BC82" s="392">
        <f t="shared" si="61"/>
        <v>5675</v>
      </c>
      <c r="BD82" s="392">
        <f t="shared" si="61"/>
        <v>20</v>
      </c>
      <c r="BE82" s="392">
        <f t="shared" si="61"/>
        <v>508</v>
      </c>
      <c r="BF82" s="392">
        <f t="shared" si="61"/>
        <v>384</v>
      </c>
      <c r="BG82" s="392">
        <f t="shared" si="61"/>
        <v>64</v>
      </c>
      <c r="BH82" s="392">
        <f t="shared" si="61"/>
        <v>5725</v>
      </c>
      <c r="BI82" s="400">
        <f t="shared" si="61"/>
        <v>12376</v>
      </c>
      <c r="BJ82" s="391">
        <f t="shared" si="61"/>
        <v>1533</v>
      </c>
      <c r="BK82" s="392">
        <f t="shared" si="61"/>
        <v>8198</v>
      </c>
      <c r="BL82" s="392">
        <f t="shared" si="61"/>
        <v>785</v>
      </c>
      <c r="BM82" s="392">
        <f t="shared" si="61"/>
        <v>10516</v>
      </c>
      <c r="BN82" s="393">
        <f t="shared" si="53"/>
        <v>153869</v>
      </c>
    </row>
    <row r="83" spans="9:66" ht="15.75"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41"/>
      <c r="V83" s="41"/>
      <c r="W83" s="41"/>
      <c r="X83" s="59"/>
      <c r="Y83" s="59"/>
      <c r="Z83" s="176"/>
      <c r="AA83" s="176"/>
      <c r="AB83" s="59"/>
      <c r="AC83" s="59"/>
      <c r="AD83" s="59"/>
      <c r="AE83" s="59"/>
      <c r="AF83" s="59"/>
      <c r="AG83" s="59"/>
      <c r="AH83" s="59"/>
      <c r="AI83" s="59"/>
      <c r="AJ83" s="465"/>
      <c r="AK83" s="394"/>
      <c r="AL83" s="394"/>
      <c r="AM83" s="394"/>
      <c r="AN83" s="394"/>
      <c r="AO83" s="394"/>
      <c r="AP83" s="394"/>
      <c r="AQ83" s="394"/>
      <c r="AR83" s="59"/>
      <c r="AS83" s="48"/>
      <c r="AT83" s="48"/>
      <c r="AU83" s="48"/>
      <c r="AV83" s="48"/>
      <c r="AW83" s="59"/>
      <c r="AX83" s="59"/>
      <c r="AY83" s="48"/>
      <c r="AZ83" s="48"/>
      <c r="BA83" s="48"/>
      <c r="BB83" s="48"/>
      <c r="BC83" s="48"/>
      <c r="BD83" s="48"/>
      <c r="BE83" s="48"/>
      <c r="BF83" s="48"/>
      <c r="BG83" s="59"/>
      <c r="BH83" s="59"/>
      <c r="BI83" s="151"/>
      <c r="BJ83" s="150"/>
      <c r="BK83" s="150"/>
      <c r="BL83" s="150"/>
      <c r="BM83" s="151"/>
      <c r="BN83" s="152"/>
    </row>
    <row r="84" spans="9:66" ht="15.75"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41"/>
      <c r="V84" s="41"/>
      <c r="W84" s="41"/>
      <c r="X84" s="59"/>
      <c r="Y84" s="59"/>
      <c r="Z84" s="176"/>
      <c r="AA84" s="176"/>
      <c r="AB84" s="59"/>
      <c r="AC84" s="59"/>
      <c r="AD84" s="59"/>
      <c r="AE84" s="59"/>
      <c r="AF84" s="59"/>
      <c r="AG84" s="59"/>
      <c r="AH84" s="59"/>
      <c r="AI84" s="59"/>
      <c r="AJ84" s="465"/>
      <c r="AK84" s="394"/>
      <c r="AL84" s="394"/>
      <c r="AM84" s="394"/>
      <c r="AN84" s="394"/>
      <c r="AO84" s="394"/>
      <c r="AP84" s="394"/>
      <c r="AQ84" s="394"/>
      <c r="AR84" s="59"/>
      <c r="AS84" s="48"/>
      <c r="AT84" s="48"/>
      <c r="AU84" s="48"/>
      <c r="AV84" s="48"/>
      <c r="AW84" s="59"/>
      <c r="AX84" s="59"/>
      <c r="AY84" s="48"/>
      <c r="AZ84" s="48"/>
      <c r="BA84" s="48"/>
      <c r="BB84" s="48"/>
      <c r="BC84" s="48"/>
      <c r="BD84" s="48"/>
      <c r="BE84" s="48"/>
      <c r="BF84" s="48"/>
      <c r="BG84" s="59"/>
      <c r="BH84" s="59"/>
      <c r="BI84" s="151"/>
      <c r="BJ84" s="150"/>
      <c r="BK84" s="150"/>
      <c r="BL84" s="150"/>
      <c r="BM84" s="151"/>
      <c r="BN84" s="152"/>
    </row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</sheetData>
  <mergeCells count="9">
    <mergeCell ref="C5:D5"/>
    <mergeCell ref="C3:D4"/>
    <mergeCell ref="A3:A5"/>
    <mergeCell ref="BN3:BN4"/>
    <mergeCell ref="B3:B4"/>
    <mergeCell ref="I3:AS3"/>
    <mergeCell ref="BA3:BI3"/>
    <mergeCell ref="AT3:AZ3"/>
    <mergeCell ref="BJ3:BM3"/>
  </mergeCells>
  <printOptions horizontalCentered="1" verticalCentered="1"/>
  <pageMargins left="0" right="0" top="0" bottom="0" header="0" footer="0"/>
  <pageSetup fitToHeight="2" fitToWidth="2" horizontalDpi="300" verticalDpi="300" orientation="landscape" paperSize="8" scale="52" r:id="rId1"/>
  <rowBreaks count="1" manualBreakCount="1">
    <brk id="36" max="66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 topLeftCell="D7">
      <selection activeCell="F6" sqref="F6"/>
    </sheetView>
  </sheetViews>
  <sheetFormatPr defaultColWidth="9.140625" defaultRowHeight="12.75"/>
  <cols>
    <col min="1" max="1" width="14.00390625" style="37" customWidth="1"/>
    <col min="2" max="2" width="65.8515625" style="1" customWidth="1"/>
    <col min="3" max="3" width="16.28125" style="1" customWidth="1"/>
    <col min="4" max="4" width="15.28125" style="1" customWidth="1"/>
    <col min="5" max="5" width="13.7109375" style="1" customWidth="1"/>
    <col min="6" max="6" width="18.7109375" style="1" customWidth="1"/>
    <col min="7" max="7" width="16.421875" style="1" customWidth="1"/>
    <col min="8" max="9" width="13.7109375" style="1" customWidth="1"/>
    <col min="10" max="20" width="13.7109375" style="1" hidden="1" customWidth="1"/>
    <col min="21" max="21" width="13.7109375" style="1" customWidth="1"/>
    <col min="22" max="22" width="12.421875" style="0" customWidth="1"/>
    <col min="23" max="16384" width="9.140625" style="1" customWidth="1"/>
  </cols>
  <sheetData>
    <row r="1" spans="1:22" ht="34.5" customHeight="1">
      <c r="A1" s="187"/>
      <c r="B1" s="780" t="s">
        <v>1137</v>
      </c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</row>
    <row r="2" spans="1:22" ht="189">
      <c r="A2" s="287" t="s">
        <v>230</v>
      </c>
      <c r="B2" s="287" t="s">
        <v>1229</v>
      </c>
      <c r="C2" s="288" t="s">
        <v>1126</v>
      </c>
      <c r="D2" s="288" t="s">
        <v>1127</v>
      </c>
      <c r="E2" s="288" t="s">
        <v>1128</v>
      </c>
      <c r="F2" s="288" t="s">
        <v>1129</v>
      </c>
      <c r="G2" s="288" t="s">
        <v>1130</v>
      </c>
      <c r="H2" s="288" t="s">
        <v>1134</v>
      </c>
      <c r="I2" s="288" t="s">
        <v>1136</v>
      </c>
      <c r="J2" s="288" t="s">
        <v>988</v>
      </c>
      <c r="K2" s="288" t="s">
        <v>989</v>
      </c>
      <c r="L2" s="288" t="s">
        <v>990</v>
      </c>
      <c r="M2" s="288" t="s">
        <v>991</v>
      </c>
      <c r="N2" s="288" t="s">
        <v>992</v>
      </c>
      <c r="O2" s="288" t="s">
        <v>993</v>
      </c>
      <c r="P2" s="288" t="s">
        <v>1159</v>
      </c>
      <c r="Q2" s="288" t="s">
        <v>994</v>
      </c>
      <c r="R2" s="288" t="s">
        <v>1344</v>
      </c>
      <c r="S2" s="288" t="s">
        <v>995</v>
      </c>
      <c r="T2" s="288" t="s">
        <v>996</v>
      </c>
      <c r="U2" s="287" t="s">
        <v>965</v>
      </c>
      <c r="V2" s="289" t="s">
        <v>998</v>
      </c>
    </row>
    <row r="3" spans="1:23" ht="24.75" customHeight="1">
      <c r="A3" s="297" t="s">
        <v>1104</v>
      </c>
      <c r="B3" s="201" t="s">
        <v>122</v>
      </c>
      <c r="C3" s="189"/>
      <c r="D3" s="189"/>
      <c r="E3" s="290">
        <v>50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6">
        <f>SUM(C3:I3)</f>
        <v>50</v>
      </c>
      <c r="V3" s="233"/>
      <c r="W3" s="211"/>
    </row>
    <row r="4" spans="1:23" ht="24.75" customHeight="1">
      <c r="A4" s="297" t="s">
        <v>1105</v>
      </c>
      <c r="B4" s="196" t="s">
        <v>1138</v>
      </c>
      <c r="C4" s="189"/>
      <c r="D4" s="189"/>
      <c r="E4" s="290">
        <v>1398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6">
        <f aca="true" t="shared" si="0" ref="U4:U23">SUM(C4:I4)</f>
        <v>1398</v>
      </c>
      <c r="V4" s="293">
        <f>U4*1</f>
        <v>1398</v>
      </c>
      <c r="W4" s="211">
        <v>1</v>
      </c>
    </row>
    <row r="5" spans="1:23" ht="24.75" customHeight="1">
      <c r="A5" s="297" t="s">
        <v>1106</v>
      </c>
      <c r="B5" s="201" t="s">
        <v>1107</v>
      </c>
      <c r="C5" s="189"/>
      <c r="D5" s="189"/>
      <c r="E5" s="290">
        <v>40</v>
      </c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6">
        <f t="shared" si="0"/>
        <v>40</v>
      </c>
      <c r="V5" s="293">
        <f>U5*1</f>
        <v>40</v>
      </c>
      <c r="W5" s="211">
        <v>1</v>
      </c>
    </row>
    <row r="6" spans="1:23" ht="24.75" customHeight="1">
      <c r="A6" s="297" t="s">
        <v>1108</v>
      </c>
      <c r="B6" s="201" t="s">
        <v>1109</v>
      </c>
      <c r="C6" s="189"/>
      <c r="D6" s="189"/>
      <c r="E6" s="189"/>
      <c r="F6" s="290">
        <v>1150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6">
        <f t="shared" si="0"/>
        <v>1150</v>
      </c>
      <c r="V6" s="233"/>
      <c r="W6" s="211"/>
    </row>
    <row r="7" spans="1:23" ht="24.75" customHeight="1">
      <c r="A7" s="298" t="s">
        <v>1110</v>
      </c>
      <c r="B7" s="292" t="s">
        <v>1111</v>
      </c>
      <c r="C7" s="331">
        <f>SUM(C3:C6)</f>
        <v>0</v>
      </c>
      <c r="D7" s="331">
        <f aca="true" t="shared" si="1" ref="D7:U7">SUM(D3:D6)</f>
        <v>0</v>
      </c>
      <c r="E7" s="331">
        <f t="shared" si="1"/>
        <v>1488</v>
      </c>
      <c r="F7" s="331">
        <f t="shared" si="1"/>
        <v>1150</v>
      </c>
      <c r="G7" s="331">
        <f t="shared" si="1"/>
        <v>0</v>
      </c>
      <c r="H7" s="331">
        <f t="shared" si="1"/>
        <v>0</v>
      </c>
      <c r="I7" s="331">
        <f t="shared" si="1"/>
        <v>0</v>
      </c>
      <c r="J7" s="331">
        <f t="shared" si="1"/>
        <v>0</v>
      </c>
      <c r="K7" s="331">
        <f t="shared" si="1"/>
        <v>0</v>
      </c>
      <c r="L7" s="331">
        <f t="shared" si="1"/>
        <v>0</v>
      </c>
      <c r="M7" s="331">
        <f t="shared" si="1"/>
        <v>0</v>
      </c>
      <c r="N7" s="331">
        <f t="shared" si="1"/>
        <v>0</v>
      </c>
      <c r="O7" s="331">
        <f t="shared" si="1"/>
        <v>0</v>
      </c>
      <c r="P7" s="331">
        <f t="shared" si="1"/>
        <v>0</v>
      </c>
      <c r="Q7" s="331">
        <f t="shared" si="1"/>
        <v>0</v>
      </c>
      <c r="R7" s="331">
        <f t="shared" si="1"/>
        <v>0</v>
      </c>
      <c r="S7" s="331">
        <f t="shared" si="1"/>
        <v>0</v>
      </c>
      <c r="T7" s="331">
        <f t="shared" si="1"/>
        <v>0</v>
      </c>
      <c r="U7" s="331">
        <f t="shared" si="1"/>
        <v>2638</v>
      </c>
      <c r="V7" s="293"/>
      <c r="W7" s="211"/>
    </row>
    <row r="8" spans="1:22" ht="24.75" customHeight="1">
      <c r="A8" s="297" t="s">
        <v>1112</v>
      </c>
      <c r="B8" s="201" t="s">
        <v>439</v>
      </c>
      <c r="C8" s="290">
        <v>4078</v>
      </c>
      <c r="D8" s="189"/>
      <c r="E8" s="294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6">
        <f t="shared" si="0"/>
        <v>4078</v>
      </c>
      <c r="V8" s="233"/>
    </row>
    <row r="9" spans="1:23" ht="24.75" customHeight="1">
      <c r="A9" s="297" t="s">
        <v>440</v>
      </c>
      <c r="B9" s="201" t="s">
        <v>441</v>
      </c>
      <c r="C9" s="290">
        <v>1200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6">
        <f t="shared" si="0"/>
        <v>1200</v>
      </c>
      <c r="V9" s="233"/>
      <c r="W9" s="211"/>
    </row>
    <row r="10" spans="1:23" ht="24.75" customHeight="1">
      <c r="A10" s="298" t="s">
        <v>442</v>
      </c>
      <c r="B10" s="292" t="s">
        <v>443</v>
      </c>
      <c r="C10" s="331">
        <f>C8+C9</f>
        <v>5278</v>
      </c>
      <c r="D10" s="331">
        <f aca="true" t="shared" si="2" ref="D10:U10">D8+D9</f>
        <v>0</v>
      </c>
      <c r="E10" s="331">
        <f t="shared" si="2"/>
        <v>0</v>
      </c>
      <c r="F10" s="331">
        <f t="shared" si="2"/>
        <v>0</v>
      </c>
      <c r="G10" s="331">
        <f t="shared" si="2"/>
        <v>0</v>
      </c>
      <c r="H10" s="331">
        <f t="shared" si="2"/>
        <v>0</v>
      </c>
      <c r="I10" s="331">
        <f t="shared" si="2"/>
        <v>0</v>
      </c>
      <c r="J10" s="331">
        <f t="shared" si="2"/>
        <v>0</v>
      </c>
      <c r="K10" s="331">
        <f t="shared" si="2"/>
        <v>0</v>
      </c>
      <c r="L10" s="331">
        <f t="shared" si="2"/>
        <v>0</v>
      </c>
      <c r="M10" s="331">
        <f t="shared" si="2"/>
        <v>0</v>
      </c>
      <c r="N10" s="331">
        <f t="shared" si="2"/>
        <v>0</v>
      </c>
      <c r="O10" s="331">
        <f t="shared" si="2"/>
        <v>0</v>
      </c>
      <c r="P10" s="331">
        <f t="shared" si="2"/>
        <v>0</v>
      </c>
      <c r="Q10" s="331">
        <f t="shared" si="2"/>
        <v>0</v>
      </c>
      <c r="R10" s="331">
        <f t="shared" si="2"/>
        <v>0</v>
      </c>
      <c r="S10" s="331">
        <f t="shared" si="2"/>
        <v>0</v>
      </c>
      <c r="T10" s="331">
        <f t="shared" si="2"/>
        <v>0</v>
      </c>
      <c r="U10" s="331">
        <f t="shared" si="2"/>
        <v>5278</v>
      </c>
      <c r="V10" s="233"/>
      <c r="W10" s="211"/>
    </row>
    <row r="11" spans="1:23" ht="24.75" customHeight="1">
      <c r="A11" s="297" t="s">
        <v>444</v>
      </c>
      <c r="B11" s="201" t="s">
        <v>445</v>
      </c>
      <c r="C11" s="189"/>
      <c r="D11" s="189"/>
      <c r="E11" s="189"/>
      <c r="F11" s="189"/>
      <c r="G11" s="290">
        <v>13680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6">
        <f t="shared" si="0"/>
        <v>13680</v>
      </c>
      <c r="V11" s="293">
        <f>U11*0.8</f>
        <v>10944</v>
      </c>
      <c r="W11" s="211">
        <v>0.8</v>
      </c>
    </row>
    <row r="12" spans="1:22" ht="24.75" customHeight="1">
      <c r="A12" s="298" t="s">
        <v>446</v>
      </c>
      <c r="B12" s="295" t="s">
        <v>447</v>
      </c>
      <c r="C12" s="331">
        <f>C11</f>
        <v>0</v>
      </c>
      <c r="D12" s="331">
        <f aca="true" t="shared" si="3" ref="D12:U12">D11</f>
        <v>0</v>
      </c>
      <c r="E12" s="331">
        <f t="shared" si="3"/>
        <v>0</v>
      </c>
      <c r="F12" s="331">
        <f t="shared" si="3"/>
        <v>0</v>
      </c>
      <c r="G12" s="331">
        <f t="shared" si="3"/>
        <v>13680</v>
      </c>
      <c r="H12" s="331">
        <f t="shared" si="3"/>
        <v>0</v>
      </c>
      <c r="I12" s="331">
        <f t="shared" si="3"/>
        <v>0</v>
      </c>
      <c r="J12" s="331">
        <f t="shared" si="3"/>
        <v>0</v>
      </c>
      <c r="K12" s="331">
        <f t="shared" si="3"/>
        <v>0</v>
      </c>
      <c r="L12" s="331">
        <f t="shared" si="3"/>
        <v>0</v>
      </c>
      <c r="M12" s="331">
        <f t="shared" si="3"/>
        <v>0</v>
      </c>
      <c r="N12" s="331">
        <f t="shared" si="3"/>
        <v>0</v>
      </c>
      <c r="O12" s="331">
        <f t="shared" si="3"/>
        <v>0</v>
      </c>
      <c r="P12" s="331">
        <f t="shared" si="3"/>
        <v>0</v>
      </c>
      <c r="Q12" s="331">
        <f t="shared" si="3"/>
        <v>0</v>
      </c>
      <c r="R12" s="331">
        <f t="shared" si="3"/>
        <v>0</v>
      </c>
      <c r="S12" s="331">
        <f t="shared" si="3"/>
        <v>0</v>
      </c>
      <c r="T12" s="331">
        <f t="shared" si="3"/>
        <v>0</v>
      </c>
      <c r="U12" s="331">
        <f t="shared" si="3"/>
        <v>13680</v>
      </c>
      <c r="V12" s="233"/>
    </row>
    <row r="13" spans="1:23" ht="24.75" customHeight="1">
      <c r="A13" s="297" t="s">
        <v>449</v>
      </c>
      <c r="B13" s="191" t="s">
        <v>448</v>
      </c>
      <c r="C13" s="189"/>
      <c r="D13" s="189"/>
      <c r="E13" s="189"/>
      <c r="F13" s="189"/>
      <c r="G13" s="189"/>
      <c r="H13" s="290">
        <v>5400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6">
        <f t="shared" si="0"/>
        <v>5400</v>
      </c>
      <c r="V13" s="233">
        <f>U13*0.9</f>
        <v>4860</v>
      </c>
      <c r="W13" s="211">
        <v>0.9</v>
      </c>
    </row>
    <row r="14" spans="1:23" ht="24.75" customHeight="1">
      <c r="A14" s="297" t="s">
        <v>450</v>
      </c>
      <c r="B14" s="191" t="s">
        <v>1135</v>
      </c>
      <c r="C14" s="189"/>
      <c r="D14" s="189"/>
      <c r="E14" s="189"/>
      <c r="F14" s="189"/>
      <c r="G14" s="189"/>
      <c r="H14" s="290">
        <v>950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6">
        <f t="shared" si="0"/>
        <v>950</v>
      </c>
      <c r="V14" s="293"/>
      <c r="W14" s="211"/>
    </row>
    <row r="15" spans="1:22" ht="24.75" customHeight="1">
      <c r="A15" s="298" t="s">
        <v>451</v>
      </c>
      <c r="B15" s="295" t="s">
        <v>452</v>
      </c>
      <c r="C15" s="331">
        <f>C13+C14</f>
        <v>0</v>
      </c>
      <c r="D15" s="331">
        <f aca="true" t="shared" si="4" ref="D15:U15">D13+D14</f>
        <v>0</v>
      </c>
      <c r="E15" s="331">
        <f t="shared" si="4"/>
        <v>0</v>
      </c>
      <c r="F15" s="331">
        <f t="shared" si="4"/>
        <v>0</v>
      </c>
      <c r="G15" s="331">
        <f t="shared" si="4"/>
        <v>0</v>
      </c>
      <c r="H15" s="331">
        <f t="shared" si="4"/>
        <v>6350</v>
      </c>
      <c r="I15" s="331">
        <f t="shared" si="4"/>
        <v>0</v>
      </c>
      <c r="J15" s="331">
        <f t="shared" si="4"/>
        <v>0</v>
      </c>
      <c r="K15" s="331">
        <f t="shared" si="4"/>
        <v>0</v>
      </c>
      <c r="L15" s="331">
        <f t="shared" si="4"/>
        <v>0</v>
      </c>
      <c r="M15" s="331">
        <f t="shared" si="4"/>
        <v>0</v>
      </c>
      <c r="N15" s="331">
        <f t="shared" si="4"/>
        <v>0</v>
      </c>
      <c r="O15" s="331">
        <f t="shared" si="4"/>
        <v>0</v>
      </c>
      <c r="P15" s="331">
        <f t="shared" si="4"/>
        <v>0</v>
      </c>
      <c r="Q15" s="331">
        <f t="shared" si="4"/>
        <v>0</v>
      </c>
      <c r="R15" s="331">
        <f t="shared" si="4"/>
        <v>0</v>
      </c>
      <c r="S15" s="331">
        <f t="shared" si="4"/>
        <v>0</v>
      </c>
      <c r="T15" s="331">
        <f t="shared" si="4"/>
        <v>0</v>
      </c>
      <c r="U15" s="331">
        <f t="shared" si="4"/>
        <v>6350</v>
      </c>
      <c r="V15" s="233"/>
    </row>
    <row r="16" spans="1:23" ht="24.75" customHeight="1">
      <c r="A16" s="297" t="s">
        <v>453</v>
      </c>
      <c r="B16" s="201" t="s">
        <v>454</v>
      </c>
      <c r="C16" s="189"/>
      <c r="D16" s="189"/>
      <c r="E16" s="189"/>
      <c r="F16" s="189"/>
      <c r="G16" s="290">
        <v>5040</v>
      </c>
      <c r="H16" s="189"/>
      <c r="I16" s="189"/>
      <c r="J16" s="189"/>
      <c r="K16" s="189"/>
      <c r="L16" s="189"/>
      <c r="M16" s="189">
        <v>1750</v>
      </c>
      <c r="N16" s="189"/>
      <c r="O16" s="189"/>
      <c r="P16" s="189"/>
      <c r="Q16" s="189"/>
      <c r="R16" s="189"/>
      <c r="S16" s="189"/>
      <c r="T16" s="189"/>
      <c r="U16" s="186">
        <f t="shared" si="0"/>
        <v>5040</v>
      </c>
      <c r="V16" s="233">
        <f>U16*0.9</f>
        <v>4536</v>
      </c>
      <c r="W16" s="211">
        <v>0.9</v>
      </c>
    </row>
    <row r="17" spans="1:22" ht="24.75" customHeight="1">
      <c r="A17" s="297" t="s">
        <v>455</v>
      </c>
      <c r="B17" s="191" t="s">
        <v>456</v>
      </c>
      <c r="C17" s="189"/>
      <c r="D17" s="189"/>
      <c r="E17" s="189"/>
      <c r="F17" s="189"/>
      <c r="G17" s="189"/>
      <c r="H17" s="189"/>
      <c r="I17" s="189">
        <v>1800</v>
      </c>
      <c r="J17" s="189"/>
      <c r="K17" s="189"/>
      <c r="L17" s="189"/>
      <c r="M17" s="189"/>
      <c r="N17" s="189">
        <v>300</v>
      </c>
      <c r="O17" s="189"/>
      <c r="P17" s="189"/>
      <c r="Q17" s="189"/>
      <c r="R17" s="189"/>
      <c r="S17" s="189"/>
      <c r="T17" s="189"/>
      <c r="U17" s="186">
        <f t="shared" si="0"/>
        <v>1800</v>
      </c>
      <c r="V17" s="233"/>
    </row>
    <row r="18" spans="1:22" ht="24.75" customHeight="1">
      <c r="A18" s="297" t="s">
        <v>457</v>
      </c>
      <c r="B18" s="191" t="s">
        <v>458</v>
      </c>
      <c r="C18" s="189"/>
      <c r="D18" s="290">
        <v>300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6">
        <f t="shared" si="0"/>
        <v>300</v>
      </c>
      <c r="V18" s="233"/>
    </row>
    <row r="19" spans="1:23" ht="24.75" customHeight="1">
      <c r="A19" s="297" t="s">
        <v>459</v>
      </c>
      <c r="B19" s="201" t="s">
        <v>460</v>
      </c>
      <c r="C19" s="189"/>
      <c r="D19" s="189"/>
      <c r="E19" s="189"/>
      <c r="F19" s="189"/>
      <c r="G19" s="189"/>
      <c r="H19" s="189"/>
      <c r="I19" s="189">
        <v>150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6">
        <f t="shared" si="0"/>
        <v>150</v>
      </c>
      <c r="V19" s="233"/>
      <c r="W19" s="12"/>
    </row>
    <row r="20" spans="1:22" ht="24.75" customHeight="1">
      <c r="A20" s="297" t="s">
        <v>461</v>
      </c>
      <c r="B20" s="201" t="s">
        <v>462</v>
      </c>
      <c r="C20" s="189"/>
      <c r="D20" s="189"/>
      <c r="E20" s="189"/>
      <c r="F20" s="189"/>
      <c r="G20" s="189"/>
      <c r="H20" s="189"/>
      <c r="I20" s="290">
        <v>4000</v>
      </c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6">
        <f t="shared" si="0"/>
        <v>4000</v>
      </c>
      <c r="V20" s="233"/>
    </row>
    <row r="21" spans="1:22" ht="24.75" customHeight="1">
      <c r="A21" s="297" t="s">
        <v>463</v>
      </c>
      <c r="B21" s="201" t="s">
        <v>464</v>
      </c>
      <c r="C21" s="189"/>
      <c r="D21" s="189"/>
      <c r="E21" s="189"/>
      <c r="F21" s="189"/>
      <c r="G21" s="189"/>
      <c r="H21" s="189"/>
      <c r="I21" s="290">
        <v>120</v>
      </c>
      <c r="J21" s="189"/>
      <c r="K21" s="189"/>
      <c r="L21" s="189"/>
      <c r="M21" s="189"/>
      <c r="N21" s="189"/>
      <c r="O21" s="189">
        <v>50</v>
      </c>
      <c r="P21" s="189"/>
      <c r="Q21" s="189"/>
      <c r="R21" s="189"/>
      <c r="S21" s="189"/>
      <c r="T21" s="189"/>
      <c r="U21" s="186">
        <f t="shared" si="0"/>
        <v>120</v>
      </c>
      <c r="V21" s="233"/>
    </row>
    <row r="22" spans="1:22" ht="24.75" customHeight="1">
      <c r="A22" s="297" t="s">
        <v>465</v>
      </c>
      <c r="B22" s="201" t="s">
        <v>466</v>
      </c>
      <c r="C22" s="189"/>
      <c r="D22" s="189"/>
      <c r="E22" s="189"/>
      <c r="F22" s="189"/>
      <c r="G22" s="189"/>
      <c r="H22" s="189"/>
      <c r="I22" s="290">
        <v>850</v>
      </c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6">
        <f t="shared" si="0"/>
        <v>850</v>
      </c>
      <c r="V22" s="233"/>
    </row>
    <row r="23" spans="1:22" ht="24.75" customHeight="1">
      <c r="A23" s="297" t="s">
        <v>467</v>
      </c>
      <c r="B23" s="201" t="s">
        <v>468</v>
      </c>
      <c r="C23" s="189"/>
      <c r="D23" s="189"/>
      <c r="E23" s="189"/>
      <c r="F23" s="189"/>
      <c r="G23" s="189"/>
      <c r="H23" s="189"/>
      <c r="I23" s="290">
        <v>200</v>
      </c>
      <c r="J23" s="189"/>
      <c r="K23" s="189"/>
      <c r="L23" s="189"/>
      <c r="M23" s="189"/>
      <c r="N23" s="189"/>
      <c r="O23" s="189"/>
      <c r="P23" s="189"/>
      <c r="Q23" s="189">
        <v>0</v>
      </c>
      <c r="R23" s="189"/>
      <c r="S23" s="189"/>
      <c r="T23" s="189"/>
      <c r="U23" s="186">
        <f t="shared" si="0"/>
        <v>200</v>
      </c>
      <c r="V23" s="233"/>
    </row>
    <row r="24" spans="1:22" ht="24.75" customHeight="1">
      <c r="A24" s="298" t="s">
        <v>1131</v>
      </c>
      <c r="B24" s="295" t="s">
        <v>1132</v>
      </c>
      <c r="C24" s="332">
        <f>SUM(C16:C23)</f>
        <v>0</v>
      </c>
      <c r="D24" s="332">
        <f aca="true" t="shared" si="5" ref="D24:U24">SUM(D16:D23)</f>
        <v>300</v>
      </c>
      <c r="E24" s="332">
        <f t="shared" si="5"/>
        <v>0</v>
      </c>
      <c r="F24" s="332">
        <f t="shared" si="5"/>
        <v>0</v>
      </c>
      <c r="G24" s="332">
        <f t="shared" si="5"/>
        <v>5040</v>
      </c>
      <c r="H24" s="332">
        <f t="shared" si="5"/>
        <v>0</v>
      </c>
      <c r="I24" s="332">
        <f t="shared" si="5"/>
        <v>7120</v>
      </c>
      <c r="J24" s="332">
        <f t="shared" si="5"/>
        <v>0</v>
      </c>
      <c r="K24" s="332">
        <f t="shared" si="5"/>
        <v>0</v>
      </c>
      <c r="L24" s="332">
        <f t="shared" si="5"/>
        <v>0</v>
      </c>
      <c r="M24" s="332">
        <f t="shared" si="5"/>
        <v>1750</v>
      </c>
      <c r="N24" s="332">
        <f t="shared" si="5"/>
        <v>300</v>
      </c>
      <c r="O24" s="332">
        <f t="shared" si="5"/>
        <v>50</v>
      </c>
      <c r="P24" s="332">
        <f t="shared" si="5"/>
        <v>0</v>
      </c>
      <c r="Q24" s="332">
        <f t="shared" si="5"/>
        <v>0</v>
      </c>
      <c r="R24" s="332">
        <f t="shared" si="5"/>
        <v>0</v>
      </c>
      <c r="S24" s="332">
        <f t="shared" si="5"/>
        <v>0</v>
      </c>
      <c r="T24" s="332">
        <f t="shared" si="5"/>
        <v>0</v>
      </c>
      <c r="U24" s="332">
        <f t="shared" si="5"/>
        <v>12460</v>
      </c>
      <c r="V24" s="233"/>
    </row>
    <row r="25" spans="1:22" ht="24.75" customHeight="1">
      <c r="A25" s="299" t="s">
        <v>469</v>
      </c>
      <c r="B25" s="192" t="s">
        <v>1133</v>
      </c>
      <c r="C25" s="203">
        <f>C7+C10+C12+C15+C24</f>
        <v>5278</v>
      </c>
      <c r="D25" s="203">
        <f aca="true" t="shared" si="6" ref="D25:U25">D7+D10+D12+D15+D24</f>
        <v>300</v>
      </c>
      <c r="E25" s="203">
        <f t="shared" si="6"/>
        <v>1488</v>
      </c>
      <c r="F25" s="203">
        <f t="shared" si="6"/>
        <v>1150</v>
      </c>
      <c r="G25" s="203">
        <f t="shared" si="6"/>
        <v>18720</v>
      </c>
      <c r="H25" s="203">
        <f t="shared" si="6"/>
        <v>6350</v>
      </c>
      <c r="I25" s="203">
        <f t="shared" si="6"/>
        <v>7120</v>
      </c>
      <c r="J25" s="203">
        <f t="shared" si="6"/>
        <v>0</v>
      </c>
      <c r="K25" s="203">
        <f t="shared" si="6"/>
        <v>0</v>
      </c>
      <c r="L25" s="203">
        <f t="shared" si="6"/>
        <v>0</v>
      </c>
      <c r="M25" s="203">
        <f t="shared" si="6"/>
        <v>1750</v>
      </c>
      <c r="N25" s="203">
        <f t="shared" si="6"/>
        <v>300</v>
      </c>
      <c r="O25" s="203">
        <f t="shared" si="6"/>
        <v>50</v>
      </c>
      <c r="P25" s="203">
        <f t="shared" si="6"/>
        <v>0</v>
      </c>
      <c r="Q25" s="203">
        <f t="shared" si="6"/>
        <v>0</v>
      </c>
      <c r="R25" s="203">
        <f t="shared" si="6"/>
        <v>0</v>
      </c>
      <c r="S25" s="203">
        <f t="shared" si="6"/>
        <v>0</v>
      </c>
      <c r="T25" s="203">
        <f t="shared" si="6"/>
        <v>0</v>
      </c>
      <c r="U25" s="203">
        <f t="shared" si="6"/>
        <v>40406</v>
      </c>
      <c r="V25" s="296"/>
    </row>
    <row r="32" ht="15.75">
      <c r="B32" s="12"/>
    </row>
    <row r="39" ht="15.75">
      <c r="B39" s="12"/>
    </row>
    <row r="42" ht="15.75">
      <c r="B42" s="12"/>
    </row>
    <row r="53" ht="15.75">
      <c r="B53" s="12"/>
    </row>
  </sheetData>
  <mergeCells count="1">
    <mergeCell ref="B1:V1"/>
  </mergeCells>
  <printOptions horizontalCentered="1"/>
  <pageMargins left="0.15748031496062992" right="0.1968503937007874" top="0" bottom="0" header="0" footer="0"/>
  <pageSetup fitToHeight="1" fitToWidth="1" horizontalDpi="300" verticalDpi="300" orientation="landscape" paperSize="9" scale="65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workbookViewId="0" topLeftCell="I16">
      <selection activeCell="C2" sqref="C2"/>
    </sheetView>
  </sheetViews>
  <sheetFormatPr defaultColWidth="9.140625" defaultRowHeight="12.75"/>
  <cols>
    <col min="1" max="1" width="8.8515625" style="44" customWidth="1"/>
    <col min="2" max="2" width="65.140625" style="63" customWidth="1"/>
    <col min="3" max="9" width="16.140625" style="63" customWidth="1"/>
    <col min="10" max="10" width="14.57421875" style="63" customWidth="1"/>
    <col min="11" max="12" width="14.57421875" style="63" hidden="1" customWidth="1"/>
    <col min="13" max="13" width="12.7109375" style="159" hidden="1" customWidth="1"/>
    <col min="14" max="31" width="12.7109375" style="61" hidden="1" customWidth="1"/>
    <col min="32" max="32" width="21.7109375" style="61" hidden="1" customWidth="1"/>
    <col min="33" max="33" width="15.421875" style="61" hidden="1" customWidth="1"/>
    <col min="34" max="37" width="15.421875" style="61" customWidth="1"/>
    <col min="38" max="38" width="14.8515625" style="61" customWidth="1"/>
    <col min="39" max="16384" width="9.140625" style="61" customWidth="1"/>
  </cols>
  <sheetData>
    <row r="1" spans="1:38" ht="15.75">
      <c r="A1" s="182"/>
      <c r="B1" s="707" t="s">
        <v>1086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260"/>
      <c r="AH1" s="260"/>
      <c r="AI1" s="260"/>
      <c r="AJ1" s="260"/>
      <c r="AK1" s="260"/>
      <c r="AL1" s="191"/>
    </row>
    <row r="2" spans="1:38" ht="110.25">
      <c r="A2" s="315" t="s">
        <v>230</v>
      </c>
      <c r="B2" s="300" t="s">
        <v>1229</v>
      </c>
      <c r="C2" s="288" t="s">
        <v>1139</v>
      </c>
      <c r="D2" s="288" t="s">
        <v>1140</v>
      </c>
      <c r="E2" s="288" t="s">
        <v>891</v>
      </c>
      <c r="F2" s="288" t="s">
        <v>1141</v>
      </c>
      <c r="G2" s="288" t="s">
        <v>1142</v>
      </c>
      <c r="H2" s="288" t="s">
        <v>1143</v>
      </c>
      <c r="I2" s="288" t="s">
        <v>1144</v>
      </c>
      <c r="J2" s="288" t="s">
        <v>1145</v>
      </c>
      <c r="K2" s="196"/>
      <c r="L2" s="196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202" t="s">
        <v>1146</v>
      </c>
      <c r="AH2" s="202" t="s">
        <v>1147</v>
      </c>
      <c r="AI2" s="202" t="s">
        <v>1149</v>
      </c>
      <c r="AJ2" s="199" t="s">
        <v>833</v>
      </c>
      <c r="AK2" s="202" t="s">
        <v>1150</v>
      </c>
      <c r="AL2" s="184" t="s">
        <v>965</v>
      </c>
    </row>
    <row r="3" spans="1:51" ht="15.75">
      <c r="A3" s="311" t="s">
        <v>1230</v>
      </c>
      <c r="B3" s="312" t="s">
        <v>1231</v>
      </c>
      <c r="C3" s="312"/>
      <c r="D3" s="312"/>
      <c r="E3" s="312"/>
      <c r="F3" s="312"/>
      <c r="G3" s="312"/>
      <c r="H3" s="312"/>
      <c r="I3" s="326"/>
      <c r="J3" s="312"/>
      <c r="K3" s="312"/>
      <c r="L3" s="312"/>
      <c r="M3" s="327">
        <v>0</v>
      </c>
      <c r="N3" s="327">
        <v>0</v>
      </c>
      <c r="O3" s="327"/>
      <c r="P3" s="327">
        <v>0</v>
      </c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>
        <v>0</v>
      </c>
      <c r="AH3" s="327"/>
      <c r="AI3" s="327"/>
      <c r="AJ3" s="327"/>
      <c r="AK3" s="327"/>
      <c r="AL3" s="292">
        <f>SUM(C3:AK3)</f>
        <v>0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ht="15.75">
      <c r="A4" s="182" t="s">
        <v>1232</v>
      </c>
      <c r="B4" s="196" t="s">
        <v>1233</v>
      </c>
      <c r="C4" s="196"/>
      <c r="D4" s="196"/>
      <c r="E4" s="196"/>
      <c r="F4" s="196"/>
      <c r="G4" s="196"/>
      <c r="H4" s="196">
        <v>2000</v>
      </c>
      <c r="I4" s="196"/>
      <c r="J4" s="196"/>
      <c r="K4" s="196"/>
      <c r="L4" s="196"/>
      <c r="M4" s="316">
        <v>0</v>
      </c>
      <c r="N4" s="316">
        <v>0</v>
      </c>
      <c r="O4" s="316"/>
      <c r="P4" s="316">
        <v>0</v>
      </c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7"/>
      <c r="AG4" s="317"/>
      <c r="AH4" s="317"/>
      <c r="AI4" s="317"/>
      <c r="AJ4" s="317"/>
      <c r="AK4" s="317"/>
      <c r="AL4" s="292">
        <f>SUM(C4:AK4)</f>
        <v>2000</v>
      </c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5.75">
      <c r="A5" s="311" t="s">
        <v>1234</v>
      </c>
      <c r="B5" s="318" t="s">
        <v>1276</v>
      </c>
      <c r="C5" s="318">
        <f aca="true" t="shared" si="0" ref="C5:AL5">C4</f>
        <v>0</v>
      </c>
      <c r="D5" s="318">
        <f t="shared" si="0"/>
        <v>0</v>
      </c>
      <c r="E5" s="318">
        <f t="shared" si="0"/>
        <v>0</v>
      </c>
      <c r="F5" s="318">
        <f t="shared" si="0"/>
        <v>0</v>
      </c>
      <c r="G5" s="318">
        <f t="shared" si="0"/>
        <v>0</v>
      </c>
      <c r="H5" s="318">
        <f t="shared" si="0"/>
        <v>2000</v>
      </c>
      <c r="I5" s="318">
        <f t="shared" si="0"/>
        <v>0</v>
      </c>
      <c r="J5" s="318">
        <f t="shared" si="0"/>
        <v>0</v>
      </c>
      <c r="K5" s="318">
        <f t="shared" si="0"/>
        <v>0</v>
      </c>
      <c r="L5" s="318">
        <f t="shared" si="0"/>
        <v>0</v>
      </c>
      <c r="M5" s="318">
        <f t="shared" si="0"/>
        <v>0</v>
      </c>
      <c r="N5" s="318">
        <f t="shared" si="0"/>
        <v>0</v>
      </c>
      <c r="O5" s="318">
        <f t="shared" si="0"/>
        <v>0</v>
      </c>
      <c r="P5" s="318">
        <f t="shared" si="0"/>
        <v>0</v>
      </c>
      <c r="Q5" s="318">
        <f t="shared" si="0"/>
        <v>0</v>
      </c>
      <c r="R5" s="318">
        <f t="shared" si="0"/>
        <v>0</v>
      </c>
      <c r="S5" s="318">
        <f t="shared" si="0"/>
        <v>0</v>
      </c>
      <c r="T5" s="318">
        <f t="shared" si="0"/>
        <v>0</v>
      </c>
      <c r="U5" s="318">
        <f t="shared" si="0"/>
        <v>0</v>
      </c>
      <c r="V5" s="318">
        <f t="shared" si="0"/>
        <v>0</v>
      </c>
      <c r="W5" s="318">
        <f t="shared" si="0"/>
        <v>0</v>
      </c>
      <c r="X5" s="318">
        <f t="shared" si="0"/>
        <v>0</v>
      </c>
      <c r="Y5" s="318">
        <f t="shared" si="0"/>
        <v>0</v>
      </c>
      <c r="Z5" s="318">
        <f t="shared" si="0"/>
        <v>0</v>
      </c>
      <c r="AA5" s="318">
        <f t="shared" si="0"/>
        <v>0</v>
      </c>
      <c r="AB5" s="318">
        <f t="shared" si="0"/>
        <v>0</v>
      </c>
      <c r="AC5" s="318">
        <f t="shared" si="0"/>
        <v>0</v>
      </c>
      <c r="AD5" s="318">
        <f t="shared" si="0"/>
        <v>0</v>
      </c>
      <c r="AE5" s="318">
        <f t="shared" si="0"/>
        <v>0</v>
      </c>
      <c r="AF5" s="318"/>
      <c r="AG5" s="318">
        <f t="shared" si="0"/>
        <v>0</v>
      </c>
      <c r="AH5" s="318">
        <f t="shared" si="0"/>
        <v>0</v>
      </c>
      <c r="AI5" s="318">
        <f t="shared" si="0"/>
        <v>0</v>
      </c>
      <c r="AJ5" s="318">
        <f t="shared" si="0"/>
        <v>0</v>
      </c>
      <c r="AK5" s="318">
        <f t="shared" si="0"/>
        <v>0</v>
      </c>
      <c r="AL5" s="318">
        <f t="shared" si="0"/>
        <v>2000</v>
      </c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</row>
    <row r="6" spans="1:51" ht="15.75">
      <c r="A6" s="182" t="s">
        <v>1235</v>
      </c>
      <c r="B6" s="286" t="s">
        <v>1236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183">
        <v>0</v>
      </c>
      <c r="N6" s="183">
        <v>0</v>
      </c>
      <c r="O6" s="183"/>
      <c r="P6" s="183">
        <v>0</v>
      </c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317"/>
      <c r="AG6" s="317"/>
      <c r="AH6" s="317"/>
      <c r="AI6" s="317"/>
      <c r="AJ6" s="317"/>
      <c r="AK6" s="317"/>
      <c r="AL6" s="185">
        <f>SUM(C6:AK6)</f>
        <v>0</v>
      </c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15.75">
      <c r="A7" s="182" t="s">
        <v>1238</v>
      </c>
      <c r="B7" s="196" t="s">
        <v>1237</v>
      </c>
      <c r="C7" s="196">
        <v>84</v>
      </c>
      <c r="D7" s="196"/>
      <c r="E7" s="196">
        <v>394</v>
      </c>
      <c r="F7" s="196"/>
      <c r="G7" s="196"/>
      <c r="H7" s="196"/>
      <c r="I7" s="196"/>
      <c r="J7" s="196"/>
      <c r="K7" s="196"/>
      <c r="L7" s="196"/>
      <c r="M7" s="316">
        <v>0</v>
      </c>
      <c r="N7" s="316">
        <v>0</v>
      </c>
      <c r="O7" s="316"/>
      <c r="P7" s="316">
        <v>0</v>
      </c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7"/>
      <c r="AG7" s="317"/>
      <c r="AH7" s="316">
        <f>15570+1498+390</f>
        <v>17458</v>
      </c>
      <c r="AI7" s="317"/>
      <c r="AJ7" s="317"/>
      <c r="AK7" s="317"/>
      <c r="AL7" s="185">
        <f>SUM(C7:AK7)</f>
        <v>17936</v>
      </c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5.75">
      <c r="A8" s="311" t="s">
        <v>1239</v>
      </c>
      <c r="B8" s="318" t="s">
        <v>1275</v>
      </c>
      <c r="C8" s="318">
        <f>C6+C7</f>
        <v>84</v>
      </c>
      <c r="D8" s="318">
        <f aca="true" t="shared" si="1" ref="D8:AL8">D6+D7</f>
        <v>0</v>
      </c>
      <c r="E8" s="318">
        <f t="shared" si="1"/>
        <v>394</v>
      </c>
      <c r="F8" s="318">
        <f t="shared" si="1"/>
        <v>0</v>
      </c>
      <c r="G8" s="318">
        <f t="shared" si="1"/>
        <v>0</v>
      </c>
      <c r="H8" s="318">
        <f t="shared" si="1"/>
        <v>0</v>
      </c>
      <c r="I8" s="318">
        <f t="shared" si="1"/>
        <v>0</v>
      </c>
      <c r="J8" s="318">
        <f t="shared" si="1"/>
        <v>0</v>
      </c>
      <c r="K8" s="318">
        <f t="shared" si="1"/>
        <v>0</v>
      </c>
      <c r="L8" s="318">
        <f t="shared" si="1"/>
        <v>0</v>
      </c>
      <c r="M8" s="318">
        <f t="shared" si="1"/>
        <v>0</v>
      </c>
      <c r="N8" s="318">
        <f t="shared" si="1"/>
        <v>0</v>
      </c>
      <c r="O8" s="318">
        <f t="shared" si="1"/>
        <v>0</v>
      </c>
      <c r="P8" s="318">
        <f t="shared" si="1"/>
        <v>0</v>
      </c>
      <c r="Q8" s="318">
        <f t="shared" si="1"/>
        <v>0</v>
      </c>
      <c r="R8" s="318">
        <f t="shared" si="1"/>
        <v>0</v>
      </c>
      <c r="S8" s="318">
        <f t="shared" si="1"/>
        <v>0</v>
      </c>
      <c r="T8" s="318">
        <f t="shared" si="1"/>
        <v>0</v>
      </c>
      <c r="U8" s="318">
        <f t="shared" si="1"/>
        <v>0</v>
      </c>
      <c r="V8" s="318">
        <f t="shared" si="1"/>
        <v>0</v>
      </c>
      <c r="W8" s="318">
        <f t="shared" si="1"/>
        <v>0</v>
      </c>
      <c r="X8" s="318">
        <f t="shared" si="1"/>
        <v>0</v>
      </c>
      <c r="Y8" s="318">
        <f t="shared" si="1"/>
        <v>0</v>
      </c>
      <c r="Z8" s="318">
        <f t="shared" si="1"/>
        <v>0</v>
      </c>
      <c r="AA8" s="318">
        <f t="shared" si="1"/>
        <v>0</v>
      </c>
      <c r="AB8" s="318">
        <f t="shared" si="1"/>
        <v>0</v>
      </c>
      <c r="AC8" s="318">
        <f t="shared" si="1"/>
        <v>0</v>
      </c>
      <c r="AD8" s="318">
        <f t="shared" si="1"/>
        <v>0</v>
      </c>
      <c r="AE8" s="318">
        <f t="shared" si="1"/>
        <v>0</v>
      </c>
      <c r="AF8" s="318"/>
      <c r="AG8" s="318">
        <f t="shared" si="1"/>
        <v>0</v>
      </c>
      <c r="AH8" s="318">
        <f t="shared" si="1"/>
        <v>17458</v>
      </c>
      <c r="AI8" s="318">
        <f>AI6+AI7</f>
        <v>0</v>
      </c>
      <c r="AJ8" s="318">
        <f>AJ6+AJ7</f>
        <v>0</v>
      </c>
      <c r="AK8" s="318">
        <f>AK6+AK7</f>
        <v>0</v>
      </c>
      <c r="AL8" s="318">
        <f t="shared" si="1"/>
        <v>17936</v>
      </c>
      <c r="AM8" s="328"/>
      <c r="AN8" s="328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1:51" ht="15.75">
      <c r="A9" s="182" t="s">
        <v>1240</v>
      </c>
      <c r="B9" s="196" t="s">
        <v>1241</v>
      </c>
      <c r="C9" s="196"/>
      <c r="D9" s="196"/>
      <c r="E9" s="196"/>
      <c r="F9" s="196"/>
      <c r="G9" s="196"/>
      <c r="H9" s="196"/>
      <c r="I9" s="196">
        <v>10375</v>
      </c>
      <c r="J9" s="196">
        <v>750</v>
      </c>
      <c r="K9" s="196"/>
      <c r="L9" s="196"/>
      <c r="M9" s="316">
        <v>0</v>
      </c>
      <c r="N9" s="316">
        <v>0</v>
      </c>
      <c r="O9" s="316"/>
      <c r="P9" s="316">
        <v>0</v>
      </c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535">
        <f>SUM(C9:AK9)</f>
        <v>11125</v>
      </c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5.75">
      <c r="A10" s="182" t="s">
        <v>1242</v>
      </c>
      <c r="B10" s="286" t="s">
        <v>1243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183">
        <v>0</v>
      </c>
      <c r="N10" s="183">
        <v>0</v>
      </c>
      <c r="O10" s="183"/>
      <c r="P10" s="183">
        <v>0</v>
      </c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316"/>
      <c r="AG10" s="316"/>
      <c r="AH10" s="316"/>
      <c r="AI10" s="316"/>
      <c r="AJ10" s="316"/>
      <c r="AK10" s="316"/>
      <c r="AL10" s="535">
        <f>SUM(C10:AK10)</f>
        <v>0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</row>
    <row r="11" spans="1:51" ht="15.75">
      <c r="A11" s="182" t="s">
        <v>1244</v>
      </c>
      <c r="B11" s="307" t="s">
        <v>1245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16">
        <v>0</v>
      </c>
      <c r="N11" s="316">
        <v>0</v>
      </c>
      <c r="O11" s="316"/>
      <c r="P11" s="316">
        <v>0</v>
      </c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535">
        <f>SUM(C11:AK11)</f>
        <v>0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143" customFormat="1" ht="15.75">
      <c r="A12" s="311" t="s">
        <v>1246</v>
      </c>
      <c r="B12" s="318" t="s">
        <v>1274</v>
      </c>
      <c r="C12" s="318">
        <f>C9+C10+C11</f>
        <v>0</v>
      </c>
      <c r="D12" s="318">
        <f aca="true" t="shared" si="2" ref="D12:AL12">D9+D10+D11</f>
        <v>0</v>
      </c>
      <c r="E12" s="318">
        <f t="shared" si="2"/>
        <v>0</v>
      </c>
      <c r="F12" s="318">
        <f t="shared" si="2"/>
        <v>0</v>
      </c>
      <c r="G12" s="318">
        <f t="shared" si="2"/>
        <v>0</v>
      </c>
      <c r="H12" s="318">
        <f t="shared" si="2"/>
        <v>0</v>
      </c>
      <c r="I12" s="318">
        <f t="shared" si="2"/>
        <v>10375</v>
      </c>
      <c r="J12" s="318">
        <f t="shared" si="2"/>
        <v>750</v>
      </c>
      <c r="K12" s="318">
        <f t="shared" si="2"/>
        <v>0</v>
      </c>
      <c r="L12" s="318">
        <f t="shared" si="2"/>
        <v>0</v>
      </c>
      <c r="M12" s="318">
        <f t="shared" si="2"/>
        <v>0</v>
      </c>
      <c r="N12" s="318">
        <f t="shared" si="2"/>
        <v>0</v>
      </c>
      <c r="O12" s="318">
        <f t="shared" si="2"/>
        <v>0</v>
      </c>
      <c r="P12" s="318">
        <f t="shared" si="2"/>
        <v>0</v>
      </c>
      <c r="Q12" s="318">
        <f t="shared" si="2"/>
        <v>0</v>
      </c>
      <c r="R12" s="318">
        <f t="shared" si="2"/>
        <v>0</v>
      </c>
      <c r="S12" s="318">
        <f t="shared" si="2"/>
        <v>0</v>
      </c>
      <c r="T12" s="318">
        <f t="shared" si="2"/>
        <v>0</v>
      </c>
      <c r="U12" s="318">
        <f t="shared" si="2"/>
        <v>0</v>
      </c>
      <c r="V12" s="318">
        <f t="shared" si="2"/>
        <v>0</v>
      </c>
      <c r="W12" s="318">
        <f t="shared" si="2"/>
        <v>0</v>
      </c>
      <c r="X12" s="318">
        <f t="shared" si="2"/>
        <v>0</v>
      </c>
      <c r="Y12" s="318">
        <f t="shared" si="2"/>
        <v>0</v>
      </c>
      <c r="Z12" s="318">
        <f t="shared" si="2"/>
        <v>0</v>
      </c>
      <c r="AA12" s="318">
        <f t="shared" si="2"/>
        <v>0</v>
      </c>
      <c r="AB12" s="318">
        <f t="shared" si="2"/>
        <v>0</v>
      </c>
      <c r="AC12" s="318">
        <f t="shared" si="2"/>
        <v>0</v>
      </c>
      <c r="AD12" s="318">
        <f t="shared" si="2"/>
        <v>0</v>
      </c>
      <c r="AE12" s="318">
        <f t="shared" si="2"/>
        <v>0</v>
      </c>
      <c r="AF12" s="318"/>
      <c r="AG12" s="318">
        <f t="shared" si="2"/>
        <v>0</v>
      </c>
      <c r="AH12" s="318">
        <f t="shared" si="2"/>
        <v>0</v>
      </c>
      <c r="AI12" s="318">
        <f>AI9+AI10+AI11</f>
        <v>0</v>
      </c>
      <c r="AJ12" s="318">
        <f>AJ9+AJ10+AJ11</f>
        <v>0</v>
      </c>
      <c r="AK12" s="318">
        <f>AK9+AK10+AK11</f>
        <v>0</v>
      </c>
      <c r="AL12" s="318">
        <f t="shared" si="2"/>
        <v>11125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</row>
    <row r="13" spans="1:51" ht="15.75">
      <c r="A13" s="182" t="s">
        <v>1247</v>
      </c>
      <c r="B13" s="286" t="s">
        <v>1248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183">
        <v>0</v>
      </c>
      <c r="N13" s="183">
        <v>0</v>
      </c>
      <c r="O13" s="183"/>
      <c r="P13" s="183">
        <v>0</v>
      </c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317"/>
      <c r="AG13" s="317"/>
      <c r="AH13" s="317"/>
      <c r="AI13" s="317"/>
      <c r="AJ13" s="317"/>
      <c r="AK13" s="316">
        <v>41165</v>
      </c>
      <c r="AL13" s="185">
        <f>SUM(C13:AK13)</f>
        <v>41165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1:51" ht="15.75">
      <c r="A14" s="182" t="s">
        <v>1249</v>
      </c>
      <c r="B14" s="286" t="s">
        <v>1250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183">
        <v>0</v>
      </c>
      <c r="N14" s="183">
        <v>0</v>
      </c>
      <c r="O14" s="183"/>
      <c r="P14" s="183">
        <v>0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317"/>
      <c r="AG14" s="317"/>
      <c r="AH14" s="317"/>
      <c r="AI14" s="317"/>
      <c r="AJ14" s="317"/>
      <c r="AK14" s="317"/>
      <c r="AL14" s="185">
        <f>SUM(C14:AK14)</f>
        <v>0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1:51" ht="15.75">
      <c r="A15" s="311" t="s">
        <v>1251</v>
      </c>
      <c r="B15" s="312" t="s">
        <v>1252</v>
      </c>
      <c r="C15" s="312">
        <f aca="true" t="shared" si="3" ref="C15:AL15">C13+C14</f>
        <v>0</v>
      </c>
      <c r="D15" s="312">
        <f t="shared" si="3"/>
        <v>0</v>
      </c>
      <c r="E15" s="312">
        <f t="shared" si="3"/>
        <v>0</v>
      </c>
      <c r="F15" s="312">
        <f t="shared" si="3"/>
        <v>0</v>
      </c>
      <c r="G15" s="312">
        <f t="shared" si="3"/>
        <v>0</v>
      </c>
      <c r="H15" s="312">
        <f t="shared" si="3"/>
        <v>0</v>
      </c>
      <c r="I15" s="312">
        <f t="shared" si="3"/>
        <v>0</v>
      </c>
      <c r="J15" s="312">
        <f t="shared" si="3"/>
        <v>0</v>
      </c>
      <c r="K15" s="312">
        <f t="shared" si="3"/>
        <v>0</v>
      </c>
      <c r="L15" s="312">
        <f t="shared" si="3"/>
        <v>0</v>
      </c>
      <c r="M15" s="312">
        <f t="shared" si="3"/>
        <v>0</v>
      </c>
      <c r="N15" s="312">
        <f t="shared" si="3"/>
        <v>0</v>
      </c>
      <c r="O15" s="312">
        <f t="shared" si="3"/>
        <v>0</v>
      </c>
      <c r="P15" s="312">
        <f t="shared" si="3"/>
        <v>0</v>
      </c>
      <c r="Q15" s="312">
        <f t="shared" si="3"/>
        <v>0</v>
      </c>
      <c r="R15" s="312">
        <f t="shared" si="3"/>
        <v>0</v>
      </c>
      <c r="S15" s="312">
        <f t="shared" si="3"/>
        <v>0</v>
      </c>
      <c r="T15" s="312">
        <f t="shared" si="3"/>
        <v>0</v>
      </c>
      <c r="U15" s="312">
        <f t="shared" si="3"/>
        <v>0</v>
      </c>
      <c r="V15" s="312">
        <f t="shared" si="3"/>
        <v>0</v>
      </c>
      <c r="W15" s="312">
        <f t="shared" si="3"/>
        <v>0</v>
      </c>
      <c r="X15" s="312">
        <f t="shared" si="3"/>
        <v>0</v>
      </c>
      <c r="Y15" s="312">
        <f t="shared" si="3"/>
        <v>0</v>
      </c>
      <c r="Z15" s="312">
        <f t="shared" si="3"/>
        <v>0</v>
      </c>
      <c r="AA15" s="312">
        <f t="shared" si="3"/>
        <v>0</v>
      </c>
      <c r="AB15" s="312">
        <f t="shared" si="3"/>
        <v>0</v>
      </c>
      <c r="AC15" s="312">
        <f t="shared" si="3"/>
        <v>0</v>
      </c>
      <c r="AD15" s="312">
        <f t="shared" si="3"/>
        <v>0</v>
      </c>
      <c r="AE15" s="312">
        <f t="shared" si="3"/>
        <v>0</v>
      </c>
      <c r="AF15" s="312"/>
      <c r="AG15" s="312">
        <f t="shared" si="3"/>
        <v>0</v>
      </c>
      <c r="AH15" s="312">
        <f t="shared" si="3"/>
        <v>0</v>
      </c>
      <c r="AI15" s="312">
        <f t="shared" si="3"/>
        <v>0</v>
      </c>
      <c r="AJ15" s="312">
        <f t="shared" si="3"/>
        <v>0</v>
      </c>
      <c r="AK15" s="312">
        <f t="shared" si="3"/>
        <v>41165</v>
      </c>
      <c r="AL15" s="312">
        <f t="shared" si="3"/>
        <v>41165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21" customHeight="1">
      <c r="A16" s="287" t="s">
        <v>1253</v>
      </c>
      <c r="B16" s="310" t="s">
        <v>191</v>
      </c>
      <c r="C16" s="310">
        <f>C3+C5+C8+C12+C15</f>
        <v>84</v>
      </c>
      <c r="D16" s="310">
        <f aca="true" t="shared" si="4" ref="D16:AL16">D3+D5+D8+D12+D15</f>
        <v>0</v>
      </c>
      <c r="E16" s="310">
        <f t="shared" si="4"/>
        <v>394</v>
      </c>
      <c r="F16" s="310">
        <f t="shared" si="4"/>
        <v>0</v>
      </c>
      <c r="G16" s="310">
        <f t="shared" si="4"/>
        <v>0</v>
      </c>
      <c r="H16" s="310">
        <f t="shared" si="4"/>
        <v>2000</v>
      </c>
      <c r="I16" s="310">
        <f t="shared" si="4"/>
        <v>10375</v>
      </c>
      <c r="J16" s="310">
        <f t="shared" si="4"/>
        <v>750</v>
      </c>
      <c r="K16" s="310">
        <f t="shared" si="4"/>
        <v>0</v>
      </c>
      <c r="L16" s="310">
        <f t="shared" si="4"/>
        <v>0</v>
      </c>
      <c r="M16" s="310">
        <f t="shared" si="4"/>
        <v>0</v>
      </c>
      <c r="N16" s="310">
        <f t="shared" si="4"/>
        <v>0</v>
      </c>
      <c r="O16" s="310">
        <f t="shared" si="4"/>
        <v>0</v>
      </c>
      <c r="P16" s="310">
        <f t="shared" si="4"/>
        <v>0</v>
      </c>
      <c r="Q16" s="310">
        <f t="shared" si="4"/>
        <v>0</v>
      </c>
      <c r="R16" s="310">
        <f t="shared" si="4"/>
        <v>0</v>
      </c>
      <c r="S16" s="310">
        <f t="shared" si="4"/>
        <v>0</v>
      </c>
      <c r="T16" s="310">
        <f t="shared" si="4"/>
        <v>0</v>
      </c>
      <c r="U16" s="310">
        <f t="shared" si="4"/>
        <v>0</v>
      </c>
      <c r="V16" s="310">
        <f t="shared" si="4"/>
        <v>0</v>
      </c>
      <c r="W16" s="310">
        <f t="shared" si="4"/>
        <v>0</v>
      </c>
      <c r="X16" s="310">
        <f t="shared" si="4"/>
        <v>0</v>
      </c>
      <c r="Y16" s="310">
        <f t="shared" si="4"/>
        <v>0</v>
      </c>
      <c r="Z16" s="310">
        <f t="shared" si="4"/>
        <v>0</v>
      </c>
      <c r="AA16" s="310">
        <f t="shared" si="4"/>
        <v>0</v>
      </c>
      <c r="AB16" s="310">
        <f t="shared" si="4"/>
        <v>0</v>
      </c>
      <c r="AC16" s="310">
        <f t="shared" si="4"/>
        <v>0</v>
      </c>
      <c r="AD16" s="310">
        <f t="shared" si="4"/>
        <v>0</v>
      </c>
      <c r="AE16" s="310">
        <f t="shared" si="4"/>
        <v>0</v>
      </c>
      <c r="AF16" s="310"/>
      <c r="AG16" s="310">
        <f t="shared" si="4"/>
        <v>0</v>
      </c>
      <c r="AH16" s="310">
        <f t="shared" si="4"/>
        <v>17458</v>
      </c>
      <c r="AI16" s="310">
        <f>AI3+AI5+AI8+AI12+AI15</f>
        <v>0</v>
      </c>
      <c r="AJ16" s="310">
        <f>AJ3+AJ5+AJ8+AJ12+AJ15</f>
        <v>0</v>
      </c>
      <c r="AK16" s="310">
        <f>AK3+AK5+AK8+AK12+AK15</f>
        <v>41165</v>
      </c>
      <c r="AL16" s="310">
        <f t="shared" si="4"/>
        <v>72226</v>
      </c>
      <c r="AM16" s="63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21" customHeight="1">
      <c r="A17" s="287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63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5.75">
      <c r="A18" s="311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7"/>
      <c r="AG18" s="317"/>
      <c r="AH18" s="317"/>
      <c r="AI18" s="317"/>
      <c r="AJ18" s="317"/>
      <c r="AK18" s="317"/>
      <c r="AL18" s="201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5.75">
      <c r="A19" s="182" t="s">
        <v>1254</v>
      </c>
      <c r="B19" s="196" t="s">
        <v>1255</v>
      </c>
      <c r="C19" s="233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317"/>
      <c r="AG19" s="317"/>
      <c r="AH19" s="317"/>
      <c r="AI19" s="317"/>
      <c r="AJ19" s="317"/>
      <c r="AK19" s="317"/>
      <c r="AL19" s="201">
        <f>SUM(C19:AK19)</f>
        <v>0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5.75">
      <c r="A20" s="311" t="s">
        <v>1256</v>
      </c>
      <c r="B20" s="318" t="s">
        <v>1273</v>
      </c>
      <c r="C20" s="318">
        <f>C19</f>
        <v>0</v>
      </c>
      <c r="D20" s="318">
        <f aca="true" t="shared" si="5" ref="D20:AL20">D19</f>
        <v>0</v>
      </c>
      <c r="E20" s="318"/>
      <c r="F20" s="318">
        <f t="shared" si="5"/>
        <v>0</v>
      </c>
      <c r="G20" s="318">
        <f t="shared" si="5"/>
        <v>0</v>
      </c>
      <c r="H20" s="318">
        <f t="shared" si="5"/>
        <v>0</v>
      </c>
      <c r="I20" s="318">
        <f t="shared" si="5"/>
        <v>0</v>
      </c>
      <c r="J20" s="318">
        <f t="shared" si="5"/>
        <v>0</v>
      </c>
      <c r="K20" s="318">
        <f t="shared" si="5"/>
        <v>0</v>
      </c>
      <c r="L20" s="318">
        <f t="shared" si="5"/>
        <v>0</v>
      </c>
      <c r="M20" s="318">
        <f t="shared" si="5"/>
        <v>0</v>
      </c>
      <c r="N20" s="318">
        <f t="shared" si="5"/>
        <v>0</v>
      </c>
      <c r="O20" s="318">
        <f t="shared" si="5"/>
        <v>0</v>
      </c>
      <c r="P20" s="318">
        <f t="shared" si="5"/>
        <v>0</v>
      </c>
      <c r="Q20" s="318">
        <f t="shared" si="5"/>
        <v>0</v>
      </c>
      <c r="R20" s="318">
        <f t="shared" si="5"/>
        <v>0</v>
      </c>
      <c r="S20" s="318">
        <f t="shared" si="5"/>
        <v>0</v>
      </c>
      <c r="T20" s="318">
        <f t="shared" si="5"/>
        <v>0</v>
      </c>
      <c r="U20" s="318">
        <f t="shared" si="5"/>
        <v>0</v>
      </c>
      <c r="V20" s="318">
        <f t="shared" si="5"/>
        <v>0</v>
      </c>
      <c r="W20" s="318">
        <f t="shared" si="5"/>
        <v>0</v>
      </c>
      <c r="X20" s="318">
        <f t="shared" si="5"/>
        <v>0</v>
      </c>
      <c r="Y20" s="318">
        <f t="shared" si="5"/>
        <v>0</v>
      </c>
      <c r="Z20" s="318">
        <f t="shared" si="5"/>
        <v>0</v>
      </c>
      <c r="AA20" s="318">
        <f t="shared" si="5"/>
        <v>0</v>
      </c>
      <c r="AB20" s="318">
        <f t="shared" si="5"/>
        <v>0</v>
      </c>
      <c r="AC20" s="318">
        <f t="shared" si="5"/>
        <v>0</v>
      </c>
      <c r="AD20" s="318">
        <f t="shared" si="5"/>
        <v>0</v>
      </c>
      <c r="AE20" s="318">
        <f t="shared" si="5"/>
        <v>0</v>
      </c>
      <c r="AF20" s="318"/>
      <c r="AG20" s="318">
        <f t="shared" si="5"/>
        <v>0</v>
      </c>
      <c r="AH20" s="318">
        <f t="shared" si="5"/>
        <v>0</v>
      </c>
      <c r="AI20" s="318">
        <f>AI19</f>
        <v>0</v>
      </c>
      <c r="AJ20" s="318">
        <f>AJ19</f>
        <v>0</v>
      </c>
      <c r="AK20" s="318">
        <f>AK19</f>
        <v>0</v>
      </c>
      <c r="AL20" s="318">
        <f t="shared" si="5"/>
        <v>0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ht="15.75">
      <c r="A21" s="182" t="s">
        <v>1258</v>
      </c>
      <c r="B21" s="286" t="s">
        <v>1259</v>
      </c>
      <c r="C21" s="286"/>
      <c r="D21" s="286"/>
      <c r="E21" s="286"/>
      <c r="F21" s="286">
        <v>7110</v>
      </c>
      <c r="G21" s="286">
        <v>1074</v>
      </c>
      <c r="H21" s="286"/>
      <c r="I21" s="286"/>
      <c r="J21" s="286"/>
      <c r="K21" s="286"/>
      <c r="L21" s="286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316"/>
      <c r="AG21" s="316"/>
      <c r="AH21" s="316"/>
      <c r="AI21" s="316"/>
      <c r="AJ21" s="316"/>
      <c r="AK21" s="316"/>
      <c r="AL21" s="185">
        <f>SUM(C21:AK21)</f>
        <v>8184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ht="15.75">
      <c r="A22" s="182" t="s">
        <v>1257</v>
      </c>
      <c r="B22" s="286" t="s">
        <v>1260</v>
      </c>
      <c r="C22" s="286">
        <v>29982</v>
      </c>
      <c r="D22" s="286">
        <v>1159</v>
      </c>
      <c r="E22" s="286">
        <v>1914</v>
      </c>
      <c r="F22" s="286"/>
      <c r="G22" s="286"/>
      <c r="H22" s="286">
        <v>0</v>
      </c>
      <c r="I22" s="286"/>
      <c r="J22" s="286"/>
      <c r="K22" s="286"/>
      <c r="L22" s="286"/>
      <c r="M22" s="183">
        <v>0</v>
      </c>
      <c r="N22" s="183">
        <v>0</v>
      </c>
      <c r="O22" s="183"/>
      <c r="P22" s="183">
        <v>0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316"/>
      <c r="AG22" s="316"/>
      <c r="AH22" s="316"/>
      <c r="AI22" s="316"/>
      <c r="AJ22" s="316"/>
      <c r="AK22" s="316"/>
      <c r="AL22" s="185">
        <f>SUM(C22:AK22)</f>
        <v>33055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1:51" ht="15.75">
      <c r="A23" s="311" t="s">
        <v>1261</v>
      </c>
      <c r="B23" s="312" t="s">
        <v>1262</v>
      </c>
      <c r="C23" s="312">
        <f>C21+C22</f>
        <v>29982</v>
      </c>
      <c r="D23" s="312">
        <f aca="true" t="shared" si="6" ref="D23:AL23">D21+D22</f>
        <v>1159</v>
      </c>
      <c r="E23" s="312">
        <f t="shared" si="6"/>
        <v>1914</v>
      </c>
      <c r="F23" s="312">
        <f t="shared" si="6"/>
        <v>7110</v>
      </c>
      <c r="G23" s="312">
        <f t="shared" si="6"/>
        <v>1074</v>
      </c>
      <c r="H23" s="312">
        <f t="shared" si="6"/>
        <v>0</v>
      </c>
      <c r="I23" s="312">
        <f t="shared" si="6"/>
        <v>0</v>
      </c>
      <c r="J23" s="312">
        <f t="shared" si="6"/>
        <v>0</v>
      </c>
      <c r="K23" s="312">
        <f t="shared" si="6"/>
        <v>0</v>
      </c>
      <c r="L23" s="312">
        <f t="shared" si="6"/>
        <v>0</v>
      </c>
      <c r="M23" s="312">
        <f t="shared" si="6"/>
        <v>0</v>
      </c>
      <c r="N23" s="312">
        <f t="shared" si="6"/>
        <v>0</v>
      </c>
      <c r="O23" s="312">
        <f t="shared" si="6"/>
        <v>0</v>
      </c>
      <c r="P23" s="312">
        <f t="shared" si="6"/>
        <v>0</v>
      </c>
      <c r="Q23" s="312">
        <f t="shared" si="6"/>
        <v>0</v>
      </c>
      <c r="R23" s="312">
        <f t="shared" si="6"/>
        <v>0</v>
      </c>
      <c r="S23" s="312">
        <f t="shared" si="6"/>
        <v>0</v>
      </c>
      <c r="T23" s="312">
        <f t="shared" si="6"/>
        <v>0</v>
      </c>
      <c r="U23" s="312">
        <f t="shared" si="6"/>
        <v>0</v>
      </c>
      <c r="V23" s="312">
        <f t="shared" si="6"/>
        <v>0</v>
      </c>
      <c r="W23" s="312">
        <f t="shared" si="6"/>
        <v>0</v>
      </c>
      <c r="X23" s="312">
        <f t="shared" si="6"/>
        <v>0</v>
      </c>
      <c r="Y23" s="312">
        <f t="shared" si="6"/>
        <v>0</v>
      </c>
      <c r="Z23" s="312">
        <f t="shared" si="6"/>
        <v>0</v>
      </c>
      <c r="AA23" s="312">
        <f t="shared" si="6"/>
        <v>0</v>
      </c>
      <c r="AB23" s="312">
        <f t="shared" si="6"/>
        <v>0</v>
      </c>
      <c r="AC23" s="312">
        <f t="shared" si="6"/>
        <v>0</v>
      </c>
      <c r="AD23" s="312">
        <f t="shared" si="6"/>
        <v>0</v>
      </c>
      <c r="AE23" s="312">
        <f t="shared" si="6"/>
        <v>0</v>
      </c>
      <c r="AF23" s="312"/>
      <c r="AG23" s="312">
        <f t="shared" si="6"/>
        <v>0</v>
      </c>
      <c r="AH23" s="312">
        <f t="shared" si="6"/>
        <v>0</v>
      </c>
      <c r="AI23" s="312">
        <f>AI21+AI22</f>
        <v>0</v>
      </c>
      <c r="AJ23" s="312">
        <f>AJ21+AJ22</f>
        <v>0</v>
      </c>
      <c r="AK23" s="312">
        <f>AK21+AK22</f>
        <v>0</v>
      </c>
      <c r="AL23" s="312">
        <f t="shared" si="6"/>
        <v>41239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5.75">
      <c r="A24" s="182" t="s">
        <v>1263</v>
      </c>
      <c r="B24" s="286" t="s">
        <v>1264</v>
      </c>
      <c r="C24" s="286"/>
      <c r="D24" s="286"/>
      <c r="E24" s="286"/>
      <c r="F24" s="286"/>
      <c r="G24" s="286"/>
      <c r="H24" s="286">
        <v>0</v>
      </c>
      <c r="I24" s="286"/>
      <c r="J24" s="286"/>
      <c r="K24" s="286"/>
      <c r="L24" s="286"/>
      <c r="M24" s="183">
        <v>0</v>
      </c>
      <c r="N24" s="183">
        <v>0</v>
      </c>
      <c r="O24" s="183"/>
      <c r="P24" s="183">
        <v>0</v>
      </c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316"/>
      <c r="AG24" s="316"/>
      <c r="AH24" s="316"/>
      <c r="AI24" s="316"/>
      <c r="AJ24" s="316"/>
      <c r="AK24" s="316"/>
      <c r="AL24" s="185">
        <f>SUM(C24:AK24)</f>
        <v>0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s="143" customFormat="1" ht="15.75">
      <c r="A25" s="182" t="s">
        <v>1265</v>
      </c>
      <c r="B25" s="307" t="s">
        <v>1266</v>
      </c>
      <c r="C25" s="319"/>
      <c r="D25" s="319"/>
      <c r="E25" s="319"/>
      <c r="F25" s="319"/>
      <c r="G25" s="319"/>
      <c r="H25" s="319">
        <f>SUM(H22:H24)</f>
        <v>0</v>
      </c>
      <c r="I25" s="319"/>
      <c r="J25" s="319"/>
      <c r="K25" s="319"/>
      <c r="L25" s="319"/>
      <c r="M25" s="317">
        <f>SUM(M22:M24)</f>
        <v>0</v>
      </c>
      <c r="N25" s="317">
        <f>SUM(N22:N24)</f>
        <v>0</v>
      </c>
      <c r="O25" s="317"/>
      <c r="P25" s="317">
        <f>SUM(P22:P24)</f>
        <v>0</v>
      </c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>
        <f>SUM(AC22:AC24)</f>
        <v>0</v>
      </c>
      <c r="AD25" s="317"/>
      <c r="AE25" s="317">
        <f>SUM(AE22:AE24)</f>
        <v>0</v>
      </c>
      <c r="AF25" s="316"/>
      <c r="AG25" s="316"/>
      <c r="AH25" s="316"/>
      <c r="AI25" s="316"/>
      <c r="AJ25" s="316"/>
      <c r="AK25" s="316"/>
      <c r="AL25" s="185">
        <f>SUM(C25:AK25)</f>
        <v>0</v>
      </c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</row>
    <row r="26" spans="1:51" ht="15.75">
      <c r="A26" s="182" t="s">
        <v>1267</v>
      </c>
      <c r="B26" s="286" t="s">
        <v>1268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183">
        <v>0</v>
      </c>
      <c r="N26" s="183">
        <v>0</v>
      </c>
      <c r="O26" s="183"/>
      <c r="P26" s="183">
        <v>0</v>
      </c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316"/>
      <c r="AG26" s="316"/>
      <c r="AH26" s="316"/>
      <c r="AI26" s="316"/>
      <c r="AJ26" s="316"/>
      <c r="AK26" s="316"/>
      <c r="AL26" s="185">
        <f>SUM(C26:AK26)</f>
        <v>0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1:51" ht="15.75">
      <c r="A27" s="182" t="s">
        <v>1269</v>
      </c>
      <c r="B27" s="286" t="s">
        <v>1270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183">
        <v>0</v>
      </c>
      <c r="N27" s="183">
        <v>0</v>
      </c>
      <c r="O27" s="183"/>
      <c r="P27" s="183">
        <v>0</v>
      </c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316"/>
      <c r="AG27" s="316"/>
      <c r="AH27" s="316"/>
      <c r="AI27" s="316"/>
      <c r="AJ27" s="316"/>
      <c r="AK27" s="316"/>
      <c r="AL27" s="185">
        <f>SUM(C27:AK27)</f>
        <v>0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1:51" ht="15.75">
      <c r="A28" s="311" t="s">
        <v>1271</v>
      </c>
      <c r="B28" s="320" t="s">
        <v>1272</v>
      </c>
      <c r="C28" s="318">
        <f>SUM(C24:C27)</f>
        <v>0</v>
      </c>
      <c r="D28" s="318">
        <f aca="true" t="shared" si="7" ref="D28:AL28">SUM(D24:D27)</f>
        <v>0</v>
      </c>
      <c r="E28" s="318">
        <f t="shared" si="7"/>
        <v>0</v>
      </c>
      <c r="F28" s="318">
        <f t="shared" si="7"/>
        <v>0</v>
      </c>
      <c r="G28" s="318">
        <f t="shared" si="7"/>
        <v>0</v>
      </c>
      <c r="H28" s="318">
        <f t="shared" si="7"/>
        <v>0</v>
      </c>
      <c r="I28" s="318">
        <f t="shared" si="7"/>
        <v>0</v>
      </c>
      <c r="J28" s="318">
        <f t="shared" si="7"/>
        <v>0</v>
      </c>
      <c r="K28" s="318">
        <f t="shared" si="7"/>
        <v>0</v>
      </c>
      <c r="L28" s="318">
        <f t="shared" si="7"/>
        <v>0</v>
      </c>
      <c r="M28" s="318">
        <f t="shared" si="7"/>
        <v>0</v>
      </c>
      <c r="N28" s="318">
        <f t="shared" si="7"/>
        <v>0</v>
      </c>
      <c r="O28" s="318">
        <f t="shared" si="7"/>
        <v>0</v>
      </c>
      <c r="P28" s="318">
        <f t="shared" si="7"/>
        <v>0</v>
      </c>
      <c r="Q28" s="318">
        <f t="shared" si="7"/>
        <v>0</v>
      </c>
      <c r="R28" s="318">
        <f t="shared" si="7"/>
        <v>0</v>
      </c>
      <c r="S28" s="318">
        <f t="shared" si="7"/>
        <v>0</v>
      </c>
      <c r="T28" s="318">
        <f t="shared" si="7"/>
        <v>0</v>
      </c>
      <c r="U28" s="318">
        <f t="shared" si="7"/>
        <v>0</v>
      </c>
      <c r="V28" s="318">
        <f t="shared" si="7"/>
        <v>0</v>
      </c>
      <c r="W28" s="318">
        <f t="shared" si="7"/>
        <v>0</v>
      </c>
      <c r="X28" s="318">
        <f t="shared" si="7"/>
        <v>0</v>
      </c>
      <c r="Y28" s="318">
        <f t="shared" si="7"/>
        <v>0</v>
      </c>
      <c r="Z28" s="318">
        <f t="shared" si="7"/>
        <v>0</v>
      </c>
      <c r="AA28" s="318">
        <f t="shared" si="7"/>
        <v>0</v>
      </c>
      <c r="AB28" s="318">
        <f t="shared" si="7"/>
        <v>0</v>
      </c>
      <c r="AC28" s="318">
        <f t="shared" si="7"/>
        <v>0</v>
      </c>
      <c r="AD28" s="318">
        <f t="shared" si="7"/>
        <v>0</v>
      </c>
      <c r="AE28" s="318">
        <f t="shared" si="7"/>
        <v>0</v>
      </c>
      <c r="AF28" s="318"/>
      <c r="AG28" s="318">
        <f t="shared" si="7"/>
        <v>0</v>
      </c>
      <c r="AH28" s="318">
        <f t="shared" si="7"/>
        <v>0</v>
      </c>
      <c r="AI28" s="318">
        <f>SUM(AI24:AI27)</f>
        <v>0</v>
      </c>
      <c r="AJ28" s="318">
        <f>SUM(AJ24:AJ27)</f>
        <v>0</v>
      </c>
      <c r="AK28" s="318">
        <f>SUM(AK24:AK27)</f>
        <v>0</v>
      </c>
      <c r="AL28" s="318">
        <f t="shared" si="7"/>
        <v>0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1:51" ht="24.75" customHeight="1">
      <c r="A29" s="182" t="s">
        <v>1277</v>
      </c>
      <c r="B29" s="286" t="s">
        <v>1278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183">
        <v>0</v>
      </c>
      <c r="N29" s="183">
        <v>0</v>
      </c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>
        <v>0</v>
      </c>
      <c r="AA29" s="183"/>
      <c r="AB29" s="183"/>
      <c r="AC29" s="183"/>
      <c r="AD29" s="183"/>
      <c r="AE29" s="183"/>
      <c r="AF29" s="316"/>
      <c r="AG29" s="316"/>
      <c r="AH29" s="316"/>
      <c r="AI29" s="316"/>
      <c r="AJ29" s="316">
        <v>1000</v>
      </c>
      <c r="AK29" s="316"/>
      <c r="AL29" s="185">
        <f>SUM(C29:AK29)</f>
        <v>1000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</row>
    <row r="30" spans="1:51" ht="15.75">
      <c r="A30" s="311" t="s">
        <v>1279</v>
      </c>
      <c r="B30" s="318" t="s">
        <v>1280</v>
      </c>
      <c r="C30" s="318">
        <f>C29</f>
        <v>0</v>
      </c>
      <c r="D30" s="318">
        <f aca="true" t="shared" si="8" ref="D30:AL30">D29</f>
        <v>0</v>
      </c>
      <c r="E30" s="318"/>
      <c r="F30" s="318">
        <f t="shared" si="8"/>
        <v>0</v>
      </c>
      <c r="G30" s="318">
        <f t="shared" si="8"/>
        <v>0</v>
      </c>
      <c r="H30" s="318">
        <f t="shared" si="8"/>
        <v>0</v>
      </c>
      <c r="I30" s="318">
        <f t="shared" si="8"/>
        <v>0</v>
      </c>
      <c r="J30" s="318">
        <f t="shared" si="8"/>
        <v>0</v>
      </c>
      <c r="K30" s="318">
        <f t="shared" si="8"/>
        <v>0</v>
      </c>
      <c r="L30" s="318">
        <f t="shared" si="8"/>
        <v>0</v>
      </c>
      <c r="M30" s="318">
        <f t="shared" si="8"/>
        <v>0</v>
      </c>
      <c r="N30" s="318">
        <f t="shared" si="8"/>
        <v>0</v>
      </c>
      <c r="O30" s="318">
        <f t="shared" si="8"/>
        <v>0</v>
      </c>
      <c r="P30" s="318">
        <f t="shared" si="8"/>
        <v>0</v>
      </c>
      <c r="Q30" s="318">
        <f t="shared" si="8"/>
        <v>0</v>
      </c>
      <c r="R30" s="318">
        <f t="shared" si="8"/>
        <v>0</v>
      </c>
      <c r="S30" s="318">
        <f t="shared" si="8"/>
        <v>0</v>
      </c>
      <c r="T30" s="318">
        <f t="shared" si="8"/>
        <v>0</v>
      </c>
      <c r="U30" s="318">
        <f t="shared" si="8"/>
        <v>0</v>
      </c>
      <c r="V30" s="318">
        <f t="shared" si="8"/>
        <v>0</v>
      </c>
      <c r="W30" s="318">
        <f t="shared" si="8"/>
        <v>0</v>
      </c>
      <c r="X30" s="318">
        <f t="shared" si="8"/>
        <v>0</v>
      </c>
      <c r="Y30" s="318">
        <f t="shared" si="8"/>
        <v>0</v>
      </c>
      <c r="Z30" s="318">
        <f t="shared" si="8"/>
        <v>0</v>
      </c>
      <c r="AA30" s="318">
        <f t="shared" si="8"/>
        <v>0</v>
      </c>
      <c r="AB30" s="318">
        <f t="shared" si="8"/>
        <v>0</v>
      </c>
      <c r="AC30" s="318">
        <f t="shared" si="8"/>
        <v>0</v>
      </c>
      <c r="AD30" s="318">
        <f t="shared" si="8"/>
        <v>0</v>
      </c>
      <c r="AE30" s="318">
        <f t="shared" si="8"/>
        <v>0</v>
      </c>
      <c r="AF30" s="318"/>
      <c r="AG30" s="318">
        <f t="shared" si="8"/>
        <v>0</v>
      </c>
      <c r="AH30" s="318">
        <f t="shared" si="8"/>
        <v>0</v>
      </c>
      <c r="AI30" s="318">
        <f>AI29</f>
        <v>0</v>
      </c>
      <c r="AJ30" s="318">
        <f>AJ29</f>
        <v>1000</v>
      </c>
      <c r="AK30" s="318">
        <f>AK29</f>
        <v>0</v>
      </c>
      <c r="AL30" s="318">
        <f t="shared" si="8"/>
        <v>1000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</row>
    <row r="31" spans="1:51" ht="15.75">
      <c r="A31" s="311" t="s">
        <v>1281</v>
      </c>
      <c r="B31" s="318" t="s">
        <v>1282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29">
        <v>0</v>
      </c>
      <c r="N31" s="329">
        <v>0</v>
      </c>
      <c r="O31" s="329"/>
      <c r="P31" s="329">
        <v>0</v>
      </c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7"/>
      <c r="AG31" s="327"/>
      <c r="AH31" s="327"/>
      <c r="AI31" s="327"/>
      <c r="AJ31" s="327"/>
      <c r="AK31" s="327"/>
      <c r="AL31" s="330">
        <f>SUM(C31:AK31)</f>
        <v>0</v>
      </c>
      <c r="AM31" s="328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</row>
    <row r="32" spans="1:38" ht="23.25" customHeight="1">
      <c r="A32" s="287" t="s">
        <v>1283</v>
      </c>
      <c r="B32" s="321" t="s">
        <v>1284</v>
      </c>
      <c r="C32" s="321">
        <f>C20+C23+C28+C30+C31</f>
        <v>29982</v>
      </c>
      <c r="D32" s="321">
        <f aca="true" t="shared" si="9" ref="D32:AL32">D20+D23+D28+D30+D31</f>
        <v>1159</v>
      </c>
      <c r="E32" s="321">
        <f t="shared" si="9"/>
        <v>1914</v>
      </c>
      <c r="F32" s="321">
        <f t="shared" si="9"/>
        <v>7110</v>
      </c>
      <c r="G32" s="321">
        <f t="shared" si="9"/>
        <v>1074</v>
      </c>
      <c r="H32" s="321">
        <f t="shared" si="9"/>
        <v>0</v>
      </c>
      <c r="I32" s="321">
        <f t="shared" si="9"/>
        <v>0</v>
      </c>
      <c r="J32" s="321">
        <f t="shared" si="9"/>
        <v>0</v>
      </c>
      <c r="K32" s="321">
        <f t="shared" si="9"/>
        <v>0</v>
      </c>
      <c r="L32" s="321">
        <f t="shared" si="9"/>
        <v>0</v>
      </c>
      <c r="M32" s="321">
        <f t="shared" si="9"/>
        <v>0</v>
      </c>
      <c r="N32" s="321">
        <f t="shared" si="9"/>
        <v>0</v>
      </c>
      <c r="O32" s="321">
        <f t="shared" si="9"/>
        <v>0</v>
      </c>
      <c r="P32" s="321">
        <f t="shared" si="9"/>
        <v>0</v>
      </c>
      <c r="Q32" s="321">
        <f t="shared" si="9"/>
        <v>0</v>
      </c>
      <c r="R32" s="321">
        <f t="shared" si="9"/>
        <v>0</v>
      </c>
      <c r="S32" s="321">
        <f t="shared" si="9"/>
        <v>0</v>
      </c>
      <c r="T32" s="321">
        <f t="shared" si="9"/>
        <v>0</v>
      </c>
      <c r="U32" s="321">
        <f t="shared" si="9"/>
        <v>0</v>
      </c>
      <c r="V32" s="321">
        <f t="shared" si="9"/>
        <v>0</v>
      </c>
      <c r="W32" s="321">
        <f t="shared" si="9"/>
        <v>0</v>
      </c>
      <c r="X32" s="321">
        <f t="shared" si="9"/>
        <v>0</v>
      </c>
      <c r="Y32" s="321">
        <f t="shared" si="9"/>
        <v>0</v>
      </c>
      <c r="Z32" s="321">
        <f t="shared" si="9"/>
        <v>0</v>
      </c>
      <c r="AA32" s="321">
        <f t="shared" si="9"/>
        <v>0</v>
      </c>
      <c r="AB32" s="321">
        <f t="shared" si="9"/>
        <v>0</v>
      </c>
      <c r="AC32" s="321">
        <f t="shared" si="9"/>
        <v>0</v>
      </c>
      <c r="AD32" s="321">
        <f t="shared" si="9"/>
        <v>0</v>
      </c>
      <c r="AE32" s="321">
        <f t="shared" si="9"/>
        <v>0</v>
      </c>
      <c r="AF32" s="321"/>
      <c r="AG32" s="321">
        <f t="shared" si="9"/>
        <v>0</v>
      </c>
      <c r="AH32" s="321">
        <f t="shared" si="9"/>
        <v>0</v>
      </c>
      <c r="AI32" s="321">
        <f>AI20+AI23+AI28+AI30+AI31</f>
        <v>0</v>
      </c>
      <c r="AJ32" s="321">
        <f>AJ20+AJ23+AJ28+AJ30+AJ31</f>
        <v>1000</v>
      </c>
      <c r="AK32" s="321">
        <f>AK20+AK23+AK28+AK30+AK31</f>
        <v>0</v>
      </c>
      <c r="AL32" s="321">
        <f t="shared" si="9"/>
        <v>42239</v>
      </c>
    </row>
    <row r="33" spans="1:38" ht="23.25" customHeight="1">
      <c r="A33" s="287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</row>
    <row r="34" spans="1:38" ht="15.75">
      <c r="A34" s="18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206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91"/>
      <c r="AG34" s="191"/>
      <c r="AH34" s="191"/>
      <c r="AI34" s="191"/>
      <c r="AJ34" s="191"/>
      <c r="AK34" s="191"/>
      <c r="AL34" s="192"/>
    </row>
    <row r="35" spans="1:38" ht="15.75">
      <c r="A35" s="182" t="s">
        <v>1096</v>
      </c>
      <c r="B35" s="322" t="s">
        <v>1097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206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91"/>
      <c r="AG35" s="191"/>
      <c r="AH35" s="191"/>
      <c r="AI35" s="191"/>
      <c r="AJ35" s="191"/>
      <c r="AK35" s="191"/>
      <c r="AL35" s="192">
        <f>SUM(C35:AK35)</f>
        <v>0</v>
      </c>
    </row>
    <row r="36" spans="1:38" ht="15.75">
      <c r="A36" s="182" t="s">
        <v>1098</v>
      </c>
      <c r="B36" s="322" t="s">
        <v>1099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206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91"/>
      <c r="AG36" s="191"/>
      <c r="AH36" s="191">
        <f>'B6B7B8'!O34</f>
        <v>192087</v>
      </c>
      <c r="AI36" s="191"/>
      <c r="AJ36" s="191"/>
      <c r="AK36" s="191"/>
      <c r="AL36" s="192">
        <f>SUM(C36:AK36)</f>
        <v>192087</v>
      </c>
    </row>
    <row r="37" spans="1:38" ht="15.75">
      <c r="A37" s="311" t="s">
        <v>1100</v>
      </c>
      <c r="B37" s="324" t="s">
        <v>1101</v>
      </c>
      <c r="C37" s="324">
        <f>C35+C36</f>
        <v>0</v>
      </c>
      <c r="D37" s="324">
        <f aca="true" t="shared" si="10" ref="D37:AL37">D35+D36</f>
        <v>0</v>
      </c>
      <c r="E37" s="324"/>
      <c r="F37" s="324">
        <f t="shared" si="10"/>
        <v>0</v>
      </c>
      <c r="G37" s="324">
        <f t="shared" si="10"/>
        <v>0</v>
      </c>
      <c r="H37" s="324">
        <f t="shared" si="10"/>
        <v>0</v>
      </c>
      <c r="I37" s="324">
        <f t="shared" si="10"/>
        <v>0</v>
      </c>
      <c r="J37" s="324">
        <f t="shared" si="10"/>
        <v>0</v>
      </c>
      <c r="K37" s="324">
        <f t="shared" si="10"/>
        <v>0</v>
      </c>
      <c r="L37" s="324">
        <f t="shared" si="10"/>
        <v>0</v>
      </c>
      <c r="M37" s="324">
        <f t="shared" si="10"/>
        <v>0</v>
      </c>
      <c r="N37" s="324">
        <f t="shared" si="10"/>
        <v>0</v>
      </c>
      <c r="O37" s="324">
        <f t="shared" si="10"/>
        <v>0</v>
      </c>
      <c r="P37" s="324">
        <f t="shared" si="10"/>
        <v>0</v>
      </c>
      <c r="Q37" s="324">
        <f t="shared" si="10"/>
        <v>0</v>
      </c>
      <c r="R37" s="324">
        <f t="shared" si="10"/>
        <v>0</v>
      </c>
      <c r="S37" s="324">
        <f t="shared" si="10"/>
        <v>0</v>
      </c>
      <c r="T37" s="324">
        <f t="shared" si="10"/>
        <v>0</v>
      </c>
      <c r="U37" s="324">
        <f t="shared" si="10"/>
        <v>0</v>
      </c>
      <c r="V37" s="324">
        <f t="shared" si="10"/>
        <v>0</v>
      </c>
      <c r="W37" s="324">
        <f t="shared" si="10"/>
        <v>0</v>
      </c>
      <c r="X37" s="324">
        <f t="shared" si="10"/>
        <v>0</v>
      </c>
      <c r="Y37" s="324">
        <f t="shared" si="10"/>
        <v>0</v>
      </c>
      <c r="Z37" s="324">
        <f t="shared" si="10"/>
        <v>0</v>
      </c>
      <c r="AA37" s="324">
        <f t="shared" si="10"/>
        <v>0</v>
      </c>
      <c r="AB37" s="324">
        <f t="shared" si="10"/>
        <v>0</v>
      </c>
      <c r="AC37" s="324">
        <f t="shared" si="10"/>
        <v>0</v>
      </c>
      <c r="AD37" s="324">
        <f t="shared" si="10"/>
        <v>0</v>
      </c>
      <c r="AE37" s="324">
        <f t="shared" si="10"/>
        <v>0</v>
      </c>
      <c r="AF37" s="324"/>
      <c r="AG37" s="324">
        <f t="shared" si="10"/>
        <v>0</v>
      </c>
      <c r="AH37" s="324">
        <f t="shared" si="10"/>
        <v>192087</v>
      </c>
      <c r="AI37" s="324">
        <f t="shared" si="10"/>
        <v>0</v>
      </c>
      <c r="AJ37" s="324">
        <f t="shared" si="10"/>
        <v>0</v>
      </c>
      <c r="AK37" s="324">
        <f t="shared" si="10"/>
        <v>0</v>
      </c>
      <c r="AL37" s="324">
        <f t="shared" si="10"/>
        <v>192087</v>
      </c>
    </row>
    <row r="38" spans="1:38" ht="15.75">
      <c r="A38" s="311" t="s">
        <v>1102</v>
      </c>
      <c r="B38" s="325" t="s">
        <v>1103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291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>
        <f>SUM(C38:AK38)</f>
        <v>0</v>
      </c>
    </row>
    <row r="39" spans="1:43" ht="22.5" customHeight="1">
      <c r="A39" s="287" t="s">
        <v>473</v>
      </c>
      <c r="B39" s="321" t="s">
        <v>1148</v>
      </c>
      <c r="C39" s="321">
        <f>C37+C38</f>
        <v>0</v>
      </c>
      <c r="D39" s="321">
        <f aca="true" t="shared" si="11" ref="D39:AL39">D37+D38</f>
        <v>0</v>
      </c>
      <c r="E39" s="321"/>
      <c r="F39" s="321">
        <f t="shared" si="11"/>
        <v>0</v>
      </c>
      <c r="G39" s="321">
        <f t="shared" si="11"/>
        <v>0</v>
      </c>
      <c r="H39" s="321">
        <f t="shared" si="11"/>
        <v>0</v>
      </c>
      <c r="I39" s="321">
        <f t="shared" si="11"/>
        <v>0</v>
      </c>
      <c r="J39" s="321">
        <f t="shared" si="11"/>
        <v>0</v>
      </c>
      <c r="K39" s="321">
        <f t="shared" si="11"/>
        <v>0</v>
      </c>
      <c r="L39" s="321">
        <f t="shared" si="11"/>
        <v>0</v>
      </c>
      <c r="M39" s="321">
        <f t="shared" si="11"/>
        <v>0</v>
      </c>
      <c r="N39" s="321">
        <f t="shared" si="11"/>
        <v>0</v>
      </c>
      <c r="O39" s="321">
        <f t="shared" si="11"/>
        <v>0</v>
      </c>
      <c r="P39" s="321">
        <f t="shared" si="11"/>
        <v>0</v>
      </c>
      <c r="Q39" s="321">
        <f t="shared" si="11"/>
        <v>0</v>
      </c>
      <c r="R39" s="321">
        <f t="shared" si="11"/>
        <v>0</v>
      </c>
      <c r="S39" s="321">
        <f t="shared" si="11"/>
        <v>0</v>
      </c>
      <c r="T39" s="321">
        <f t="shared" si="11"/>
        <v>0</v>
      </c>
      <c r="U39" s="321">
        <f t="shared" si="11"/>
        <v>0</v>
      </c>
      <c r="V39" s="321">
        <f t="shared" si="11"/>
        <v>0</v>
      </c>
      <c r="W39" s="321">
        <f t="shared" si="11"/>
        <v>0</v>
      </c>
      <c r="X39" s="321">
        <f t="shared" si="11"/>
        <v>0</v>
      </c>
      <c r="Y39" s="321">
        <f t="shared" si="11"/>
        <v>0</v>
      </c>
      <c r="Z39" s="321">
        <f t="shared" si="11"/>
        <v>0</v>
      </c>
      <c r="AA39" s="321">
        <f t="shared" si="11"/>
        <v>0</v>
      </c>
      <c r="AB39" s="321">
        <f t="shared" si="11"/>
        <v>0</v>
      </c>
      <c r="AC39" s="321">
        <f t="shared" si="11"/>
        <v>0</v>
      </c>
      <c r="AD39" s="321">
        <f t="shared" si="11"/>
        <v>0</v>
      </c>
      <c r="AE39" s="321">
        <f t="shared" si="11"/>
        <v>0</v>
      </c>
      <c r="AF39" s="321"/>
      <c r="AG39" s="321">
        <f t="shared" si="11"/>
        <v>0</v>
      </c>
      <c r="AH39" s="321">
        <f t="shared" si="11"/>
        <v>192087</v>
      </c>
      <c r="AI39" s="321">
        <f t="shared" si="11"/>
        <v>0</v>
      </c>
      <c r="AJ39" s="321">
        <f t="shared" si="11"/>
        <v>0</v>
      </c>
      <c r="AK39" s="321">
        <f t="shared" si="11"/>
        <v>0</v>
      </c>
      <c r="AL39" s="321">
        <f t="shared" si="11"/>
        <v>192087</v>
      </c>
      <c r="AM39" s="169"/>
      <c r="AN39" s="169"/>
      <c r="AO39" s="169"/>
      <c r="AP39" s="169"/>
      <c r="AQ39" s="169"/>
    </row>
    <row r="40" spans="2:12" ht="15.75"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2:12" ht="15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15.75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15.75"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</row>
    <row r="44" spans="2:12" ht="15.75"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t="15.75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15.7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15.75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</row>
    <row r="48" spans="2:12" ht="15.75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2:12" ht="15.7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ht="15.75"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</row>
    <row r="51" spans="2:12" ht="15.75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</row>
    <row r="52" spans="2:12" ht="15.75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2:12" ht="15.75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</row>
    <row r="54" spans="2:12" ht="15.75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</row>
    <row r="55" spans="2:12" ht="15.75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</row>
    <row r="56" spans="2:12" ht="15.75"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</row>
  </sheetData>
  <mergeCells count="1">
    <mergeCell ref="B1:AF1"/>
  </mergeCells>
  <printOptions/>
  <pageMargins left="0.1968503937007874" right="0.1968503937007874" top="0" bottom="0" header="0" footer="0"/>
  <pageSetup fitToHeight="1" fitToWidth="1" horizontalDpi="600" verticalDpi="600" orientation="landscape" paperSize="9" scale="52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B19">
      <selection activeCell="F39" sqref="F39"/>
    </sheetView>
  </sheetViews>
  <sheetFormatPr defaultColWidth="9.140625" defaultRowHeight="12.75"/>
  <cols>
    <col min="1" max="1" width="8.28125" style="44" customWidth="1"/>
    <col min="2" max="2" width="65.7109375" style="63" customWidth="1"/>
    <col min="3" max="3" width="12.421875" style="63" customWidth="1"/>
    <col min="4" max="6" width="12.7109375" style="41" customWidth="1"/>
    <col min="7" max="8" width="12.7109375" style="59" customWidth="1"/>
    <col min="9" max="9" width="12.7109375" style="59" hidden="1" customWidth="1"/>
    <col min="10" max="10" width="12.7109375" style="48" customWidth="1"/>
    <col min="11" max="13" width="12.7109375" style="48" hidden="1" customWidth="1"/>
    <col min="14" max="15" width="12.7109375" style="59" hidden="1" customWidth="1"/>
    <col min="16" max="16" width="12.7109375" style="48" hidden="1" customWidth="1"/>
    <col min="17" max="17" width="14.7109375" style="59" hidden="1" customWidth="1"/>
    <col min="18" max="18" width="12.140625" style="61" customWidth="1"/>
    <col min="19" max="16384" width="9.140625" style="61" customWidth="1"/>
  </cols>
  <sheetData>
    <row r="1" spans="4:17" ht="15.75">
      <c r="D1" s="782" t="s">
        <v>1086</v>
      </c>
      <c r="E1" s="782"/>
      <c r="F1" s="782"/>
      <c r="G1" s="782"/>
      <c r="H1" s="782"/>
      <c r="I1" s="782"/>
      <c r="J1" s="782"/>
      <c r="K1" s="782"/>
      <c r="L1" s="782"/>
      <c r="M1" s="782"/>
      <c r="N1" s="783" t="s">
        <v>147</v>
      </c>
      <c r="O1" s="783"/>
      <c r="P1" s="783"/>
      <c r="Q1" s="41"/>
    </row>
    <row r="2" spans="2:17" ht="141.75">
      <c r="B2" s="280" t="s">
        <v>1228</v>
      </c>
      <c r="C2" s="288" t="s">
        <v>1140</v>
      </c>
      <c r="D2" s="288" t="s">
        <v>1139</v>
      </c>
      <c r="E2" s="199" t="s">
        <v>89</v>
      </c>
      <c r="F2" s="385" t="s">
        <v>902</v>
      </c>
      <c r="G2" s="199" t="s">
        <v>91</v>
      </c>
      <c r="H2" s="161" t="s">
        <v>90</v>
      </c>
      <c r="I2" s="199" t="s">
        <v>997</v>
      </c>
      <c r="J2" s="48" t="s">
        <v>965</v>
      </c>
      <c r="K2" s="238"/>
      <c r="M2" s="48" t="s">
        <v>965</v>
      </c>
      <c r="N2" s="199" t="s">
        <v>850</v>
      </c>
      <c r="O2" s="199" t="s">
        <v>973</v>
      </c>
      <c r="P2" s="236" t="s">
        <v>213</v>
      </c>
      <c r="Q2" s="143" t="s">
        <v>213</v>
      </c>
    </row>
    <row r="3" spans="2:17" ht="15.75">
      <c r="B3" s="280" t="s">
        <v>229</v>
      </c>
      <c r="D3" s="199"/>
      <c r="E3" s="199"/>
      <c r="F3" s="199"/>
      <c r="G3" s="199"/>
      <c r="H3" s="281"/>
      <c r="I3" s="199"/>
      <c r="K3" s="238"/>
      <c r="N3" s="199"/>
      <c r="O3" s="199"/>
      <c r="P3" s="236"/>
      <c r="Q3" s="143"/>
    </row>
    <row r="4" spans="1:28" ht="15.75">
      <c r="A4" s="44" t="s">
        <v>1285</v>
      </c>
      <c r="B4" s="10" t="s">
        <v>1286</v>
      </c>
      <c r="C4" s="409"/>
      <c r="D4" s="410">
        <v>0</v>
      </c>
      <c r="E4" s="410"/>
      <c r="F4" s="410">
        <v>0</v>
      </c>
      <c r="G4" s="410"/>
      <c r="H4" s="410"/>
      <c r="I4" s="410"/>
      <c r="J4" s="411">
        <f>SUM(C4:I4)</f>
        <v>0</v>
      </c>
      <c r="K4" s="164"/>
      <c r="L4" s="171"/>
      <c r="M4" s="171">
        <f>SUM(K4:L4)</f>
        <v>0</v>
      </c>
      <c r="N4" s="45"/>
      <c r="O4" s="45"/>
      <c r="P4" s="47">
        <f>N4+O4</f>
        <v>0</v>
      </c>
      <c r="Q4" s="235">
        <f>J4+P4+M4</f>
        <v>0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ht="15.75">
      <c r="A5" s="44" t="s">
        <v>1287</v>
      </c>
      <c r="B5" s="10" t="s">
        <v>1288</v>
      </c>
      <c r="C5" s="409"/>
      <c r="D5" s="410"/>
      <c r="E5" s="410"/>
      <c r="F5" s="410"/>
      <c r="G5" s="410"/>
      <c r="H5" s="410"/>
      <c r="I5" s="410"/>
      <c r="J5" s="411">
        <f>SUM(C5:I5)</f>
        <v>0</v>
      </c>
      <c r="K5" s="171"/>
      <c r="L5" s="171"/>
      <c r="M5" s="171">
        <f aca="true" t="shared" si="0" ref="M5:M31">SUM(K5:L5)</f>
        <v>0</v>
      </c>
      <c r="N5" s="45"/>
      <c r="O5" s="45"/>
      <c r="P5" s="47">
        <f aca="true" t="shared" si="1" ref="P5:P31">N5+O5</f>
        <v>0</v>
      </c>
      <c r="Q5" s="235">
        <f aca="true" t="shared" si="2" ref="Q5:Q31">J5+P5+M5</f>
        <v>0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5.75">
      <c r="A6" s="283" t="s">
        <v>1289</v>
      </c>
      <c r="B6" s="282" t="s">
        <v>1290</v>
      </c>
      <c r="C6" s="412">
        <f>C4+C5</f>
        <v>0</v>
      </c>
      <c r="D6" s="412">
        <f aca="true" t="shared" si="3" ref="D6:Q6">D4+D5</f>
        <v>0</v>
      </c>
      <c r="E6" s="412">
        <f t="shared" si="3"/>
        <v>0</v>
      </c>
      <c r="F6" s="412">
        <f t="shared" si="3"/>
        <v>0</v>
      </c>
      <c r="G6" s="412">
        <f t="shared" si="3"/>
        <v>0</v>
      </c>
      <c r="H6" s="412">
        <f t="shared" si="3"/>
        <v>0</v>
      </c>
      <c r="I6" s="412">
        <f t="shared" si="3"/>
        <v>0</v>
      </c>
      <c r="J6" s="412">
        <f t="shared" si="3"/>
        <v>0</v>
      </c>
      <c r="K6" s="10">
        <f t="shared" si="3"/>
        <v>0</v>
      </c>
      <c r="L6" s="10">
        <f t="shared" si="3"/>
        <v>0</v>
      </c>
      <c r="M6" s="10">
        <f t="shared" si="3"/>
        <v>0</v>
      </c>
      <c r="N6" s="10">
        <f t="shared" si="3"/>
        <v>0</v>
      </c>
      <c r="O6" s="10">
        <f t="shared" si="3"/>
        <v>0</v>
      </c>
      <c r="P6" s="10">
        <f t="shared" si="3"/>
        <v>0</v>
      </c>
      <c r="Q6" s="10">
        <f t="shared" si="3"/>
        <v>0</v>
      </c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5.75">
      <c r="A7" s="44" t="s">
        <v>1291</v>
      </c>
      <c r="B7" s="10" t="s">
        <v>1292</v>
      </c>
      <c r="C7" s="409"/>
      <c r="D7" s="413"/>
      <c r="E7" s="413"/>
      <c r="F7" s="413"/>
      <c r="G7" s="413"/>
      <c r="H7" s="413"/>
      <c r="I7" s="413"/>
      <c r="J7" s="411">
        <f>SUM(C7:I7)</f>
        <v>0</v>
      </c>
      <c r="K7" s="171"/>
      <c r="L7" s="171"/>
      <c r="M7" s="171">
        <f t="shared" si="0"/>
        <v>0</v>
      </c>
      <c r="N7" s="49"/>
      <c r="O7" s="49"/>
      <c r="P7" s="47">
        <f t="shared" si="1"/>
        <v>0</v>
      </c>
      <c r="Q7" s="235">
        <f t="shared" si="2"/>
        <v>0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5.75">
      <c r="A8" s="44" t="s">
        <v>1293</v>
      </c>
      <c r="B8" s="10" t="s">
        <v>605</v>
      </c>
      <c r="C8" s="409"/>
      <c r="D8" s="413">
        <f>D4*0.2</f>
        <v>0</v>
      </c>
      <c r="E8" s="413"/>
      <c r="F8" s="413">
        <f>F4*0.25</f>
        <v>0</v>
      </c>
      <c r="G8" s="413">
        <v>2800</v>
      </c>
      <c r="H8" s="413"/>
      <c r="I8" s="413"/>
      <c r="J8" s="411">
        <f aca="true" t="shared" si="4" ref="J8:J37">SUM(C8:I8)</f>
        <v>2800</v>
      </c>
      <c r="K8" s="171">
        <v>0</v>
      </c>
      <c r="L8" s="171"/>
      <c r="M8" s="171">
        <f t="shared" si="0"/>
        <v>0</v>
      </c>
      <c r="N8" s="49">
        <f>N4*0.25</f>
        <v>0</v>
      </c>
      <c r="O8" s="49"/>
      <c r="P8" s="47">
        <f t="shared" si="1"/>
        <v>0</v>
      </c>
      <c r="Q8" s="235">
        <f t="shared" si="2"/>
        <v>2800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15.75">
      <c r="A9" s="44" t="s">
        <v>606</v>
      </c>
      <c r="B9" s="10" t="s">
        <v>607</v>
      </c>
      <c r="C9" s="409"/>
      <c r="D9" s="413"/>
      <c r="E9" s="413"/>
      <c r="F9" s="413"/>
      <c r="G9" s="413">
        <v>0</v>
      </c>
      <c r="H9" s="413"/>
      <c r="I9" s="413"/>
      <c r="J9" s="411">
        <f t="shared" si="4"/>
        <v>0</v>
      </c>
      <c r="K9" s="171"/>
      <c r="L9" s="171"/>
      <c r="M9" s="171">
        <f t="shared" si="0"/>
        <v>0</v>
      </c>
      <c r="N9" s="49"/>
      <c r="O9" s="49"/>
      <c r="P9" s="47">
        <f t="shared" si="1"/>
        <v>0</v>
      </c>
      <c r="Q9" s="235">
        <f t="shared" si="2"/>
        <v>0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15.75">
      <c r="A10" s="44" t="s">
        <v>608</v>
      </c>
      <c r="B10" s="10" t="s">
        <v>609</v>
      </c>
      <c r="C10" s="414"/>
      <c r="D10" s="413"/>
      <c r="E10" s="413"/>
      <c r="F10" s="415"/>
      <c r="G10" s="416"/>
      <c r="H10" s="413"/>
      <c r="I10" s="413"/>
      <c r="J10" s="411">
        <f t="shared" si="4"/>
        <v>0</v>
      </c>
      <c r="K10" s="171"/>
      <c r="L10" s="171"/>
      <c r="M10" s="171">
        <f t="shared" si="0"/>
        <v>0</v>
      </c>
      <c r="N10" s="45"/>
      <c r="O10" s="45"/>
      <c r="P10" s="47">
        <f t="shared" si="1"/>
        <v>0</v>
      </c>
      <c r="Q10" s="235">
        <f t="shared" si="2"/>
        <v>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5.75">
      <c r="A11" s="44" t="s">
        <v>610</v>
      </c>
      <c r="B11" s="10" t="s">
        <v>611</v>
      </c>
      <c r="C11" s="409"/>
      <c r="D11" s="413"/>
      <c r="E11" s="413"/>
      <c r="F11" s="413">
        <v>0</v>
      </c>
      <c r="G11" s="413">
        <v>37244</v>
      </c>
      <c r="H11" s="413">
        <f>3211+9667</f>
        <v>12878</v>
      </c>
      <c r="I11" s="413"/>
      <c r="J11" s="410">
        <f t="shared" si="4"/>
        <v>50122</v>
      </c>
      <c r="K11" s="171"/>
      <c r="L11" s="171"/>
      <c r="M11" s="171">
        <f t="shared" si="0"/>
        <v>0</v>
      </c>
      <c r="N11" s="49"/>
      <c r="O11" s="49"/>
      <c r="P11" s="47">
        <f t="shared" si="1"/>
        <v>0</v>
      </c>
      <c r="Q11" s="235">
        <f t="shared" si="2"/>
        <v>50122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5.75">
      <c r="A12" s="44" t="s">
        <v>612</v>
      </c>
      <c r="B12" s="10" t="s">
        <v>613</v>
      </c>
      <c r="C12" s="409"/>
      <c r="D12" s="410"/>
      <c r="E12" s="410"/>
      <c r="F12" s="410">
        <v>0</v>
      </c>
      <c r="G12" s="413">
        <v>0</v>
      </c>
      <c r="H12" s="413"/>
      <c r="I12" s="413"/>
      <c r="J12" s="411">
        <f t="shared" si="4"/>
        <v>0</v>
      </c>
      <c r="K12" s="171"/>
      <c r="L12" s="171"/>
      <c r="M12" s="171">
        <f t="shared" si="0"/>
        <v>0</v>
      </c>
      <c r="N12" s="172">
        <v>0</v>
      </c>
      <c r="O12" s="172">
        <v>0</v>
      </c>
      <c r="P12" s="47">
        <f t="shared" si="1"/>
        <v>0</v>
      </c>
      <c r="Q12" s="235">
        <f t="shared" si="2"/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.75">
      <c r="A13" s="283" t="s">
        <v>614</v>
      </c>
      <c r="B13" s="282" t="s">
        <v>615</v>
      </c>
      <c r="C13" s="412">
        <f>SUM(C7:C12)</f>
        <v>0</v>
      </c>
      <c r="D13" s="412">
        <f aca="true" t="shared" si="5" ref="D13:Q13">SUM(D7:D12)</f>
        <v>0</v>
      </c>
      <c r="E13" s="412">
        <f t="shared" si="5"/>
        <v>0</v>
      </c>
      <c r="F13" s="412">
        <f t="shared" si="5"/>
        <v>0</v>
      </c>
      <c r="G13" s="412">
        <f t="shared" si="5"/>
        <v>40044</v>
      </c>
      <c r="H13" s="412">
        <f t="shared" si="5"/>
        <v>12878</v>
      </c>
      <c r="I13" s="412">
        <f t="shared" si="5"/>
        <v>0</v>
      </c>
      <c r="J13" s="412">
        <f t="shared" si="5"/>
        <v>52922</v>
      </c>
      <c r="K13" s="282">
        <f t="shared" si="5"/>
        <v>0</v>
      </c>
      <c r="L13" s="282">
        <f t="shared" si="5"/>
        <v>0</v>
      </c>
      <c r="M13" s="282">
        <f t="shared" si="5"/>
        <v>0</v>
      </c>
      <c r="N13" s="282">
        <f t="shared" si="5"/>
        <v>0</v>
      </c>
      <c r="O13" s="282">
        <f t="shared" si="5"/>
        <v>0</v>
      </c>
      <c r="P13" s="282">
        <f t="shared" si="5"/>
        <v>0</v>
      </c>
      <c r="Q13" s="282">
        <f t="shared" si="5"/>
        <v>52922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5.75">
      <c r="A14" s="44" t="s">
        <v>435</v>
      </c>
      <c r="B14" s="10" t="s">
        <v>616</v>
      </c>
      <c r="C14" s="409"/>
      <c r="D14" s="410"/>
      <c r="E14" s="410"/>
      <c r="F14" s="410"/>
      <c r="G14" s="410"/>
      <c r="H14" s="410"/>
      <c r="I14" s="410"/>
      <c r="J14" s="411">
        <f t="shared" si="4"/>
        <v>0</v>
      </c>
      <c r="K14" s="171"/>
      <c r="L14" s="171"/>
      <c r="M14" s="171">
        <f t="shared" si="0"/>
        <v>0</v>
      </c>
      <c r="N14" s="45"/>
      <c r="O14" s="45"/>
      <c r="P14" s="47">
        <f t="shared" si="1"/>
        <v>0</v>
      </c>
      <c r="Q14" s="235">
        <f t="shared" si="2"/>
        <v>0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ht="15.75">
      <c r="A15" s="44" t="s">
        <v>436</v>
      </c>
      <c r="B15" s="10" t="s">
        <v>437</v>
      </c>
      <c r="C15" s="409"/>
      <c r="D15" s="413"/>
      <c r="E15" s="413"/>
      <c r="F15" s="413"/>
      <c r="G15" s="413"/>
      <c r="H15" s="413"/>
      <c r="I15" s="413"/>
      <c r="J15" s="411">
        <f t="shared" si="4"/>
        <v>0</v>
      </c>
      <c r="K15" s="171"/>
      <c r="L15" s="171"/>
      <c r="M15" s="171">
        <f t="shared" si="0"/>
        <v>0</v>
      </c>
      <c r="N15" s="49"/>
      <c r="O15" s="49"/>
      <c r="P15" s="47">
        <f t="shared" si="1"/>
        <v>0</v>
      </c>
      <c r="Q15" s="235">
        <f t="shared" si="2"/>
        <v>0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15.75">
      <c r="A16" s="283" t="s">
        <v>438</v>
      </c>
      <c r="B16" s="282" t="s">
        <v>1295</v>
      </c>
      <c r="C16" s="412">
        <f>C14+C15</f>
        <v>0</v>
      </c>
      <c r="D16" s="412">
        <f aca="true" t="shared" si="6" ref="D16:Q16">D14+D15</f>
        <v>0</v>
      </c>
      <c r="E16" s="412">
        <f t="shared" si="6"/>
        <v>0</v>
      </c>
      <c r="F16" s="412">
        <f t="shared" si="6"/>
        <v>0</v>
      </c>
      <c r="G16" s="412">
        <f t="shared" si="6"/>
        <v>0</v>
      </c>
      <c r="H16" s="412">
        <f t="shared" si="6"/>
        <v>0</v>
      </c>
      <c r="I16" s="412">
        <f t="shared" si="6"/>
        <v>0</v>
      </c>
      <c r="J16" s="412">
        <f t="shared" si="6"/>
        <v>0</v>
      </c>
      <c r="K16" s="282">
        <f t="shared" si="6"/>
        <v>0</v>
      </c>
      <c r="L16" s="282">
        <f t="shared" si="6"/>
        <v>0</v>
      </c>
      <c r="M16" s="282">
        <f t="shared" si="6"/>
        <v>0</v>
      </c>
      <c r="N16" s="282">
        <f t="shared" si="6"/>
        <v>0</v>
      </c>
      <c r="O16" s="282">
        <f t="shared" si="6"/>
        <v>0</v>
      </c>
      <c r="P16" s="282">
        <f t="shared" si="6"/>
        <v>0</v>
      </c>
      <c r="Q16" s="282">
        <f t="shared" si="6"/>
        <v>0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ht="15.75">
      <c r="A17" s="44" t="s">
        <v>1297</v>
      </c>
      <c r="B17" s="10" t="s">
        <v>1296</v>
      </c>
      <c r="C17" s="409"/>
      <c r="D17" s="413"/>
      <c r="E17" s="413">
        <v>234</v>
      </c>
      <c r="F17" s="413">
        <v>0</v>
      </c>
      <c r="G17" s="413"/>
      <c r="H17" s="413">
        <f>4631+3937</f>
        <v>8568</v>
      </c>
      <c r="I17" s="413"/>
      <c r="J17" s="411">
        <f t="shared" si="4"/>
        <v>8802</v>
      </c>
      <c r="K17" s="171"/>
      <c r="L17" s="171"/>
      <c r="M17" s="171">
        <f t="shared" si="0"/>
        <v>0</v>
      </c>
      <c r="N17" s="49"/>
      <c r="O17" s="49">
        <v>0</v>
      </c>
      <c r="P17" s="47">
        <f t="shared" si="1"/>
        <v>0</v>
      </c>
      <c r="Q17" s="235">
        <f t="shared" si="2"/>
        <v>8802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15.75">
      <c r="A18" s="44" t="s">
        <v>1298</v>
      </c>
      <c r="B18" s="10" t="s">
        <v>1299</v>
      </c>
      <c r="C18" s="409"/>
      <c r="D18" s="410"/>
      <c r="E18" s="410"/>
      <c r="F18" s="410"/>
      <c r="G18" s="410"/>
      <c r="H18" s="410"/>
      <c r="I18" s="410"/>
      <c r="J18" s="411">
        <f t="shared" si="4"/>
        <v>0</v>
      </c>
      <c r="K18" s="171"/>
      <c r="L18" s="171"/>
      <c r="M18" s="171">
        <f t="shared" si="0"/>
        <v>0</v>
      </c>
      <c r="N18" s="63"/>
      <c r="O18" s="63"/>
      <c r="P18" s="47">
        <f t="shared" si="1"/>
        <v>0</v>
      </c>
      <c r="Q18" s="235">
        <f t="shared" si="2"/>
        <v>0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ht="15.75">
      <c r="A19" s="44" t="s">
        <v>1300</v>
      </c>
      <c r="B19" s="10" t="s">
        <v>1301</v>
      </c>
      <c r="C19" s="409"/>
      <c r="D19" s="410"/>
      <c r="E19" s="410"/>
      <c r="F19" s="410">
        <v>6693</v>
      </c>
      <c r="G19" s="410"/>
      <c r="H19" s="410"/>
      <c r="I19" s="410"/>
      <c r="J19" s="411">
        <f t="shared" si="4"/>
        <v>6693</v>
      </c>
      <c r="K19" s="171"/>
      <c r="L19" s="171"/>
      <c r="M19" s="171">
        <f t="shared" si="0"/>
        <v>0</v>
      </c>
      <c r="N19" s="63"/>
      <c r="O19" s="63"/>
      <c r="P19" s="47">
        <f t="shared" si="1"/>
        <v>0</v>
      </c>
      <c r="Q19" s="235">
        <f t="shared" si="2"/>
        <v>6693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ht="15.75">
      <c r="A20" s="283" t="s">
        <v>1302</v>
      </c>
      <c r="B20" s="282" t="s">
        <v>1303</v>
      </c>
      <c r="C20" s="412">
        <f>C17+C18+C19</f>
        <v>0</v>
      </c>
      <c r="D20" s="412">
        <f aca="true" t="shared" si="7" ref="D20:J20">D17+D18+D19</f>
        <v>0</v>
      </c>
      <c r="E20" s="412">
        <f t="shared" si="7"/>
        <v>234</v>
      </c>
      <c r="F20" s="412">
        <f t="shared" si="7"/>
        <v>6693</v>
      </c>
      <c r="G20" s="412">
        <f t="shared" si="7"/>
        <v>0</v>
      </c>
      <c r="H20" s="412">
        <f t="shared" si="7"/>
        <v>8568</v>
      </c>
      <c r="I20" s="412">
        <f t="shared" si="7"/>
        <v>0</v>
      </c>
      <c r="J20" s="412">
        <f t="shared" si="7"/>
        <v>15495</v>
      </c>
      <c r="K20" s="171"/>
      <c r="L20" s="171"/>
      <c r="M20" s="171">
        <f t="shared" si="0"/>
        <v>0</v>
      </c>
      <c r="N20" s="63"/>
      <c r="O20" s="63"/>
      <c r="P20" s="47">
        <f t="shared" si="1"/>
        <v>0</v>
      </c>
      <c r="Q20" s="235">
        <f t="shared" si="2"/>
        <v>15495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s="143" customFormat="1" ht="15.75">
      <c r="A21" s="283" t="s">
        <v>1304</v>
      </c>
      <c r="B21" s="282" t="s">
        <v>1305</v>
      </c>
      <c r="C21" s="412"/>
      <c r="D21" s="417"/>
      <c r="E21" s="417"/>
      <c r="F21" s="417">
        <v>100</v>
      </c>
      <c r="G21" s="417"/>
      <c r="H21" s="417"/>
      <c r="I21" s="417"/>
      <c r="J21" s="417">
        <f t="shared" si="4"/>
        <v>100</v>
      </c>
      <c r="K21" s="171"/>
      <c r="L21" s="171"/>
      <c r="M21" s="171">
        <f t="shared" si="0"/>
        <v>0</v>
      </c>
      <c r="N21" s="81"/>
      <c r="O21" s="81"/>
      <c r="P21" s="47">
        <f t="shared" si="1"/>
        <v>0</v>
      </c>
      <c r="Q21" s="235">
        <f t="shared" si="2"/>
        <v>100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5.75">
      <c r="A22" s="283" t="s">
        <v>1306</v>
      </c>
      <c r="B22" s="282" t="s">
        <v>1307</v>
      </c>
      <c r="C22" s="412"/>
      <c r="D22" s="418"/>
      <c r="E22" s="418"/>
      <c r="F22" s="418">
        <v>0</v>
      </c>
      <c r="G22" s="418"/>
      <c r="H22" s="418"/>
      <c r="I22" s="418">
        <v>0</v>
      </c>
      <c r="J22" s="417">
        <f t="shared" si="4"/>
        <v>0</v>
      </c>
      <c r="K22" s="171"/>
      <c r="L22" s="171"/>
      <c r="M22" s="171">
        <f t="shared" si="0"/>
        <v>0</v>
      </c>
      <c r="N22" s="49"/>
      <c r="O22" s="49"/>
      <c r="P22" s="47">
        <f t="shared" si="1"/>
        <v>0</v>
      </c>
      <c r="Q22" s="235">
        <f t="shared" si="2"/>
        <v>0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ht="15.75">
      <c r="A23" s="44" t="s">
        <v>1308</v>
      </c>
      <c r="B23" s="10" t="s">
        <v>1309</v>
      </c>
      <c r="C23" s="409"/>
      <c r="D23" s="413">
        <f>D10*0.2</f>
        <v>0</v>
      </c>
      <c r="E23" s="413"/>
      <c r="F23" s="413"/>
      <c r="G23" s="413">
        <v>0</v>
      </c>
      <c r="H23" s="413"/>
      <c r="I23" s="413"/>
      <c r="J23" s="411">
        <f t="shared" si="4"/>
        <v>0</v>
      </c>
      <c r="K23" s="171"/>
      <c r="L23" s="171"/>
      <c r="M23" s="171">
        <f t="shared" si="0"/>
        <v>0</v>
      </c>
      <c r="N23" s="173">
        <f>N10*0.2</f>
        <v>0</v>
      </c>
      <c r="O23" s="173">
        <v>0</v>
      </c>
      <c r="P23" s="47">
        <f t="shared" si="1"/>
        <v>0</v>
      </c>
      <c r="Q23" s="235">
        <f t="shared" si="2"/>
        <v>0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ht="15.75">
      <c r="A24" s="44" t="s">
        <v>1310</v>
      </c>
      <c r="B24" s="10" t="s">
        <v>1311</v>
      </c>
      <c r="C24" s="409"/>
      <c r="D24" s="413"/>
      <c r="E24" s="413">
        <v>63</v>
      </c>
      <c r="F24" s="413">
        <v>1807</v>
      </c>
      <c r="G24" s="413">
        <v>10056</v>
      </c>
      <c r="H24" s="413">
        <f>867+2610+1250+1063</f>
        <v>5790</v>
      </c>
      <c r="I24" s="413"/>
      <c r="J24" s="411">
        <f t="shared" si="4"/>
        <v>17716</v>
      </c>
      <c r="K24" s="171"/>
      <c r="L24" s="171"/>
      <c r="M24" s="171">
        <f t="shared" si="0"/>
        <v>0</v>
      </c>
      <c r="N24" s="49"/>
      <c r="O24" s="49"/>
      <c r="P24" s="47">
        <f t="shared" si="1"/>
        <v>0</v>
      </c>
      <c r="Q24" s="235">
        <f t="shared" si="2"/>
        <v>17716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ht="15.75">
      <c r="A25" s="283" t="s">
        <v>1312</v>
      </c>
      <c r="B25" s="282" t="s">
        <v>1313</v>
      </c>
      <c r="C25" s="412">
        <f>C23+C24</f>
        <v>0</v>
      </c>
      <c r="D25" s="412">
        <f aca="true" t="shared" si="8" ref="D25:J25">D23+D24</f>
        <v>0</v>
      </c>
      <c r="E25" s="412">
        <f t="shared" si="8"/>
        <v>63</v>
      </c>
      <c r="F25" s="412">
        <f t="shared" si="8"/>
        <v>1807</v>
      </c>
      <c r="G25" s="412">
        <f t="shared" si="8"/>
        <v>10056</v>
      </c>
      <c r="H25" s="412">
        <f t="shared" si="8"/>
        <v>5790</v>
      </c>
      <c r="I25" s="412">
        <f t="shared" si="8"/>
        <v>0</v>
      </c>
      <c r="J25" s="412">
        <f t="shared" si="8"/>
        <v>17716</v>
      </c>
      <c r="K25" s="171"/>
      <c r="L25" s="171"/>
      <c r="M25" s="171">
        <f t="shared" si="0"/>
        <v>0</v>
      </c>
      <c r="N25" s="49"/>
      <c r="O25" s="49"/>
      <c r="P25" s="47">
        <f t="shared" si="1"/>
        <v>0</v>
      </c>
      <c r="Q25" s="235">
        <f t="shared" si="2"/>
        <v>17716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ht="15.75">
      <c r="A26" s="36" t="s">
        <v>1314</v>
      </c>
      <c r="B26" s="31" t="s">
        <v>1315</v>
      </c>
      <c r="C26" s="419">
        <f>C6+C13+C16+C20+C21+C22+C25</f>
        <v>0</v>
      </c>
      <c r="D26" s="419">
        <f aca="true" t="shared" si="9" ref="D26:Q26">D6+D13+D16+D20+D21+D22+D25</f>
        <v>0</v>
      </c>
      <c r="E26" s="419">
        <f t="shared" si="9"/>
        <v>297</v>
      </c>
      <c r="F26" s="419">
        <f t="shared" si="9"/>
        <v>8600</v>
      </c>
      <c r="G26" s="419">
        <f t="shared" si="9"/>
        <v>50100</v>
      </c>
      <c r="H26" s="419">
        <f t="shared" si="9"/>
        <v>27236</v>
      </c>
      <c r="I26" s="419">
        <f t="shared" si="9"/>
        <v>0</v>
      </c>
      <c r="J26" s="419">
        <f t="shared" si="9"/>
        <v>86233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9"/>
        <v>0</v>
      </c>
      <c r="P26" s="31">
        <f t="shared" si="9"/>
        <v>0</v>
      </c>
      <c r="Q26" s="31">
        <f t="shared" si="9"/>
        <v>86233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>
      <c r="A27" s="36"/>
      <c r="B27" s="31"/>
      <c r="C27" s="409"/>
      <c r="D27" s="410"/>
      <c r="E27" s="410"/>
      <c r="F27" s="410"/>
      <c r="G27" s="410"/>
      <c r="H27" s="410"/>
      <c r="I27" s="410"/>
      <c r="J27" s="411"/>
      <c r="K27" s="171"/>
      <c r="L27" s="171"/>
      <c r="M27" s="171"/>
      <c r="N27" s="9"/>
      <c r="O27" s="9"/>
      <c r="P27" s="47"/>
      <c r="Q27" s="23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>
      <c r="A28" s="44" t="s">
        <v>1316</v>
      </c>
      <c r="B28" s="10" t="s">
        <v>1319</v>
      </c>
      <c r="C28" s="409"/>
      <c r="D28" s="413"/>
      <c r="E28" s="413"/>
      <c r="F28" s="413">
        <v>7874</v>
      </c>
      <c r="G28" s="413"/>
      <c r="H28" s="413"/>
      <c r="I28" s="413"/>
      <c r="J28" s="411">
        <f t="shared" si="4"/>
        <v>7874</v>
      </c>
      <c r="K28" s="171"/>
      <c r="L28" s="171"/>
      <c r="M28" s="171">
        <f t="shared" si="0"/>
        <v>0</v>
      </c>
      <c r="N28" s="49"/>
      <c r="O28" s="49"/>
      <c r="P28" s="47">
        <f t="shared" si="1"/>
        <v>0</v>
      </c>
      <c r="Q28" s="235">
        <f t="shared" si="2"/>
        <v>7874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15.75">
      <c r="A29" s="44" t="s">
        <v>1320</v>
      </c>
      <c r="B29" s="10" t="s">
        <v>1321</v>
      </c>
      <c r="C29" s="409"/>
      <c r="D29" s="413">
        <v>354</v>
      </c>
      <c r="E29" s="413"/>
      <c r="F29" s="413">
        <v>3154</v>
      </c>
      <c r="G29" s="413"/>
      <c r="H29" s="413"/>
      <c r="I29" s="413"/>
      <c r="J29" s="411">
        <f t="shared" si="4"/>
        <v>3508</v>
      </c>
      <c r="K29" s="171"/>
      <c r="L29" s="171"/>
      <c r="M29" s="171">
        <f t="shared" si="0"/>
        <v>0</v>
      </c>
      <c r="N29" s="49"/>
      <c r="O29" s="49"/>
      <c r="P29" s="47">
        <f t="shared" si="1"/>
        <v>0</v>
      </c>
      <c r="Q29" s="235">
        <f t="shared" si="2"/>
        <v>3508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15.75">
      <c r="A30" s="283" t="s">
        <v>1322</v>
      </c>
      <c r="B30" s="282" t="s">
        <v>1337</v>
      </c>
      <c r="C30" s="412">
        <f>C28+C29</f>
        <v>0</v>
      </c>
      <c r="D30" s="412">
        <f aca="true" t="shared" si="10" ref="D30:J30">D28+D29</f>
        <v>354</v>
      </c>
      <c r="E30" s="412"/>
      <c r="F30" s="412">
        <f t="shared" si="10"/>
        <v>11028</v>
      </c>
      <c r="G30" s="412">
        <f t="shared" si="10"/>
        <v>0</v>
      </c>
      <c r="H30" s="412">
        <f t="shared" si="10"/>
        <v>0</v>
      </c>
      <c r="I30" s="412">
        <f t="shared" si="10"/>
        <v>0</v>
      </c>
      <c r="J30" s="412">
        <f t="shared" si="10"/>
        <v>11382</v>
      </c>
      <c r="K30" s="171"/>
      <c r="L30" s="171"/>
      <c r="M30" s="171">
        <f t="shared" si="0"/>
        <v>0</v>
      </c>
      <c r="N30" s="49"/>
      <c r="O30" s="49"/>
      <c r="P30" s="47">
        <f t="shared" si="1"/>
        <v>0</v>
      </c>
      <c r="Q30" s="235">
        <f t="shared" si="2"/>
        <v>11382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15.75">
      <c r="A31" s="44" t="s">
        <v>1323</v>
      </c>
      <c r="B31" s="10" t="s">
        <v>1324</v>
      </c>
      <c r="C31" s="409"/>
      <c r="D31" s="413"/>
      <c r="E31" s="413"/>
      <c r="F31" s="413"/>
      <c r="G31" s="413"/>
      <c r="H31" s="413"/>
      <c r="I31" s="413"/>
      <c r="J31" s="411">
        <f t="shared" si="4"/>
        <v>0</v>
      </c>
      <c r="K31" s="171"/>
      <c r="L31" s="171"/>
      <c r="M31" s="171">
        <f t="shared" si="0"/>
        <v>0</v>
      </c>
      <c r="N31" s="49"/>
      <c r="O31" s="49"/>
      <c r="P31" s="47">
        <f t="shared" si="1"/>
        <v>0</v>
      </c>
      <c r="Q31" s="235">
        <f t="shared" si="2"/>
        <v>0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17" ht="15.75">
      <c r="A32" s="283" t="s">
        <v>1325</v>
      </c>
      <c r="B32" s="282" t="s">
        <v>1326</v>
      </c>
      <c r="C32" s="412">
        <f>C31</f>
        <v>0</v>
      </c>
      <c r="D32" s="412">
        <f aca="true" t="shared" si="11" ref="D32:Q32">D31</f>
        <v>0</v>
      </c>
      <c r="E32" s="412"/>
      <c r="F32" s="412">
        <f t="shared" si="11"/>
        <v>0</v>
      </c>
      <c r="G32" s="412">
        <f t="shared" si="11"/>
        <v>0</v>
      </c>
      <c r="H32" s="412">
        <f t="shared" si="11"/>
        <v>0</v>
      </c>
      <c r="I32" s="412">
        <f t="shared" si="11"/>
        <v>0</v>
      </c>
      <c r="J32" s="412">
        <f t="shared" si="11"/>
        <v>0</v>
      </c>
      <c r="K32" s="282">
        <f t="shared" si="11"/>
        <v>0</v>
      </c>
      <c r="L32" s="282">
        <f t="shared" si="11"/>
        <v>0</v>
      </c>
      <c r="M32" s="282">
        <f t="shared" si="11"/>
        <v>0</v>
      </c>
      <c r="N32" s="282">
        <f t="shared" si="11"/>
        <v>0</v>
      </c>
      <c r="O32" s="282">
        <f t="shared" si="11"/>
        <v>0</v>
      </c>
      <c r="P32" s="282">
        <f t="shared" si="11"/>
        <v>0</v>
      </c>
      <c r="Q32" s="282">
        <f t="shared" si="11"/>
        <v>0</v>
      </c>
    </row>
    <row r="33" spans="1:17" ht="15.75">
      <c r="A33" s="44" t="s">
        <v>1327</v>
      </c>
      <c r="B33" s="166" t="s">
        <v>1328</v>
      </c>
      <c r="C33" s="420"/>
      <c r="D33" s="413"/>
      <c r="E33" s="413"/>
      <c r="F33" s="413"/>
      <c r="G33" s="413"/>
      <c r="H33" s="413"/>
      <c r="I33" s="413"/>
      <c r="J33" s="411">
        <f t="shared" si="4"/>
        <v>0</v>
      </c>
      <c r="Q33" s="164"/>
    </row>
    <row r="34" spans="1:17" ht="15.75">
      <c r="A34" s="44" t="s">
        <v>1329</v>
      </c>
      <c r="B34" s="166" t="s">
        <v>1330</v>
      </c>
      <c r="C34" s="420"/>
      <c r="D34" s="413"/>
      <c r="E34" s="413"/>
      <c r="F34" s="413"/>
      <c r="G34" s="413"/>
      <c r="H34" s="413"/>
      <c r="I34" s="413"/>
      <c r="J34" s="411">
        <f t="shared" si="4"/>
        <v>0</v>
      </c>
      <c r="Q34" s="164"/>
    </row>
    <row r="35" spans="1:17" ht="15.75">
      <c r="A35" s="283" t="s">
        <v>1331</v>
      </c>
      <c r="B35" s="284" t="s">
        <v>1338</v>
      </c>
      <c r="C35" s="421">
        <f>C33+C34</f>
        <v>0</v>
      </c>
      <c r="D35" s="421">
        <f aca="true" t="shared" si="12" ref="D35:Q35">D33+D34</f>
        <v>0</v>
      </c>
      <c r="E35" s="421"/>
      <c r="F35" s="421">
        <f t="shared" si="12"/>
        <v>0</v>
      </c>
      <c r="G35" s="421">
        <f t="shared" si="12"/>
        <v>0</v>
      </c>
      <c r="H35" s="421">
        <f t="shared" si="12"/>
        <v>0</v>
      </c>
      <c r="I35" s="421">
        <f t="shared" si="12"/>
        <v>0</v>
      </c>
      <c r="J35" s="421">
        <f t="shared" si="12"/>
        <v>0</v>
      </c>
      <c r="K35" s="284">
        <f t="shared" si="12"/>
        <v>0</v>
      </c>
      <c r="L35" s="284">
        <f t="shared" si="12"/>
        <v>0</v>
      </c>
      <c r="M35" s="284">
        <f t="shared" si="12"/>
        <v>0</v>
      </c>
      <c r="N35" s="284">
        <f t="shared" si="12"/>
        <v>0</v>
      </c>
      <c r="O35" s="284">
        <f t="shared" si="12"/>
        <v>0</v>
      </c>
      <c r="P35" s="284">
        <f t="shared" si="12"/>
        <v>0</v>
      </c>
      <c r="Q35" s="284">
        <f t="shared" si="12"/>
        <v>0</v>
      </c>
    </row>
    <row r="36" spans="1:17" ht="15.75">
      <c r="A36" s="44" t="s">
        <v>1333</v>
      </c>
      <c r="B36" s="169" t="s">
        <v>1334</v>
      </c>
      <c r="C36" s="420"/>
      <c r="D36" s="413"/>
      <c r="E36" s="413"/>
      <c r="F36" s="413"/>
      <c r="G36" s="413"/>
      <c r="H36" s="413"/>
      <c r="I36" s="413"/>
      <c r="J36" s="411">
        <f t="shared" si="4"/>
        <v>0</v>
      </c>
      <c r="Q36" s="164"/>
    </row>
    <row r="37" spans="1:17" ht="15.75">
      <c r="A37" s="283" t="s">
        <v>1335</v>
      </c>
      <c r="B37" s="169" t="s">
        <v>1336</v>
      </c>
      <c r="C37" s="420"/>
      <c r="D37" s="413">
        <v>96</v>
      </c>
      <c r="E37" s="413"/>
      <c r="F37" s="413">
        <f>2126+852</f>
        <v>2978</v>
      </c>
      <c r="G37" s="413"/>
      <c r="H37" s="413"/>
      <c r="I37" s="413"/>
      <c r="J37" s="411">
        <f t="shared" si="4"/>
        <v>3074</v>
      </c>
      <c r="Q37" s="164"/>
    </row>
    <row r="38" spans="1:22" ht="15.75">
      <c r="A38" s="283" t="s">
        <v>1332</v>
      </c>
      <c r="B38" s="285" t="s">
        <v>1339</v>
      </c>
      <c r="C38" s="421">
        <f>C36+C37</f>
        <v>0</v>
      </c>
      <c r="D38" s="421">
        <f aca="true" t="shared" si="13" ref="D38:Q38">D36+D37</f>
        <v>96</v>
      </c>
      <c r="E38" s="421"/>
      <c r="F38" s="421">
        <f t="shared" si="13"/>
        <v>2978</v>
      </c>
      <c r="G38" s="421">
        <f t="shared" si="13"/>
        <v>0</v>
      </c>
      <c r="H38" s="421">
        <f t="shared" si="13"/>
        <v>0</v>
      </c>
      <c r="I38" s="421">
        <f t="shared" si="13"/>
        <v>0</v>
      </c>
      <c r="J38" s="421">
        <f t="shared" si="13"/>
        <v>3074</v>
      </c>
      <c r="K38" s="285">
        <f t="shared" si="13"/>
        <v>0</v>
      </c>
      <c r="L38" s="285">
        <f t="shared" si="13"/>
        <v>0</v>
      </c>
      <c r="M38" s="285">
        <f t="shared" si="13"/>
        <v>0</v>
      </c>
      <c r="N38" s="285">
        <f t="shared" si="13"/>
        <v>0</v>
      </c>
      <c r="O38" s="285">
        <f t="shared" si="13"/>
        <v>0</v>
      </c>
      <c r="P38" s="285">
        <f t="shared" si="13"/>
        <v>0</v>
      </c>
      <c r="Q38" s="285">
        <f t="shared" si="13"/>
        <v>0</v>
      </c>
      <c r="R38" s="169"/>
      <c r="S38" s="169"/>
      <c r="T38" s="169"/>
      <c r="U38" s="169"/>
      <c r="V38" s="169"/>
    </row>
    <row r="39" spans="1:17" ht="15.75">
      <c r="A39" s="36" t="s">
        <v>1340</v>
      </c>
      <c r="B39" s="168" t="s">
        <v>1341</v>
      </c>
      <c r="C39" s="422">
        <f>C30+C32+C35+C38</f>
        <v>0</v>
      </c>
      <c r="D39" s="422">
        <f aca="true" t="shared" si="14" ref="D39:Q39">D30+D32+D35+D38</f>
        <v>450</v>
      </c>
      <c r="E39" s="422"/>
      <c r="F39" s="422">
        <f t="shared" si="14"/>
        <v>14006</v>
      </c>
      <c r="G39" s="422">
        <f t="shared" si="14"/>
        <v>0</v>
      </c>
      <c r="H39" s="422">
        <f t="shared" si="14"/>
        <v>0</v>
      </c>
      <c r="I39" s="422">
        <f t="shared" si="14"/>
        <v>0</v>
      </c>
      <c r="J39" s="422">
        <f t="shared" si="14"/>
        <v>14456</v>
      </c>
      <c r="K39" s="168">
        <f t="shared" si="14"/>
        <v>0</v>
      </c>
      <c r="L39" s="168">
        <f t="shared" si="14"/>
        <v>0</v>
      </c>
      <c r="M39" s="168">
        <f t="shared" si="14"/>
        <v>0</v>
      </c>
      <c r="N39" s="168">
        <f t="shared" si="14"/>
        <v>0</v>
      </c>
      <c r="O39" s="168">
        <f t="shared" si="14"/>
        <v>0</v>
      </c>
      <c r="P39" s="168">
        <f t="shared" si="14"/>
        <v>0</v>
      </c>
      <c r="Q39" s="168">
        <f t="shared" si="14"/>
        <v>11382</v>
      </c>
    </row>
    <row r="40" spans="2:3" ht="15.75">
      <c r="B40" s="166"/>
      <c r="C40" s="166"/>
    </row>
    <row r="41" spans="2:3" ht="15.75">
      <c r="B41" s="166"/>
      <c r="C41" s="166"/>
    </row>
    <row r="42" spans="2:3" ht="15.75">
      <c r="B42" s="166"/>
      <c r="C42" s="166"/>
    </row>
    <row r="43" spans="2:3" ht="15.75">
      <c r="B43" s="166"/>
      <c r="C43" s="166"/>
    </row>
    <row r="44" spans="2:3" ht="15.75">
      <c r="B44" s="166"/>
      <c r="C44" s="166"/>
    </row>
    <row r="45" spans="2:3" ht="15.75">
      <c r="B45" s="166"/>
      <c r="C45" s="166"/>
    </row>
    <row r="46" spans="2:3" ht="15.75">
      <c r="B46" s="166"/>
      <c r="C46" s="166"/>
    </row>
    <row r="47" spans="2:3" ht="15.75">
      <c r="B47" s="166"/>
      <c r="C47" s="166"/>
    </row>
    <row r="48" spans="2:3" ht="15.75">
      <c r="B48" s="166"/>
      <c r="C48" s="166"/>
    </row>
    <row r="49" spans="2:3" ht="15.75">
      <c r="B49" s="166"/>
      <c r="C49" s="166"/>
    </row>
    <row r="50" spans="2:3" ht="15.75">
      <c r="B50" s="166"/>
      <c r="C50" s="166"/>
    </row>
    <row r="51" spans="2:3" ht="15.75">
      <c r="B51" s="166"/>
      <c r="C51" s="166"/>
    </row>
    <row r="52" spans="2:3" ht="15.75">
      <c r="B52" s="166"/>
      <c r="C52" s="166"/>
    </row>
    <row r="53" spans="2:3" ht="15.75">
      <c r="B53" s="166"/>
      <c r="C53" s="166"/>
    </row>
    <row r="54" spans="2:3" ht="15.75">
      <c r="B54" s="167"/>
      <c r="C54" s="167"/>
    </row>
    <row r="55" spans="2:3" ht="15.75">
      <c r="B55" s="167"/>
      <c r="C55" s="167"/>
    </row>
    <row r="56" spans="2:3" ht="15.75">
      <c r="B56" s="167"/>
      <c r="C56" s="167"/>
    </row>
    <row r="57" spans="2:3" ht="15.75">
      <c r="B57" s="166"/>
      <c r="C57" s="166"/>
    </row>
  </sheetData>
  <mergeCells count="3">
    <mergeCell ref="D1:J1"/>
    <mergeCell ref="N1:P1"/>
    <mergeCell ref="K1:M1"/>
  </mergeCells>
  <printOptions/>
  <pageMargins left="0.39375" right="0.39375" top="0.9840277777777778" bottom="0.984027777777778" header="0.5118055555555556" footer="0.5118055555555556"/>
  <pageSetup fitToHeight="1" fitToWidth="1" horizontalDpi="600" verticalDpi="600" orientation="landscape" paperSize="9" scale="64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2:BI81"/>
  <sheetViews>
    <sheetView workbookViewId="0" topLeftCell="A49">
      <selection activeCell="A36" sqref="A36:IV36"/>
    </sheetView>
  </sheetViews>
  <sheetFormatPr defaultColWidth="9.140625" defaultRowHeight="12.75"/>
  <cols>
    <col min="1" max="1" width="10.00390625" style="0" customWidth="1"/>
    <col min="2" max="2" width="0" style="0" hidden="1" customWidth="1"/>
    <col min="3" max="3" width="56.57421875" style="0" customWidth="1"/>
    <col min="4" max="4" width="37.8515625" style="0" customWidth="1"/>
    <col min="5" max="5" width="14.57421875" style="0" customWidth="1"/>
    <col min="6" max="7" width="0" style="0" hidden="1" customWidth="1"/>
    <col min="8" max="13" width="12.7109375" style="0" customWidth="1"/>
    <col min="14" max="15" width="0" style="0" hidden="1" customWidth="1"/>
    <col min="16" max="16" width="12.7109375" style="0" customWidth="1"/>
    <col min="17" max="17" width="0" style="0" hidden="1" customWidth="1"/>
    <col min="18" max="22" width="12.7109375" style="0" customWidth="1"/>
    <col min="23" max="24" width="0" style="0" hidden="1" customWidth="1"/>
    <col min="25" max="29" width="12.7109375" style="0" customWidth="1"/>
    <col min="30" max="30" width="0" style="0" hidden="1" customWidth="1"/>
    <col min="31" max="34" width="12.7109375" style="0" customWidth="1"/>
    <col min="35" max="35" width="0" style="0" hidden="1" customWidth="1"/>
    <col min="36" max="38" width="12.7109375" style="0" customWidth="1"/>
    <col min="39" max="39" width="0" style="0" hidden="1" customWidth="1"/>
    <col min="40" max="40" width="14.421875" style="0" customWidth="1"/>
    <col min="41" max="41" width="13.00390625" style="0" customWidth="1"/>
    <col min="42" max="43" width="0" style="0" hidden="1" customWidth="1"/>
    <col min="44" max="45" width="12.7109375" style="0" customWidth="1"/>
    <col min="46" max="46" width="0" style="0" hidden="1" customWidth="1"/>
    <col min="47" max="60" width="12.7109375" style="0" customWidth="1"/>
    <col min="61" max="61" width="15.28125" style="0" customWidth="1"/>
  </cols>
  <sheetData>
    <row r="2" spans="1:61" ht="15.75">
      <c r="A2" s="769" t="s">
        <v>230</v>
      </c>
      <c r="B2" s="698"/>
      <c r="C2" s="765" t="s">
        <v>229</v>
      </c>
      <c r="D2" s="766"/>
      <c r="E2" s="196"/>
      <c r="F2" s="196"/>
      <c r="G2" s="196"/>
      <c r="H2" s="774" t="s">
        <v>1086</v>
      </c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84" t="s">
        <v>589</v>
      </c>
      <c r="AP2" s="785"/>
      <c r="AQ2" s="785"/>
      <c r="AR2" s="785"/>
      <c r="AS2" s="785"/>
      <c r="AT2" s="785"/>
      <c r="AU2" s="786"/>
      <c r="AV2" s="787" t="s">
        <v>1530</v>
      </c>
      <c r="AW2" s="785"/>
      <c r="AX2" s="785"/>
      <c r="AY2" s="785"/>
      <c r="AZ2" s="785"/>
      <c r="BA2" s="785"/>
      <c r="BB2" s="785"/>
      <c r="BC2" s="785"/>
      <c r="BD2" s="786"/>
      <c r="BE2" s="788" t="s">
        <v>224</v>
      </c>
      <c r="BF2" s="789"/>
      <c r="BG2" s="789"/>
      <c r="BH2" s="790"/>
      <c r="BI2" s="791" t="s">
        <v>562</v>
      </c>
    </row>
    <row r="3" spans="1:61" ht="409.5">
      <c r="A3" s="770"/>
      <c r="B3" s="698"/>
      <c r="C3" s="767"/>
      <c r="D3" s="768"/>
      <c r="E3" s="288" t="s">
        <v>891</v>
      </c>
      <c r="F3" s="288">
        <v>0</v>
      </c>
      <c r="G3" s="204" t="s">
        <v>850</v>
      </c>
      <c r="H3" s="335" t="s">
        <v>892</v>
      </c>
      <c r="I3" s="335" t="s">
        <v>893</v>
      </c>
      <c r="J3" s="335" t="s">
        <v>894</v>
      </c>
      <c r="K3" s="335" t="s">
        <v>909</v>
      </c>
      <c r="L3" s="302" t="s">
        <v>1146</v>
      </c>
      <c r="M3" s="335" t="s">
        <v>902</v>
      </c>
      <c r="N3" s="335" t="s">
        <v>564</v>
      </c>
      <c r="O3" s="302"/>
      <c r="P3" s="335" t="s">
        <v>903</v>
      </c>
      <c r="Q3" s="335"/>
      <c r="R3" s="302" t="s">
        <v>959</v>
      </c>
      <c r="S3" s="302" t="s">
        <v>904</v>
      </c>
      <c r="T3" s="302" t="s">
        <v>905</v>
      </c>
      <c r="U3" s="302" t="s">
        <v>906</v>
      </c>
      <c r="V3" s="303" t="s">
        <v>69</v>
      </c>
      <c r="W3" s="303" t="s">
        <v>525</v>
      </c>
      <c r="X3" s="303" t="s">
        <v>763</v>
      </c>
      <c r="Y3" s="302" t="s">
        <v>910</v>
      </c>
      <c r="Z3" s="302" t="s">
        <v>960</v>
      </c>
      <c r="AA3" s="161" t="s">
        <v>1501</v>
      </c>
      <c r="AB3" s="302" t="s">
        <v>1500</v>
      </c>
      <c r="AC3" s="302" t="s">
        <v>70</v>
      </c>
      <c r="AD3" s="302" t="s">
        <v>51</v>
      </c>
      <c r="AE3" s="302" t="s">
        <v>73</v>
      </c>
      <c r="AF3" s="302" t="s">
        <v>1506</v>
      </c>
      <c r="AG3" s="306" t="s">
        <v>74</v>
      </c>
      <c r="AH3" s="306" t="s">
        <v>1509</v>
      </c>
      <c r="AI3" s="306" t="s">
        <v>921</v>
      </c>
      <c r="AJ3" s="306" t="s">
        <v>922</v>
      </c>
      <c r="AK3" s="366" t="s">
        <v>924</v>
      </c>
      <c r="AL3" s="337" t="s">
        <v>925</v>
      </c>
      <c r="AM3" s="302" t="s">
        <v>985</v>
      </c>
      <c r="AN3" s="314" t="s">
        <v>598</v>
      </c>
      <c r="AO3" s="334" t="s">
        <v>902</v>
      </c>
      <c r="AP3" s="162"/>
      <c r="AQ3" s="161"/>
      <c r="AR3" s="161" t="s">
        <v>912</v>
      </c>
      <c r="AS3" s="161" t="s">
        <v>911</v>
      </c>
      <c r="AT3" s="161"/>
      <c r="AU3" s="245" t="s">
        <v>965</v>
      </c>
      <c r="AV3" s="160" t="s">
        <v>902</v>
      </c>
      <c r="AW3" s="161" t="s">
        <v>905</v>
      </c>
      <c r="AX3" s="161" t="s">
        <v>905</v>
      </c>
      <c r="AY3" s="161" t="s">
        <v>911</v>
      </c>
      <c r="AZ3" s="242" t="s">
        <v>916</v>
      </c>
      <c r="BA3" s="242" t="s">
        <v>913</v>
      </c>
      <c r="BB3" s="161" t="s">
        <v>914</v>
      </c>
      <c r="BC3" s="161" t="s">
        <v>915</v>
      </c>
      <c r="BD3" s="240" t="s">
        <v>965</v>
      </c>
      <c r="BE3" s="161" t="s">
        <v>917</v>
      </c>
      <c r="BF3" s="161" t="s">
        <v>918</v>
      </c>
      <c r="BG3" s="161" t="s">
        <v>919</v>
      </c>
      <c r="BH3" s="240" t="s">
        <v>965</v>
      </c>
      <c r="BI3" s="792"/>
    </row>
    <row r="4" spans="1:61" ht="110.25">
      <c r="A4" s="771"/>
      <c r="B4" s="182"/>
      <c r="C4" s="763" t="s">
        <v>1510</v>
      </c>
      <c r="D4" s="764"/>
      <c r="E4" s="288"/>
      <c r="F4" s="288"/>
      <c r="G4" s="204"/>
      <c r="H4" s="335"/>
      <c r="I4" s="335" t="s">
        <v>961</v>
      </c>
      <c r="J4" s="335" t="s">
        <v>962</v>
      </c>
      <c r="K4" s="335" t="s">
        <v>963</v>
      </c>
      <c r="L4" s="303"/>
      <c r="M4" s="335"/>
      <c r="N4" s="335"/>
      <c r="O4" s="302"/>
      <c r="P4" s="335"/>
      <c r="Q4" s="335"/>
      <c r="R4" s="302"/>
      <c r="S4" s="302"/>
      <c r="T4" s="302" t="s">
        <v>1511</v>
      </c>
      <c r="U4" s="302"/>
      <c r="V4" s="303" t="s">
        <v>964</v>
      </c>
      <c r="W4" s="303"/>
      <c r="X4" s="303"/>
      <c r="Y4" s="302"/>
      <c r="Z4" s="302"/>
      <c r="AA4" s="302" t="s">
        <v>1502</v>
      </c>
      <c r="AB4" s="302"/>
      <c r="AC4" s="302" t="s">
        <v>1503</v>
      </c>
      <c r="AD4" s="302"/>
      <c r="AE4" s="302"/>
      <c r="AF4" s="302" t="s">
        <v>1507</v>
      </c>
      <c r="AG4" s="306"/>
      <c r="AH4" s="306"/>
      <c r="AI4" s="306"/>
      <c r="AJ4" s="306"/>
      <c r="AK4" s="366"/>
      <c r="AL4" s="337"/>
      <c r="AM4" s="302"/>
      <c r="AN4" s="314"/>
      <c r="AO4" s="354" t="s">
        <v>1113</v>
      </c>
      <c r="AP4" s="157"/>
      <c r="AQ4" s="281"/>
      <c r="AR4" s="281" t="s">
        <v>1115</v>
      </c>
      <c r="AS4" s="281"/>
      <c r="AT4" s="281"/>
      <c r="AU4" s="355"/>
      <c r="AV4" s="354"/>
      <c r="AW4" s="281"/>
      <c r="AX4" s="281"/>
      <c r="AY4" s="281"/>
      <c r="AZ4" s="281"/>
      <c r="BA4" s="281"/>
      <c r="BB4" s="281"/>
      <c r="BC4" s="281"/>
      <c r="BD4" s="356"/>
      <c r="BE4" s="357"/>
      <c r="BF4" s="357"/>
      <c r="BG4" s="357"/>
      <c r="BH4" s="356"/>
      <c r="BI4" s="358"/>
    </row>
    <row r="5" spans="1:61" ht="15.75">
      <c r="A5" s="191" t="s">
        <v>234</v>
      </c>
      <c r="B5" s="182" t="s">
        <v>531</v>
      </c>
      <c r="C5" s="196" t="s">
        <v>839</v>
      </c>
      <c r="D5" s="196"/>
      <c r="E5" s="196"/>
      <c r="F5" s="196"/>
      <c r="G5" s="196"/>
      <c r="H5" s="339">
        <v>0</v>
      </c>
      <c r="I5" s="339">
        <v>0</v>
      </c>
      <c r="J5" s="339"/>
      <c r="K5" s="339"/>
      <c r="L5" s="339"/>
      <c r="M5" s="339"/>
      <c r="N5" s="339"/>
      <c r="O5" s="339"/>
      <c r="P5" s="339"/>
      <c r="Q5" s="339"/>
      <c r="R5" s="206">
        <v>0</v>
      </c>
      <c r="S5" s="206"/>
      <c r="T5" s="206"/>
      <c r="U5" s="189">
        <v>0</v>
      </c>
      <c r="V5" s="189">
        <v>0</v>
      </c>
      <c r="W5" s="294"/>
      <c r="X5" s="294"/>
      <c r="Y5" s="189"/>
      <c r="Z5" s="189"/>
      <c r="AA5" s="189"/>
      <c r="AB5" s="189"/>
      <c r="AC5" s="189"/>
      <c r="AD5" s="189"/>
      <c r="AE5" s="189"/>
      <c r="AF5" s="189"/>
      <c r="AG5" s="340"/>
      <c r="AH5" s="340">
        <v>5</v>
      </c>
      <c r="AI5" s="340"/>
      <c r="AJ5" s="340"/>
      <c r="AK5" s="367"/>
      <c r="AL5" s="359"/>
      <c r="AM5" s="189"/>
      <c r="AN5" s="186">
        <f>SUM(E5:AL5)</f>
        <v>5</v>
      </c>
      <c r="AO5" s="48"/>
      <c r="AP5" s="48"/>
      <c r="AQ5" s="48"/>
      <c r="AR5" s="59"/>
      <c r="AS5" s="59"/>
      <c r="AT5" s="48"/>
      <c r="AU5" s="241">
        <f>SUM(AO5:AS5)</f>
        <v>0</v>
      </c>
      <c r="AV5" s="48"/>
      <c r="AW5" s="48"/>
      <c r="AX5" s="48"/>
      <c r="AY5" s="48"/>
      <c r="AZ5" s="48"/>
      <c r="BA5" s="48"/>
      <c r="BB5" s="59">
        <v>0</v>
      </c>
      <c r="BC5" s="59">
        <v>5</v>
      </c>
      <c r="BD5" s="151">
        <f aca="true" t="shared" si="0" ref="BD5:BD10">SUM(AV5:BC5)</f>
        <v>5</v>
      </c>
      <c r="BE5" s="150"/>
      <c r="BF5" s="150"/>
      <c r="BG5" s="150"/>
      <c r="BH5" s="150">
        <f aca="true" t="shared" si="1" ref="BH5:BH10">BE5+BF5+BG5</f>
        <v>0</v>
      </c>
      <c r="BI5" s="152">
        <f aca="true" t="shared" si="2" ref="BI5:BI10">+BD5+AN5+AU5+BH5</f>
        <v>10</v>
      </c>
    </row>
    <row r="6" spans="1:61" ht="15.75">
      <c r="A6" s="191" t="s">
        <v>233</v>
      </c>
      <c r="B6" s="182" t="s">
        <v>546</v>
      </c>
      <c r="C6" s="196" t="s">
        <v>840</v>
      </c>
      <c r="D6" s="196"/>
      <c r="E6" s="196"/>
      <c r="F6" s="196"/>
      <c r="G6" s="196"/>
      <c r="H6" s="339">
        <v>0</v>
      </c>
      <c r="I6" s="339">
        <v>0</v>
      </c>
      <c r="J6" s="339"/>
      <c r="K6" s="339"/>
      <c r="L6" s="339"/>
      <c r="M6" s="339"/>
      <c r="N6" s="339"/>
      <c r="O6" s="339"/>
      <c r="P6" s="339">
        <v>25</v>
      </c>
      <c r="Q6" s="339"/>
      <c r="R6" s="206"/>
      <c r="S6" s="206"/>
      <c r="T6" s="206"/>
      <c r="U6" s="189">
        <v>0</v>
      </c>
      <c r="V6" s="189"/>
      <c r="W6" s="294"/>
      <c r="X6" s="294"/>
      <c r="Y6" s="189"/>
      <c r="Z6" s="189"/>
      <c r="AA6" s="189"/>
      <c r="AB6" s="189"/>
      <c r="AC6" s="189"/>
      <c r="AD6" s="189"/>
      <c r="AE6" s="189"/>
      <c r="AF6" s="189"/>
      <c r="AG6" s="340"/>
      <c r="AH6" s="340">
        <v>60</v>
      </c>
      <c r="AI6" s="340"/>
      <c r="AJ6" s="340"/>
      <c r="AK6" s="367"/>
      <c r="AL6" s="359"/>
      <c r="AM6" s="189"/>
      <c r="AN6" s="186">
        <f aca="true" t="shared" si="3" ref="AN6:AN17">SUM(E6:AM6)</f>
        <v>85</v>
      </c>
      <c r="AO6" s="48"/>
      <c r="AP6" s="48"/>
      <c r="AQ6" s="48"/>
      <c r="AR6" s="59"/>
      <c r="AS6" s="59"/>
      <c r="AT6" s="48"/>
      <c r="AU6" s="241">
        <f aca="true" t="shared" si="4" ref="AU6:AU18">SUM(AO6:AS6)</f>
        <v>0</v>
      </c>
      <c r="AV6" s="48"/>
      <c r="AW6" s="48"/>
      <c r="AX6" s="48"/>
      <c r="AY6" s="48"/>
      <c r="AZ6" s="48"/>
      <c r="BA6" s="48"/>
      <c r="BB6" s="59">
        <v>0</v>
      </c>
      <c r="BC6" s="59">
        <v>5</v>
      </c>
      <c r="BD6" s="151">
        <f t="shared" si="0"/>
        <v>5</v>
      </c>
      <c r="BE6" s="150"/>
      <c r="BF6" s="150"/>
      <c r="BG6" s="150"/>
      <c r="BH6" s="150">
        <f t="shared" si="1"/>
        <v>0</v>
      </c>
      <c r="BI6" s="152">
        <f t="shared" si="2"/>
        <v>90</v>
      </c>
    </row>
    <row r="7" spans="1:61" ht="15.75">
      <c r="A7" s="191" t="s">
        <v>235</v>
      </c>
      <c r="B7" s="182" t="s">
        <v>548</v>
      </c>
      <c r="C7" s="196" t="s">
        <v>841</v>
      </c>
      <c r="D7" s="196"/>
      <c r="E7" s="196"/>
      <c r="F7" s="196"/>
      <c r="G7" s="196"/>
      <c r="H7" s="339">
        <v>0</v>
      </c>
      <c r="I7" s="339">
        <v>0</v>
      </c>
      <c r="J7" s="339"/>
      <c r="K7" s="339"/>
      <c r="L7" s="339"/>
      <c r="M7" s="339"/>
      <c r="N7" s="339"/>
      <c r="O7" s="339"/>
      <c r="P7" s="339"/>
      <c r="Q7" s="339"/>
      <c r="R7" s="206">
        <v>0</v>
      </c>
      <c r="S7" s="206"/>
      <c r="T7" s="206"/>
      <c r="U7" s="189">
        <v>0</v>
      </c>
      <c r="V7" s="189"/>
      <c r="W7" s="294"/>
      <c r="X7" s="294"/>
      <c r="Y7" s="189"/>
      <c r="Z7" s="189"/>
      <c r="AA7" s="189"/>
      <c r="AB7" s="189"/>
      <c r="AC7" s="189"/>
      <c r="AD7" s="189"/>
      <c r="AE7" s="189"/>
      <c r="AF7" s="189"/>
      <c r="AG7" s="340"/>
      <c r="AH7" s="340"/>
      <c r="AI7" s="340"/>
      <c r="AJ7" s="340"/>
      <c r="AK7" s="367"/>
      <c r="AL7" s="359"/>
      <c r="AM7" s="189"/>
      <c r="AN7" s="186">
        <f t="shared" si="3"/>
        <v>0</v>
      </c>
      <c r="AO7" s="48"/>
      <c r="AP7" s="48"/>
      <c r="AQ7" s="48"/>
      <c r="AR7" s="59">
        <v>10</v>
      </c>
      <c r="AS7" s="59"/>
      <c r="AT7" s="48"/>
      <c r="AU7" s="241">
        <f t="shared" si="4"/>
        <v>10</v>
      </c>
      <c r="AV7" s="48"/>
      <c r="AW7" s="48"/>
      <c r="AX7" s="48"/>
      <c r="AY7" s="48"/>
      <c r="AZ7" s="48"/>
      <c r="BA7" s="59">
        <v>120</v>
      </c>
      <c r="BB7" s="59">
        <v>0</v>
      </c>
      <c r="BC7" s="59">
        <v>20</v>
      </c>
      <c r="BD7" s="151">
        <f t="shared" si="0"/>
        <v>140</v>
      </c>
      <c r="BE7" s="150"/>
      <c r="BF7" s="150">
        <v>30</v>
      </c>
      <c r="BG7" s="150">
        <v>5</v>
      </c>
      <c r="BH7" s="150">
        <f t="shared" si="1"/>
        <v>35</v>
      </c>
      <c r="BI7" s="152">
        <f t="shared" si="2"/>
        <v>185</v>
      </c>
    </row>
    <row r="8" spans="1:61" ht="15.75">
      <c r="A8" s="191" t="s">
        <v>236</v>
      </c>
      <c r="B8" s="182" t="s">
        <v>549</v>
      </c>
      <c r="C8" s="196" t="s">
        <v>842</v>
      </c>
      <c r="D8" s="196"/>
      <c r="E8" s="196"/>
      <c r="F8" s="196"/>
      <c r="G8" s="196"/>
      <c r="H8" s="339">
        <v>0</v>
      </c>
      <c r="I8" s="339"/>
      <c r="J8" s="339"/>
      <c r="K8" s="339"/>
      <c r="L8" s="339"/>
      <c r="M8" s="339"/>
      <c r="N8" s="339"/>
      <c r="O8" s="339"/>
      <c r="P8" s="339"/>
      <c r="Q8" s="339"/>
      <c r="R8" s="206">
        <v>0</v>
      </c>
      <c r="S8" s="206"/>
      <c r="T8" s="206"/>
      <c r="U8" s="189">
        <v>0</v>
      </c>
      <c r="V8" s="189"/>
      <c r="W8" s="294"/>
      <c r="X8" s="294"/>
      <c r="Y8" s="189"/>
      <c r="Z8" s="189"/>
      <c r="AA8" s="189"/>
      <c r="AB8" s="189"/>
      <c r="AC8" s="189"/>
      <c r="AD8" s="189"/>
      <c r="AE8" s="189"/>
      <c r="AF8" s="189"/>
      <c r="AG8" s="340"/>
      <c r="AH8" s="340">
        <v>5</v>
      </c>
      <c r="AI8" s="340"/>
      <c r="AJ8" s="340"/>
      <c r="AK8" s="367"/>
      <c r="AL8" s="359"/>
      <c r="AM8" s="189"/>
      <c r="AN8" s="186">
        <f t="shared" si="3"/>
        <v>5</v>
      </c>
      <c r="AO8" s="48"/>
      <c r="AP8" s="48"/>
      <c r="AQ8" s="48"/>
      <c r="AR8" s="59"/>
      <c r="AS8" s="59"/>
      <c r="AT8" s="48"/>
      <c r="AU8" s="241">
        <f t="shared" si="4"/>
        <v>0</v>
      </c>
      <c r="AV8" s="48"/>
      <c r="AW8" s="48"/>
      <c r="AX8" s="48"/>
      <c r="AY8" s="48"/>
      <c r="AZ8" s="48"/>
      <c r="BA8" s="48"/>
      <c r="BB8" s="59">
        <v>0</v>
      </c>
      <c r="BC8" s="59">
        <v>35</v>
      </c>
      <c r="BD8" s="151">
        <f t="shared" si="0"/>
        <v>35</v>
      </c>
      <c r="BE8" s="150"/>
      <c r="BF8" s="150">
        <v>30</v>
      </c>
      <c r="BG8" s="150"/>
      <c r="BH8" s="150">
        <f t="shared" si="1"/>
        <v>30</v>
      </c>
      <c r="BI8" s="152">
        <f t="shared" si="2"/>
        <v>70</v>
      </c>
    </row>
    <row r="9" spans="1:61" ht="15.75">
      <c r="A9" s="191" t="s">
        <v>237</v>
      </c>
      <c r="B9" s="182" t="s">
        <v>551</v>
      </c>
      <c r="C9" s="196" t="s">
        <v>843</v>
      </c>
      <c r="D9" s="196" t="s">
        <v>1114</v>
      </c>
      <c r="E9" s="196"/>
      <c r="F9" s="196"/>
      <c r="G9" s="196"/>
      <c r="H9" s="339">
        <v>0</v>
      </c>
      <c r="I9" s="339">
        <v>0</v>
      </c>
      <c r="J9" s="339"/>
      <c r="K9" s="339"/>
      <c r="L9" s="339"/>
      <c r="M9" s="339"/>
      <c r="N9" s="339"/>
      <c r="O9" s="339"/>
      <c r="P9" s="339"/>
      <c r="Q9" s="339"/>
      <c r="R9" s="206">
        <v>0</v>
      </c>
      <c r="S9" s="206"/>
      <c r="T9" s="206"/>
      <c r="U9" s="189">
        <v>0</v>
      </c>
      <c r="V9" s="189"/>
      <c r="W9" s="294"/>
      <c r="X9" s="294"/>
      <c r="Y9" s="189"/>
      <c r="Z9" s="189"/>
      <c r="AA9" s="189"/>
      <c r="AB9" s="189"/>
      <c r="AC9" s="189"/>
      <c r="AD9" s="189"/>
      <c r="AE9" s="189"/>
      <c r="AF9" s="189"/>
      <c r="AG9" s="340"/>
      <c r="AH9" s="340">
        <v>5</v>
      </c>
      <c r="AI9" s="340"/>
      <c r="AJ9" s="340"/>
      <c r="AK9" s="367"/>
      <c r="AL9" s="359"/>
      <c r="AM9" s="189"/>
      <c r="AN9" s="186">
        <f t="shared" si="3"/>
        <v>5</v>
      </c>
      <c r="AO9" s="48"/>
      <c r="AP9" s="48"/>
      <c r="AQ9" s="48"/>
      <c r="AR9" s="59">
        <v>400</v>
      </c>
      <c r="AS9" s="59"/>
      <c r="AT9" s="48"/>
      <c r="AU9" s="241">
        <f t="shared" si="4"/>
        <v>400</v>
      </c>
      <c r="AV9" s="48"/>
      <c r="AW9" s="48"/>
      <c r="AX9" s="48"/>
      <c r="AY9" s="48"/>
      <c r="AZ9" s="48"/>
      <c r="BA9" s="48"/>
      <c r="BB9" s="59">
        <v>0</v>
      </c>
      <c r="BC9" s="59">
        <v>0</v>
      </c>
      <c r="BD9" s="151">
        <f t="shared" si="0"/>
        <v>0</v>
      </c>
      <c r="BE9" s="150"/>
      <c r="BF9" s="150"/>
      <c r="BG9" s="150"/>
      <c r="BH9" s="150">
        <f t="shared" si="1"/>
        <v>0</v>
      </c>
      <c r="BI9" s="152">
        <f t="shared" si="2"/>
        <v>405</v>
      </c>
    </row>
    <row r="10" spans="1:61" ht="31.5">
      <c r="A10" s="191" t="s">
        <v>238</v>
      </c>
      <c r="B10" s="182" t="s">
        <v>552</v>
      </c>
      <c r="C10" s="196" t="s">
        <v>239</v>
      </c>
      <c r="D10" s="196"/>
      <c r="E10" s="196"/>
      <c r="F10" s="196"/>
      <c r="G10" s="196"/>
      <c r="H10" s="339">
        <v>0</v>
      </c>
      <c r="I10" s="339">
        <v>0</v>
      </c>
      <c r="J10" s="339"/>
      <c r="K10" s="339"/>
      <c r="L10" s="339"/>
      <c r="M10" s="339"/>
      <c r="N10" s="339"/>
      <c r="O10" s="339"/>
      <c r="P10" s="339"/>
      <c r="Q10" s="339"/>
      <c r="R10" s="206">
        <v>0</v>
      </c>
      <c r="S10" s="206"/>
      <c r="T10" s="206"/>
      <c r="U10" s="189">
        <v>0</v>
      </c>
      <c r="V10" s="189">
        <v>200</v>
      </c>
      <c r="W10" s="294"/>
      <c r="X10" s="294"/>
      <c r="Y10" s="189"/>
      <c r="Z10" s="189"/>
      <c r="AA10" s="189"/>
      <c r="AB10" s="189"/>
      <c r="AC10" s="189"/>
      <c r="AD10" s="189"/>
      <c r="AE10" s="189"/>
      <c r="AF10" s="189"/>
      <c r="AG10" s="340"/>
      <c r="AH10" s="340"/>
      <c r="AI10" s="340"/>
      <c r="AJ10" s="340"/>
      <c r="AK10" s="367"/>
      <c r="AL10" s="359"/>
      <c r="AM10" s="189"/>
      <c r="AN10" s="186">
        <f t="shared" si="3"/>
        <v>200</v>
      </c>
      <c r="AO10" s="48"/>
      <c r="AP10" s="48"/>
      <c r="AQ10" s="48"/>
      <c r="AR10" s="59">
        <v>50</v>
      </c>
      <c r="AS10" s="59"/>
      <c r="AT10" s="48"/>
      <c r="AU10" s="241">
        <f t="shared" si="4"/>
        <v>50</v>
      </c>
      <c r="AV10" s="48"/>
      <c r="AW10" s="48"/>
      <c r="AX10" s="48"/>
      <c r="AY10" s="48"/>
      <c r="AZ10" s="48"/>
      <c r="BA10" s="48"/>
      <c r="BB10" s="59">
        <v>0</v>
      </c>
      <c r="BC10" s="59">
        <v>0</v>
      </c>
      <c r="BD10" s="151">
        <f t="shared" si="0"/>
        <v>0</v>
      </c>
      <c r="BE10" s="150"/>
      <c r="BF10" s="150"/>
      <c r="BG10" s="150"/>
      <c r="BH10" s="150">
        <f t="shared" si="1"/>
        <v>0</v>
      </c>
      <c r="BI10" s="152">
        <f t="shared" si="2"/>
        <v>250</v>
      </c>
    </row>
    <row r="11" spans="1:61" ht="31.5">
      <c r="A11" s="191" t="s">
        <v>240</v>
      </c>
      <c r="B11" s="182"/>
      <c r="C11" s="196" t="s">
        <v>1422</v>
      </c>
      <c r="D11" s="196" t="s">
        <v>1423</v>
      </c>
      <c r="E11" s="196"/>
      <c r="F11" s="196"/>
      <c r="G11" s="196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206"/>
      <c r="S11" s="206"/>
      <c r="T11" s="206"/>
      <c r="U11" s="189"/>
      <c r="V11" s="189">
        <v>500</v>
      </c>
      <c r="W11" s="294"/>
      <c r="X11" s="294"/>
      <c r="Y11" s="189"/>
      <c r="Z11" s="189"/>
      <c r="AA11" s="189"/>
      <c r="AB11" s="189"/>
      <c r="AC11" s="189"/>
      <c r="AD11" s="189"/>
      <c r="AE11" s="189"/>
      <c r="AF11" s="189"/>
      <c r="AG11" s="340"/>
      <c r="AH11" s="340"/>
      <c r="AI11" s="340"/>
      <c r="AJ11" s="340"/>
      <c r="AK11" s="367"/>
      <c r="AL11" s="359"/>
      <c r="AM11" s="189"/>
      <c r="AN11" s="186">
        <f t="shared" si="3"/>
        <v>500</v>
      </c>
      <c r="AO11" s="48"/>
      <c r="AP11" s="48"/>
      <c r="AQ11" s="48"/>
      <c r="AR11" s="59">
        <v>150</v>
      </c>
      <c r="AS11" s="59"/>
      <c r="AT11" s="48"/>
      <c r="AU11" s="241">
        <f t="shared" si="4"/>
        <v>150</v>
      </c>
      <c r="AV11" s="48"/>
      <c r="AW11" s="48"/>
      <c r="AX11" s="48"/>
      <c r="AY11" s="48"/>
      <c r="AZ11" s="48"/>
      <c r="BA11" s="48"/>
      <c r="BB11" s="59"/>
      <c r="BC11" s="59"/>
      <c r="BD11" s="151"/>
      <c r="BE11" s="150"/>
      <c r="BF11" s="150"/>
      <c r="BG11" s="150"/>
      <c r="BH11" s="150"/>
      <c r="BI11" s="152"/>
    </row>
    <row r="12" spans="1:61" ht="15.75">
      <c r="A12" s="295" t="s">
        <v>242</v>
      </c>
      <c r="B12" s="182"/>
      <c r="C12" s="312" t="s">
        <v>241</v>
      </c>
      <c r="D12" s="312"/>
      <c r="E12" s="312">
        <f>SUM(E5:E11)</f>
        <v>0</v>
      </c>
      <c r="F12" s="312">
        <f aca="true" t="shared" si="5" ref="F12:AU12">SUM(F5:F11)</f>
        <v>0</v>
      </c>
      <c r="G12" s="312">
        <f t="shared" si="5"/>
        <v>0</v>
      </c>
      <c r="H12" s="312">
        <f t="shared" si="5"/>
        <v>0</v>
      </c>
      <c r="I12" s="312">
        <f t="shared" si="5"/>
        <v>0</v>
      </c>
      <c r="J12" s="312">
        <f t="shared" si="5"/>
        <v>0</v>
      </c>
      <c r="K12" s="312">
        <f t="shared" si="5"/>
        <v>0</v>
      </c>
      <c r="L12" s="312">
        <f t="shared" si="5"/>
        <v>0</v>
      </c>
      <c r="M12" s="312">
        <f t="shared" si="5"/>
        <v>0</v>
      </c>
      <c r="N12" s="312">
        <f t="shared" si="5"/>
        <v>0</v>
      </c>
      <c r="O12" s="312">
        <f t="shared" si="5"/>
        <v>0</v>
      </c>
      <c r="P12" s="312">
        <f t="shared" si="5"/>
        <v>25</v>
      </c>
      <c r="Q12" s="312">
        <f t="shared" si="5"/>
        <v>0</v>
      </c>
      <c r="R12" s="312">
        <f t="shared" si="5"/>
        <v>0</v>
      </c>
      <c r="S12" s="312">
        <f t="shared" si="5"/>
        <v>0</v>
      </c>
      <c r="T12" s="312">
        <f t="shared" si="5"/>
        <v>0</v>
      </c>
      <c r="U12" s="312">
        <f t="shared" si="5"/>
        <v>0</v>
      </c>
      <c r="V12" s="312">
        <f t="shared" si="5"/>
        <v>700</v>
      </c>
      <c r="W12" s="312">
        <f t="shared" si="5"/>
        <v>0</v>
      </c>
      <c r="X12" s="312">
        <f t="shared" si="5"/>
        <v>0</v>
      </c>
      <c r="Y12" s="312">
        <f t="shared" si="5"/>
        <v>0</v>
      </c>
      <c r="Z12" s="312">
        <f t="shared" si="5"/>
        <v>0</v>
      </c>
      <c r="AA12" s="312">
        <f t="shared" si="5"/>
        <v>0</v>
      </c>
      <c r="AB12" s="312">
        <f t="shared" si="5"/>
        <v>0</v>
      </c>
      <c r="AC12" s="312">
        <f t="shared" si="5"/>
        <v>0</v>
      </c>
      <c r="AD12" s="312"/>
      <c r="AE12" s="312">
        <f t="shared" si="5"/>
        <v>0</v>
      </c>
      <c r="AF12" s="312">
        <f t="shared" si="5"/>
        <v>0</v>
      </c>
      <c r="AG12" s="374">
        <f t="shared" si="5"/>
        <v>0</v>
      </c>
      <c r="AH12" s="374">
        <f t="shared" si="5"/>
        <v>75</v>
      </c>
      <c r="AI12" s="374">
        <f t="shared" si="5"/>
        <v>0</v>
      </c>
      <c r="AJ12" s="374">
        <f t="shared" si="5"/>
        <v>0</v>
      </c>
      <c r="AK12" s="368">
        <f t="shared" si="5"/>
        <v>0</v>
      </c>
      <c r="AL12" s="360">
        <f t="shared" si="5"/>
        <v>0</v>
      </c>
      <c r="AM12" s="312">
        <f t="shared" si="5"/>
        <v>0</v>
      </c>
      <c r="AN12" s="331">
        <f t="shared" si="5"/>
        <v>800</v>
      </c>
      <c r="AO12" s="377">
        <f t="shared" si="5"/>
        <v>0</v>
      </c>
      <c r="AP12" s="377">
        <f t="shared" si="5"/>
        <v>0</v>
      </c>
      <c r="AQ12" s="377">
        <f t="shared" si="5"/>
        <v>0</v>
      </c>
      <c r="AR12" s="377">
        <f t="shared" si="5"/>
        <v>610</v>
      </c>
      <c r="AS12" s="377">
        <f t="shared" si="5"/>
        <v>0</v>
      </c>
      <c r="AT12" s="377">
        <f t="shared" si="5"/>
        <v>0</v>
      </c>
      <c r="AU12" s="377">
        <f t="shared" si="5"/>
        <v>610</v>
      </c>
      <c r="AV12" s="48"/>
      <c r="AW12" s="48"/>
      <c r="AX12" s="48"/>
      <c r="AY12" s="48"/>
      <c r="AZ12" s="48"/>
      <c r="BA12" s="48"/>
      <c r="BB12" s="59"/>
      <c r="BC12" s="59"/>
      <c r="BD12" s="151"/>
      <c r="BE12" s="150"/>
      <c r="BF12" s="150"/>
      <c r="BG12" s="150"/>
      <c r="BH12" s="150"/>
      <c r="BI12" s="152"/>
    </row>
    <row r="13" spans="1:61" ht="15.75">
      <c r="A13" s="191" t="s">
        <v>243</v>
      </c>
      <c r="B13" s="182"/>
      <c r="C13" s="196" t="s">
        <v>838</v>
      </c>
      <c r="D13" s="196"/>
      <c r="E13" s="196"/>
      <c r="F13" s="196"/>
      <c r="G13" s="196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206"/>
      <c r="S13" s="206"/>
      <c r="T13" s="206"/>
      <c r="U13" s="189"/>
      <c r="V13" s="189"/>
      <c r="W13" s="294"/>
      <c r="X13" s="294"/>
      <c r="Y13" s="189"/>
      <c r="Z13" s="189"/>
      <c r="AA13" s="189"/>
      <c r="AB13" s="189"/>
      <c r="AC13" s="189"/>
      <c r="AD13" s="189"/>
      <c r="AE13" s="189"/>
      <c r="AF13" s="189"/>
      <c r="AG13" s="340"/>
      <c r="AH13" s="340"/>
      <c r="AI13" s="340"/>
      <c r="AJ13" s="340"/>
      <c r="AK13" s="367"/>
      <c r="AL13" s="359"/>
      <c r="AM13" s="189"/>
      <c r="AN13" s="186">
        <f t="shared" si="3"/>
        <v>0</v>
      </c>
      <c r="AO13" s="48"/>
      <c r="AP13" s="48"/>
      <c r="AQ13" s="48"/>
      <c r="AR13" s="59"/>
      <c r="AS13" s="59"/>
      <c r="AT13" s="48"/>
      <c r="AU13" s="241">
        <f t="shared" si="4"/>
        <v>0</v>
      </c>
      <c r="AV13" s="48"/>
      <c r="AW13" s="48"/>
      <c r="AX13" s="48"/>
      <c r="AY13" s="48"/>
      <c r="AZ13" s="48"/>
      <c r="BA13" s="48"/>
      <c r="BB13" s="59"/>
      <c r="BC13" s="59"/>
      <c r="BD13" s="151"/>
      <c r="BE13" s="150"/>
      <c r="BF13" s="150"/>
      <c r="BG13" s="150"/>
      <c r="BH13" s="150"/>
      <c r="BI13" s="152"/>
    </row>
    <row r="14" spans="1:61" ht="15.75">
      <c r="A14" s="191" t="s">
        <v>245</v>
      </c>
      <c r="B14" s="182"/>
      <c r="C14" s="196" t="s">
        <v>244</v>
      </c>
      <c r="D14" s="196"/>
      <c r="E14" s="196"/>
      <c r="F14" s="196"/>
      <c r="G14" s="196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206"/>
      <c r="S14" s="206">
        <v>100</v>
      </c>
      <c r="T14" s="206"/>
      <c r="U14" s="189"/>
      <c r="V14" s="189">
        <v>10</v>
      </c>
      <c r="W14" s="294"/>
      <c r="X14" s="294"/>
      <c r="Y14" s="189"/>
      <c r="Z14" s="189"/>
      <c r="AA14" s="189"/>
      <c r="AB14" s="189"/>
      <c r="AC14" s="189"/>
      <c r="AD14" s="189"/>
      <c r="AE14" s="189"/>
      <c r="AF14" s="189"/>
      <c r="AG14" s="340"/>
      <c r="AH14" s="340">
        <v>80</v>
      </c>
      <c r="AI14" s="340"/>
      <c r="AJ14" s="340"/>
      <c r="AK14" s="367"/>
      <c r="AL14" s="359"/>
      <c r="AM14" s="189"/>
      <c r="AN14" s="186">
        <f t="shared" si="3"/>
        <v>190</v>
      </c>
      <c r="AO14" s="48"/>
      <c r="AP14" s="48"/>
      <c r="AQ14" s="48"/>
      <c r="AR14" s="59">
        <v>500</v>
      </c>
      <c r="AS14" s="59"/>
      <c r="AT14" s="48"/>
      <c r="AU14" s="241">
        <f t="shared" si="4"/>
        <v>500</v>
      </c>
      <c r="AV14" s="48"/>
      <c r="AW14" s="48"/>
      <c r="AX14" s="48"/>
      <c r="AY14" s="48"/>
      <c r="AZ14" s="48"/>
      <c r="BA14" s="48"/>
      <c r="BB14" s="59"/>
      <c r="BC14" s="59"/>
      <c r="BD14" s="151"/>
      <c r="BE14" s="150"/>
      <c r="BF14" s="150"/>
      <c r="BG14" s="150"/>
      <c r="BH14" s="150"/>
      <c r="BI14" s="152"/>
    </row>
    <row r="15" spans="1:61" ht="15.75">
      <c r="A15" s="191" t="s">
        <v>246</v>
      </c>
      <c r="B15" s="182" t="s">
        <v>553</v>
      </c>
      <c r="C15" s="196" t="s">
        <v>844</v>
      </c>
      <c r="D15" s="196"/>
      <c r="E15" s="196"/>
      <c r="F15" s="196"/>
      <c r="G15" s="196"/>
      <c r="H15" s="339">
        <v>0</v>
      </c>
      <c r="I15" s="339">
        <v>0</v>
      </c>
      <c r="J15" s="339"/>
      <c r="K15" s="339"/>
      <c r="L15" s="339"/>
      <c r="M15" s="339"/>
      <c r="N15" s="339"/>
      <c r="O15" s="339"/>
      <c r="P15" s="339">
        <v>20</v>
      </c>
      <c r="Q15" s="339"/>
      <c r="R15" s="206"/>
      <c r="S15" s="206"/>
      <c r="T15" s="206"/>
      <c r="U15" s="189">
        <v>0</v>
      </c>
      <c r="V15" s="189">
        <v>2000</v>
      </c>
      <c r="W15" s="294"/>
      <c r="X15" s="294"/>
      <c r="Y15" s="189"/>
      <c r="Z15" s="189"/>
      <c r="AA15" s="189"/>
      <c r="AB15" s="189"/>
      <c r="AC15" s="189"/>
      <c r="AD15" s="189"/>
      <c r="AE15" s="189"/>
      <c r="AF15" s="189"/>
      <c r="AG15" s="340"/>
      <c r="AH15" s="340">
        <v>15</v>
      </c>
      <c r="AI15" s="340"/>
      <c r="AJ15" s="340"/>
      <c r="AK15" s="367"/>
      <c r="AL15" s="359"/>
      <c r="AM15" s="189"/>
      <c r="AN15" s="186">
        <f t="shared" si="3"/>
        <v>2035</v>
      </c>
      <c r="AO15" s="48"/>
      <c r="AP15" s="48"/>
      <c r="AQ15" s="48"/>
      <c r="AR15" s="59">
        <v>50</v>
      </c>
      <c r="AS15" s="59"/>
      <c r="AT15" s="48"/>
      <c r="AU15" s="241">
        <f t="shared" si="4"/>
        <v>50</v>
      </c>
      <c r="AV15" s="48"/>
      <c r="AW15" s="48"/>
      <c r="AX15" s="48"/>
      <c r="AY15" s="48"/>
      <c r="AZ15" s="48"/>
      <c r="BA15" s="48"/>
      <c r="BB15" s="59">
        <v>0</v>
      </c>
      <c r="BC15" s="59">
        <v>0</v>
      </c>
      <c r="BD15" s="151">
        <f>SUM(AV15:BC15)</f>
        <v>0</v>
      </c>
      <c r="BE15" s="150"/>
      <c r="BF15" s="150">
        <v>5</v>
      </c>
      <c r="BG15" s="150"/>
      <c r="BH15" s="150">
        <f>BE15+BF15+BG15</f>
        <v>5</v>
      </c>
      <c r="BI15" s="152">
        <f>+BD15+AN15+AU15+BH15</f>
        <v>2090</v>
      </c>
    </row>
    <row r="16" spans="1:61" ht="15.75">
      <c r="A16" s="191" t="s">
        <v>247</v>
      </c>
      <c r="B16" s="182" t="s">
        <v>374</v>
      </c>
      <c r="C16" s="196" t="s">
        <v>845</v>
      </c>
      <c r="D16" s="196"/>
      <c r="E16" s="196"/>
      <c r="F16" s="196"/>
      <c r="G16" s="196"/>
      <c r="H16" s="339">
        <v>0</v>
      </c>
      <c r="I16" s="339">
        <v>0</v>
      </c>
      <c r="J16" s="339"/>
      <c r="K16" s="339"/>
      <c r="L16" s="339"/>
      <c r="M16" s="339"/>
      <c r="N16" s="339"/>
      <c r="O16" s="339"/>
      <c r="P16" s="339"/>
      <c r="Q16" s="339"/>
      <c r="R16" s="206">
        <v>0</v>
      </c>
      <c r="S16" s="206"/>
      <c r="T16" s="206"/>
      <c r="U16" s="189">
        <v>0</v>
      </c>
      <c r="V16" s="189"/>
      <c r="W16" s="294"/>
      <c r="X16" s="294"/>
      <c r="Y16" s="189"/>
      <c r="Z16" s="189"/>
      <c r="AA16" s="189"/>
      <c r="AB16" s="189"/>
      <c r="AC16" s="189"/>
      <c r="AD16" s="189"/>
      <c r="AE16" s="189"/>
      <c r="AF16" s="189"/>
      <c r="AG16" s="340"/>
      <c r="AH16" s="340"/>
      <c r="AI16" s="340"/>
      <c r="AJ16" s="340"/>
      <c r="AK16" s="367"/>
      <c r="AL16" s="359"/>
      <c r="AM16" s="189"/>
      <c r="AN16" s="186">
        <f t="shared" si="3"/>
        <v>0</v>
      </c>
      <c r="AO16" s="48"/>
      <c r="AP16" s="48"/>
      <c r="AQ16" s="48"/>
      <c r="AR16" s="59"/>
      <c r="AS16" s="59"/>
      <c r="AT16" s="48"/>
      <c r="AU16" s="241">
        <f t="shared" si="4"/>
        <v>0</v>
      </c>
      <c r="AV16" s="48"/>
      <c r="AW16" s="48"/>
      <c r="AX16" s="48"/>
      <c r="AY16" s="48"/>
      <c r="AZ16" s="48"/>
      <c r="BA16" s="48"/>
      <c r="BB16" s="59">
        <v>0</v>
      </c>
      <c r="BC16" s="59">
        <v>50</v>
      </c>
      <c r="BD16" s="151">
        <f>SUM(AV16:BC16)</f>
        <v>50</v>
      </c>
      <c r="BE16" s="150"/>
      <c r="BF16" s="150"/>
      <c r="BG16" s="150"/>
      <c r="BH16" s="150">
        <f>BE16+BF16+BG16</f>
        <v>0</v>
      </c>
      <c r="BI16" s="152">
        <f>+BD16+AN16+AU16+BH16</f>
        <v>50</v>
      </c>
    </row>
    <row r="17" spans="1:61" ht="31.5">
      <c r="A17" s="191" t="s">
        <v>249</v>
      </c>
      <c r="B17" s="182" t="s">
        <v>375</v>
      </c>
      <c r="C17" s="196" t="s">
        <v>248</v>
      </c>
      <c r="D17" s="196"/>
      <c r="E17" s="196"/>
      <c r="F17" s="196"/>
      <c r="G17" s="196"/>
      <c r="H17" s="339">
        <v>0</v>
      </c>
      <c r="I17" s="339">
        <v>0</v>
      </c>
      <c r="J17" s="339"/>
      <c r="K17" s="339"/>
      <c r="L17" s="339"/>
      <c r="M17" s="339"/>
      <c r="N17" s="339"/>
      <c r="O17" s="339"/>
      <c r="P17" s="339">
        <v>200</v>
      </c>
      <c r="Q17" s="339"/>
      <c r="R17" s="206">
        <v>0</v>
      </c>
      <c r="S17" s="206"/>
      <c r="T17" s="206"/>
      <c r="U17" s="189">
        <v>0</v>
      </c>
      <c r="V17" s="189">
        <v>200</v>
      </c>
      <c r="W17" s="294"/>
      <c r="X17" s="294"/>
      <c r="Y17" s="189"/>
      <c r="Z17" s="189"/>
      <c r="AA17" s="189">
        <v>50</v>
      </c>
      <c r="AB17" s="189"/>
      <c r="AC17" s="189"/>
      <c r="AD17" s="189"/>
      <c r="AE17" s="189"/>
      <c r="AF17" s="189"/>
      <c r="AG17" s="340"/>
      <c r="AH17" s="340">
        <v>350</v>
      </c>
      <c r="AI17" s="340"/>
      <c r="AJ17" s="340"/>
      <c r="AK17" s="367"/>
      <c r="AL17" s="359"/>
      <c r="AM17" s="189"/>
      <c r="AN17" s="186">
        <f t="shared" si="3"/>
        <v>800</v>
      </c>
      <c r="AO17" s="48"/>
      <c r="AP17" s="48"/>
      <c r="AQ17" s="48"/>
      <c r="AR17" s="59">
        <v>250</v>
      </c>
      <c r="AS17" s="59"/>
      <c r="AT17" s="48"/>
      <c r="AU17" s="241">
        <f t="shared" si="4"/>
        <v>250</v>
      </c>
      <c r="AV17" s="48"/>
      <c r="AW17" s="59">
        <v>40</v>
      </c>
      <c r="AX17" s="59">
        <v>150</v>
      </c>
      <c r="AY17" s="48"/>
      <c r="AZ17" s="59">
        <v>200</v>
      </c>
      <c r="BA17" s="48"/>
      <c r="BB17" s="59">
        <v>0</v>
      </c>
      <c r="BC17" s="59">
        <v>200</v>
      </c>
      <c r="BD17" s="151">
        <f>SUM(AV17:BC17)</f>
        <v>590</v>
      </c>
      <c r="BE17" s="150"/>
      <c r="BF17" s="150">
        <v>50</v>
      </c>
      <c r="BG17" s="150">
        <v>10</v>
      </c>
      <c r="BH17" s="150">
        <f>BE17+BF17+BG17</f>
        <v>60</v>
      </c>
      <c r="BI17" s="152">
        <f>+BD17+AN17+AU17+BH17</f>
        <v>1700</v>
      </c>
    </row>
    <row r="18" spans="1:61" ht="31.5">
      <c r="A18" s="191" t="s">
        <v>250</v>
      </c>
      <c r="B18" s="182" t="s">
        <v>376</v>
      </c>
      <c r="C18" s="196" t="s">
        <v>1424</v>
      </c>
      <c r="D18" s="196" t="s">
        <v>1423</v>
      </c>
      <c r="E18" s="196"/>
      <c r="F18" s="196"/>
      <c r="G18" s="196"/>
      <c r="H18" s="339"/>
      <c r="I18" s="339"/>
      <c r="J18" s="339"/>
      <c r="K18" s="339"/>
      <c r="L18" s="339"/>
      <c r="M18" s="339"/>
      <c r="N18" s="339"/>
      <c r="O18" s="339"/>
      <c r="P18" s="339">
        <v>0</v>
      </c>
      <c r="Q18" s="339"/>
      <c r="R18" s="206">
        <v>0</v>
      </c>
      <c r="S18" s="206"/>
      <c r="T18" s="206"/>
      <c r="U18" s="189"/>
      <c r="V18" s="189">
        <v>500</v>
      </c>
      <c r="W18" s="294"/>
      <c r="X18" s="294"/>
      <c r="Y18" s="189"/>
      <c r="Z18" s="189"/>
      <c r="AA18" s="189">
        <v>50</v>
      </c>
      <c r="AB18" s="189"/>
      <c r="AC18" s="189"/>
      <c r="AD18" s="189"/>
      <c r="AE18" s="189"/>
      <c r="AF18" s="189"/>
      <c r="AG18" s="340"/>
      <c r="AH18" s="340">
        <v>250</v>
      </c>
      <c r="AI18" s="340"/>
      <c r="AJ18" s="340"/>
      <c r="AK18" s="367"/>
      <c r="AL18" s="359"/>
      <c r="AM18" s="189"/>
      <c r="AN18" s="186">
        <f>SUM(E18:AM18)</f>
        <v>800</v>
      </c>
      <c r="AO18" s="48"/>
      <c r="AP18" s="48"/>
      <c r="AQ18" s="48"/>
      <c r="AR18" s="59">
        <v>1000</v>
      </c>
      <c r="AS18" s="59"/>
      <c r="AT18" s="48"/>
      <c r="AU18" s="241">
        <f t="shared" si="4"/>
        <v>1000</v>
      </c>
      <c r="AV18" s="48"/>
      <c r="AW18" s="48"/>
      <c r="AX18" s="48"/>
      <c r="AY18" s="48"/>
      <c r="AZ18" s="59">
        <v>100</v>
      </c>
      <c r="BA18" s="48"/>
      <c r="BB18" s="59">
        <v>10</v>
      </c>
      <c r="BC18" s="59">
        <v>100</v>
      </c>
      <c r="BD18" s="151">
        <f>SUM(AV18:BC18)</f>
        <v>210</v>
      </c>
      <c r="BE18" s="150"/>
      <c r="BF18" s="150">
        <v>50</v>
      </c>
      <c r="BG18" s="150">
        <v>10</v>
      </c>
      <c r="BH18" s="150">
        <f>BE18+BF18+BG18</f>
        <v>60</v>
      </c>
      <c r="BI18" s="152">
        <f>+BD18+AN18+AU18+BH18</f>
        <v>2070</v>
      </c>
    </row>
    <row r="19" spans="1:61" ht="31.5">
      <c r="A19" s="295" t="s">
        <v>251</v>
      </c>
      <c r="B19" s="287" t="s">
        <v>376</v>
      </c>
      <c r="C19" s="312" t="s">
        <v>252</v>
      </c>
      <c r="D19" s="312"/>
      <c r="E19" s="312">
        <f>SUM(E13:E18)</f>
        <v>0</v>
      </c>
      <c r="F19" s="312">
        <f aca="true" t="shared" si="6" ref="F19:AU19">SUM(F13:F18)</f>
        <v>0</v>
      </c>
      <c r="G19" s="312">
        <f t="shared" si="6"/>
        <v>0</v>
      </c>
      <c r="H19" s="312">
        <f t="shared" si="6"/>
        <v>0</v>
      </c>
      <c r="I19" s="312">
        <f t="shared" si="6"/>
        <v>0</v>
      </c>
      <c r="J19" s="312">
        <f t="shared" si="6"/>
        <v>0</v>
      </c>
      <c r="K19" s="312">
        <f t="shared" si="6"/>
        <v>0</v>
      </c>
      <c r="L19" s="312">
        <f t="shared" si="6"/>
        <v>0</v>
      </c>
      <c r="M19" s="312">
        <f t="shared" si="6"/>
        <v>0</v>
      </c>
      <c r="N19" s="312">
        <f t="shared" si="6"/>
        <v>0</v>
      </c>
      <c r="O19" s="312">
        <f t="shared" si="6"/>
        <v>0</v>
      </c>
      <c r="P19" s="312">
        <f t="shared" si="6"/>
        <v>220</v>
      </c>
      <c r="Q19" s="312">
        <f t="shared" si="6"/>
        <v>0</v>
      </c>
      <c r="R19" s="312">
        <f t="shared" si="6"/>
        <v>0</v>
      </c>
      <c r="S19" s="312">
        <f t="shared" si="6"/>
        <v>100</v>
      </c>
      <c r="T19" s="312">
        <f t="shared" si="6"/>
        <v>0</v>
      </c>
      <c r="U19" s="312">
        <f t="shared" si="6"/>
        <v>0</v>
      </c>
      <c r="V19" s="312">
        <f t="shared" si="6"/>
        <v>2710</v>
      </c>
      <c r="W19" s="312">
        <f t="shared" si="6"/>
        <v>0</v>
      </c>
      <c r="X19" s="312">
        <f t="shared" si="6"/>
        <v>0</v>
      </c>
      <c r="Y19" s="312">
        <f t="shared" si="6"/>
        <v>0</v>
      </c>
      <c r="Z19" s="312">
        <f t="shared" si="6"/>
        <v>0</v>
      </c>
      <c r="AA19" s="312">
        <f t="shared" si="6"/>
        <v>100</v>
      </c>
      <c r="AB19" s="312">
        <f t="shared" si="6"/>
        <v>0</v>
      </c>
      <c r="AC19" s="312">
        <f t="shared" si="6"/>
        <v>0</v>
      </c>
      <c r="AD19" s="312"/>
      <c r="AE19" s="312">
        <f t="shared" si="6"/>
        <v>0</v>
      </c>
      <c r="AF19" s="312">
        <f t="shared" si="6"/>
        <v>0</v>
      </c>
      <c r="AG19" s="374">
        <f t="shared" si="6"/>
        <v>0</v>
      </c>
      <c r="AH19" s="374">
        <f t="shared" si="6"/>
        <v>695</v>
      </c>
      <c r="AI19" s="374">
        <f t="shared" si="6"/>
        <v>0</v>
      </c>
      <c r="AJ19" s="374">
        <f t="shared" si="6"/>
        <v>0</v>
      </c>
      <c r="AK19" s="368">
        <f t="shared" si="6"/>
        <v>0</v>
      </c>
      <c r="AL19" s="360">
        <f t="shared" si="6"/>
        <v>0</v>
      </c>
      <c r="AM19" s="312">
        <f t="shared" si="6"/>
        <v>0</v>
      </c>
      <c r="AN19" s="331">
        <f t="shared" si="6"/>
        <v>3825</v>
      </c>
      <c r="AO19" s="377">
        <f t="shared" si="6"/>
        <v>0</v>
      </c>
      <c r="AP19" s="377">
        <f t="shared" si="6"/>
        <v>0</v>
      </c>
      <c r="AQ19" s="377">
        <f t="shared" si="6"/>
        <v>0</v>
      </c>
      <c r="AR19" s="377">
        <f t="shared" si="6"/>
        <v>1800</v>
      </c>
      <c r="AS19" s="377">
        <f t="shared" si="6"/>
        <v>0</v>
      </c>
      <c r="AT19" s="377">
        <f t="shared" si="6"/>
        <v>0</v>
      </c>
      <c r="AU19" s="377">
        <f t="shared" si="6"/>
        <v>1800</v>
      </c>
      <c r="AV19" s="48"/>
      <c r="AW19" s="48">
        <f>SUM(AW5:AW18)</f>
        <v>40</v>
      </c>
      <c r="AX19" s="48">
        <f>SUM(AX5:AX18)</f>
        <v>150</v>
      </c>
      <c r="AY19" s="48"/>
      <c r="AZ19" s="48">
        <f>SUM(AZ5:AZ18)</f>
        <v>300</v>
      </c>
      <c r="BA19" s="48">
        <f>SUM(BA5:BA18)</f>
        <v>120</v>
      </c>
      <c r="BB19" s="48">
        <f>SUM(BB5:BB18)</f>
        <v>10</v>
      </c>
      <c r="BC19" s="48">
        <f>SUM(BC5:BC18)</f>
        <v>415</v>
      </c>
      <c r="BD19" s="247">
        <f>SUM(AV19:BC19)</f>
        <v>1035</v>
      </c>
      <c r="BE19" s="151">
        <f>SUM(BE5:BE18)</f>
        <v>0</v>
      </c>
      <c r="BF19" s="151">
        <f>SUM(BF5:BF18)</f>
        <v>165</v>
      </c>
      <c r="BG19" s="151">
        <f>SUM(BG5:BG18)</f>
        <v>25</v>
      </c>
      <c r="BH19" s="151">
        <f>BE19+BF19+BG19</f>
        <v>190</v>
      </c>
      <c r="BI19" s="152">
        <f>+BD19+AN19+AU19+BH19</f>
        <v>6850</v>
      </c>
    </row>
    <row r="20" spans="1:61" ht="15.75">
      <c r="A20" s="192" t="s">
        <v>253</v>
      </c>
      <c r="B20" s="287"/>
      <c r="C20" s="310" t="s">
        <v>254</v>
      </c>
      <c r="D20" s="310"/>
      <c r="E20" s="310">
        <f>E12+E19</f>
        <v>0</v>
      </c>
      <c r="F20" s="310">
        <f aca="true" t="shared" si="7" ref="F20:AU20">F12+F19</f>
        <v>0</v>
      </c>
      <c r="G20" s="310">
        <f t="shared" si="7"/>
        <v>0</v>
      </c>
      <c r="H20" s="310">
        <f t="shared" si="7"/>
        <v>0</v>
      </c>
      <c r="I20" s="310">
        <f t="shared" si="7"/>
        <v>0</v>
      </c>
      <c r="J20" s="310">
        <f t="shared" si="7"/>
        <v>0</v>
      </c>
      <c r="K20" s="310">
        <f t="shared" si="7"/>
        <v>0</v>
      </c>
      <c r="L20" s="310">
        <f t="shared" si="7"/>
        <v>0</v>
      </c>
      <c r="M20" s="310">
        <f t="shared" si="7"/>
        <v>0</v>
      </c>
      <c r="N20" s="310">
        <f t="shared" si="7"/>
        <v>0</v>
      </c>
      <c r="O20" s="310">
        <f t="shared" si="7"/>
        <v>0</v>
      </c>
      <c r="P20" s="310">
        <f t="shared" si="7"/>
        <v>245</v>
      </c>
      <c r="Q20" s="310">
        <f t="shared" si="7"/>
        <v>0</v>
      </c>
      <c r="R20" s="310">
        <f t="shared" si="7"/>
        <v>0</v>
      </c>
      <c r="S20" s="310">
        <f t="shared" si="7"/>
        <v>100</v>
      </c>
      <c r="T20" s="310">
        <f t="shared" si="7"/>
        <v>0</v>
      </c>
      <c r="U20" s="310">
        <f t="shared" si="7"/>
        <v>0</v>
      </c>
      <c r="V20" s="310">
        <f t="shared" si="7"/>
        <v>3410</v>
      </c>
      <c r="W20" s="310">
        <f t="shared" si="7"/>
        <v>0</v>
      </c>
      <c r="X20" s="310">
        <f t="shared" si="7"/>
        <v>0</v>
      </c>
      <c r="Y20" s="310">
        <f t="shared" si="7"/>
        <v>0</v>
      </c>
      <c r="Z20" s="310">
        <f t="shared" si="7"/>
        <v>0</v>
      </c>
      <c r="AA20" s="310">
        <f t="shared" si="7"/>
        <v>100</v>
      </c>
      <c r="AB20" s="310">
        <f t="shared" si="7"/>
        <v>0</v>
      </c>
      <c r="AC20" s="310">
        <f t="shared" si="7"/>
        <v>0</v>
      </c>
      <c r="AD20" s="310"/>
      <c r="AE20" s="310">
        <f t="shared" si="7"/>
        <v>0</v>
      </c>
      <c r="AF20" s="310">
        <f t="shared" si="7"/>
        <v>0</v>
      </c>
      <c r="AG20" s="375">
        <f t="shared" si="7"/>
        <v>0</v>
      </c>
      <c r="AH20" s="375">
        <f t="shared" si="7"/>
        <v>770</v>
      </c>
      <c r="AI20" s="375">
        <f t="shared" si="7"/>
        <v>0</v>
      </c>
      <c r="AJ20" s="375">
        <f t="shared" si="7"/>
        <v>0</v>
      </c>
      <c r="AK20" s="369">
        <f t="shared" si="7"/>
        <v>0</v>
      </c>
      <c r="AL20" s="361">
        <f t="shared" si="7"/>
        <v>0</v>
      </c>
      <c r="AM20" s="310">
        <f t="shared" si="7"/>
        <v>0</v>
      </c>
      <c r="AN20" s="186">
        <f t="shared" si="7"/>
        <v>4625</v>
      </c>
      <c r="AO20" s="48">
        <f t="shared" si="7"/>
        <v>0</v>
      </c>
      <c r="AP20" s="48">
        <f t="shared" si="7"/>
        <v>0</v>
      </c>
      <c r="AQ20" s="48">
        <f t="shared" si="7"/>
        <v>0</v>
      </c>
      <c r="AR20" s="48">
        <f t="shared" si="7"/>
        <v>2410</v>
      </c>
      <c r="AS20" s="48">
        <f t="shared" si="7"/>
        <v>0</v>
      </c>
      <c r="AT20" s="48">
        <f t="shared" si="7"/>
        <v>0</v>
      </c>
      <c r="AU20" s="48">
        <f t="shared" si="7"/>
        <v>2410</v>
      </c>
      <c r="AV20" s="48"/>
      <c r="AW20" s="48"/>
      <c r="AX20" s="48"/>
      <c r="AY20" s="48"/>
      <c r="AZ20" s="48"/>
      <c r="BA20" s="48"/>
      <c r="BB20" s="48"/>
      <c r="BC20" s="48"/>
      <c r="BD20" s="247"/>
      <c r="BE20" s="151"/>
      <c r="BF20" s="151"/>
      <c r="BG20" s="151"/>
      <c r="BH20" s="151"/>
      <c r="BI20" s="152"/>
    </row>
    <row r="21" spans="1:61" ht="15.75">
      <c r="A21" s="191" t="s">
        <v>255</v>
      </c>
      <c r="B21" s="287"/>
      <c r="C21" s="196" t="s">
        <v>256</v>
      </c>
      <c r="D21" s="196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75"/>
      <c r="AH21" s="375"/>
      <c r="AI21" s="375"/>
      <c r="AJ21" s="375"/>
      <c r="AK21" s="369"/>
      <c r="AL21" s="361"/>
      <c r="AM21" s="310"/>
      <c r="AN21" s="186">
        <f aca="true" t="shared" si="8" ref="AN21:AN78">SUM(E21:AM21)</f>
        <v>0</v>
      </c>
      <c r="AO21" s="48"/>
      <c r="AP21" s="48"/>
      <c r="AQ21" s="48"/>
      <c r="AR21" s="48"/>
      <c r="AS21" s="48"/>
      <c r="AT21" s="48"/>
      <c r="AU21" s="241">
        <f aca="true" t="shared" si="9" ref="AU21:AU28">SUM(AO21:AS21)</f>
        <v>0</v>
      </c>
      <c r="AV21" s="48"/>
      <c r="AW21" s="48"/>
      <c r="AX21" s="48"/>
      <c r="AY21" s="48"/>
      <c r="AZ21" s="48"/>
      <c r="BA21" s="48"/>
      <c r="BB21" s="48"/>
      <c r="BC21" s="48"/>
      <c r="BD21" s="247"/>
      <c r="BE21" s="151"/>
      <c r="BF21" s="151"/>
      <c r="BG21" s="151"/>
      <c r="BH21" s="151"/>
      <c r="BI21" s="152"/>
    </row>
    <row r="22" spans="1:61" ht="15.75">
      <c r="A22" s="191" t="s">
        <v>257</v>
      </c>
      <c r="B22" s="287"/>
      <c r="C22" s="196" t="s">
        <v>258</v>
      </c>
      <c r="D22" s="196" t="s">
        <v>1426</v>
      </c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75"/>
      <c r="AH22" s="375">
        <v>15</v>
      </c>
      <c r="AI22" s="375"/>
      <c r="AJ22" s="375"/>
      <c r="AK22" s="369"/>
      <c r="AL22" s="361"/>
      <c r="AM22" s="310"/>
      <c r="AN22" s="186">
        <f t="shared" si="8"/>
        <v>15</v>
      </c>
      <c r="AO22" s="48"/>
      <c r="AP22" s="48"/>
      <c r="AQ22" s="48"/>
      <c r="AR22" s="48">
        <v>550</v>
      </c>
      <c r="AS22" s="48"/>
      <c r="AT22" s="48"/>
      <c r="AU22" s="241">
        <f t="shared" si="9"/>
        <v>550</v>
      </c>
      <c r="AV22" s="48"/>
      <c r="AW22" s="48"/>
      <c r="AX22" s="48"/>
      <c r="AY22" s="48"/>
      <c r="AZ22" s="48"/>
      <c r="BA22" s="48"/>
      <c r="BB22" s="48"/>
      <c r="BC22" s="48"/>
      <c r="BD22" s="247"/>
      <c r="BE22" s="151"/>
      <c r="BF22" s="151"/>
      <c r="BG22" s="151"/>
      <c r="BH22" s="151"/>
      <c r="BI22" s="152"/>
    </row>
    <row r="23" spans="1:61" ht="15.75">
      <c r="A23" s="191" t="s">
        <v>259</v>
      </c>
      <c r="B23" s="182" t="s">
        <v>377</v>
      </c>
      <c r="C23" s="196" t="s">
        <v>260</v>
      </c>
      <c r="D23" s="196"/>
      <c r="E23" s="196"/>
      <c r="F23" s="196"/>
      <c r="G23" s="196"/>
      <c r="H23" s="339">
        <v>0</v>
      </c>
      <c r="I23" s="339">
        <v>0</v>
      </c>
      <c r="J23" s="339"/>
      <c r="K23" s="339"/>
      <c r="L23" s="339"/>
      <c r="M23" s="339"/>
      <c r="N23" s="339"/>
      <c r="O23" s="339"/>
      <c r="P23" s="339"/>
      <c r="Q23" s="339"/>
      <c r="R23" s="206">
        <v>0</v>
      </c>
      <c r="S23" s="206"/>
      <c r="T23" s="206"/>
      <c r="U23" s="189">
        <v>0</v>
      </c>
      <c r="V23" s="189"/>
      <c r="W23" s="294"/>
      <c r="X23" s="294"/>
      <c r="Y23" s="189"/>
      <c r="Z23" s="189"/>
      <c r="AA23" s="189"/>
      <c r="AB23" s="189"/>
      <c r="AC23" s="189"/>
      <c r="AD23" s="189"/>
      <c r="AE23" s="189"/>
      <c r="AF23" s="189"/>
      <c r="AG23" s="340"/>
      <c r="AH23" s="340"/>
      <c r="AI23" s="340"/>
      <c r="AJ23" s="340"/>
      <c r="AK23" s="367"/>
      <c r="AL23" s="359"/>
      <c r="AM23" s="189"/>
      <c r="AN23" s="186">
        <f t="shared" si="8"/>
        <v>0</v>
      </c>
      <c r="AO23" s="48"/>
      <c r="AP23" s="48"/>
      <c r="AQ23" s="48"/>
      <c r="AR23" s="59"/>
      <c r="AS23" s="59"/>
      <c r="AT23" s="48"/>
      <c r="AU23" s="241">
        <f t="shared" si="9"/>
        <v>0</v>
      </c>
      <c r="AV23" s="48"/>
      <c r="AW23" s="48"/>
      <c r="AX23" s="48"/>
      <c r="AY23" s="48"/>
      <c r="AZ23" s="48"/>
      <c r="BA23" s="48"/>
      <c r="BB23" s="59">
        <v>0</v>
      </c>
      <c r="BC23" s="59">
        <v>180</v>
      </c>
      <c r="BD23" s="151">
        <f>SUM(AV23:BC23)</f>
        <v>180</v>
      </c>
      <c r="BE23" s="150"/>
      <c r="BF23" s="150">
        <v>80</v>
      </c>
      <c r="BG23" s="150">
        <v>20</v>
      </c>
      <c r="BH23" s="151">
        <f>BE23+BF23+BG23</f>
        <v>100</v>
      </c>
      <c r="BI23" s="152">
        <f>+BD23+AN23+AU23+BH23</f>
        <v>280</v>
      </c>
    </row>
    <row r="24" spans="1:61" ht="15.75">
      <c r="A24" s="191" t="s">
        <v>261</v>
      </c>
      <c r="B24" s="182" t="s">
        <v>378</v>
      </c>
      <c r="C24" s="196" t="s">
        <v>846</v>
      </c>
      <c r="D24" s="196" t="s">
        <v>1508</v>
      </c>
      <c r="E24" s="196"/>
      <c r="F24" s="196"/>
      <c r="G24" s="196"/>
      <c r="H24" s="339">
        <v>0</v>
      </c>
      <c r="I24" s="339">
        <v>0</v>
      </c>
      <c r="J24" s="339"/>
      <c r="K24" s="339"/>
      <c r="L24" s="339"/>
      <c r="M24" s="339"/>
      <c r="N24" s="339"/>
      <c r="O24" s="339"/>
      <c r="P24" s="339"/>
      <c r="Q24" s="339"/>
      <c r="R24" s="206">
        <v>0</v>
      </c>
      <c r="S24" s="206"/>
      <c r="T24" s="206"/>
      <c r="U24" s="189">
        <v>0</v>
      </c>
      <c r="V24" s="189">
        <v>120</v>
      </c>
      <c r="W24" s="294"/>
      <c r="X24" s="294"/>
      <c r="Y24" s="189"/>
      <c r="Z24" s="189"/>
      <c r="AA24" s="189"/>
      <c r="AB24" s="189"/>
      <c r="AC24" s="189"/>
      <c r="AD24" s="189"/>
      <c r="AE24" s="189"/>
      <c r="AF24" s="189"/>
      <c r="AG24" s="340"/>
      <c r="AH24" s="340">
        <v>179</v>
      </c>
      <c r="AI24" s="340"/>
      <c r="AJ24" s="340"/>
      <c r="AK24" s="367"/>
      <c r="AL24" s="359"/>
      <c r="AM24" s="189"/>
      <c r="AN24" s="186">
        <f t="shared" si="8"/>
        <v>299</v>
      </c>
      <c r="AO24" s="48"/>
      <c r="AP24" s="48"/>
      <c r="AQ24" s="48"/>
      <c r="AR24" s="59">
        <v>130</v>
      </c>
      <c r="AS24" s="59"/>
      <c r="AT24" s="48"/>
      <c r="AU24" s="241">
        <f t="shared" si="9"/>
        <v>130</v>
      </c>
      <c r="AV24" s="48"/>
      <c r="AW24" s="48"/>
      <c r="AX24" s="48"/>
      <c r="AY24" s="48"/>
      <c r="AZ24" s="48"/>
      <c r="BA24" s="48"/>
      <c r="BB24" s="59">
        <v>0</v>
      </c>
      <c r="BC24" s="59">
        <v>140</v>
      </c>
      <c r="BD24" s="151">
        <f>SUM(AV24:BC24)</f>
        <v>140</v>
      </c>
      <c r="BE24" s="150"/>
      <c r="BF24" s="150">
        <v>30</v>
      </c>
      <c r="BG24" s="150"/>
      <c r="BH24" s="151">
        <f>BE24+BF24+BG24</f>
        <v>30</v>
      </c>
      <c r="BI24" s="152">
        <f>+BD24+AN24+AU24+BH24</f>
        <v>599</v>
      </c>
    </row>
    <row r="25" spans="1:61" ht="15.75">
      <c r="A25" s="191" t="s">
        <v>262</v>
      </c>
      <c r="B25" s="182"/>
      <c r="C25" s="196" t="s">
        <v>263</v>
      </c>
      <c r="D25" s="196" t="s">
        <v>1425</v>
      </c>
      <c r="E25" s="196"/>
      <c r="F25" s="196"/>
      <c r="G25" s="196"/>
      <c r="H25" s="339"/>
      <c r="I25" s="339"/>
      <c r="J25" s="339"/>
      <c r="K25" s="339">
        <v>125</v>
      </c>
      <c r="L25" s="339"/>
      <c r="M25" s="339"/>
      <c r="N25" s="339"/>
      <c r="O25" s="339"/>
      <c r="P25" s="339"/>
      <c r="Q25" s="339"/>
      <c r="R25" s="206"/>
      <c r="S25" s="206"/>
      <c r="T25" s="206"/>
      <c r="U25" s="189"/>
      <c r="V25" s="189"/>
      <c r="W25" s="294"/>
      <c r="X25" s="294"/>
      <c r="Y25" s="189"/>
      <c r="Z25" s="189"/>
      <c r="AA25" s="189"/>
      <c r="AB25" s="189"/>
      <c r="AC25" s="189"/>
      <c r="AD25" s="189"/>
      <c r="AE25" s="189"/>
      <c r="AF25" s="189"/>
      <c r="AG25" s="340"/>
      <c r="AH25" s="340"/>
      <c r="AI25" s="340"/>
      <c r="AJ25" s="340"/>
      <c r="AK25" s="367"/>
      <c r="AL25" s="359"/>
      <c r="AM25" s="189"/>
      <c r="AN25" s="186">
        <f t="shared" si="8"/>
        <v>125</v>
      </c>
      <c r="AO25" s="48"/>
      <c r="AP25" s="48"/>
      <c r="AQ25" s="48"/>
      <c r="AR25" s="59"/>
      <c r="AS25" s="59"/>
      <c r="AT25" s="48"/>
      <c r="AU25" s="241">
        <f t="shared" si="9"/>
        <v>0</v>
      </c>
      <c r="AV25" s="48"/>
      <c r="AW25" s="48"/>
      <c r="AX25" s="48"/>
      <c r="AY25" s="48"/>
      <c r="AZ25" s="48"/>
      <c r="BA25" s="48"/>
      <c r="BB25" s="59"/>
      <c r="BC25" s="59"/>
      <c r="BD25" s="151"/>
      <c r="BE25" s="150"/>
      <c r="BF25" s="150"/>
      <c r="BG25" s="150"/>
      <c r="BH25" s="151"/>
      <c r="BI25" s="152"/>
    </row>
    <row r="26" spans="1:61" ht="31.5">
      <c r="A26" s="295" t="s">
        <v>265</v>
      </c>
      <c r="B26" s="182"/>
      <c r="C26" s="312" t="s">
        <v>264</v>
      </c>
      <c r="D26" s="312"/>
      <c r="E26" s="312">
        <f>SUM(E21:E25)</f>
        <v>0</v>
      </c>
      <c r="F26" s="312">
        <f aca="true" t="shared" si="10" ref="F26:AU26">SUM(F21:F25)</f>
        <v>0</v>
      </c>
      <c r="G26" s="312">
        <f t="shared" si="10"/>
        <v>0</v>
      </c>
      <c r="H26" s="312">
        <f t="shared" si="10"/>
        <v>0</v>
      </c>
      <c r="I26" s="312">
        <f t="shared" si="10"/>
        <v>0</v>
      </c>
      <c r="J26" s="312">
        <f t="shared" si="10"/>
        <v>0</v>
      </c>
      <c r="K26" s="312">
        <f t="shared" si="10"/>
        <v>125</v>
      </c>
      <c r="L26" s="312">
        <f t="shared" si="10"/>
        <v>0</v>
      </c>
      <c r="M26" s="312">
        <f t="shared" si="10"/>
        <v>0</v>
      </c>
      <c r="N26" s="312">
        <f t="shared" si="10"/>
        <v>0</v>
      </c>
      <c r="O26" s="312">
        <f t="shared" si="10"/>
        <v>0</v>
      </c>
      <c r="P26" s="312">
        <f t="shared" si="10"/>
        <v>0</v>
      </c>
      <c r="Q26" s="312">
        <f t="shared" si="10"/>
        <v>0</v>
      </c>
      <c r="R26" s="312">
        <f t="shared" si="10"/>
        <v>0</v>
      </c>
      <c r="S26" s="312">
        <f t="shared" si="10"/>
        <v>0</v>
      </c>
      <c r="T26" s="312">
        <f t="shared" si="10"/>
        <v>0</v>
      </c>
      <c r="U26" s="312">
        <f t="shared" si="10"/>
        <v>0</v>
      </c>
      <c r="V26" s="312">
        <f t="shared" si="10"/>
        <v>120</v>
      </c>
      <c r="W26" s="312">
        <f t="shared" si="10"/>
        <v>0</v>
      </c>
      <c r="X26" s="312">
        <f t="shared" si="10"/>
        <v>0</v>
      </c>
      <c r="Y26" s="312">
        <f t="shared" si="10"/>
        <v>0</v>
      </c>
      <c r="Z26" s="312">
        <f t="shared" si="10"/>
        <v>0</v>
      </c>
      <c r="AA26" s="312">
        <f t="shared" si="10"/>
        <v>0</v>
      </c>
      <c r="AB26" s="312">
        <f t="shared" si="10"/>
        <v>0</v>
      </c>
      <c r="AC26" s="312">
        <f t="shared" si="10"/>
        <v>0</v>
      </c>
      <c r="AD26" s="312"/>
      <c r="AE26" s="312">
        <f t="shared" si="10"/>
        <v>0</v>
      </c>
      <c r="AF26" s="312">
        <f t="shared" si="10"/>
        <v>0</v>
      </c>
      <c r="AG26" s="374">
        <f t="shared" si="10"/>
        <v>0</v>
      </c>
      <c r="AH26" s="374">
        <f t="shared" si="10"/>
        <v>194</v>
      </c>
      <c r="AI26" s="374">
        <f t="shared" si="10"/>
        <v>0</v>
      </c>
      <c r="AJ26" s="374">
        <f t="shared" si="10"/>
        <v>0</v>
      </c>
      <c r="AK26" s="368">
        <f t="shared" si="10"/>
        <v>0</v>
      </c>
      <c r="AL26" s="360">
        <f t="shared" si="10"/>
        <v>0</v>
      </c>
      <c r="AM26" s="312">
        <f t="shared" si="10"/>
        <v>0</v>
      </c>
      <c r="AN26" s="312">
        <f t="shared" si="10"/>
        <v>439</v>
      </c>
      <c r="AO26" s="48">
        <f t="shared" si="10"/>
        <v>0</v>
      </c>
      <c r="AP26" s="48">
        <f t="shared" si="10"/>
        <v>0</v>
      </c>
      <c r="AQ26" s="48">
        <f t="shared" si="10"/>
        <v>0</v>
      </c>
      <c r="AR26" s="48">
        <f t="shared" si="10"/>
        <v>680</v>
      </c>
      <c r="AS26" s="48">
        <f t="shared" si="10"/>
        <v>0</v>
      </c>
      <c r="AT26" s="48">
        <f t="shared" si="10"/>
        <v>0</v>
      </c>
      <c r="AU26" s="48">
        <f t="shared" si="10"/>
        <v>680</v>
      </c>
      <c r="AV26" s="48"/>
      <c r="AW26" s="48"/>
      <c r="AX26" s="48"/>
      <c r="AY26" s="48"/>
      <c r="AZ26" s="48"/>
      <c r="BA26" s="48"/>
      <c r="BB26" s="59"/>
      <c r="BC26" s="59"/>
      <c r="BD26" s="151"/>
      <c r="BE26" s="150"/>
      <c r="BF26" s="150"/>
      <c r="BG26" s="150"/>
      <c r="BH26" s="151"/>
      <c r="BI26" s="152"/>
    </row>
    <row r="27" spans="1:61" ht="15.75">
      <c r="A27" s="191" t="s">
        <v>267</v>
      </c>
      <c r="B27" s="182"/>
      <c r="C27" s="196" t="s">
        <v>266</v>
      </c>
      <c r="D27" s="196" t="s">
        <v>1420</v>
      </c>
      <c r="E27" s="196"/>
      <c r="F27" s="196"/>
      <c r="G27" s="196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206"/>
      <c r="S27" s="206"/>
      <c r="T27" s="206"/>
      <c r="U27" s="189"/>
      <c r="V27" s="189">
        <v>5</v>
      </c>
      <c r="W27" s="294"/>
      <c r="X27" s="294"/>
      <c r="Y27" s="189"/>
      <c r="Z27" s="189"/>
      <c r="AA27" s="189"/>
      <c r="AB27" s="189"/>
      <c r="AC27" s="189"/>
      <c r="AD27" s="189"/>
      <c r="AE27" s="189"/>
      <c r="AF27" s="189"/>
      <c r="AG27" s="340"/>
      <c r="AH27" s="340">
        <v>120</v>
      </c>
      <c r="AI27" s="340"/>
      <c r="AJ27" s="340"/>
      <c r="AK27" s="367"/>
      <c r="AL27" s="359"/>
      <c r="AM27" s="189"/>
      <c r="AN27" s="186">
        <f t="shared" si="8"/>
        <v>125</v>
      </c>
      <c r="AO27" s="48"/>
      <c r="AP27" s="48"/>
      <c r="AQ27" s="48"/>
      <c r="AR27" s="59">
        <v>820</v>
      </c>
      <c r="AS27" s="59"/>
      <c r="AT27" s="48"/>
      <c r="AU27" s="241">
        <f t="shared" si="9"/>
        <v>820</v>
      </c>
      <c r="AV27" s="48"/>
      <c r="AW27" s="48"/>
      <c r="AX27" s="48"/>
      <c r="AY27" s="48"/>
      <c r="AZ27" s="48"/>
      <c r="BA27" s="48"/>
      <c r="BB27" s="59"/>
      <c r="BC27" s="59"/>
      <c r="BD27" s="151"/>
      <c r="BE27" s="150"/>
      <c r="BF27" s="150"/>
      <c r="BG27" s="150"/>
      <c r="BH27" s="151"/>
      <c r="BI27" s="152"/>
    </row>
    <row r="28" spans="1:61" ht="15.75">
      <c r="A28" s="191" t="s">
        <v>269</v>
      </c>
      <c r="B28" s="182" t="s">
        <v>379</v>
      </c>
      <c r="C28" s="196" t="s">
        <v>268</v>
      </c>
      <c r="D28" s="196" t="s">
        <v>1421</v>
      </c>
      <c r="E28" s="196"/>
      <c r="F28" s="196"/>
      <c r="G28" s="196"/>
      <c r="H28" s="339">
        <v>0</v>
      </c>
      <c r="I28" s="339">
        <v>0</v>
      </c>
      <c r="J28" s="339"/>
      <c r="K28" s="339"/>
      <c r="L28" s="339"/>
      <c r="M28" s="339"/>
      <c r="N28" s="339"/>
      <c r="O28" s="339"/>
      <c r="P28" s="339">
        <v>0</v>
      </c>
      <c r="Q28" s="339"/>
      <c r="R28" s="206">
        <v>0</v>
      </c>
      <c r="S28" s="206"/>
      <c r="T28" s="206"/>
      <c r="U28" s="189">
        <v>0</v>
      </c>
      <c r="V28" s="189"/>
      <c r="W28" s="294"/>
      <c r="X28" s="294"/>
      <c r="Y28" s="189"/>
      <c r="Z28" s="189"/>
      <c r="AA28" s="189"/>
      <c r="AB28" s="189"/>
      <c r="AC28" s="189"/>
      <c r="AD28" s="189"/>
      <c r="AE28" s="189"/>
      <c r="AF28" s="189"/>
      <c r="AG28" s="340"/>
      <c r="AH28" s="340"/>
      <c r="AI28" s="340"/>
      <c r="AJ28" s="340"/>
      <c r="AK28" s="367"/>
      <c r="AL28" s="359"/>
      <c r="AM28" s="189"/>
      <c r="AN28" s="186">
        <f t="shared" si="8"/>
        <v>0</v>
      </c>
      <c r="AO28" s="48"/>
      <c r="AP28" s="48"/>
      <c r="AQ28" s="48"/>
      <c r="AR28" s="59"/>
      <c r="AS28" s="59"/>
      <c r="AT28" s="48"/>
      <c r="AU28" s="241">
        <f t="shared" si="9"/>
        <v>0</v>
      </c>
      <c r="AV28" s="48"/>
      <c r="AW28" s="48"/>
      <c r="AX28" s="48"/>
      <c r="AY28" s="48"/>
      <c r="AZ28" s="48"/>
      <c r="BA28" s="48"/>
      <c r="BB28" s="59">
        <v>0</v>
      </c>
      <c r="BC28" s="59">
        <v>0</v>
      </c>
      <c r="BD28" s="151">
        <f>SUM(AV28:BC28)</f>
        <v>0</v>
      </c>
      <c r="BE28" s="150"/>
      <c r="BF28" s="150"/>
      <c r="BG28" s="150"/>
      <c r="BH28" s="151">
        <f>BE28+BF28+BG28</f>
        <v>0</v>
      </c>
      <c r="BI28" s="152">
        <f>+BD28+AN28+AU28+BH28</f>
        <v>0</v>
      </c>
    </row>
    <row r="29" spans="1:61" ht="31.5">
      <c r="A29" s="295" t="s">
        <v>270</v>
      </c>
      <c r="B29" s="287" t="s">
        <v>380</v>
      </c>
      <c r="C29" s="312" t="s">
        <v>273</v>
      </c>
      <c r="D29" s="312"/>
      <c r="E29" s="312">
        <f>E27+E28</f>
        <v>0</v>
      </c>
      <c r="F29" s="312">
        <f aca="true" t="shared" si="11" ref="F29:AU29">F27+F28</f>
        <v>0</v>
      </c>
      <c r="G29" s="312">
        <f t="shared" si="11"/>
        <v>0</v>
      </c>
      <c r="H29" s="312">
        <f t="shared" si="11"/>
        <v>0</v>
      </c>
      <c r="I29" s="312">
        <f t="shared" si="11"/>
        <v>0</v>
      </c>
      <c r="J29" s="312">
        <f t="shared" si="11"/>
        <v>0</v>
      </c>
      <c r="K29" s="312">
        <f t="shared" si="11"/>
        <v>0</v>
      </c>
      <c r="L29" s="312">
        <f t="shared" si="11"/>
        <v>0</v>
      </c>
      <c r="M29" s="312">
        <f t="shared" si="11"/>
        <v>0</v>
      </c>
      <c r="N29" s="312">
        <f t="shared" si="11"/>
        <v>0</v>
      </c>
      <c r="O29" s="312">
        <f t="shared" si="11"/>
        <v>0</v>
      </c>
      <c r="P29" s="312">
        <f t="shared" si="11"/>
        <v>0</v>
      </c>
      <c r="Q29" s="312">
        <f t="shared" si="11"/>
        <v>0</v>
      </c>
      <c r="R29" s="312">
        <f t="shared" si="11"/>
        <v>0</v>
      </c>
      <c r="S29" s="312">
        <f t="shared" si="11"/>
        <v>0</v>
      </c>
      <c r="T29" s="312">
        <f t="shared" si="11"/>
        <v>0</v>
      </c>
      <c r="U29" s="312">
        <f t="shared" si="11"/>
        <v>0</v>
      </c>
      <c r="V29" s="312">
        <f t="shared" si="11"/>
        <v>5</v>
      </c>
      <c r="W29" s="312">
        <f t="shared" si="11"/>
        <v>0</v>
      </c>
      <c r="X29" s="312">
        <f t="shared" si="11"/>
        <v>0</v>
      </c>
      <c r="Y29" s="312">
        <f t="shared" si="11"/>
        <v>0</v>
      </c>
      <c r="Z29" s="312">
        <f t="shared" si="11"/>
        <v>0</v>
      </c>
      <c r="AA29" s="312">
        <f t="shared" si="11"/>
        <v>0</v>
      </c>
      <c r="AB29" s="312">
        <f t="shared" si="11"/>
        <v>0</v>
      </c>
      <c r="AC29" s="312">
        <f t="shared" si="11"/>
        <v>0</v>
      </c>
      <c r="AD29" s="312"/>
      <c r="AE29" s="312">
        <f t="shared" si="11"/>
        <v>0</v>
      </c>
      <c r="AF29" s="312">
        <f t="shared" si="11"/>
        <v>0</v>
      </c>
      <c r="AG29" s="374">
        <f t="shared" si="11"/>
        <v>0</v>
      </c>
      <c r="AH29" s="374">
        <f t="shared" si="11"/>
        <v>120</v>
      </c>
      <c r="AI29" s="374">
        <f t="shared" si="11"/>
        <v>0</v>
      </c>
      <c r="AJ29" s="374">
        <f t="shared" si="11"/>
        <v>0</v>
      </c>
      <c r="AK29" s="368">
        <f t="shared" si="11"/>
        <v>0</v>
      </c>
      <c r="AL29" s="360">
        <f t="shared" si="11"/>
        <v>0</v>
      </c>
      <c r="AM29" s="312">
        <f t="shared" si="11"/>
        <v>0</v>
      </c>
      <c r="AN29" s="312">
        <f t="shared" si="11"/>
        <v>125</v>
      </c>
      <c r="AO29" s="378">
        <f t="shared" si="11"/>
        <v>0</v>
      </c>
      <c r="AP29" s="378">
        <f t="shared" si="11"/>
        <v>0</v>
      </c>
      <c r="AQ29" s="378">
        <f t="shared" si="11"/>
        <v>0</v>
      </c>
      <c r="AR29" s="378">
        <f t="shared" si="11"/>
        <v>820</v>
      </c>
      <c r="AS29" s="378">
        <f t="shared" si="11"/>
        <v>0</v>
      </c>
      <c r="AT29" s="378">
        <f t="shared" si="11"/>
        <v>0</v>
      </c>
      <c r="AU29" s="378">
        <f t="shared" si="11"/>
        <v>820</v>
      </c>
      <c r="AV29" s="48"/>
      <c r="AW29" s="48">
        <f>SUM(AW23:AW28)</f>
        <v>0</v>
      </c>
      <c r="AX29" s="48"/>
      <c r="AY29" s="48"/>
      <c r="AZ29" s="48">
        <f>SUM(AZ23:AZ28)</f>
        <v>0</v>
      </c>
      <c r="BA29" s="48"/>
      <c r="BB29" s="48">
        <f>SUM(BB23:BB28)</f>
        <v>0</v>
      </c>
      <c r="BC29" s="48">
        <f>SUM(BC23:BC28)</f>
        <v>320</v>
      </c>
      <c r="BD29" s="247">
        <f>SUM(AV29:BC29)</f>
        <v>320</v>
      </c>
      <c r="BE29" s="151">
        <f>SUM(BE23:BE28)</f>
        <v>0</v>
      </c>
      <c r="BF29" s="151">
        <f>SUM(BF23:BF28)</f>
        <v>110</v>
      </c>
      <c r="BG29" s="151">
        <f>SUM(BG23:BG28)</f>
        <v>20</v>
      </c>
      <c r="BH29" s="151">
        <f>BE29+BF29+BG29</f>
        <v>130</v>
      </c>
      <c r="BI29" s="152">
        <f>+BD29+AN29+AU29+BH29</f>
        <v>1395</v>
      </c>
    </row>
    <row r="30" spans="1:61" ht="15.75">
      <c r="A30" s="192" t="s">
        <v>271</v>
      </c>
      <c r="B30" s="287"/>
      <c r="C30" s="310" t="s">
        <v>272</v>
      </c>
      <c r="D30" s="310"/>
      <c r="E30" s="310">
        <f>E26+E29</f>
        <v>0</v>
      </c>
      <c r="F30" s="310">
        <f aca="true" t="shared" si="12" ref="F30:AU30">F26+F29</f>
        <v>0</v>
      </c>
      <c r="G30" s="310">
        <f t="shared" si="12"/>
        <v>0</v>
      </c>
      <c r="H30" s="310">
        <f t="shared" si="12"/>
        <v>0</v>
      </c>
      <c r="I30" s="310">
        <f t="shared" si="12"/>
        <v>0</v>
      </c>
      <c r="J30" s="310">
        <f t="shared" si="12"/>
        <v>0</v>
      </c>
      <c r="K30" s="310">
        <f t="shared" si="12"/>
        <v>125</v>
      </c>
      <c r="L30" s="310">
        <f t="shared" si="12"/>
        <v>0</v>
      </c>
      <c r="M30" s="310">
        <f t="shared" si="12"/>
        <v>0</v>
      </c>
      <c r="N30" s="310">
        <f t="shared" si="12"/>
        <v>0</v>
      </c>
      <c r="O30" s="310">
        <f t="shared" si="12"/>
        <v>0</v>
      </c>
      <c r="P30" s="310">
        <f t="shared" si="12"/>
        <v>0</v>
      </c>
      <c r="Q30" s="310">
        <f t="shared" si="12"/>
        <v>0</v>
      </c>
      <c r="R30" s="310">
        <f t="shared" si="12"/>
        <v>0</v>
      </c>
      <c r="S30" s="310">
        <f t="shared" si="12"/>
        <v>0</v>
      </c>
      <c r="T30" s="310">
        <f t="shared" si="12"/>
        <v>0</v>
      </c>
      <c r="U30" s="310">
        <f t="shared" si="12"/>
        <v>0</v>
      </c>
      <c r="V30" s="310">
        <f t="shared" si="12"/>
        <v>125</v>
      </c>
      <c r="W30" s="310">
        <f t="shared" si="12"/>
        <v>0</v>
      </c>
      <c r="X30" s="310">
        <f t="shared" si="12"/>
        <v>0</v>
      </c>
      <c r="Y30" s="310">
        <f t="shared" si="12"/>
        <v>0</v>
      </c>
      <c r="Z30" s="310">
        <f t="shared" si="12"/>
        <v>0</v>
      </c>
      <c r="AA30" s="310">
        <f t="shared" si="12"/>
        <v>0</v>
      </c>
      <c r="AB30" s="310">
        <f t="shared" si="12"/>
        <v>0</v>
      </c>
      <c r="AC30" s="310">
        <f t="shared" si="12"/>
        <v>0</v>
      </c>
      <c r="AD30" s="310"/>
      <c r="AE30" s="310">
        <f t="shared" si="12"/>
        <v>0</v>
      </c>
      <c r="AF30" s="310">
        <f t="shared" si="12"/>
        <v>0</v>
      </c>
      <c r="AG30" s="375">
        <f t="shared" si="12"/>
        <v>0</v>
      </c>
      <c r="AH30" s="375">
        <f t="shared" si="12"/>
        <v>314</v>
      </c>
      <c r="AI30" s="375">
        <f t="shared" si="12"/>
        <v>0</v>
      </c>
      <c r="AJ30" s="375">
        <f t="shared" si="12"/>
        <v>0</v>
      </c>
      <c r="AK30" s="369">
        <f t="shared" si="12"/>
        <v>0</v>
      </c>
      <c r="AL30" s="361">
        <f t="shared" si="12"/>
        <v>0</v>
      </c>
      <c r="AM30" s="310">
        <f t="shared" si="12"/>
        <v>0</v>
      </c>
      <c r="AN30" s="310">
        <f t="shared" si="12"/>
        <v>564</v>
      </c>
      <c r="AO30" s="48">
        <f t="shared" si="12"/>
        <v>0</v>
      </c>
      <c r="AP30" s="48">
        <f t="shared" si="12"/>
        <v>0</v>
      </c>
      <c r="AQ30" s="48">
        <f t="shared" si="12"/>
        <v>0</v>
      </c>
      <c r="AR30" s="48">
        <f t="shared" si="12"/>
        <v>1500</v>
      </c>
      <c r="AS30" s="48">
        <f t="shared" si="12"/>
        <v>0</v>
      </c>
      <c r="AT30" s="48">
        <f t="shared" si="12"/>
        <v>0</v>
      </c>
      <c r="AU30" s="48">
        <f t="shared" si="12"/>
        <v>1500</v>
      </c>
      <c r="AV30" s="48"/>
      <c r="AW30" s="48"/>
      <c r="AX30" s="48"/>
      <c r="AY30" s="48"/>
      <c r="AZ30" s="48"/>
      <c r="BA30" s="48"/>
      <c r="BB30" s="48"/>
      <c r="BC30" s="48"/>
      <c r="BD30" s="247"/>
      <c r="BE30" s="151"/>
      <c r="BF30" s="151"/>
      <c r="BG30" s="151"/>
      <c r="BH30" s="151"/>
      <c r="BI30" s="152"/>
    </row>
    <row r="31" spans="1:61" ht="15.75">
      <c r="A31" s="191" t="s">
        <v>275</v>
      </c>
      <c r="B31" s="182" t="s">
        <v>386</v>
      </c>
      <c r="C31" s="196" t="s">
        <v>848</v>
      </c>
      <c r="D31" s="196"/>
      <c r="E31" s="196"/>
      <c r="F31" s="196"/>
      <c r="G31" s="196"/>
      <c r="H31" s="339">
        <v>0</v>
      </c>
      <c r="I31" s="339">
        <v>0</v>
      </c>
      <c r="J31" s="339"/>
      <c r="K31" s="339"/>
      <c r="L31" s="339">
        <v>0</v>
      </c>
      <c r="M31" s="339"/>
      <c r="N31" s="339"/>
      <c r="O31" s="339"/>
      <c r="P31" s="339"/>
      <c r="Q31" s="339"/>
      <c r="R31" s="206">
        <v>0</v>
      </c>
      <c r="S31" s="206"/>
      <c r="T31" s="206"/>
      <c r="U31" s="189">
        <v>7700</v>
      </c>
      <c r="V31" s="189">
        <v>450</v>
      </c>
      <c r="W31" s="294"/>
      <c r="X31" s="294"/>
      <c r="Y31" s="189"/>
      <c r="Z31" s="189"/>
      <c r="AA31" s="189">
        <v>60</v>
      </c>
      <c r="AB31" s="189"/>
      <c r="AC31" s="189">
        <v>250</v>
      </c>
      <c r="AD31" s="189"/>
      <c r="AE31" s="189"/>
      <c r="AF31" s="189"/>
      <c r="AG31" s="340"/>
      <c r="AH31" s="340">
        <v>1600</v>
      </c>
      <c r="AI31" s="340"/>
      <c r="AJ31" s="340">
        <v>500</v>
      </c>
      <c r="AK31" s="367"/>
      <c r="AL31" s="359"/>
      <c r="AM31" s="189"/>
      <c r="AN31" s="186">
        <f t="shared" si="8"/>
        <v>10560</v>
      </c>
      <c r="AO31" s="59">
        <v>2500</v>
      </c>
      <c r="AP31" s="59"/>
      <c r="AQ31" s="59"/>
      <c r="AR31" s="59"/>
      <c r="AS31" s="59"/>
      <c r="AT31" s="48"/>
      <c r="AU31" s="241">
        <f aca="true" t="shared" si="13" ref="AU31:AU63">SUM(AO31:AS31)</f>
        <v>2500</v>
      </c>
      <c r="AV31" s="59">
        <v>1800</v>
      </c>
      <c r="AW31" s="48"/>
      <c r="AX31" s="48"/>
      <c r="AY31" s="48"/>
      <c r="AZ31" s="48"/>
      <c r="BA31" s="48"/>
      <c r="BB31" s="59">
        <v>0</v>
      </c>
      <c r="BC31" s="59">
        <v>0</v>
      </c>
      <c r="BD31" s="151">
        <f>SUM(AV31:BC31)</f>
        <v>1800</v>
      </c>
      <c r="BE31" s="150"/>
      <c r="BF31" s="150">
        <v>1000</v>
      </c>
      <c r="BG31" s="150"/>
      <c r="BH31" s="151">
        <f>BE31+BF31+BG31</f>
        <v>1000</v>
      </c>
      <c r="BI31" s="152">
        <f>+BD31+AN31+AU31+BH31</f>
        <v>15860</v>
      </c>
    </row>
    <row r="32" spans="1:61" ht="15.75">
      <c r="A32" s="191" t="s">
        <v>276</v>
      </c>
      <c r="B32" s="182" t="s">
        <v>387</v>
      </c>
      <c r="C32" s="196" t="s">
        <v>274</v>
      </c>
      <c r="D32" s="196"/>
      <c r="E32" s="196"/>
      <c r="F32" s="196"/>
      <c r="G32" s="196"/>
      <c r="H32" s="339">
        <v>0</v>
      </c>
      <c r="I32" s="339">
        <v>0</v>
      </c>
      <c r="J32" s="339"/>
      <c r="K32" s="339"/>
      <c r="L32" s="339">
        <v>0</v>
      </c>
      <c r="M32" s="339"/>
      <c r="N32" s="339"/>
      <c r="O32" s="339"/>
      <c r="P32" s="339"/>
      <c r="Q32" s="339"/>
      <c r="R32" s="206">
        <v>0</v>
      </c>
      <c r="S32" s="206"/>
      <c r="T32" s="206"/>
      <c r="U32" s="189"/>
      <c r="V32" s="189">
        <v>860</v>
      </c>
      <c r="W32" s="294"/>
      <c r="X32" s="294"/>
      <c r="Y32" s="189"/>
      <c r="Z32" s="189"/>
      <c r="AA32" s="189">
        <v>400</v>
      </c>
      <c r="AB32" s="189"/>
      <c r="AC32" s="189">
        <v>450</v>
      </c>
      <c r="AD32" s="189"/>
      <c r="AE32" s="189"/>
      <c r="AF32" s="189"/>
      <c r="AG32" s="340"/>
      <c r="AH32" s="340">
        <v>3700</v>
      </c>
      <c r="AI32" s="340"/>
      <c r="AJ32" s="340">
        <v>2400</v>
      </c>
      <c r="AK32" s="367"/>
      <c r="AL32" s="359"/>
      <c r="AM32" s="189"/>
      <c r="AN32" s="186">
        <f t="shared" si="8"/>
        <v>7810</v>
      </c>
      <c r="AO32" s="59">
        <v>1300</v>
      </c>
      <c r="AP32" s="59"/>
      <c r="AQ32" s="59"/>
      <c r="AR32" s="59"/>
      <c r="AS32" s="59"/>
      <c r="AT32" s="48"/>
      <c r="AU32" s="241">
        <f t="shared" si="13"/>
        <v>1300</v>
      </c>
      <c r="AV32" s="59">
        <v>270</v>
      </c>
      <c r="AW32" s="48"/>
      <c r="AX32" s="59">
        <v>290</v>
      </c>
      <c r="AY32" s="48"/>
      <c r="AZ32" s="48"/>
      <c r="BA32" s="48"/>
      <c r="BB32" s="59">
        <v>0</v>
      </c>
      <c r="BC32" s="59">
        <v>0</v>
      </c>
      <c r="BD32" s="151">
        <f>SUM(AV32:BC32)</f>
        <v>560</v>
      </c>
      <c r="BE32" s="150"/>
      <c r="BF32" s="150">
        <v>130</v>
      </c>
      <c r="BG32" s="150"/>
      <c r="BH32" s="151">
        <f>BE32+BF32+BG32</f>
        <v>130</v>
      </c>
      <c r="BI32" s="152">
        <f>+BD32+AN32+AU32+BH32</f>
        <v>9800</v>
      </c>
    </row>
    <row r="33" spans="1:61" ht="15.75">
      <c r="A33" s="191" t="s">
        <v>277</v>
      </c>
      <c r="B33" s="182" t="s">
        <v>390</v>
      </c>
      <c r="C33" s="196" t="s">
        <v>849</v>
      </c>
      <c r="D33" s="196"/>
      <c r="E33" s="196"/>
      <c r="F33" s="196"/>
      <c r="G33" s="196"/>
      <c r="H33" s="339">
        <v>0</v>
      </c>
      <c r="I33" s="339">
        <v>0</v>
      </c>
      <c r="J33" s="339"/>
      <c r="K33" s="339"/>
      <c r="L33" s="339"/>
      <c r="M33" s="339"/>
      <c r="N33" s="339"/>
      <c r="O33" s="339"/>
      <c r="P33" s="339"/>
      <c r="Q33" s="339"/>
      <c r="R33" s="206">
        <v>0</v>
      </c>
      <c r="S33" s="206"/>
      <c r="T33" s="206"/>
      <c r="U33" s="189">
        <v>0</v>
      </c>
      <c r="V33" s="189">
        <f>300+250</f>
        <v>550</v>
      </c>
      <c r="W33" s="294"/>
      <c r="X33" s="294"/>
      <c r="Y33" s="189"/>
      <c r="Z33" s="189"/>
      <c r="AA33" s="189">
        <v>130</v>
      </c>
      <c r="AB33" s="189"/>
      <c r="AC33" s="189">
        <v>450</v>
      </c>
      <c r="AD33" s="189"/>
      <c r="AE33" s="189"/>
      <c r="AF33" s="189"/>
      <c r="AG33" s="340"/>
      <c r="AH33" s="340">
        <v>950</v>
      </c>
      <c r="AI33" s="340"/>
      <c r="AJ33" s="340">
        <v>100</v>
      </c>
      <c r="AK33" s="367"/>
      <c r="AL33" s="359"/>
      <c r="AM33" s="189"/>
      <c r="AN33" s="186">
        <f t="shared" si="8"/>
        <v>2180</v>
      </c>
      <c r="AO33" s="59">
        <v>350</v>
      </c>
      <c r="AP33" s="59"/>
      <c r="AQ33" s="59"/>
      <c r="AR33" s="59">
        <v>0</v>
      </c>
      <c r="AS33" s="59"/>
      <c r="AT33" s="48"/>
      <c r="AU33" s="241">
        <f t="shared" si="13"/>
        <v>350</v>
      </c>
      <c r="AV33" s="59">
        <v>280</v>
      </c>
      <c r="AW33" s="48"/>
      <c r="AX33" s="48"/>
      <c r="AY33" s="48"/>
      <c r="AZ33" s="48"/>
      <c r="BA33" s="48"/>
      <c r="BB33" s="59">
        <v>0</v>
      </c>
      <c r="BC33" s="59">
        <v>0</v>
      </c>
      <c r="BD33" s="151">
        <f>SUM(AV33:BC33)</f>
        <v>280</v>
      </c>
      <c r="BE33" s="150"/>
      <c r="BF33" s="150">
        <v>300</v>
      </c>
      <c r="BG33" s="150"/>
      <c r="BH33" s="151">
        <f>BE33+BF33+BG33</f>
        <v>300</v>
      </c>
      <c r="BI33" s="152">
        <f>+BD33+AN33+AU33+BH33</f>
        <v>3110</v>
      </c>
    </row>
    <row r="34" spans="1:61" ht="15.75">
      <c r="A34" s="295" t="s">
        <v>278</v>
      </c>
      <c r="B34" s="182"/>
      <c r="C34" s="312" t="s">
        <v>279</v>
      </c>
      <c r="D34" s="312"/>
      <c r="E34" s="312">
        <f>SUM(E31:E33)</f>
        <v>0</v>
      </c>
      <c r="F34" s="312">
        <f aca="true" t="shared" si="14" ref="F34:AU34">SUM(F31:F33)</f>
        <v>0</v>
      </c>
      <c r="G34" s="312">
        <f t="shared" si="14"/>
        <v>0</v>
      </c>
      <c r="H34" s="312">
        <f t="shared" si="14"/>
        <v>0</v>
      </c>
      <c r="I34" s="312">
        <f t="shared" si="14"/>
        <v>0</v>
      </c>
      <c r="J34" s="312">
        <f t="shared" si="14"/>
        <v>0</v>
      </c>
      <c r="K34" s="312">
        <f t="shared" si="14"/>
        <v>0</v>
      </c>
      <c r="L34" s="312">
        <f t="shared" si="14"/>
        <v>0</v>
      </c>
      <c r="M34" s="312">
        <f t="shared" si="14"/>
        <v>0</v>
      </c>
      <c r="N34" s="312">
        <f t="shared" si="14"/>
        <v>0</v>
      </c>
      <c r="O34" s="312">
        <f t="shared" si="14"/>
        <v>0</v>
      </c>
      <c r="P34" s="312">
        <f t="shared" si="14"/>
        <v>0</v>
      </c>
      <c r="Q34" s="312">
        <f t="shared" si="14"/>
        <v>0</v>
      </c>
      <c r="R34" s="312">
        <f t="shared" si="14"/>
        <v>0</v>
      </c>
      <c r="S34" s="312">
        <f t="shared" si="14"/>
        <v>0</v>
      </c>
      <c r="T34" s="312">
        <f t="shared" si="14"/>
        <v>0</v>
      </c>
      <c r="U34" s="312">
        <f t="shared" si="14"/>
        <v>7700</v>
      </c>
      <c r="V34" s="312">
        <f t="shared" si="14"/>
        <v>1860</v>
      </c>
      <c r="W34" s="312">
        <f t="shared" si="14"/>
        <v>0</v>
      </c>
      <c r="X34" s="312">
        <f t="shared" si="14"/>
        <v>0</v>
      </c>
      <c r="Y34" s="312">
        <f t="shared" si="14"/>
        <v>0</v>
      </c>
      <c r="Z34" s="312">
        <f t="shared" si="14"/>
        <v>0</v>
      </c>
      <c r="AA34" s="312">
        <f t="shared" si="14"/>
        <v>590</v>
      </c>
      <c r="AB34" s="312">
        <f t="shared" si="14"/>
        <v>0</v>
      </c>
      <c r="AC34" s="312">
        <f t="shared" si="14"/>
        <v>1150</v>
      </c>
      <c r="AD34" s="312"/>
      <c r="AE34" s="312">
        <f t="shared" si="14"/>
        <v>0</v>
      </c>
      <c r="AF34" s="312">
        <f t="shared" si="14"/>
        <v>0</v>
      </c>
      <c r="AG34" s="374">
        <f t="shared" si="14"/>
        <v>0</v>
      </c>
      <c r="AH34" s="374">
        <f t="shared" si="14"/>
        <v>6250</v>
      </c>
      <c r="AI34" s="374">
        <f t="shared" si="14"/>
        <v>0</v>
      </c>
      <c r="AJ34" s="374">
        <f t="shared" si="14"/>
        <v>3000</v>
      </c>
      <c r="AK34" s="368">
        <f t="shared" si="14"/>
        <v>0</v>
      </c>
      <c r="AL34" s="360">
        <f t="shared" si="14"/>
        <v>0</v>
      </c>
      <c r="AM34" s="312">
        <f t="shared" si="14"/>
        <v>0</v>
      </c>
      <c r="AN34" s="312">
        <f t="shared" si="14"/>
        <v>20550</v>
      </c>
      <c r="AO34" s="377">
        <f t="shared" si="14"/>
        <v>4150</v>
      </c>
      <c r="AP34" s="377">
        <f t="shared" si="14"/>
        <v>0</v>
      </c>
      <c r="AQ34" s="377">
        <f t="shared" si="14"/>
        <v>0</v>
      </c>
      <c r="AR34" s="377">
        <f t="shared" si="14"/>
        <v>0</v>
      </c>
      <c r="AS34" s="377">
        <f t="shared" si="14"/>
        <v>0</v>
      </c>
      <c r="AT34" s="377">
        <f t="shared" si="14"/>
        <v>0</v>
      </c>
      <c r="AU34" s="377">
        <f t="shared" si="14"/>
        <v>4150</v>
      </c>
      <c r="AV34" s="59"/>
      <c r="AW34" s="48"/>
      <c r="AX34" s="48"/>
      <c r="AY34" s="48"/>
      <c r="AZ34" s="48"/>
      <c r="BA34" s="48"/>
      <c r="BB34" s="59"/>
      <c r="BC34" s="59"/>
      <c r="BD34" s="151"/>
      <c r="BE34" s="150"/>
      <c r="BF34" s="150"/>
      <c r="BG34" s="150"/>
      <c r="BH34" s="151"/>
      <c r="BI34" s="152"/>
    </row>
    <row r="35" spans="1:61" ht="15.75">
      <c r="A35" s="295" t="s">
        <v>280</v>
      </c>
      <c r="B35" s="182"/>
      <c r="C35" s="312" t="s">
        <v>847</v>
      </c>
      <c r="D35" s="312"/>
      <c r="E35" s="312"/>
      <c r="F35" s="312"/>
      <c r="G35" s="312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2"/>
      <c r="S35" s="342"/>
      <c r="T35" s="342"/>
      <c r="U35" s="331"/>
      <c r="V35" s="331"/>
      <c r="W35" s="343"/>
      <c r="X35" s="343"/>
      <c r="Y35" s="331"/>
      <c r="Z35" s="331"/>
      <c r="AA35" s="331"/>
      <c r="AB35" s="331"/>
      <c r="AC35" s="331"/>
      <c r="AD35" s="331"/>
      <c r="AE35" s="331"/>
      <c r="AF35" s="331">
        <v>820</v>
      </c>
      <c r="AG35" s="344">
        <v>16392</v>
      </c>
      <c r="AH35" s="344"/>
      <c r="AI35" s="344"/>
      <c r="AJ35" s="344"/>
      <c r="AK35" s="370">
        <v>12755</v>
      </c>
      <c r="AL35" s="362">
        <v>2629</v>
      </c>
      <c r="AM35" s="331"/>
      <c r="AN35" s="331">
        <f t="shared" si="8"/>
        <v>32596</v>
      </c>
      <c r="AO35" s="377"/>
      <c r="AP35" s="377"/>
      <c r="AQ35" s="377"/>
      <c r="AR35" s="377"/>
      <c r="AS35" s="377"/>
      <c r="AT35" s="377"/>
      <c r="AU35" s="379">
        <f t="shared" si="13"/>
        <v>0</v>
      </c>
      <c r="AV35" s="59"/>
      <c r="AW35" s="48"/>
      <c r="AX35" s="48"/>
      <c r="AY35" s="48"/>
      <c r="AZ35" s="48"/>
      <c r="BA35" s="48"/>
      <c r="BB35" s="59"/>
      <c r="BC35" s="59"/>
      <c r="BD35" s="151"/>
      <c r="BE35" s="150"/>
      <c r="BF35" s="150"/>
      <c r="BG35" s="150"/>
      <c r="BH35" s="151"/>
      <c r="BI35" s="152"/>
    </row>
    <row r="36" spans="1:61" ht="15.75">
      <c r="A36" s="191" t="s">
        <v>281</v>
      </c>
      <c r="B36" s="182"/>
      <c r="C36" s="196" t="s">
        <v>283</v>
      </c>
      <c r="D36" s="196"/>
      <c r="E36" s="312"/>
      <c r="F36" s="312"/>
      <c r="G36" s="312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2"/>
      <c r="S36" s="342"/>
      <c r="T36" s="342">
        <v>250</v>
      </c>
      <c r="U36" s="331"/>
      <c r="V36" s="331">
        <v>200</v>
      </c>
      <c r="W36" s="343"/>
      <c r="X36" s="343"/>
      <c r="Y36" s="331"/>
      <c r="Z36" s="331"/>
      <c r="AA36" s="331"/>
      <c r="AB36" s="331"/>
      <c r="AC36" s="331"/>
      <c r="AD36" s="331"/>
      <c r="AE36" s="331"/>
      <c r="AF36" s="331"/>
      <c r="AG36" s="344"/>
      <c r="AH36" s="344">
        <v>180</v>
      </c>
      <c r="AI36" s="344"/>
      <c r="AJ36" s="344"/>
      <c r="AK36" s="370"/>
      <c r="AL36" s="362"/>
      <c r="AM36" s="331"/>
      <c r="AN36" s="331">
        <f t="shared" si="8"/>
        <v>630</v>
      </c>
      <c r="AO36" s="59"/>
      <c r="AP36" s="59"/>
      <c r="AQ36" s="59"/>
      <c r="AR36" s="59"/>
      <c r="AS36" s="59"/>
      <c r="AT36" s="48"/>
      <c r="AU36" s="241">
        <f t="shared" si="13"/>
        <v>0</v>
      </c>
      <c r="AV36" s="59"/>
      <c r="AW36" s="48"/>
      <c r="AX36" s="48"/>
      <c r="AY36" s="48"/>
      <c r="AZ36" s="48"/>
      <c r="BA36" s="48"/>
      <c r="BB36" s="59"/>
      <c r="BC36" s="59"/>
      <c r="BD36" s="151"/>
      <c r="BE36" s="150"/>
      <c r="BF36" s="150"/>
      <c r="BG36" s="150"/>
      <c r="BH36" s="151"/>
      <c r="BI36" s="152"/>
    </row>
    <row r="37" spans="1:61" ht="15.75">
      <c r="A37" s="295" t="s">
        <v>282</v>
      </c>
      <c r="B37" s="182"/>
      <c r="C37" s="312" t="s">
        <v>292</v>
      </c>
      <c r="D37" s="312"/>
      <c r="E37" s="312">
        <f>E36</f>
        <v>0</v>
      </c>
      <c r="F37" s="312">
        <f aca="true" t="shared" si="15" ref="F37:AU37">F36</f>
        <v>0</v>
      </c>
      <c r="G37" s="312">
        <f t="shared" si="15"/>
        <v>0</v>
      </c>
      <c r="H37" s="312">
        <f t="shared" si="15"/>
        <v>0</v>
      </c>
      <c r="I37" s="312">
        <f t="shared" si="15"/>
        <v>0</v>
      </c>
      <c r="J37" s="312">
        <f t="shared" si="15"/>
        <v>0</v>
      </c>
      <c r="K37" s="312">
        <f t="shared" si="15"/>
        <v>0</v>
      </c>
      <c r="L37" s="312">
        <f t="shared" si="15"/>
        <v>0</v>
      </c>
      <c r="M37" s="312">
        <f t="shared" si="15"/>
        <v>0</v>
      </c>
      <c r="N37" s="312">
        <f t="shared" si="15"/>
        <v>0</v>
      </c>
      <c r="O37" s="312">
        <f t="shared" si="15"/>
        <v>0</v>
      </c>
      <c r="P37" s="312">
        <f t="shared" si="15"/>
        <v>0</v>
      </c>
      <c r="Q37" s="312">
        <f t="shared" si="15"/>
        <v>0</v>
      </c>
      <c r="R37" s="312">
        <f t="shared" si="15"/>
        <v>0</v>
      </c>
      <c r="S37" s="312">
        <f t="shared" si="15"/>
        <v>0</v>
      </c>
      <c r="T37" s="312">
        <f t="shared" si="15"/>
        <v>250</v>
      </c>
      <c r="U37" s="312">
        <f t="shared" si="15"/>
        <v>0</v>
      </c>
      <c r="V37" s="312">
        <f t="shared" si="15"/>
        <v>200</v>
      </c>
      <c r="W37" s="312">
        <f t="shared" si="15"/>
        <v>0</v>
      </c>
      <c r="X37" s="312">
        <f t="shared" si="15"/>
        <v>0</v>
      </c>
      <c r="Y37" s="312">
        <f t="shared" si="15"/>
        <v>0</v>
      </c>
      <c r="Z37" s="312">
        <f t="shared" si="15"/>
        <v>0</v>
      </c>
      <c r="AA37" s="312">
        <f t="shared" si="15"/>
        <v>0</v>
      </c>
      <c r="AB37" s="312">
        <f t="shared" si="15"/>
        <v>0</v>
      </c>
      <c r="AC37" s="312">
        <f t="shared" si="15"/>
        <v>0</v>
      </c>
      <c r="AD37" s="312"/>
      <c r="AE37" s="312">
        <f t="shared" si="15"/>
        <v>0</v>
      </c>
      <c r="AF37" s="312">
        <f t="shared" si="15"/>
        <v>0</v>
      </c>
      <c r="AG37" s="374">
        <f t="shared" si="15"/>
        <v>0</v>
      </c>
      <c r="AH37" s="374">
        <f t="shared" si="15"/>
        <v>180</v>
      </c>
      <c r="AI37" s="374">
        <f t="shared" si="15"/>
        <v>0</v>
      </c>
      <c r="AJ37" s="374">
        <f t="shared" si="15"/>
        <v>0</v>
      </c>
      <c r="AK37" s="368">
        <f t="shared" si="15"/>
        <v>0</v>
      </c>
      <c r="AL37" s="360">
        <f t="shared" si="15"/>
        <v>0</v>
      </c>
      <c r="AM37" s="312">
        <f t="shared" si="15"/>
        <v>0</v>
      </c>
      <c r="AN37" s="312">
        <f t="shared" si="15"/>
        <v>630</v>
      </c>
      <c r="AO37" s="377">
        <f t="shared" si="15"/>
        <v>0</v>
      </c>
      <c r="AP37" s="377">
        <f t="shared" si="15"/>
        <v>0</v>
      </c>
      <c r="AQ37" s="377">
        <f t="shared" si="15"/>
        <v>0</v>
      </c>
      <c r="AR37" s="377">
        <f t="shared" si="15"/>
        <v>0</v>
      </c>
      <c r="AS37" s="377">
        <f t="shared" si="15"/>
        <v>0</v>
      </c>
      <c r="AT37" s="377">
        <f t="shared" si="15"/>
        <v>0</v>
      </c>
      <c r="AU37" s="377">
        <f t="shared" si="15"/>
        <v>0</v>
      </c>
      <c r="AV37" s="59"/>
      <c r="AW37" s="48"/>
      <c r="AX37" s="48"/>
      <c r="AY37" s="48"/>
      <c r="AZ37" s="48"/>
      <c r="BA37" s="48"/>
      <c r="BB37" s="59"/>
      <c r="BC37" s="59"/>
      <c r="BD37" s="151"/>
      <c r="BE37" s="150"/>
      <c r="BF37" s="150"/>
      <c r="BG37" s="150"/>
      <c r="BH37" s="151"/>
      <c r="BI37" s="152"/>
    </row>
    <row r="38" spans="1:61" ht="15.75">
      <c r="A38" s="295" t="s">
        <v>284</v>
      </c>
      <c r="B38" s="182" t="s">
        <v>391</v>
      </c>
      <c r="C38" s="312" t="s">
        <v>285</v>
      </c>
      <c r="D38" s="312" t="s">
        <v>1294</v>
      </c>
      <c r="E38" s="312"/>
      <c r="F38" s="312"/>
      <c r="G38" s="312"/>
      <c r="H38" s="312">
        <v>1500</v>
      </c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>
        <f>500+800</f>
        <v>1300</v>
      </c>
      <c r="W38" s="312"/>
      <c r="X38" s="312"/>
      <c r="Y38" s="312">
        <v>500</v>
      </c>
      <c r="Z38" s="312"/>
      <c r="AA38" s="312"/>
      <c r="AB38" s="312"/>
      <c r="AC38" s="312">
        <v>200</v>
      </c>
      <c r="AD38" s="312"/>
      <c r="AE38" s="312"/>
      <c r="AF38" s="312"/>
      <c r="AG38" s="374"/>
      <c r="AH38" s="374">
        <v>600</v>
      </c>
      <c r="AI38" s="374"/>
      <c r="AJ38" s="374"/>
      <c r="AK38" s="368"/>
      <c r="AL38" s="360"/>
      <c r="AM38" s="312"/>
      <c r="AN38" s="312">
        <f t="shared" si="8"/>
        <v>4100</v>
      </c>
      <c r="AO38" s="59"/>
      <c r="AP38" s="59"/>
      <c r="AQ38" s="59"/>
      <c r="AR38" s="59"/>
      <c r="AS38" s="59"/>
      <c r="AT38" s="48"/>
      <c r="AU38" s="241">
        <f t="shared" si="13"/>
        <v>0</v>
      </c>
      <c r="AV38" s="48"/>
      <c r="AW38" s="48"/>
      <c r="AX38" s="48"/>
      <c r="AY38" s="48"/>
      <c r="AZ38" s="48"/>
      <c r="BA38" s="48"/>
      <c r="BB38" s="59">
        <v>0</v>
      </c>
      <c r="BC38" s="59">
        <v>150</v>
      </c>
      <c r="BD38" s="151">
        <f>SUM(AV38:BC38)</f>
        <v>150</v>
      </c>
      <c r="BE38" s="150"/>
      <c r="BF38" s="150">
        <v>150</v>
      </c>
      <c r="BG38" s="150"/>
      <c r="BH38" s="151">
        <f>BE38+BF38+BG38</f>
        <v>150</v>
      </c>
      <c r="BI38" s="152">
        <f>+BD38+AN38+AU38+BH38</f>
        <v>4400</v>
      </c>
    </row>
    <row r="39" spans="1:61" ht="31.5">
      <c r="A39" s="191" t="s">
        <v>288</v>
      </c>
      <c r="B39" s="182" t="s">
        <v>396</v>
      </c>
      <c r="C39" s="196" t="s">
        <v>286</v>
      </c>
      <c r="D39" s="196"/>
      <c r="E39" s="196"/>
      <c r="F39" s="196"/>
      <c r="G39" s="196"/>
      <c r="H39" s="339">
        <v>0</v>
      </c>
      <c r="I39" s="339">
        <v>0</v>
      </c>
      <c r="J39" s="339"/>
      <c r="K39" s="339"/>
      <c r="L39" s="339"/>
      <c r="M39" s="339"/>
      <c r="N39" s="339"/>
      <c r="O39" s="339"/>
      <c r="P39" s="339"/>
      <c r="Q39" s="339"/>
      <c r="R39" s="345"/>
      <c r="S39" s="346"/>
      <c r="T39" s="346"/>
      <c r="U39" s="346">
        <v>0</v>
      </c>
      <c r="V39" s="346">
        <f>150+350</f>
        <v>500</v>
      </c>
      <c r="W39" s="345"/>
      <c r="X39" s="345"/>
      <c r="Y39" s="346"/>
      <c r="Z39" s="346"/>
      <c r="AA39" s="346"/>
      <c r="AB39" s="346"/>
      <c r="AC39" s="346"/>
      <c r="AD39" s="346"/>
      <c r="AE39" s="346"/>
      <c r="AF39" s="346"/>
      <c r="AG39" s="340"/>
      <c r="AH39" s="340"/>
      <c r="AI39" s="340"/>
      <c r="AJ39" s="340"/>
      <c r="AK39" s="367"/>
      <c r="AL39" s="359"/>
      <c r="AM39" s="346"/>
      <c r="AN39" s="186">
        <f t="shared" si="8"/>
        <v>500</v>
      </c>
      <c r="AO39" s="48"/>
      <c r="AP39" s="48"/>
      <c r="AQ39" s="48"/>
      <c r="AR39" s="59"/>
      <c r="AS39" s="59"/>
      <c r="AT39" s="48"/>
      <c r="AU39" s="241">
        <f t="shared" si="13"/>
        <v>0</v>
      </c>
      <c r="AV39" s="48"/>
      <c r="AW39" s="48"/>
      <c r="AX39" s="48"/>
      <c r="AY39" s="48"/>
      <c r="AZ39" s="48"/>
      <c r="BA39" s="48"/>
      <c r="BB39" s="164">
        <v>0</v>
      </c>
      <c r="BC39" s="164">
        <v>0</v>
      </c>
      <c r="BD39" s="151">
        <f>SUM(AV39:BC39)</f>
        <v>0</v>
      </c>
      <c r="BE39" s="150">
        <v>0</v>
      </c>
      <c r="BF39" s="150"/>
      <c r="BG39" s="150"/>
      <c r="BH39" s="151">
        <f>BE39+BF39+BG39</f>
        <v>0</v>
      </c>
      <c r="BI39" s="152">
        <f>+BD39+AN39+AU39+BH39</f>
        <v>500</v>
      </c>
    </row>
    <row r="40" spans="1:61" ht="31.5">
      <c r="A40" s="191" t="s">
        <v>289</v>
      </c>
      <c r="B40" s="182" t="s">
        <v>397</v>
      </c>
      <c r="C40" s="196" t="s">
        <v>287</v>
      </c>
      <c r="D40" s="196"/>
      <c r="E40" s="196"/>
      <c r="F40" s="196"/>
      <c r="G40" s="196"/>
      <c r="H40" s="339">
        <v>0</v>
      </c>
      <c r="I40" s="339"/>
      <c r="J40" s="339"/>
      <c r="K40" s="339"/>
      <c r="L40" s="339"/>
      <c r="M40" s="339"/>
      <c r="N40" s="339"/>
      <c r="O40" s="339"/>
      <c r="P40" s="339"/>
      <c r="Q40" s="339"/>
      <c r="R40" s="345"/>
      <c r="S40" s="346"/>
      <c r="T40" s="346"/>
      <c r="U40" s="346">
        <v>0</v>
      </c>
      <c r="V40" s="346">
        <v>150</v>
      </c>
      <c r="W40" s="345"/>
      <c r="X40" s="345"/>
      <c r="Y40" s="346"/>
      <c r="Z40" s="346"/>
      <c r="AA40" s="346"/>
      <c r="AB40" s="346"/>
      <c r="AC40" s="346"/>
      <c r="AD40" s="346"/>
      <c r="AE40" s="346"/>
      <c r="AF40" s="346"/>
      <c r="AG40" s="340">
        <v>2000</v>
      </c>
      <c r="AH40" s="340"/>
      <c r="AI40" s="340"/>
      <c r="AJ40" s="340"/>
      <c r="AK40" s="367"/>
      <c r="AL40" s="359"/>
      <c r="AM40" s="346"/>
      <c r="AN40" s="186">
        <f t="shared" si="8"/>
        <v>2150</v>
      </c>
      <c r="AO40" s="48"/>
      <c r="AP40" s="48"/>
      <c r="AQ40" s="48"/>
      <c r="AR40" s="59"/>
      <c r="AS40" s="59"/>
      <c r="AT40" s="48"/>
      <c r="AU40" s="241">
        <f t="shared" si="13"/>
        <v>0</v>
      </c>
      <c r="AV40" s="48"/>
      <c r="AW40" s="48"/>
      <c r="AX40" s="48"/>
      <c r="AY40" s="48"/>
      <c r="AZ40" s="48"/>
      <c r="BA40" s="48"/>
      <c r="BB40" s="164">
        <v>0</v>
      </c>
      <c r="BC40" s="164">
        <v>0</v>
      </c>
      <c r="BD40" s="151">
        <f>SUM(AV40:BC40)</f>
        <v>0</v>
      </c>
      <c r="BE40" s="150"/>
      <c r="BF40" s="150"/>
      <c r="BG40" s="150"/>
      <c r="BH40" s="151">
        <f>BE40+BF40+BG40</f>
        <v>0</v>
      </c>
      <c r="BI40" s="152">
        <f>+BD40+AN40+AU40+BH40</f>
        <v>2150</v>
      </c>
    </row>
    <row r="41" spans="1:61" ht="15.75">
      <c r="A41" s="295" t="s">
        <v>290</v>
      </c>
      <c r="B41" s="182" t="s">
        <v>398</v>
      </c>
      <c r="C41" s="312" t="s">
        <v>291</v>
      </c>
      <c r="D41" s="312"/>
      <c r="E41" s="312">
        <f>E39+E40</f>
        <v>0</v>
      </c>
      <c r="F41" s="312">
        <f aca="true" t="shared" si="16" ref="F41:AU41">F39+F40</f>
        <v>0</v>
      </c>
      <c r="G41" s="312">
        <f t="shared" si="16"/>
        <v>0</v>
      </c>
      <c r="H41" s="312">
        <f t="shared" si="16"/>
        <v>0</v>
      </c>
      <c r="I41" s="312">
        <f t="shared" si="16"/>
        <v>0</v>
      </c>
      <c r="J41" s="312">
        <f t="shared" si="16"/>
        <v>0</v>
      </c>
      <c r="K41" s="312">
        <f t="shared" si="16"/>
        <v>0</v>
      </c>
      <c r="L41" s="312">
        <f t="shared" si="16"/>
        <v>0</v>
      </c>
      <c r="M41" s="312">
        <f t="shared" si="16"/>
        <v>0</v>
      </c>
      <c r="N41" s="312">
        <f t="shared" si="16"/>
        <v>0</v>
      </c>
      <c r="O41" s="312">
        <f t="shared" si="16"/>
        <v>0</v>
      </c>
      <c r="P41" s="312">
        <f t="shared" si="16"/>
        <v>0</v>
      </c>
      <c r="Q41" s="312">
        <f t="shared" si="16"/>
        <v>0</v>
      </c>
      <c r="R41" s="312">
        <f t="shared" si="16"/>
        <v>0</v>
      </c>
      <c r="S41" s="312">
        <f t="shared" si="16"/>
        <v>0</v>
      </c>
      <c r="T41" s="312">
        <f t="shared" si="16"/>
        <v>0</v>
      </c>
      <c r="U41" s="312">
        <f t="shared" si="16"/>
        <v>0</v>
      </c>
      <c r="V41" s="312">
        <f t="shared" si="16"/>
        <v>650</v>
      </c>
      <c r="W41" s="312">
        <f t="shared" si="16"/>
        <v>0</v>
      </c>
      <c r="X41" s="312">
        <f t="shared" si="16"/>
        <v>0</v>
      </c>
      <c r="Y41" s="312">
        <f t="shared" si="16"/>
        <v>0</v>
      </c>
      <c r="Z41" s="312">
        <f t="shared" si="16"/>
        <v>0</v>
      </c>
      <c r="AA41" s="312">
        <f t="shared" si="16"/>
        <v>0</v>
      </c>
      <c r="AB41" s="312">
        <f t="shared" si="16"/>
        <v>0</v>
      </c>
      <c r="AC41" s="312">
        <f t="shared" si="16"/>
        <v>0</v>
      </c>
      <c r="AD41" s="312"/>
      <c r="AE41" s="312">
        <f t="shared" si="16"/>
        <v>0</v>
      </c>
      <c r="AF41" s="312">
        <f t="shared" si="16"/>
        <v>0</v>
      </c>
      <c r="AG41" s="374">
        <f t="shared" si="16"/>
        <v>2000</v>
      </c>
      <c r="AH41" s="374">
        <f t="shared" si="16"/>
        <v>0</v>
      </c>
      <c r="AI41" s="374">
        <f t="shared" si="16"/>
        <v>0</v>
      </c>
      <c r="AJ41" s="374">
        <f t="shared" si="16"/>
        <v>0</v>
      </c>
      <c r="AK41" s="368">
        <f t="shared" si="16"/>
        <v>0</v>
      </c>
      <c r="AL41" s="360">
        <f t="shared" si="16"/>
        <v>0</v>
      </c>
      <c r="AM41" s="312">
        <f t="shared" si="16"/>
        <v>0</v>
      </c>
      <c r="AN41" s="312">
        <f t="shared" si="16"/>
        <v>2650</v>
      </c>
      <c r="AO41" s="377">
        <f t="shared" si="16"/>
        <v>0</v>
      </c>
      <c r="AP41" s="377">
        <f t="shared" si="16"/>
        <v>0</v>
      </c>
      <c r="AQ41" s="377">
        <f t="shared" si="16"/>
        <v>0</v>
      </c>
      <c r="AR41" s="377">
        <f t="shared" si="16"/>
        <v>0</v>
      </c>
      <c r="AS41" s="377">
        <f t="shared" si="16"/>
        <v>0</v>
      </c>
      <c r="AT41" s="377">
        <f t="shared" si="16"/>
        <v>0</v>
      </c>
      <c r="AU41" s="377">
        <f t="shared" si="16"/>
        <v>0</v>
      </c>
      <c r="AV41" s="48"/>
      <c r="AW41" s="48"/>
      <c r="AX41" s="48"/>
      <c r="AY41" s="48"/>
      <c r="AZ41" s="48"/>
      <c r="BA41" s="48"/>
      <c r="BB41" s="164"/>
      <c r="BC41" s="164">
        <v>35</v>
      </c>
      <c r="BD41" s="151">
        <f>SUM(AV41:BC41)</f>
        <v>35</v>
      </c>
      <c r="BE41" s="150"/>
      <c r="BF41" s="150"/>
      <c r="BG41" s="150"/>
      <c r="BH41" s="151">
        <f>BE41+BF41+BG41</f>
        <v>0</v>
      </c>
      <c r="BI41" s="152">
        <f>+BD41+AN41+AU41+BH41</f>
        <v>2685</v>
      </c>
    </row>
    <row r="42" spans="1:61" ht="15.75">
      <c r="A42" s="191" t="s">
        <v>295</v>
      </c>
      <c r="B42" s="182"/>
      <c r="C42" s="196" t="s">
        <v>1023</v>
      </c>
      <c r="D42" s="196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74"/>
      <c r="AH42" s="374"/>
      <c r="AI42" s="374"/>
      <c r="AJ42" s="374"/>
      <c r="AK42" s="368"/>
      <c r="AL42" s="360"/>
      <c r="AM42" s="312"/>
      <c r="AN42" s="312">
        <f t="shared" si="8"/>
        <v>0</v>
      </c>
      <c r="AO42" s="48"/>
      <c r="AP42" s="48"/>
      <c r="AQ42" s="48"/>
      <c r="AR42" s="59"/>
      <c r="AS42" s="59"/>
      <c r="AT42" s="48"/>
      <c r="AU42" s="241">
        <f t="shared" si="13"/>
        <v>0</v>
      </c>
      <c r="AV42" s="48"/>
      <c r="AW42" s="48"/>
      <c r="AX42" s="48"/>
      <c r="AY42" s="48"/>
      <c r="AZ42" s="48"/>
      <c r="BA42" s="48"/>
      <c r="BB42" s="164"/>
      <c r="BC42" s="164"/>
      <c r="BD42" s="151"/>
      <c r="BE42" s="59"/>
      <c r="BF42" s="59"/>
      <c r="BG42" s="59"/>
      <c r="BH42" s="151"/>
      <c r="BI42" s="152"/>
    </row>
    <row r="43" spans="1:61" ht="15.75">
      <c r="A43" s="191" t="s">
        <v>296</v>
      </c>
      <c r="B43" s="182"/>
      <c r="C43" s="196" t="s">
        <v>293</v>
      </c>
      <c r="D43" s="196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74"/>
      <c r="AH43" s="374"/>
      <c r="AI43" s="374"/>
      <c r="AJ43" s="374"/>
      <c r="AK43" s="368"/>
      <c r="AL43" s="360"/>
      <c r="AM43" s="312"/>
      <c r="AN43" s="312">
        <f t="shared" si="8"/>
        <v>0</v>
      </c>
      <c r="AO43" s="48"/>
      <c r="AP43" s="48"/>
      <c r="AQ43" s="48"/>
      <c r="AR43" s="59"/>
      <c r="AS43" s="59"/>
      <c r="AT43" s="48"/>
      <c r="AU43" s="241">
        <f t="shared" si="13"/>
        <v>0</v>
      </c>
      <c r="AV43" s="48"/>
      <c r="AW43" s="48"/>
      <c r="AX43" s="48"/>
      <c r="AY43" s="48"/>
      <c r="AZ43" s="48"/>
      <c r="BA43" s="48"/>
      <c r="BB43" s="164"/>
      <c r="BC43" s="164"/>
      <c r="BD43" s="151"/>
      <c r="BE43" s="59"/>
      <c r="BF43" s="59"/>
      <c r="BG43" s="59"/>
      <c r="BH43" s="151"/>
      <c r="BI43" s="152"/>
    </row>
    <row r="44" spans="1:61" ht="78.75">
      <c r="A44" s="191" t="s">
        <v>297</v>
      </c>
      <c r="B44" s="182"/>
      <c r="C44" s="196" t="s">
        <v>294</v>
      </c>
      <c r="D44" s="196" t="s">
        <v>1499</v>
      </c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>
        <f>200+460</f>
        <v>660</v>
      </c>
      <c r="S44" s="312"/>
      <c r="T44" s="312"/>
      <c r="U44" s="312"/>
      <c r="V44" s="312"/>
      <c r="W44" s="312"/>
      <c r="X44" s="312"/>
      <c r="Y44" s="312"/>
      <c r="Z44" s="312"/>
      <c r="AA44" s="312"/>
      <c r="AB44" s="312">
        <v>60</v>
      </c>
      <c r="AC44" s="312"/>
      <c r="AD44" s="312"/>
      <c r="AE44" s="312"/>
      <c r="AF44" s="312"/>
      <c r="AG44" s="374"/>
      <c r="AH44" s="374">
        <v>500</v>
      </c>
      <c r="AI44" s="374"/>
      <c r="AJ44" s="374"/>
      <c r="AK44" s="368"/>
      <c r="AL44" s="360"/>
      <c r="AM44" s="312"/>
      <c r="AN44" s="312">
        <f t="shared" si="8"/>
        <v>1220</v>
      </c>
      <c r="AO44" s="48"/>
      <c r="AP44" s="48"/>
      <c r="AQ44" s="48"/>
      <c r="AR44" s="59"/>
      <c r="AS44" s="59">
        <v>50</v>
      </c>
      <c r="AT44" s="48"/>
      <c r="AU44" s="241">
        <f t="shared" si="13"/>
        <v>50</v>
      </c>
      <c r="AV44" s="48"/>
      <c r="AW44" s="48"/>
      <c r="AX44" s="48"/>
      <c r="AY44" s="48"/>
      <c r="AZ44" s="48"/>
      <c r="BA44" s="48"/>
      <c r="BB44" s="164"/>
      <c r="BC44" s="164"/>
      <c r="BD44" s="151"/>
      <c r="BE44" s="59"/>
      <c r="BF44" s="59"/>
      <c r="BG44" s="59"/>
      <c r="BH44" s="151"/>
      <c r="BI44" s="152"/>
    </row>
    <row r="45" spans="1:61" ht="31.5">
      <c r="A45" s="295" t="s">
        <v>298</v>
      </c>
      <c r="B45" s="182"/>
      <c r="C45" s="312" t="s">
        <v>309</v>
      </c>
      <c r="D45" s="312"/>
      <c r="E45" s="312">
        <f>E42+E43+E44</f>
        <v>0</v>
      </c>
      <c r="F45" s="312">
        <f aca="true" t="shared" si="17" ref="F45:AU45">F42+F43+F44</f>
        <v>0</v>
      </c>
      <c r="G45" s="312">
        <f t="shared" si="17"/>
        <v>0</v>
      </c>
      <c r="H45" s="312">
        <f t="shared" si="17"/>
        <v>0</v>
      </c>
      <c r="I45" s="312">
        <f t="shared" si="17"/>
        <v>0</v>
      </c>
      <c r="J45" s="312">
        <f t="shared" si="17"/>
        <v>0</v>
      </c>
      <c r="K45" s="312">
        <f t="shared" si="17"/>
        <v>0</v>
      </c>
      <c r="L45" s="312">
        <f t="shared" si="17"/>
        <v>0</v>
      </c>
      <c r="M45" s="312">
        <f t="shared" si="17"/>
        <v>0</v>
      </c>
      <c r="N45" s="312">
        <f t="shared" si="17"/>
        <v>0</v>
      </c>
      <c r="O45" s="312">
        <f t="shared" si="17"/>
        <v>0</v>
      </c>
      <c r="P45" s="312">
        <f t="shared" si="17"/>
        <v>0</v>
      </c>
      <c r="Q45" s="312">
        <f t="shared" si="17"/>
        <v>0</v>
      </c>
      <c r="R45" s="312">
        <f t="shared" si="17"/>
        <v>660</v>
      </c>
      <c r="S45" s="312">
        <f t="shared" si="17"/>
        <v>0</v>
      </c>
      <c r="T45" s="312">
        <f t="shared" si="17"/>
        <v>0</v>
      </c>
      <c r="U45" s="312">
        <f t="shared" si="17"/>
        <v>0</v>
      </c>
      <c r="V45" s="312">
        <f t="shared" si="17"/>
        <v>0</v>
      </c>
      <c r="W45" s="312">
        <f t="shared" si="17"/>
        <v>0</v>
      </c>
      <c r="X45" s="312">
        <f t="shared" si="17"/>
        <v>0</v>
      </c>
      <c r="Y45" s="312">
        <f t="shared" si="17"/>
        <v>0</v>
      </c>
      <c r="Z45" s="312">
        <f t="shared" si="17"/>
        <v>0</v>
      </c>
      <c r="AA45" s="312">
        <f t="shared" si="17"/>
        <v>0</v>
      </c>
      <c r="AB45" s="312">
        <f t="shared" si="17"/>
        <v>60</v>
      </c>
      <c r="AC45" s="312">
        <f t="shared" si="17"/>
        <v>0</v>
      </c>
      <c r="AD45" s="312"/>
      <c r="AE45" s="312">
        <f t="shared" si="17"/>
        <v>0</v>
      </c>
      <c r="AF45" s="312">
        <f t="shared" si="17"/>
        <v>0</v>
      </c>
      <c r="AG45" s="374">
        <f t="shared" si="17"/>
        <v>0</v>
      </c>
      <c r="AH45" s="374">
        <f t="shared" si="17"/>
        <v>500</v>
      </c>
      <c r="AI45" s="374">
        <f t="shared" si="17"/>
        <v>0</v>
      </c>
      <c r="AJ45" s="374">
        <f t="shared" si="17"/>
        <v>0</v>
      </c>
      <c r="AK45" s="368">
        <f t="shared" si="17"/>
        <v>0</v>
      </c>
      <c r="AL45" s="360">
        <f t="shared" si="17"/>
        <v>0</v>
      </c>
      <c r="AM45" s="312">
        <f t="shared" si="17"/>
        <v>0</v>
      </c>
      <c r="AN45" s="312">
        <f t="shared" si="17"/>
        <v>1220</v>
      </c>
      <c r="AO45" s="377">
        <f t="shared" si="17"/>
        <v>0</v>
      </c>
      <c r="AP45" s="377">
        <f t="shared" si="17"/>
        <v>0</v>
      </c>
      <c r="AQ45" s="377">
        <f t="shared" si="17"/>
        <v>0</v>
      </c>
      <c r="AR45" s="377">
        <f t="shared" si="17"/>
        <v>0</v>
      </c>
      <c r="AS45" s="377">
        <f t="shared" si="17"/>
        <v>50</v>
      </c>
      <c r="AT45" s="377">
        <f t="shared" si="17"/>
        <v>0</v>
      </c>
      <c r="AU45" s="377">
        <f t="shared" si="17"/>
        <v>50</v>
      </c>
      <c r="AV45" s="48"/>
      <c r="AW45" s="48"/>
      <c r="AX45" s="48"/>
      <c r="AY45" s="48"/>
      <c r="AZ45" s="48"/>
      <c r="BA45" s="48"/>
      <c r="BB45" s="164"/>
      <c r="BC45" s="164"/>
      <c r="BD45" s="151"/>
      <c r="BE45" s="59"/>
      <c r="BF45" s="59"/>
      <c r="BG45" s="59"/>
      <c r="BH45" s="151"/>
      <c r="BI45" s="152"/>
    </row>
    <row r="46" spans="1:61" ht="15.75">
      <c r="A46" s="191" t="s">
        <v>299</v>
      </c>
      <c r="B46" s="182"/>
      <c r="C46" s="196" t="s">
        <v>300</v>
      </c>
      <c r="D46" s="196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>
        <v>1000</v>
      </c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74"/>
      <c r="AH46" s="374"/>
      <c r="AI46" s="374"/>
      <c r="AJ46" s="374"/>
      <c r="AK46" s="368"/>
      <c r="AL46" s="360"/>
      <c r="AM46" s="312"/>
      <c r="AN46" s="312">
        <f t="shared" si="8"/>
        <v>1000</v>
      </c>
      <c r="AO46" s="48"/>
      <c r="AP46" s="48"/>
      <c r="AQ46" s="48"/>
      <c r="AR46" s="59"/>
      <c r="AS46" s="59"/>
      <c r="AT46" s="48"/>
      <c r="AU46" s="241">
        <f t="shared" si="13"/>
        <v>0</v>
      </c>
      <c r="AV46" s="48"/>
      <c r="AW46" s="48"/>
      <c r="AX46" s="48"/>
      <c r="AY46" s="48"/>
      <c r="AZ46" s="48"/>
      <c r="BA46" s="48"/>
      <c r="BB46" s="164"/>
      <c r="BC46" s="164"/>
      <c r="BD46" s="151"/>
      <c r="BE46" s="59"/>
      <c r="BF46" s="59"/>
      <c r="BG46" s="59"/>
      <c r="BH46" s="151"/>
      <c r="BI46" s="152"/>
    </row>
    <row r="47" spans="1:61" ht="15.75">
      <c r="A47" s="191" t="s">
        <v>304</v>
      </c>
      <c r="B47" s="182"/>
      <c r="C47" s="196" t="s">
        <v>301</v>
      </c>
      <c r="D47" s="196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>
        <v>1500</v>
      </c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74"/>
      <c r="AH47" s="374"/>
      <c r="AI47" s="374"/>
      <c r="AJ47" s="374"/>
      <c r="AK47" s="368"/>
      <c r="AL47" s="360"/>
      <c r="AM47" s="312"/>
      <c r="AN47" s="312">
        <f t="shared" si="8"/>
        <v>1500</v>
      </c>
      <c r="AO47" s="48"/>
      <c r="AP47" s="48"/>
      <c r="AQ47" s="48"/>
      <c r="AR47" s="59"/>
      <c r="AS47" s="59"/>
      <c r="AT47" s="48"/>
      <c r="AU47" s="241">
        <f t="shared" si="13"/>
        <v>0</v>
      </c>
      <c r="AV47" s="48"/>
      <c r="AW47" s="48"/>
      <c r="AX47" s="48"/>
      <c r="AY47" s="48"/>
      <c r="AZ47" s="48"/>
      <c r="BA47" s="48"/>
      <c r="BB47" s="164"/>
      <c r="BC47" s="164"/>
      <c r="BD47" s="151"/>
      <c r="BE47" s="59"/>
      <c r="BF47" s="59"/>
      <c r="BG47" s="59"/>
      <c r="BH47" s="151"/>
      <c r="BI47" s="152"/>
    </row>
    <row r="48" spans="1:61" ht="15.75">
      <c r="A48" s="191" t="s">
        <v>305</v>
      </c>
      <c r="B48" s="182"/>
      <c r="C48" s="196" t="s">
        <v>302</v>
      </c>
      <c r="D48" s="196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>
        <v>500</v>
      </c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74"/>
      <c r="AH48" s="374">
        <v>250</v>
      </c>
      <c r="AI48" s="374"/>
      <c r="AJ48" s="374"/>
      <c r="AK48" s="368"/>
      <c r="AL48" s="360"/>
      <c r="AM48" s="312"/>
      <c r="AN48" s="312">
        <f t="shared" si="8"/>
        <v>750</v>
      </c>
      <c r="AO48" s="48"/>
      <c r="AP48" s="48"/>
      <c r="AQ48" s="48"/>
      <c r="AR48" s="59"/>
      <c r="AS48" s="59"/>
      <c r="AT48" s="48"/>
      <c r="AU48" s="241">
        <f t="shared" si="13"/>
        <v>0</v>
      </c>
      <c r="AV48" s="48"/>
      <c r="AW48" s="48"/>
      <c r="AX48" s="48"/>
      <c r="AY48" s="48"/>
      <c r="AZ48" s="48"/>
      <c r="BA48" s="48"/>
      <c r="BB48" s="164"/>
      <c r="BC48" s="164"/>
      <c r="BD48" s="151"/>
      <c r="BE48" s="59"/>
      <c r="BF48" s="59"/>
      <c r="BG48" s="59"/>
      <c r="BH48" s="151"/>
      <c r="BI48" s="152"/>
    </row>
    <row r="49" spans="1:61" ht="31.5">
      <c r="A49" s="191" t="s">
        <v>306</v>
      </c>
      <c r="B49" s="182"/>
      <c r="C49" s="196" t="s">
        <v>303</v>
      </c>
      <c r="D49" s="196" t="s">
        <v>1504</v>
      </c>
      <c r="E49" s="312">
        <v>250</v>
      </c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>
        <v>1000</v>
      </c>
      <c r="U49" s="312"/>
      <c r="V49" s="312">
        <v>6500</v>
      </c>
      <c r="W49" s="312"/>
      <c r="X49" s="312"/>
      <c r="Y49" s="312"/>
      <c r="Z49" s="312"/>
      <c r="AA49" s="312"/>
      <c r="AB49" s="312"/>
      <c r="AC49" s="312"/>
      <c r="AD49" s="312"/>
      <c r="AE49" s="312">
        <v>345</v>
      </c>
      <c r="AF49" s="312">
        <v>345</v>
      </c>
      <c r="AG49" s="374"/>
      <c r="AH49" s="374">
        <v>800</v>
      </c>
      <c r="AI49" s="374"/>
      <c r="AJ49" s="374"/>
      <c r="AK49" s="368"/>
      <c r="AL49" s="360"/>
      <c r="AM49" s="312"/>
      <c r="AN49" s="312">
        <f t="shared" si="8"/>
        <v>9240</v>
      </c>
      <c r="AO49" s="48"/>
      <c r="AP49" s="48"/>
      <c r="AQ49" s="48"/>
      <c r="AR49" s="59"/>
      <c r="AS49" s="59"/>
      <c r="AT49" s="48"/>
      <c r="AU49" s="241">
        <f t="shared" si="13"/>
        <v>0</v>
      </c>
      <c r="AV49" s="48"/>
      <c r="AW49" s="48"/>
      <c r="AX49" s="48"/>
      <c r="AY49" s="48"/>
      <c r="AZ49" s="48"/>
      <c r="BA49" s="48"/>
      <c r="BB49" s="164"/>
      <c r="BC49" s="164"/>
      <c r="BD49" s="151"/>
      <c r="BE49" s="59"/>
      <c r="BF49" s="59"/>
      <c r="BG49" s="59"/>
      <c r="BH49" s="151"/>
      <c r="BI49" s="152"/>
    </row>
    <row r="50" spans="1:61" ht="15.75">
      <c r="A50" s="295" t="s">
        <v>307</v>
      </c>
      <c r="B50" s="182"/>
      <c r="C50" s="312" t="s">
        <v>308</v>
      </c>
      <c r="D50" s="312"/>
      <c r="E50" s="312">
        <f>SUM(E46:E49)</f>
        <v>250</v>
      </c>
      <c r="F50" s="312">
        <f aca="true" t="shared" si="18" ref="F50:AU50">SUM(F46:F49)</f>
        <v>0</v>
      </c>
      <c r="G50" s="312">
        <f t="shared" si="18"/>
        <v>0</v>
      </c>
      <c r="H50" s="312">
        <f t="shared" si="18"/>
        <v>0</v>
      </c>
      <c r="I50" s="312">
        <f t="shared" si="18"/>
        <v>0</v>
      </c>
      <c r="J50" s="312">
        <f t="shared" si="18"/>
        <v>0</v>
      </c>
      <c r="K50" s="312">
        <f t="shared" si="18"/>
        <v>0</v>
      </c>
      <c r="L50" s="312">
        <f t="shared" si="18"/>
        <v>0</v>
      </c>
      <c r="M50" s="312">
        <f t="shared" si="18"/>
        <v>0</v>
      </c>
      <c r="N50" s="312">
        <f t="shared" si="18"/>
        <v>0</v>
      </c>
      <c r="O50" s="312">
        <f t="shared" si="18"/>
        <v>0</v>
      </c>
      <c r="P50" s="312">
        <f t="shared" si="18"/>
        <v>0</v>
      </c>
      <c r="Q50" s="312">
        <f t="shared" si="18"/>
        <v>0</v>
      </c>
      <c r="R50" s="312">
        <f t="shared" si="18"/>
        <v>0</v>
      </c>
      <c r="S50" s="312">
        <f t="shared" si="18"/>
        <v>0</v>
      </c>
      <c r="T50" s="312">
        <f t="shared" si="18"/>
        <v>1000</v>
      </c>
      <c r="U50" s="312">
        <f t="shared" si="18"/>
        <v>0</v>
      </c>
      <c r="V50" s="312">
        <f t="shared" si="18"/>
        <v>9500</v>
      </c>
      <c r="W50" s="312">
        <f t="shared" si="18"/>
        <v>0</v>
      </c>
      <c r="X50" s="312">
        <f t="shared" si="18"/>
        <v>0</v>
      </c>
      <c r="Y50" s="312">
        <f t="shared" si="18"/>
        <v>0</v>
      </c>
      <c r="Z50" s="312">
        <f t="shared" si="18"/>
        <v>0</v>
      </c>
      <c r="AA50" s="312">
        <f t="shared" si="18"/>
        <v>0</v>
      </c>
      <c r="AB50" s="312">
        <f t="shared" si="18"/>
        <v>0</v>
      </c>
      <c r="AC50" s="312">
        <f t="shared" si="18"/>
        <v>0</v>
      </c>
      <c r="AD50" s="312"/>
      <c r="AE50" s="312">
        <f t="shared" si="18"/>
        <v>345</v>
      </c>
      <c r="AF50" s="312"/>
      <c r="AG50" s="374">
        <f t="shared" si="18"/>
        <v>0</v>
      </c>
      <c r="AH50" s="374">
        <f t="shared" si="18"/>
        <v>1050</v>
      </c>
      <c r="AI50" s="374">
        <f t="shared" si="18"/>
        <v>0</v>
      </c>
      <c r="AJ50" s="374">
        <f t="shared" si="18"/>
        <v>0</v>
      </c>
      <c r="AK50" s="368">
        <f t="shared" si="18"/>
        <v>0</v>
      </c>
      <c r="AL50" s="360">
        <f t="shared" si="18"/>
        <v>0</v>
      </c>
      <c r="AM50" s="312">
        <f t="shared" si="18"/>
        <v>0</v>
      </c>
      <c r="AN50" s="312">
        <f t="shared" si="18"/>
        <v>12490</v>
      </c>
      <c r="AO50" s="377">
        <f t="shared" si="18"/>
        <v>0</v>
      </c>
      <c r="AP50" s="377">
        <f t="shared" si="18"/>
        <v>0</v>
      </c>
      <c r="AQ50" s="377">
        <f t="shared" si="18"/>
        <v>0</v>
      </c>
      <c r="AR50" s="377">
        <f t="shared" si="18"/>
        <v>0</v>
      </c>
      <c r="AS50" s="377">
        <f t="shared" si="18"/>
        <v>0</v>
      </c>
      <c r="AT50" s="377">
        <f t="shared" si="18"/>
        <v>0</v>
      </c>
      <c r="AU50" s="377">
        <f t="shared" si="18"/>
        <v>0</v>
      </c>
      <c r="AV50" s="48"/>
      <c r="AW50" s="48"/>
      <c r="AX50" s="48"/>
      <c r="AY50" s="48"/>
      <c r="AZ50" s="48"/>
      <c r="BA50" s="48"/>
      <c r="BB50" s="164"/>
      <c r="BC50" s="164"/>
      <c r="BD50" s="151"/>
      <c r="BE50" s="59"/>
      <c r="BF50" s="59"/>
      <c r="BG50" s="59"/>
      <c r="BH50" s="151"/>
      <c r="BI50" s="152"/>
    </row>
    <row r="51" spans="1:61" ht="15.75">
      <c r="A51" s="192" t="s">
        <v>310</v>
      </c>
      <c r="B51" s="287" t="s">
        <v>400</v>
      </c>
      <c r="C51" s="310" t="s">
        <v>314</v>
      </c>
      <c r="D51" s="310"/>
      <c r="E51" s="310">
        <f>E34+E35+E37+E38+E41+E45+E50</f>
        <v>250</v>
      </c>
      <c r="F51" s="310">
        <f aca="true" t="shared" si="19" ref="F51:AU51">F34+F35+F37+F38+F41+F45+F50</f>
        <v>0</v>
      </c>
      <c r="G51" s="310">
        <f t="shared" si="19"/>
        <v>0</v>
      </c>
      <c r="H51" s="310">
        <f t="shared" si="19"/>
        <v>1500</v>
      </c>
      <c r="I51" s="310">
        <f t="shared" si="19"/>
        <v>0</v>
      </c>
      <c r="J51" s="310">
        <f t="shared" si="19"/>
        <v>0</v>
      </c>
      <c r="K51" s="310">
        <f t="shared" si="19"/>
        <v>0</v>
      </c>
      <c r="L51" s="310">
        <f t="shared" si="19"/>
        <v>0</v>
      </c>
      <c r="M51" s="310">
        <f t="shared" si="19"/>
        <v>0</v>
      </c>
      <c r="N51" s="310">
        <f t="shared" si="19"/>
        <v>0</v>
      </c>
      <c r="O51" s="310">
        <f t="shared" si="19"/>
        <v>0</v>
      </c>
      <c r="P51" s="310">
        <f t="shared" si="19"/>
        <v>0</v>
      </c>
      <c r="Q51" s="310">
        <f t="shared" si="19"/>
        <v>0</v>
      </c>
      <c r="R51" s="310">
        <f t="shared" si="19"/>
        <v>660</v>
      </c>
      <c r="S51" s="310">
        <f t="shared" si="19"/>
        <v>0</v>
      </c>
      <c r="T51" s="310">
        <f t="shared" si="19"/>
        <v>1250</v>
      </c>
      <c r="U51" s="310">
        <f t="shared" si="19"/>
        <v>7700</v>
      </c>
      <c r="V51" s="310">
        <f t="shared" si="19"/>
        <v>13510</v>
      </c>
      <c r="W51" s="310">
        <f t="shared" si="19"/>
        <v>0</v>
      </c>
      <c r="X51" s="310">
        <f t="shared" si="19"/>
        <v>0</v>
      </c>
      <c r="Y51" s="310">
        <f t="shared" si="19"/>
        <v>500</v>
      </c>
      <c r="Z51" s="310">
        <f t="shared" si="19"/>
        <v>0</v>
      </c>
      <c r="AA51" s="310">
        <f t="shared" si="19"/>
        <v>590</v>
      </c>
      <c r="AB51" s="310">
        <f t="shared" si="19"/>
        <v>60</v>
      </c>
      <c r="AC51" s="310">
        <f t="shared" si="19"/>
        <v>1350</v>
      </c>
      <c r="AD51" s="310"/>
      <c r="AE51" s="310">
        <f t="shared" si="19"/>
        <v>345</v>
      </c>
      <c r="AF51" s="310">
        <f t="shared" si="19"/>
        <v>820</v>
      </c>
      <c r="AG51" s="375">
        <f t="shared" si="19"/>
        <v>18392</v>
      </c>
      <c r="AH51" s="375">
        <f t="shared" si="19"/>
        <v>8580</v>
      </c>
      <c r="AI51" s="375">
        <f t="shared" si="19"/>
        <v>0</v>
      </c>
      <c r="AJ51" s="375">
        <f t="shared" si="19"/>
        <v>3000</v>
      </c>
      <c r="AK51" s="369">
        <f t="shared" si="19"/>
        <v>12755</v>
      </c>
      <c r="AL51" s="361">
        <f t="shared" si="19"/>
        <v>2629</v>
      </c>
      <c r="AM51" s="310">
        <f t="shared" si="19"/>
        <v>0</v>
      </c>
      <c r="AN51" s="310">
        <f t="shared" si="19"/>
        <v>74236</v>
      </c>
      <c r="AO51" s="48">
        <f t="shared" si="19"/>
        <v>4150</v>
      </c>
      <c r="AP51" s="48">
        <f t="shared" si="19"/>
        <v>0</v>
      </c>
      <c r="AQ51" s="48">
        <f t="shared" si="19"/>
        <v>0</v>
      </c>
      <c r="AR51" s="48">
        <f t="shared" si="19"/>
        <v>0</v>
      </c>
      <c r="AS51" s="48">
        <f t="shared" si="19"/>
        <v>50</v>
      </c>
      <c r="AT51" s="48">
        <f t="shared" si="19"/>
        <v>0</v>
      </c>
      <c r="AU51" s="48">
        <f t="shared" si="19"/>
        <v>4200</v>
      </c>
      <c r="AV51" s="48">
        <f aca="true" t="shared" si="20" ref="AV51:BC51">SUM(AV31:AV41)</f>
        <v>2350</v>
      </c>
      <c r="AW51" s="48">
        <f t="shared" si="20"/>
        <v>0</v>
      </c>
      <c r="AX51" s="48">
        <f t="shared" si="20"/>
        <v>290</v>
      </c>
      <c r="AY51" s="48">
        <f t="shared" si="20"/>
        <v>0</v>
      </c>
      <c r="AZ51" s="48">
        <f t="shared" si="20"/>
        <v>0</v>
      </c>
      <c r="BA51" s="48">
        <f t="shared" si="20"/>
        <v>0</v>
      </c>
      <c r="BB51" s="48">
        <f t="shared" si="20"/>
        <v>0</v>
      </c>
      <c r="BC51" s="48">
        <f t="shared" si="20"/>
        <v>185</v>
      </c>
      <c r="BD51" s="247">
        <f>SUM(AV51:BC51)</f>
        <v>2825</v>
      </c>
      <c r="BE51" s="48">
        <f>SUM(BE31:BE41)</f>
        <v>0</v>
      </c>
      <c r="BF51" s="48">
        <f>SUM(BF31:BF41)</f>
        <v>1580</v>
      </c>
      <c r="BG51" s="48">
        <f>SUM(BG31:BG41)</f>
        <v>0</v>
      </c>
      <c r="BH51" s="151">
        <f>BE51+BF51+BG51</f>
        <v>1580</v>
      </c>
      <c r="BI51" s="152">
        <f>+BD51+AN51+AU51+BH51</f>
        <v>82841</v>
      </c>
    </row>
    <row r="52" spans="1:61" ht="15.75">
      <c r="A52" s="191" t="s">
        <v>312</v>
      </c>
      <c r="B52" s="287" t="s">
        <v>402</v>
      </c>
      <c r="C52" s="196" t="s">
        <v>311</v>
      </c>
      <c r="D52" s="196"/>
      <c r="E52" s="310"/>
      <c r="F52" s="310"/>
      <c r="G52" s="310"/>
      <c r="H52" s="347">
        <v>0</v>
      </c>
      <c r="I52" s="347">
        <v>0</v>
      </c>
      <c r="J52" s="347"/>
      <c r="K52" s="347"/>
      <c r="L52" s="347"/>
      <c r="M52" s="347"/>
      <c r="N52" s="347"/>
      <c r="O52" s="347"/>
      <c r="P52" s="347"/>
      <c r="Q52" s="347"/>
      <c r="R52" s="207">
        <v>0</v>
      </c>
      <c r="S52" s="207"/>
      <c r="T52" s="207"/>
      <c r="U52" s="186">
        <v>0</v>
      </c>
      <c r="V52" s="186"/>
      <c r="W52" s="348"/>
      <c r="X52" s="348"/>
      <c r="Y52" s="186"/>
      <c r="Z52" s="186"/>
      <c r="AA52" s="186"/>
      <c r="AB52" s="186"/>
      <c r="AC52" s="186"/>
      <c r="AD52" s="186"/>
      <c r="AE52" s="186"/>
      <c r="AF52" s="186"/>
      <c r="AG52" s="349"/>
      <c r="AH52" s="349"/>
      <c r="AI52" s="349"/>
      <c r="AJ52" s="349"/>
      <c r="AK52" s="371"/>
      <c r="AL52" s="363"/>
      <c r="AM52" s="186"/>
      <c r="AN52" s="186">
        <f t="shared" si="8"/>
        <v>0</v>
      </c>
      <c r="AO52" s="48"/>
      <c r="AP52" s="48"/>
      <c r="AQ52" s="48"/>
      <c r="AR52" s="59"/>
      <c r="AS52" s="59"/>
      <c r="AT52" s="48"/>
      <c r="AU52" s="241">
        <f t="shared" si="13"/>
        <v>0</v>
      </c>
      <c r="AV52" s="48"/>
      <c r="AW52" s="48"/>
      <c r="AX52" s="48"/>
      <c r="AY52" s="48"/>
      <c r="AZ52" s="48"/>
      <c r="BA52" s="48"/>
      <c r="BB52" s="48">
        <v>0</v>
      </c>
      <c r="BC52" s="48">
        <v>0</v>
      </c>
      <c r="BD52" s="151">
        <f>SUM(AV52:BC52)</f>
        <v>0</v>
      </c>
      <c r="BE52" s="151"/>
      <c r="BF52" s="151">
        <v>200</v>
      </c>
      <c r="BG52" s="151">
        <v>20</v>
      </c>
      <c r="BH52" s="151">
        <f>BE52+BF52+BG52</f>
        <v>220</v>
      </c>
      <c r="BI52" s="152">
        <f>+BD52+AN52+AU52+BH52</f>
        <v>220</v>
      </c>
    </row>
    <row r="53" spans="1:61" ht="15.75">
      <c r="A53" s="295" t="s">
        <v>313</v>
      </c>
      <c r="B53" s="287"/>
      <c r="C53" s="312" t="s">
        <v>317</v>
      </c>
      <c r="D53" s="312"/>
      <c r="E53" s="310">
        <f>E52</f>
        <v>0</v>
      </c>
      <c r="F53" s="310">
        <f aca="true" t="shared" si="21" ref="F53:AU53">F52</f>
        <v>0</v>
      </c>
      <c r="G53" s="310">
        <f t="shared" si="21"/>
        <v>0</v>
      </c>
      <c r="H53" s="310">
        <f t="shared" si="21"/>
        <v>0</v>
      </c>
      <c r="I53" s="310">
        <f t="shared" si="21"/>
        <v>0</v>
      </c>
      <c r="J53" s="310">
        <f t="shared" si="21"/>
        <v>0</v>
      </c>
      <c r="K53" s="310">
        <f t="shared" si="21"/>
        <v>0</v>
      </c>
      <c r="L53" s="310">
        <f t="shared" si="21"/>
        <v>0</v>
      </c>
      <c r="M53" s="310">
        <f t="shared" si="21"/>
        <v>0</v>
      </c>
      <c r="N53" s="310">
        <f t="shared" si="21"/>
        <v>0</v>
      </c>
      <c r="O53" s="310">
        <f t="shared" si="21"/>
        <v>0</v>
      </c>
      <c r="P53" s="310">
        <f t="shared" si="21"/>
        <v>0</v>
      </c>
      <c r="Q53" s="310">
        <f t="shared" si="21"/>
        <v>0</v>
      </c>
      <c r="R53" s="310">
        <f t="shared" si="21"/>
        <v>0</v>
      </c>
      <c r="S53" s="310">
        <f t="shared" si="21"/>
        <v>0</v>
      </c>
      <c r="T53" s="310">
        <f t="shared" si="21"/>
        <v>0</v>
      </c>
      <c r="U53" s="310">
        <f t="shared" si="21"/>
        <v>0</v>
      </c>
      <c r="V53" s="310">
        <f t="shared" si="21"/>
        <v>0</v>
      </c>
      <c r="W53" s="310">
        <f t="shared" si="21"/>
        <v>0</v>
      </c>
      <c r="X53" s="310">
        <f t="shared" si="21"/>
        <v>0</v>
      </c>
      <c r="Y53" s="310">
        <f t="shared" si="21"/>
        <v>0</v>
      </c>
      <c r="Z53" s="310">
        <f t="shared" si="21"/>
        <v>0</v>
      </c>
      <c r="AA53" s="310">
        <f t="shared" si="21"/>
        <v>0</v>
      </c>
      <c r="AB53" s="310">
        <f t="shared" si="21"/>
        <v>0</v>
      </c>
      <c r="AC53" s="310">
        <f t="shared" si="21"/>
        <v>0</v>
      </c>
      <c r="AD53" s="310"/>
      <c r="AE53" s="310">
        <f t="shared" si="21"/>
        <v>0</v>
      </c>
      <c r="AF53" s="310">
        <f t="shared" si="21"/>
        <v>0</v>
      </c>
      <c r="AG53" s="375">
        <f t="shared" si="21"/>
        <v>0</v>
      </c>
      <c r="AH53" s="375">
        <f t="shared" si="21"/>
        <v>0</v>
      </c>
      <c r="AI53" s="375">
        <f t="shared" si="21"/>
        <v>0</v>
      </c>
      <c r="AJ53" s="375">
        <f t="shared" si="21"/>
        <v>0</v>
      </c>
      <c r="AK53" s="369">
        <f t="shared" si="21"/>
        <v>0</v>
      </c>
      <c r="AL53" s="361">
        <f t="shared" si="21"/>
        <v>0</v>
      </c>
      <c r="AM53" s="310">
        <f t="shared" si="21"/>
        <v>0</v>
      </c>
      <c r="AN53" s="310">
        <f t="shared" si="21"/>
        <v>0</v>
      </c>
      <c r="AO53" s="48">
        <f t="shared" si="21"/>
        <v>0</v>
      </c>
      <c r="AP53" s="48">
        <f t="shared" si="21"/>
        <v>0</v>
      </c>
      <c r="AQ53" s="48">
        <f t="shared" si="21"/>
        <v>0</v>
      </c>
      <c r="AR53" s="48">
        <f t="shared" si="21"/>
        <v>0</v>
      </c>
      <c r="AS53" s="48">
        <f t="shared" si="21"/>
        <v>0</v>
      </c>
      <c r="AT53" s="48">
        <f t="shared" si="21"/>
        <v>0</v>
      </c>
      <c r="AU53" s="48">
        <f t="shared" si="21"/>
        <v>0</v>
      </c>
      <c r="AV53" s="48"/>
      <c r="AW53" s="48"/>
      <c r="AX53" s="48"/>
      <c r="AY53" s="48"/>
      <c r="AZ53" s="48"/>
      <c r="BA53" s="48"/>
      <c r="BB53" s="48"/>
      <c r="BC53" s="48"/>
      <c r="BD53" s="151"/>
      <c r="BE53" s="151"/>
      <c r="BF53" s="151"/>
      <c r="BG53" s="151"/>
      <c r="BH53" s="151"/>
      <c r="BI53" s="152"/>
    </row>
    <row r="54" spans="1:61" ht="15.75">
      <c r="A54" s="295" t="s">
        <v>315</v>
      </c>
      <c r="B54" s="287"/>
      <c r="C54" s="312" t="s">
        <v>1027</v>
      </c>
      <c r="D54" s="312"/>
      <c r="E54" s="312"/>
      <c r="F54" s="312"/>
      <c r="G54" s="312"/>
      <c r="H54" s="312"/>
      <c r="I54" s="312">
        <v>1100</v>
      </c>
      <c r="J54" s="312">
        <v>360</v>
      </c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>
        <v>400</v>
      </c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74"/>
      <c r="AH54" s="374"/>
      <c r="AI54" s="374"/>
      <c r="AJ54" s="374"/>
      <c r="AK54" s="368"/>
      <c r="AL54" s="360"/>
      <c r="AM54" s="312"/>
      <c r="AN54" s="312">
        <f t="shared" si="8"/>
        <v>1860</v>
      </c>
      <c r="AO54" s="48"/>
      <c r="AP54" s="48"/>
      <c r="AQ54" s="48"/>
      <c r="AR54" s="59"/>
      <c r="AS54" s="59"/>
      <c r="AT54" s="48"/>
      <c r="AU54" s="241">
        <f t="shared" si="13"/>
        <v>0</v>
      </c>
      <c r="AV54" s="48"/>
      <c r="AW54" s="48"/>
      <c r="AX54" s="48"/>
      <c r="AY54" s="48"/>
      <c r="AZ54" s="48"/>
      <c r="BA54" s="48"/>
      <c r="BB54" s="48"/>
      <c r="BC54" s="48"/>
      <c r="BD54" s="151"/>
      <c r="BE54" s="151"/>
      <c r="BF54" s="151"/>
      <c r="BG54" s="151"/>
      <c r="BH54" s="151"/>
      <c r="BI54" s="152"/>
    </row>
    <row r="55" spans="1:61" ht="31.5">
      <c r="A55" s="192" t="s">
        <v>316</v>
      </c>
      <c r="B55" s="287"/>
      <c r="C55" s="310" t="s">
        <v>318</v>
      </c>
      <c r="D55" s="310"/>
      <c r="E55" s="312">
        <f>E53+E54</f>
        <v>0</v>
      </c>
      <c r="F55" s="312">
        <f aca="true" t="shared" si="22" ref="F55:AU55">F53+F54</f>
        <v>0</v>
      </c>
      <c r="G55" s="312">
        <f t="shared" si="22"/>
        <v>0</v>
      </c>
      <c r="H55" s="312">
        <f t="shared" si="22"/>
        <v>0</v>
      </c>
      <c r="I55" s="312">
        <f t="shared" si="22"/>
        <v>1100</v>
      </c>
      <c r="J55" s="312">
        <f t="shared" si="22"/>
        <v>360</v>
      </c>
      <c r="K55" s="312">
        <f t="shared" si="22"/>
        <v>0</v>
      </c>
      <c r="L55" s="312">
        <f t="shared" si="22"/>
        <v>0</v>
      </c>
      <c r="M55" s="312">
        <f t="shared" si="22"/>
        <v>0</v>
      </c>
      <c r="N55" s="312">
        <f t="shared" si="22"/>
        <v>0</v>
      </c>
      <c r="O55" s="312">
        <f t="shared" si="22"/>
        <v>0</v>
      </c>
      <c r="P55" s="312">
        <f t="shared" si="22"/>
        <v>0</v>
      </c>
      <c r="Q55" s="312">
        <f t="shared" si="22"/>
        <v>0</v>
      </c>
      <c r="R55" s="312">
        <f t="shared" si="22"/>
        <v>0</v>
      </c>
      <c r="S55" s="312">
        <f t="shared" si="22"/>
        <v>0</v>
      </c>
      <c r="T55" s="312">
        <f t="shared" si="22"/>
        <v>0</v>
      </c>
      <c r="U55" s="312">
        <f t="shared" si="22"/>
        <v>0</v>
      </c>
      <c r="V55" s="312">
        <f t="shared" si="22"/>
        <v>400</v>
      </c>
      <c r="W55" s="312">
        <f t="shared" si="22"/>
        <v>0</v>
      </c>
      <c r="X55" s="312">
        <f t="shared" si="22"/>
        <v>0</v>
      </c>
      <c r="Y55" s="312">
        <f t="shared" si="22"/>
        <v>0</v>
      </c>
      <c r="Z55" s="312">
        <f t="shared" si="22"/>
        <v>0</v>
      </c>
      <c r="AA55" s="312">
        <f t="shared" si="22"/>
        <v>0</v>
      </c>
      <c r="AB55" s="312">
        <f t="shared" si="22"/>
        <v>0</v>
      </c>
      <c r="AC55" s="312">
        <f t="shared" si="22"/>
        <v>0</v>
      </c>
      <c r="AD55" s="312"/>
      <c r="AE55" s="312">
        <f t="shared" si="22"/>
        <v>0</v>
      </c>
      <c r="AF55" s="312">
        <f t="shared" si="22"/>
        <v>0</v>
      </c>
      <c r="AG55" s="374">
        <f t="shared" si="22"/>
        <v>0</v>
      </c>
      <c r="AH55" s="374">
        <f t="shared" si="22"/>
        <v>0</v>
      </c>
      <c r="AI55" s="374">
        <f t="shared" si="22"/>
        <v>0</v>
      </c>
      <c r="AJ55" s="374">
        <f t="shared" si="22"/>
        <v>0</v>
      </c>
      <c r="AK55" s="368">
        <f t="shared" si="22"/>
        <v>0</v>
      </c>
      <c r="AL55" s="360">
        <f t="shared" si="22"/>
        <v>0</v>
      </c>
      <c r="AM55" s="312">
        <f t="shared" si="22"/>
        <v>0</v>
      </c>
      <c r="AN55" s="312">
        <f t="shared" si="22"/>
        <v>1860</v>
      </c>
      <c r="AO55" s="377">
        <f t="shared" si="22"/>
        <v>0</v>
      </c>
      <c r="AP55" s="377">
        <f t="shared" si="22"/>
        <v>0</v>
      </c>
      <c r="AQ55" s="377">
        <f t="shared" si="22"/>
        <v>0</v>
      </c>
      <c r="AR55" s="377">
        <f t="shared" si="22"/>
        <v>0</v>
      </c>
      <c r="AS55" s="377">
        <f t="shared" si="22"/>
        <v>0</v>
      </c>
      <c r="AT55" s="377">
        <f t="shared" si="22"/>
        <v>0</v>
      </c>
      <c r="AU55" s="377">
        <f t="shared" si="22"/>
        <v>0</v>
      </c>
      <c r="AV55" s="48"/>
      <c r="AW55" s="48"/>
      <c r="AX55" s="48"/>
      <c r="AY55" s="48"/>
      <c r="AZ55" s="48"/>
      <c r="BA55" s="48"/>
      <c r="BB55" s="48"/>
      <c r="BC55" s="48"/>
      <c r="BD55" s="151"/>
      <c r="BE55" s="151"/>
      <c r="BF55" s="151"/>
      <c r="BG55" s="151"/>
      <c r="BH55" s="151"/>
      <c r="BI55" s="152"/>
    </row>
    <row r="56" spans="1:61" ht="15.75">
      <c r="A56" s="191" t="s">
        <v>321</v>
      </c>
      <c r="B56" s="182" t="s">
        <v>403</v>
      </c>
      <c r="C56" s="196" t="s">
        <v>319</v>
      </c>
      <c r="D56" s="196"/>
      <c r="E56" s="196"/>
      <c r="F56" s="196">
        <v>0</v>
      </c>
      <c r="G56" s="196"/>
      <c r="H56" s="339"/>
      <c r="I56" s="339"/>
      <c r="J56" s="339"/>
      <c r="K56" s="339"/>
      <c r="L56" s="339"/>
      <c r="M56" s="339"/>
      <c r="N56" s="339"/>
      <c r="O56" s="339"/>
      <c r="P56" s="339"/>
      <c r="Q56" s="339">
        <v>0</v>
      </c>
      <c r="R56" s="206">
        <v>0</v>
      </c>
      <c r="S56" s="206"/>
      <c r="T56" s="206"/>
      <c r="U56" s="189"/>
      <c r="V56" s="189"/>
      <c r="W56" s="294"/>
      <c r="X56" s="294"/>
      <c r="Y56" s="189"/>
      <c r="Z56" s="189"/>
      <c r="AA56" s="189"/>
      <c r="AB56" s="189"/>
      <c r="AC56" s="189"/>
      <c r="AD56" s="189"/>
      <c r="AE56" s="189"/>
      <c r="AF56" s="189"/>
      <c r="AG56" s="340">
        <f>2567</f>
        <v>2567</v>
      </c>
      <c r="AH56" s="340"/>
      <c r="AI56" s="340"/>
      <c r="AJ56" s="340"/>
      <c r="AK56" s="367">
        <v>2617</v>
      </c>
      <c r="AL56" s="359">
        <v>639</v>
      </c>
      <c r="AM56" s="189">
        <v>0</v>
      </c>
      <c r="AN56" s="186">
        <f t="shared" si="8"/>
        <v>5823</v>
      </c>
      <c r="AO56" s="59"/>
      <c r="AP56" s="59"/>
      <c r="AQ56" s="59">
        <v>0</v>
      </c>
      <c r="AR56" s="59"/>
      <c r="AS56" s="59"/>
      <c r="AT56" s="48"/>
      <c r="AU56" s="241">
        <f t="shared" si="13"/>
        <v>0</v>
      </c>
      <c r="AV56" s="59">
        <v>650</v>
      </c>
      <c r="AW56" s="59">
        <v>11</v>
      </c>
      <c r="AX56" s="59">
        <v>930</v>
      </c>
      <c r="AY56" s="59">
        <v>4</v>
      </c>
      <c r="AZ56" s="59">
        <v>15</v>
      </c>
      <c r="BA56" s="59">
        <v>6</v>
      </c>
      <c r="BB56" s="59">
        <v>15</v>
      </c>
      <c r="BC56" s="59">
        <v>500</v>
      </c>
      <c r="BD56" s="151">
        <f>SUM(AV56:BC56)</f>
        <v>2131</v>
      </c>
      <c r="BE56" s="150">
        <f>280+780</f>
        <v>1060</v>
      </c>
      <c r="BF56" s="150">
        <v>655</v>
      </c>
      <c r="BG56" s="150">
        <f>56+144</f>
        <v>200</v>
      </c>
      <c r="BH56" s="151">
        <f>BE56+BF56+BG56</f>
        <v>1915</v>
      </c>
      <c r="BI56" s="152">
        <f>+BD56+AN56+AU56+BH56</f>
        <v>9869</v>
      </c>
    </row>
    <row r="57" spans="1:61" ht="15.75">
      <c r="A57" s="191" t="s">
        <v>322</v>
      </c>
      <c r="B57" s="182" t="s">
        <v>223</v>
      </c>
      <c r="C57" s="196" t="s">
        <v>320</v>
      </c>
      <c r="D57" s="196"/>
      <c r="E57" s="196">
        <v>68</v>
      </c>
      <c r="F57" s="196"/>
      <c r="G57" s="196"/>
      <c r="H57" s="339">
        <v>405</v>
      </c>
      <c r="I57" s="339">
        <v>55</v>
      </c>
      <c r="J57" s="339"/>
      <c r="K57" s="339">
        <v>35</v>
      </c>
      <c r="L57" s="339"/>
      <c r="M57" s="339">
        <v>0</v>
      </c>
      <c r="N57" s="339"/>
      <c r="O57" s="339"/>
      <c r="P57" s="339">
        <v>66</v>
      </c>
      <c r="Q57" s="339"/>
      <c r="R57" s="206"/>
      <c r="S57" s="206">
        <v>27</v>
      </c>
      <c r="T57" s="206">
        <v>350</v>
      </c>
      <c r="U57" s="189">
        <v>2079</v>
      </c>
      <c r="V57" s="189">
        <v>4312</v>
      </c>
      <c r="W57" s="294"/>
      <c r="X57" s="294"/>
      <c r="Y57" s="189">
        <v>135</v>
      </c>
      <c r="Z57" s="189"/>
      <c r="AA57" s="189">
        <v>186</v>
      </c>
      <c r="AB57" s="189"/>
      <c r="AC57" s="189">
        <v>365</v>
      </c>
      <c r="AD57" s="189"/>
      <c r="AE57" s="189">
        <v>93</v>
      </c>
      <c r="AF57" s="189">
        <v>221</v>
      </c>
      <c r="AG57" s="340">
        <f>1859+540</f>
        <v>2399</v>
      </c>
      <c r="AH57" s="340">
        <v>2610</v>
      </c>
      <c r="AI57" s="340"/>
      <c r="AJ57" s="340">
        <v>810</v>
      </c>
      <c r="AK57" s="367">
        <v>826</v>
      </c>
      <c r="AL57" s="359">
        <v>71</v>
      </c>
      <c r="AM57" s="189"/>
      <c r="AN57" s="186">
        <f t="shared" si="8"/>
        <v>15113</v>
      </c>
      <c r="AO57" s="48">
        <v>1120</v>
      </c>
      <c r="AP57" s="48"/>
      <c r="AQ57" s="48"/>
      <c r="AR57" s="59"/>
      <c r="AS57" s="59"/>
      <c r="AT57" s="48"/>
      <c r="AU57" s="241">
        <f t="shared" si="13"/>
        <v>1120</v>
      </c>
      <c r="AV57" s="59"/>
      <c r="AW57" s="48"/>
      <c r="AX57" s="48">
        <v>0</v>
      </c>
      <c r="AY57" s="48"/>
      <c r="AZ57" s="48"/>
      <c r="BA57" s="48"/>
      <c r="BB57" s="59">
        <v>0</v>
      </c>
      <c r="BC57" s="59">
        <v>0</v>
      </c>
      <c r="BD57" s="151">
        <f>SUM(AV57:BC57)</f>
        <v>0</v>
      </c>
      <c r="BE57" s="150"/>
      <c r="BF57" s="150"/>
      <c r="BG57" s="150"/>
      <c r="BH57" s="151">
        <f>BE57+BF57+BG57</f>
        <v>0</v>
      </c>
      <c r="BI57" s="152">
        <f>+BD57+AN57+AU57+BH57</f>
        <v>16233</v>
      </c>
    </row>
    <row r="58" spans="1:61" ht="15.75">
      <c r="A58" s="295" t="s">
        <v>323</v>
      </c>
      <c r="B58" s="182" t="s">
        <v>212</v>
      </c>
      <c r="C58" s="312" t="s">
        <v>324</v>
      </c>
      <c r="D58" s="312"/>
      <c r="E58" s="312">
        <f>E56+E57</f>
        <v>68</v>
      </c>
      <c r="F58" s="312">
        <f aca="true" t="shared" si="23" ref="F58:AU58">F56+F57</f>
        <v>0</v>
      </c>
      <c r="G58" s="312">
        <f t="shared" si="23"/>
        <v>0</v>
      </c>
      <c r="H58" s="312">
        <f t="shared" si="23"/>
        <v>405</v>
      </c>
      <c r="I58" s="312">
        <f t="shared" si="23"/>
        <v>55</v>
      </c>
      <c r="J58" s="312">
        <f t="shared" si="23"/>
        <v>0</v>
      </c>
      <c r="K58" s="312">
        <f t="shared" si="23"/>
        <v>35</v>
      </c>
      <c r="L58" s="312">
        <f t="shared" si="23"/>
        <v>0</v>
      </c>
      <c r="M58" s="312">
        <f t="shared" si="23"/>
        <v>0</v>
      </c>
      <c r="N58" s="312">
        <f t="shared" si="23"/>
        <v>0</v>
      </c>
      <c r="O58" s="312">
        <f t="shared" si="23"/>
        <v>0</v>
      </c>
      <c r="P58" s="312">
        <f t="shared" si="23"/>
        <v>66</v>
      </c>
      <c r="Q58" s="312">
        <f t="shared" si="23"/>
        <v>0</v>
      </c>
      <c r="R58" s="312">
        <f t="shared" si="23"/>
        <v>0</v>
      </c>
      <c r="S58" s="312">
        <f t="shared" si="23"/>
        <v>27</v>
      </c>
      <c r="T58" s="312">
        <f t="shared" si="23"/>
        <v>350</v>
      </c>
      <c r="U58" s="312">
        <f t="shared" si="23"/>
        <v>2079</v>
      </c>
      <c r="V58" s="312">
        <f t="shared" si="23"/>
        <v>4312</v>
      </c>
      <c r="W58" s="312">
        <f t="shared" si="23"/>
        <v>0</v>
      </c>
      <c r="X58" s="312">
        <f t="shared" si="23"/>
        <v>0</v>
      </c>
      <c r="Y58" s="312">
        <f t="shared" si="23"/>
        <v>135</v>
      </c>
      <c r="Z58" s="312">
        <f t="shared" si="23"/>
        <v>0</v>
      </c>
      <c r="AA58" s="312">
        <f t="shared" si="23"/>
        <v>186</v>
      </c>
      <c r="AB58" s="312">
        <f t="shared" si="23"/>
        <v>0</v>
      </c>
      <c r="AC58" s="312">
        <f t="shared" si="23"/>
        <v>365</v>
      </c>
      <c r="AD58" s="312"/>
      <c r="AE58" s="312">
        <f t="shared" si="23"/>
        <v>93</v>
      </c>
      <c r="AF58" s="312">
        <f t="shared" si="23"/>
        <v>221</v>
      </c>
      <c r="AG58" s="374">
        <f t="shared" si="23"/>
        <v>4966</v>
      </c>
      <c r="AH58" s="374">
        <f t="shared" si="23"/>
        <v>2610</v>
      </c>
      <c r="AI58" s="374">
        <f t="shared" si="23"/>
        <v>0</v>
      </c>
      <c r="AJ58" s="374">
        <f t="shared" si="23"/>
        <v>810</v>
      </c>
      <c r="AK58" s="368">
        <f t="shared" si="23"/>
        <v>3443</v>
      </c>
      <c r="AL58" s="360">
        <f t="shared" si="23"/>
        <v>710</v>
      </c>
      <c r="AM58" s="312">
        <f t="shared" si="23"/>
        <v>0</v>
      </c>
      <c r="AN58" s="312">
        <f t="shared" si="23"/>
        <v>20936</v>
      </c>
      <c r="AO58" s="377">
        <f t="shared" si="23"/>
        <v>1120</v>
      </c>
      <c r="AP58" s="377">
        <f t="shared" si="23"/>
        <v>0</v>
      </c>
      <c r="AQ58" s="377">
        <f t="shared" si="23"/>
        <v>0</v>
      </c>
      <c r="AR58" s="377">
        <f t="shared" si="23"/>
        <v>0</v>
      </c>
      <c r="AS58" s="377">
        <f t="shared" si="23"/>
        <v>0</v>
      </c>
      <c r="AT58" s="377">
        <f t="shared" si="23"/>
        <v>0</v>
      </c>
      <c r="AU58" s="377">
        <f t="shared" si="23"/>
        <v>1120</v>
      </c>
      <c r="AV58" s="48"/>
      <c r="AW58" s="48"/>
      <c r="AX58" s="48"/>
      <c r="AY58" s="48"/>
      <c r="AZ58" s="48"/>
      <c r="BA58" s="48"/>
      <c r="BB58" s="59">
        <v>0</v>
      </c>
      <c r="BC58" s="59">
        <v>0</v>
      </c>
      <c r="BD58" s="151">
        <f>SUM(AV58:BC58)</f>
        <v>0</v>
      </c>
      <c r="BE58" s="150"/>
      <c r="BF58" s="150"/>
      <c r="BG58" s="150"/>
      <c r="BH58" s="151">
        <f>BE58+BF58+BG58</f>
        <v>0</v>
      </c>
      <c r="BI58" s="152">
        <f>+BD58+AN58+AU58+BH58</f>
        <v>22056</v>
      </c>
    </row>
    <row r="59" spans="1:61" ht="15.75">
      <c r="A59" s="191" t="s">
        <v>328</v>
      </c>
      <c r="B59" s="182"/>
      <c r="C59" s="196" t="s">
        <v>325</v>
      </c>
      <c r="D59" s="196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26">
        <v>500</v>
      </c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74"/>
      <c r="AH59" s="374"/>
      <c r="AI59" s="374"/>
      <c r="AJ59" s="374"/>
      <c r="AK59" s="368"/>
      <c r="AL59" s="360"/>
      <c r="AM59" s="312"/>
      <c r="AN59" s="312">
        <f t="shared" si="8"/>
        <v>500</v>
      </c>
      <c r="AO59" s="48"/>
      <c r="AP59" s="48"/>
      <c r="AQ59" s="48"/>
      <c r="AR59" s="59"/>
      <c r="AS59" s="59"/>
      <c r="AT59" s="48"/>
      <c r="AU59" s="241">
        <f t="shared" si="13"/>
        <v>0</v>
      </c>
      <c r="AV59" s="48"/>
      <c r="AW59" s="48"/>
      <c r="AX59" s="48"/>
      <c r="AY59" s="48"/>
      <c r="AZ59" s="48"/>
      <c r="BA59" s="48"/>
      <c r="BB59" s="59"/>
      <c r="BC59" s="59"/>
      <c r="BD59" s="151"/>
      <c r="BE59" s="150"/>
      <c r="BF59" s="150"/>
      <c r="BG59" s="150"/>
      <c r="BH59" s="151"/>
      <c r="BI59" s="152"/>
    </row>
    <row r="60" spans="1:61" ht="31.5">
      <c r="A60" s="191" t="s">
        <v>329</v>
      </c>
      <c r="B60" s="182"/>
      <c r="C60" s="196" t="s">
        <v>326</v>
      </c>
      <c r="D60" s="196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74"/>
      <c r="AH60" s="374"/>
      <c r="AI60" s="374"/>
      <c r="AJ60" s="374"/>
      <c r="AK60" s="368"/>
      <c r="AL60" s="360"/>
      <c r="AM60" s="312"/>
      <c r="AN60" s="312">
        <f t="shared" si="8"/>
        <v>0</v>
      </c>
      <c r="AO60" s="48"/>
      <c r="AP60" s="48"/>
      <c r="AQ60" s="48"/>
      <c r="AR60" s="59"/>
      <c r="AS60" s="59"/>
      <c r="AT60" s="48"/>
      <c r="AU60" s="241">
        <f t="shared" si="13"/>
        <v>0</v>
      </c>
      <c r="AV60" s="48"/>
      <c r="AW60" s="48"/>
      <c r="AX60" s="48"/>
      <c r="AY60" s="48"/>
      <c r="AZ60" s="48"/>
      <c r="BA60" s="48"/>
      <c r="BB60" s="59"/>
      <c r="BC60" s="59"/>
      <c r="BD60" s="151"/>
      <c r="BE60" s="150"/>
      <c r="BF60" s="150"/>
      <c r="BG60" s="150"/>
      <c r="BH60" s="151"/>
      <c r="BI60" s="152"/>
    </row>
    <row r="61" spans="1:61" ht="15.75">
      <c r="A61" s="191" t="s">
        <v>330</v>
      </c>
      <c r="B61" s="182"/>
      <c r="C61" s="196" t="s">
        <v>327</v>
      </c>
      <c r="D61" s="196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74"/>
      <c r="AH61" s="374"/>
      <c r="AI61" s="374"/>
      <c r="AJ61" s="374"/>
      <c r="AK61" s="368"/>
      <c r="AL61" s="360"/>
      <c r="AM61" s="312"/>
      <c r="AN61" s="312">
        <f t="shared" si="8"/>
        <v>0</v>
      </c>
      <c r="AO61" s="48"/>
      <c r="AP61" s="48"/>
      <c r="AQ61" s="48"/>
      <c r="AR61" s="59"/>
      <c r="AS61" s="59"/>
      <c r="AT61" s="48"/>
      <c r="AU61" s="241">
        <f t="shared" si="13"/>
        <v>0</v>
      </c>
      <c r="AV61" s="48"/>
      <c r="AW61" s="48"/>
      <c r="AX61" s="48"/>
      <c r="AY61" s="48"/>
      <c r="AZ61" s="48"/>
      <c r="BA61" s="48"/>
      <c r="BB61" s="59"/>
      <c r="BC61" s="59"/>
      <c r="BD61" s="151"/>
      <c r="BE61" s="150"/>
      <c r="BF61" s="150"/>
      <c r="BG61" s="150"/>
      <c r="BH61" s="151"/>
      <c r="BI61" s="152"/>
    </row>
    <row r="62" spans="1:61" ht="15.75">
      <c r="A62" s="295" t="s">
        <v>331</v>
      </c>
      <c r="B62" s="287" t="s">
        <v>1151</v>
      </c>
      <c r="C62" s="312" t="s">
        <v>332</v>
      </c>
      <c r="D62" s="312"/>
      <c r="E62" s="310">
        <f>SUM(E59:E61)</f>
        <v>0</v>
      </c>
      <c r="F62" s="310">
        <f aca="true" t="shared" si="24" ref="F62:AU62">SUM(F59:F61)</f>
        <v>0</v>
      </c>
      <c r="G62" s="310">
        <f t="shared" si="24"/>
        <v>0</v>
      </c>
      <c r="H62" s="310">
        <f t="shared" si="24"/>
        <v>0</v>
      </c>
      <c r="I62" s="310">
        <f t="shared" si="24"/>
        <v>0</v>
      </c>
      <c r="J62" s="310">
        <f t="shared" si="24"/>
        <v>0</v>
      </c>
      <c r="K62" s="310">
        <f t="shared" si="24"/>
        <v>0</v>
      </c>
      <c r="L62" s="310">
        <f t="shared" si="24"/>
        <v>0</v>
      </c>
      <c r="M62" s="310">
        <f t="shared" si="24"/>
        <v>0</v>
      </c>
      <c r="N62" s="310">
        <f t="shared" si="24"/>
        <v>0</v>
      </c>
      <c r="O62" s="310">
        <f t="shared" si="24"/>
        <v>0</v>
      </c>
      <c r="P62" s="310">
        <f t="shared" si="24"/>
        <v>0</v>
      </c>
      <c r="Q62" s="310">
        <f t="shared" si="24"/>
        <v>0</v>
      </c>
      <c r="R62" s="310">
        <f t="shared" si="24"/>
        <v>0</v>
      </c>
      <c r="S62" s="310">
        <f t="shared" si="24"/>
        <v>500</v>
      </c>
      <c r="T62" s="310">
        <f t="shared" si="24"/>
        <v>0</v>
      </c>
      <c r="U62" s="310">
        <f t="shared" si="24"/>
        <v>0</v>
      </c>
      <c r="V62" s="310">
        <f t="shared" si="24"/>
        <v>0</v>
      </c>
      <c r="W62" s="310">
        <f t="shared" si="24"/>
        <v>0</v>
      </c>
      <c r="X62" s="310">
        <f t="shared" si="24"/>
        <v>0</v>
      </c>
      <c r="Y62" s="310">
        <f t="shared" si="24"/>
        <v>0</v>
      </c>
      <c r="Z62" s="310">
        <f t="shared" si="24"/>
        <v>0</v>
      </c>
      <c r="AA62" s="310">
        <f t="shared" si="24"/>
        <v>0</v>
      </c>
      <c r="AB62" s="310">
        <f t="shared" si="24"/>
        <v>0</v>
      </c>
      <c r="AC62" s="310">
        <f t="shared" si="24"/>
        <v>0</v>
      </c>
      <c r="AD62" s="310"/>
      <c r="AE62" s="310">
        <f t="shared" si="24"/>
        <v>0</v>
      </c>
      <c r="AF62" s="310">
        <f t="shared" si="24"/>
        <v>0</v>
      </c>
      <c r="AG62" s="375">
        <f t="shared" si="24"/>
        <v>0</v>
      </c>
      <c r="AH62" s="375">
        <f t="shared" si="24"/>
        <v>0</v>
      </c>
      <c r="AI62" s="375">
        <f t="shared" si="24"/>
        <v>0</v>
      </c>
      <c r="AJ62" s="375">
        <f t="shared" si="24"/>
        <v>0</v>
      </c>
      <c r="AK62" s="369">
        <f t="shared" si="24"/>
        <v>0</v>
      </c>
      <c r="AL62" s="361">
        <f t="shared" si="24"/>
        <v>0</v>
      </c>
      <c r="AM62" s="310">
        <f t="shared" si="24"/>
        <v>0</v>
      </c>
      <c r="AN62" s="310">
        <f t="shared" si="24"/>
        <v>500</v>
      </c>
      <c r="AO62" s="48">
        <f t="shared" si="24"/>
        <v>0</v>
      </c>
      <c r="AP62" s="48">
        <f t="shared" si="24"/>
        <v>0</v>
      </c>
      <c r="AQ62" s="48">
        <f t="shared" si="24"/>
        <v>0</v>
      </c>
      <c r="AR62" s="48">
        <f t="shared" si="24"/>
        <v>0</v>
      </c>
      <c r="AS62" s="48">
        <f t="shared" si="24"/>
        <v>0</v>
      </c>
      <c r="AT62" s="48">
        <f t="shared" si="24"/>
        <v>0</v>
      </c>
      <c r="AU62" s="48">
        <f t="shared" si="24"/>
        <v>0</v>
      </c>
      <c r="AV62" s="48">
        <f aca="true" t="shared" si="25" ref="AV62:BC62">SUM(AV56:AV58)</f>
        <v>650</v>
      </c>
      <c r="AW62" s="48">
        <f t="shared" si="25"/>
        <v>11</v>
      </c>
      <c r="AX62" s="48">
        <f t="shared" si="25"/>
        <v>930</v>
      </c>
      <c r="AY62" s="48">
        <f t="shared" si="25"/>
        <v>4</v>
      </c>
      <c r="AZ62" s="48">
        <f t="shared" si="25"/>
        <v>15</v>
      </c>
      <c r="BA62" s="48">
        <f t="shared" si="25"/>
        <v>6</v>
      </c>
      <c r="BB62" s="48">
        <f t="shared" si="25"/>
        <v>15</v>
      </c>
      <c r="BC62" s="48">
        <f t="shared" si="25"/>
        <v>500</v>
      </c>
      <c r="BD62" s="247">
        <f aca="true" t="shared" si="26" ref="BD62:BD69">SUM(AV62:BC62)</f>
        <v>2131</v>
      </c>
      <c r="BE62" s="151">
        <f>SUM(BE56:BE58)</f>
        <v>1060</v>
      </c>
      <c r="BF62" s="151">
        <f>SUM(BF56:BF58)</f>
        <v>655</v>
      </c>
      <c r="BG62" s="151">
        <f>SUM(BG56:BG58)</f>
        <v>200</v>
      </c>
      <c r="BH62" s="151">
        <f aca="true" t="shared" si="27" ref="BH62:BH69">BE62+BF62+BG62</f>
        <v>1915</v>
      </c>
      <c r="BI62" s="152">
        <f aca="true" t="shared" si="28" ref="BI62:BI69">+BD62+AN62+AU62+BH62</f>
        <v>4546</v>
      </c>
    </row>
    <row r="63" spans="1:61" ht="15.75">
      <c r="A63" s="191" t="s">
        <v>338</v>
      </c>
      <c r="B63" s="182" t="s">
        <v>1152</v>
      </c>
      <c r="C63" s="196" t="s">
        <v>333</v>
      </c>
      <c r="D63" s="196"/>
      <c r="E63" s="196"/>
      <c r="F63" s="196"/>
      <c r="G63" s="196"/>
      <c r="H63" s="339">
        <v>0</v>
      </c>
      <c r="I63" s="339">
        <v>0</v>
      </c>
      <c r="J63" s="339"/>
      <c r="K63" s="339"/>
      <c r="L63" s="339"/>
      <c r="M63" s="339"/>
      <c r="N63" s="339"/>
      <c r="O63" s="339"/>
      <c r="P63" s="339"/>
      <c r="Q63" s="339"/>
      <c r="R63" s="206">
        <v>0</v>
      </c>
      <c r="S63" s="206"/>
      <c r="T63" s="206"/>
      <c r="U63" s="189">
        <v>0</v>
      </c>
      <c r="V63" s="189"/>
      <c r="W63" s="294"/>
      <c r="X63" s="294"/>
      <c r="Y63" s="189"/>
      <c r="Z63" s="189"/>
      <c r="AA63" s="189"/>
      <c r="AB63" s="189"/>
      <c r="AC63" s="189"/>
      <c r="AD63" s="189"/>
      <c r="AE63" s="189"/>
      <c r="AF63" s="189"/>
      <c r="AG63" s="340"/>
      <c r="AH63" s="340"/>
      <c r="AI63" s="340"/>
      <c r="AJ63" s="340"/>
      <c r="AK63" s="367"/>
      <c r="AL63" s="359"/>
      <c r="AM63" s="189"/>
      <c r="AN63" s="186">
        <f t="shared" si="8"/>
        <v>0</v>
      </c>
      <c r="AO63" s="48"/>
      <c r="AP63" s="48"/>
      <c r="AQ63" s="48"/>
      <c r="AR63" s="59"/>
      <c r="AS63" s="59"/>
      <c r="AT63" s="48"/>
      <c r="AU63" s="241">
        <f t="shared" si="13"/>
        <v>0</v>
      </c>
      <c r="AV63" s="48"/>
      <c r="AW63" s="48"/>
      <c r="AX63" s="48"/>
      <c r="AY63" s="48"/>
      <c r="AZ63" s="48"/>
      <c r="BA63" s="48"/>
      <c r="BB63" s="59">
        <v>0</v>
      </c>
      <c r="BC63" s="59">
        <v>0</v>
      </c>
      <c r="BD63" s="151">
        <f t="shared" si="26"/>
        <v>0</v>
      </c>
      <c r="BE63" s="150"/>
      <c r="BF63" s="150">
        <v>20</v>
      </c>
      <c r="BG63" s="150"/>
      <c r="BH63" s="151">
        <f t="shared" si="27"/>
        <v>20</v>
      </c>
      <c r="BI63" s="152">
        <f t="shared" si="28"/>
        <v>20</v>
      </c>
    </row>
    <row r="64" spans="1:61" ht="15.75">
      <c r="A64" s="191" t="s">
        <v>339</v>
      </c>
      <c r="B64" s="182" t="s">
        <v>1153</v>
      </c>
      <c r="C64" s="309" t="s">
        <v>334</v>
      </c>
      <c r="D64" s="309"/>
      <c r="E64" s="309"/>
      <c r="F64" s="309"/>
      <c r="G64" s="309"/>
      <c r="H64" s="339">
        <v>0</v>
      </c>
      <c r="I64" s="339">
        <v>0</v>
      </c>
      <c r="J64" s="339"/>
      <c r="K64" s="339"/>
      <c r="L64" s="339"/>
      <c r="M64" s="339"/>
      <c r="N64" s="339"/>
      <c r="O64" s="339"/>
      <c r="P64" s="339"/>
      <c r="Q64" s="339"/>
      <c r="R64" s="206">
        <v>0</v>
      </c>
      <c r="S64" s="206"/>
      <c r="T64" s="206"/>
      <c r="U64" s="189">
        <v>0</v>
      </c>
      <c r="V64" s="189"/>
      <c r="W64" s="294"/>
      <c r="X64" s="294"/>
      <c r="Y64" s="189"/>
      <c r="Z64" s="189"/>
      <c r="AA64" s="189"/>
      <c r="AB64" s="189"/>
      <c r="AC64" s="189"/>
      <c r="AD64" s="189"/>
      <c r="AE64" s="189"/>
      <c r="AF64" s="189"/>
      <c r="AG64" s="340"/>
      <c r="AH64" s="340"/>
      <c r="AI64" s="340"/>
      <c r="AJ64" s="340"/>
      <c r="AK64" s="367"/>
      <c r="AL64" s="359"/>
      <c r="AM64" s="189"/>
      <c r="AN64" s="186">
        <f t="shared" si="8"/>
        <v>0</v>
      </c>
      <c r="AO64" s="48"/>
      <c r="AP64" s="48"/>
      <c r="AQ64" s="48"/>
      <c r="AR64" s="59"/>
      <c r="AS64" s="59"/>
      <c r="AT64" s="48"/>
      <c r="AU64" s="241">
        <f aca="true" t="shared" si="29" ref="AU64:AU78">SUM(AO64:AT64)</f>
        <v>0</v>
      </c>
      <c r="AV64" s="48"/>
      <c r="AW64" s="48"/>
      <c r="AX64" s="48"/>
      <c r="AY64" s="48"/>
      <c r="AZ64" s="48"/>
      <c r="BA64" s="48"/>
      <c r="BB64" s="59">
        <v>0</v>
      </c>
      <c r="BC64" s="59">
        <v>0</v>
      </c>
      <c r="BD64" s="151">
        <f t="shared" si="26"/>
        <v>0</v>
      </c>
      <c r="BE64" s="150"/>
      <c r="BF64" s="150"/>
      <c r="BG64" s="150"/>
      <c r="BH64" s="151">
        <f t="shared" si="27"/>
        <v>0</v>
      </c>
      <c r="BI64" s="152">
        <f t="shared" si="28"/>
        <v>0</v>
      </c>
    </row>
    <row r="65" spans="1:61" ht="15.75">
      <c r="A65" s="191" t="s">
        <v>340</v>
      </c>
      <c r="B65" s="182" t="s">
        <v>1154</v>
      </c>
      <c r="C65" s="196" t="s">
        <v>335</v>
      </c>
      <c r="D65" s="196"/>
      <c r="E65" s="196"/>
      <c r="F65" s="196"/>
      <c r="G65" s="196"/>
      <c r="H65" s="339">
        <v>0</v>
      </c>
      <c r="I65" s="339">
        <v>0</v>
      </c>
      <c r="J65" s="339"/>
      <c r="K65" s="339"/>
      <c r="L65" s="339"/>
      <c r="M65" s="339"/>
      <c r="N65" s="339"/>
      <c r="O65" s="339"/>
      <c r="P65" s="339"/>
      <c r="Q65" s="339"/>
      <c r="R65" s="350"/>
      <c r="S65" s="206"/>
      <c r="T65" s="206"/>
      <c r="U65" s="189">
        <v>0</v>
      </c>
      <c r="V65" s="189"/>
      <c r="W65" s="294"/>
      <c r="X65" s="294"/>
      <c r="Y65" s="189"/>
      <c r="Z65" s="189"/>
      <c r="AA65" s="189"/>
      <c r="AB65" s="189"/>
      <c r="AC65" s="189"/>
      <c r="AD65" s="189"/>
      <c r="AE65" s="189"/>
      <c r="AF65" s="189"/>
      <c r="AG65" s="340"/>
      <c r="AH65" s="340"/>
      <c r="AI65" s="340"/>
      <c r="AJ65" s="340"/>
      <c r="AK65" s="367"/>
      <c r="AL65" s="359"/>
      <c r="AM65" s="189"/>
      <c r="AN65" s="186">
        <f t="shared" si="8"/>
        <v>0</v>
      </c>
      <c r="AO65" s="48"/>
      <c r="AP65" s="48"/>
      <c r="AQ65" s="48"/>
      <c r="AR65" s="59"/>
      <c r="AS65" s="59"/>
      <c r="AT65" s="48"/>
      <c r="AU65" s="241">
        <f t="shared" si="29"/>
        <v>0</v>
      </c>
      <c r="AV65" s="48"/>
      <c r="AW65" s="48"/>
      <c r="AX65" s="59">
        <v>1500</v>
      </c>
      <c r="AY65" s="48"/>
      <c r="AZ65" s="48">
        <v>140</v>
      </c>
      <c r="BA65" s="48"/>
      <c r="BB65" s="59">
        <v>0</v>
      </c>
      <c r="BC65" s="59"/>
      <c r="BD65" s="151">
        <f t="shared" si="26"/>
        <v>1640</v>
      </c>
      <c r="BE65" s="150"/>
      <c r="BF65" s="150">
        <v>10</v>
      </c>
      <c r="BG65" s="150"/>
      <c r="BH65" s="151">
        <f t="shared" si="27"/>
        <v>10</v>
      </c>
      <c r="BI65" s="152">
        <f t="shared" si="28"/>
        <v>1650</v>
      </c>
    </row>
    <row r="66" spans="1:61" ht="15.75">
      <c r="A66" s="191" t="s">
        <v>341</v>
      </c>
      <c r="B66" s="182" t="s">
        <v>1155</v>
      </c>
      <c r="C66" s="196" t="s">
        <v>336</v>
      </c>
      <c r="D66" s="196"/>
      <c r="E66" s="196"/>
      <c r="F66" s="196"/>
      <c r="G66" s="196"/>
      <c r="H66" s="339">
        <v>0</v>
      </c>
      <c r="I66" s="339"/>
      <c r="J66" s="339"/>
      <c r="K66" s="339"/>
      <c r="L66" s="339"/>
      <c r="M66" s="339"/>
      <c r="N66" s="339"/>
      <c r="O66" s="339"/>
      <c r="P66" s="339"/>
      <c r="Q66" s="339"/>
      <c r="R66" s="350"/>
      <c r="S66" s="206"/>
      <c r="T66" s="206"/>
      <c r="U66" s="189">
        <v>0</v>
      </c>
      <c r="V66" s="189"/>
      <c r="W66" s="294"/>
      <c r="X66" s="294"/>
      <c r="Y66" s="189"/>
      <c r="Z66" s="189"/>
      <c r="AA66" s="189"/>
      <c r="AB66" s="189"/>
      <c r="AC66" s="189"/>
      <c r="AD66" s="189"/>
      <c r="AE66" s="189"/>
      <c r="AF66" s="189"/>
      <c r="AG66" s="340"/>
      <c r="AH66" s="340"/>
      <c r="AI66" s="340"/>
      <c r="AJ66" s="340"/>
      <c r="AK66" s="367"/>
      <c r="AL66" s="359"/>
      <c r="AM66" s="189"/>
      <c r="AN66" s="186">
        <f t="shared" si="8"/>
        <v>0</v>
      </c>
      <c r="AO66" s="48"/>
      <c r="AP66" s="48"/>
      <c r="AQ66" s="48"/>
      <c r="AR66" s="59"/>
      <c r="AS66" s="59"/>
      <c r="AT66" s="48"/>
      <c r="AU66" s="241">
        <f t="shared" si="29"/>
        <v>0</v>
      </c>
      <c r="AV66" s="48"/>
      <c r="AW66" s="48"/>
      <c r="AX66" s="48"/>
      <c r="AY66" s="48"/>
      <c r="AZ66" s="48"/>
      <c r="BA66" s="48"/>
      <c r="BB66" s="59">
        <v>0</v>
      </c>
      <c r="BC66" s="59">
        <v>220</v>
      </c>
      <c r="BD66" s="151">
        <f t="shared" si="26"/>
        <v>220</v>
      </c>
      <c r="BE66" s="150"/>
      <c r="BF66" s="150"/>
      <c r="BG66" s="150"/>
      <c r="BH66" s="151">
        <f t="shared" si="27"/>
        <v>0</v>
      </c>
      <c r="BI66" s="152">
        <f t="shared" si="28"/>
        <v>220</v>
      </c>
    </row>
    <row r="67" spans="1:61" ht="15.75">
      <c r="A67" s="191" t="s">
        <v>342</v>
      </c>
      <c r="B67" s="287" t="s">
        <v>1223</v>
      </c>
      <c r="C67" s="196" t="s">
        <v>337</v>
      </c>
      <c r="D67" s="196"/>
      <c r="E67" s="310"/>
      <c r="F67" s="310"/>
      <c r="G67" s="310"/>
      <c r="H67" s="186">
        <f>SUM(H63:H66)</f>
        <v>0</v>
      </c>
      <c r="I67" s="186">
        <f>SUM(I63:I66)</f>
        <v>0</v>
      </c>
      <c r="J67" s="186">
        <f>SUM(J63:J66)</f>
        <v>0</v>
      </c>
      <c r="K67" s="186">
        <f aca="true" t="shared" si="30" ref="K67:W67">SUM(K63:K66)</f>
        <v>0</v>
      </c>
      <c r="L67" s="186">
        <f t="shared" si="30"/>
        <v>0</v>
      </c>
      <c r="M67" s="186">
        <f t="shared" si="30"/>
        <v>0</v>
      </c>
      <c r="N67" s="186">
        <f t="shared" si="30"/>
        <v>0</v>
      </c>
      <c r="O67" s="186">
        <f t="shared" si="30"/>
        <v>0</v>
      </c>
      <c r="P67" s="186">
        <f t="shared" si="30"/>
        <v>0</v>
      </c>
      <c r="Q67" s="186">
        <f t="shared" si="30"/>
        <v>0</v>
      </c>
      <c r="R67" s="186">
        <f t="shared" si="30"/>
        <v>0</v>
      </c>
      <c r="S67" s="186">
        <f t="shared" si="30"/>
        <v>0</v>
      </c>
      <c r="T67" s="186">
        <f t="shared" si="30"/>
        <v>0</v>
      </c>
      <c r="U67" s="186">
        <f t="shared" si="30"/>
        <v>0</v>
      </c>
      <c r="V67" s="186">
        <f t="shared" si="30"/>
        <v>0</v>
      </c>
      <c r="W67" s="348">
        <f t="shared" si="30"/>
        <v>0</v>
      </c>
      <c r="X67" s="348"/>
      <c r="Y67" s="186"/>
      <c r="Z67" s="186"/>
      <c r="AA67" s="186"/>
      <c r="AB67" s="186"/>
      <c r="AC67" s="186"/>
      <c r="AD67" s="186"/>
      <c r="AE67" s="186"/>
      <c r="AF67" s="186"/>
      <c r="AG67" s="376">
        <f>SUM(AG63:AG66)</f>
        <v>0</v>
      </c>
      <c r="AH67" s="376"/>
      <c r="AI67" s="376">
        <f>SUM(AI63:AI66)</f>
        <v>0</v>
      </c>
      <c r="AJ67" s="376"/>
      <c r="AK67" s="372"/>
      <c r="AL67" s="364"/>
      <c r="AM67" s="186"/>
      <c r="AN67" s="186">
        <f t="shared" si="8"/>
        <v>0</v>
      </c>
      <c r="AO67" s="48"/>
      <c r="AP67" s="48"/>
      <c r="AQ67" s="48"/>
      <c r="AR67" s="59">
        <f>SUM(AR63:AR66)</f>
        <v>0</v>
      </c>
      <c r="AS67" s="59"/>
      <c r="AT67" s="48">
        <f>SUM(AT63:AT66)</f>
        <v>0</v>
      </c>
      <c r="AU67" s="248">
        <f t="shared" si="29"/>
        <v>0</v>
      </c>
      <c r="AV67" s="48">
        <f>SUM(AV63:AV66)</f>
        <v>0</v>
      </c>
      <c r="AW67" s="48"/>
      <c r="AX67" s="48">
        <f>SUM(AX63:AX66)</f>
        <v>1500</v>
      </c>
      <c r="AY67" s="48">
        <f>SUM(AY63:AY66)</f>
        <v>0</v>
      </c>
      <c r="AZ67" s="48">
        <f>SUM(AZ63:AZ66)</f>
        <v>140</v>
      </c>
      <c r="BA67" s="48"/>
      <c r="BB67" s="48">
        <f>SUM(BB63:BB66)</f>
        <v>0</v>
      </c>
      <c r="BC67" s="48">
        <f>SUM(BC63:BC66)</f>
        <v>220</v>
      </c>
      <c r="BD67" s="247">
        <f t="shared" si="26"/>
        <v>1860</v>
      </c>
      <c r="BE67" s="151">
        <f>SUM(BE63:BE66)</f>
        <v>0</v>
      </c>
      <c r="BF67" s="151">
        <f>SUM(BF63:BF66)</f>
        <v>30</v>
      </c>
      <c r="BG67" s="151">
        <f>SUM(BG63:BG66)</f>
        <v>0</v>
      </c>
      <c r="BH67" s="151">
        <f t="shared" si="27"/>
        <v>30</v>
      </c>
      <c r="BI67" s="152">
        <f t="shared" si="28"/>
        <v>1890</v>
      </c>
    </row>
    <row r="68" spans="1:61" ht="15.75">
      <c r="A68" s="295" t="s">
        <v>343</v>
      </c>
      <c r="B68" s="182" t="s">
        <v>1224</v>
      </c>
      <c r="C68" s="312" t="s">
        <v>344</v>
      </c>
      <c r="D68" s="312"/>
      <c r="E68" s="312">
        <f aca="true" t="shared" si="31" ref="E68:AU68">SUM(E63:E67)</f>
        <v>0</v>
      </c>
      <c r="F68" s="312">
        <f t="shared" si="31"/>
        <v>0</v>
      </c>
      <c r="G68" s="312">
        <f t="shared" si="31"/>
        <v>0</v>
      </c>
      <c r="H68" s="312">
        <f t="shared" si="31"/>
        <v>0</v>
      </c>
      <c r="I68" s="312">
        <f t="shared" si="31"/>
        <v>0</v>
      </c>
      <c r="J68" s="312">
        <f t="shared" si="31"/>
        <v>0</v>
      </c>
      <c r="K68" s="312">
        <f t="shared" si="31"/>
        <v>0</v>
      </c>
      <c r="L68" s="312">
        <f t="shared" si="31"/>
        <v>0</v>
      </c>
      <c r="M68" s="312">
        <f t="shared" si="31"/>
        <v>0</v>
      </c>
      <c r="N68" s="312">
        <f t="shared" si="31"/>
        <v>0</v>
      </c>
      <c r="O68" s="312">
        <f t="shared" si="31"/>
        <v>0</v>
      </c>
      <c r="P68" s="312">
        <f t="shared" si="31"/>
        <v>0</v>
      </c>
      <c r="Q68" s="312">
        <f t="shared" si="31"/>
        <v>0</v>
      </c>
      <c r="R68" s="312">
        <f t="shared" si="31"/>
        <v>0</v>
      </c>
      <c r="S68" s="312">
        <f t="shared" si="31"/>
        <v>0</v>
      </c>
      <c r="T68" s="312">
        <f t="shared" si="31"/>
        <v>0</v>
      </c>
      <c r="U68" s="312">
        <f t="shared" si="31"/>
        <v>0</v>
      </c>
      <c r="V68" s="312">
        <f t="shared" si="31"/>
        <v>0</v>
      </c>
      <c r="W68" s="312">
        <f t="shared" si="31"/>
        <v>0</v>
      </c>
      <c r="X68" s="312">
        <f t="shared" si="31"/>
        <v>0</v>
      </c>
      <c r="Y68" s="312">
        <f t="shared" si="31"/>
        <v>0</v>
      </c>
      <c r="Z68" s="312">
        <f t="shared" si="31"/>
        <v>0</v>
      </c>
      <c r="AA68" s="312">
        <f t="shared" si="31"/>
        <v>0</v>
      </c>
      <c r="AB68" s="312">
        <f t="shared" si="31"/>
        <v>0</v>
      </c>
      <c r="AC68" s="312">
        <f t="shared" si="31"/>
        <v>0</v>
      </c>
      <c r="AD68" s="312"/>
      <c r="AE68" s="312">
        <f t="shared" si="31"/>
        <v>0</v>
      </c>
      <c r="AF68" s="312">
        <f t="shared" si="31"/>
        <v>0</v>
      </c>
      <c r="AG68" s="374">
        <f t="shared" si="31"/>
        <v>0</v>
      </c>
      <c r="AH68" s="374">
        <f t="shared" si="31"/>
        <v>0</v>
      </c>
      <c r="AI68" s="374">
        <f t="shared" si="31"/>
        <v>0</v>
      </c>
      <c r="AJ68" s="374">
        <f t="shared" si="31"/>
        <v>0</v>
      </c>
      <c r="AK68" s="368">
        <f t="shared" si="31"/>
        <v>0</v>
      </c>
      <c r="AL68" s="360">
        <f t="shared" si="31"/>
        <v>0</v>
      </c>
      <c r="AM68" s="312">
        <f t="shared" si="31"/>
        <v>0</v>
      </c>
      <c r="AN68" s="312">
        <f t="shared" si="31"/>
        <v>0</v>
      </c>
      <c r="AO68" s="377">
        <f t="shared" si="31"/>
        <v>0</v>
      </c>
      <c r="AP68" s="377">
        <f t="shared" si="31"/>
        <v>0</v>
      </c>
      <c r="AQ68" s="377">
        <f t="shared" si="31"/>
        <v>0</v>
      </c>
      <c r="AR68" s="377">
        <f t="shared" si="31"/>
        <v>0</v>
      </c>
      <c r="AS68" s="377">
        <f t="shared" si="31"/>
        <v>0</v>
      </c>
      <c r="AT68" s="377">
        <f t="shared" si="31"/>
        <v>0</v>
      </c>
      <c r="AU68" s="377">
        <f t="shared" si="31"/>
        <v>0</v>
      </c>
      <c r="AV68" s="48"/>
      <c r="AW68" s="48"/>
      <c r="AX68" s="48"/>
      <c r="AY68" s="48"/>
      <c r="AZ68" s="48"/>
      <c r="BA68" s="48"/>
      <c r="BB68" s="59">
        <v>0</v>
      </c>
      <c r="BC68" s="48">
        <v>100</v>
      </c>
      <c r="BD68" s="247">
        <f t="shared" si="26"/>
        <v>100</v>
      </c>
      <c r="BE68" s="151"/>
      <c r="BF68" s="151"/>
      <c r="BG68" s="151"/>
      <c r="BH68" s="151">
        <f t="shared" si="27"/>
        <v>0</v>
      </c>
      <c r="BI68" s="152">
        <f t="shared" si="28"/>
        <v>100</v>
      </c>
    </row>
    <row r="69" spans="1:61" ht="15.75">
      <c r="A69" s="191" t="s">
        <v>346</v>
      </c>
      <c r="B69" s="182" t="s">
        <v>1225</v>
      </c>
      <c r="C69" s="307" t="s">
        <v>345</v>
      </c>
      <c r="D69" s="307"/>
      <c r="E69" s="307"/>
      <c r="F69" s="307"/>
      <c r="G69" s="307"/>
      <c r="H69" s="351">
        <v>0</v>
      </c>
      <c r="I69" s="351">
        <v>0</v>
      </c>
      <c r="J69" s="351"/>
      <c r="K69" s="351"/>
      <c r="L69" s="351"/>
      <c r="M69" s="351"/>
      <c r="N69" s="351"/>
      <c r="O69" s="351"/>
      <c r="P69" s="351"/>
      <c r="Q69" s="351"/>
      <c r="R69" s="206">
        <v>0</v>
      </c>
      <c r="S69" s="206"/>
      <c r="T69" s="206"/>
      <c r="U69" s="189">
        <v>0</v>
      </c>
      <c r="V69" s="189"/>
      <c r="W69" s="294"/>
      <c r="X69" s="294"/>
      <c r="Y69" s="189"/>
      <c r="Z69" s="189"/>
      <c r="AA69" s="189"/>
      <c r="AB69" s="189"/>
      <c r="AC69" s="189"/>
      <c r="AD69" s="189"/>
      <c r="AE69" s="189"/>
      <c r="AF69" s="189"/>
      <c r="AG69" s="352"/>
      <c r="AH69" s="352"/>
      <c r="AI69" s="352"/>
      <c r="AJ69" s="352"/>
      <c r="AK69" s="373"/>
      <c r="AL69" s="365"/>
      <c r="AM69" s="189"/>
      <c r="AN69" s="186">
        <f t="shared" si="8"/>
        <v>0</v>
      </c>
      <c r="AO69" s="48"/>
      <c r="AP69" s="48"/>
      <c r="AQ69" s="48"/>
      <c r="AR69" s="59"/>
      <c r="AS69" s="59"/>
      <c r="AT69" s="48"/>
      <c r="AU69" s="248">
        <f t="shared" si="29"/>
        <v>0</v>
      </c>
      <c r="AV69" s="48"/>
      <c r="AW69" s="48"/>
      <c r="AX69" s="48">
        <v>200</v>
      </c>
      <c r="AY69" s="48"/>
      <c r="AZ69" s="48"/>
      <c r="BA69" s="48"/>
      <c r="BB69" s="59">
        <v>250</v>
      </c>
      <c r="BC69" s="59">
        <v>0</v>
      </c>
      <c r="BD69" s="247">
        <f t="shared" si="26"/>
        <v>450</v>
      </c>
      <c r="BE69" s="150"/>
      <c r="BF69" s="150"/>
      <c r="BG69" s="150"/>
      <c r="BH69" s="151">
        <f t="shared" si="27"/>
        <v>0</v>
      </c>
      <c r="BI69" s="152">
        <f t="shared" si="28"/>
        <v>450</v>
      </c>
    </row>
    <row r="70" spans="1:61" ht="15.75">
      <c r="A70" s="295" t="s">
        <v>348</v>
      </c>
      <c r="B70" s="182"/>
      <c r="C70" s="353" t="s">
        <v>347</v>
      </c>
      <c r="D70" s="353"/>
      <c r="E70" s="312">
        <f>E69</f>
        <v>0</v>
      </c>
      <c r="F70" s="312">
        <f aca="true" t="shared" si="32" ref="F70:AU70">F69</f>
        <v>0</v>
      </c>
      <c r="G70" s="312">
        <f t="shared" si="32"/>
        <v>0</v>
      </c>
      <c r="H70" s="312">
        <f t="shared" si="32"/>
        <v>0</v>
      </c>
      <c r="I70" s="312">
        <f t="shared" si="32"/>
        <v>0</v>
      </c>
      <c r="J70" s="312">
        <f t="shared" si="32"/>
        <v>0</v>
      </c>
      <c r="K70" s="312">
        <f t="shared" si="32"/>
        <v>0</v>
      </c>
      <c r="L70" s="312">
        <f t="shared" si="32"/>
        <v>0</v>
      </c>
      <c r="M70" s="312">
        <f t="shared" si="32"/>
        <v>0</v>
      </c>
      <c r="N70" s="312">
        <f t="shared" si="32"/>
        <v>0</v>
      </c>
      <c r="O70" s="312">
        <f t="shared" si="32"/>
        <v>0</v>
      </c>
      <c r="P70" s="312">
        <f t="shared" si="32"/>
        <v>0</v>
      </c>
      <c r="Q70" s="312">
        <f t="shared" si="32"/>
        <v>0</v>
      </c>
      <c r="R70" s="312">
        <f t="shared" si="32"/>
        <v>0</v>
      </c>
      <c r="S70" s="312">
        <f t="shared" si="32"/>
        <v>0</v>
      </c>
      <c r="T70" s="312">
        <f t="shared" si="32"/>
        <v>0</v>
      </c>
      <c r="U70" s="312">
        <f t="shared" si="32"/>
        <v>0</v>
      </c>
      <c r="V70" s="312">
        <f t="shared" si="32"/>
        <v>0</v>
      </c>
      <c r="W70" s="312">
        <f t="shared" si="32"/>
        <v>0</v>
      </c>
      <c r="X70" s="312">
        <f t="shared" si="32"/>
        <v>0</v>
      </c>
      <c r="Y70" s="312">
        <f t="shared" si="32"/>
        <v>0</v>
      </c>
      <c r="Z70" s="312">
        <f t="shared" si="32"/>
        <v>0</v>
      </c>
      <c r="AA70" s="312">
        <f t="shared" si="32"/>
        <v>0</v>
      </c>
      <c r="AB70" s="312">
        <f t="shared" si="32"/>
        <v>0</v>
      </c>
      <c r="AC70" s="312">
        <f t="shared" si="32"/>
        <v>0</v>
      </c>
      <c r="AD70" s="312"/>
      <c r="AE70" s="312">
        <f t="shared" si="32"/>
        <v>0</v>
      </c>
      <c r="AF70" s="312">
        <f t="shared" si="32"/>
        <v>0</v>
      </c>
      <c r="AG70" s="374">
        <f t="shared" si="32"/>
        <v>0</v>
      </c>
      <c r="AH70" s="374">
        <f t="shared" si="32"/>
        <v>0</v>
      </c>
      <c r="AI70" s="374">
        <f t="shared" si="32"/>
        <v>0</v>
      </c>
      <c r="AJ70" s="374">
        <f t="shared" si="32"/>
        <v>0</v>
      </c>
      <c r="AK70" s="368">
        <f t="shared" si="32"/>
        <v>0</v>
      </c>
      <c r="AL70" s="360">
        <f t="shared" si="32"/>
        <v>0</v>
      </c>
      <c r="AM70" s="312">
        <f t="shared" si="32"/>
        <v>0</v>
      </c>
      <c r="AN70" s="312">
        <f t="shared" si="32"/>
        <v>0</v>
      </c>
      <c r="AO70" s="377">
        <f t="shared" si="32"/>
        <v>0</v>
      </c>
      <c r="AP70" s="377">
        <f t="shared" si="32"/>
        <v>0</v>
      </c>
      <c r="AQ70" s="377">
        <f t="shared" si="32"/>
        <v>0</v>
      </c>
      <c r="AR70" s="377">
        <f t="shared" si="32"/>
        <v>0</v>
      </c>
      <c r="AS70" s="377">
        <f t="shared" si="32"/>
        <v>0</v>
      </c>
      <c r="AT70" s="377">
        <f t="shared" si="32"/>
        <v>0</v>
      </c>
      <c r="AU70" s="377">
        <f t="shared" si="32"/>
        <v>0</v>
      </c>
      <c r="AV70" s="48"/>
      <c r="AW70" s="48"/>
      <c r="AX70" s="48"/>
      <c r="AY70" s="48"/>
      <c r="AZ70" s="48"/>
      <c r="BA70" s="48"/>
      <c r="BB70" s="59"/>
      <c r="BC70" s="59"/>
      <c r="BD70" s="247"/>
      <c r="BE70" s="150"/>
      <c r="BF70" s="150"/>
      <c r="BG70" s="150"/>
      <c r="BH70" s="151"/>
      <c r="BI70" s="152"/>
    </row>
    <row r="71" spans="1:61" ht="15.75">
      <c r="A71" s="191" t="s">
        <v>357</v>
      </c>
      <c r="B71" s="182"/>
      <c r="C71" s="307" t="s">
        <v>349</v>
      </c>
      <c r="D71" s="307" t="s">
        <v>1498</v>
      </c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>
        <v>528</v>
      </c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74"/>
      <c r="AH71" s="374"/>
      <c r="AI71" s="374"/>
      <c r="AJ71" s="374"/>
      <c r="AK71" s="368"/>
      <c r="AL71" s="360"/>
      <c r="AM71" s="312"/>
      <c r="AN71" s="312">
        <f t="shared" si="8"/>
        <v>528</v>
      </c>
      <c r="AO71" s="48"/>
      <c r="AP71" s="48"/>
      <c r="AQ71" s="48"/>
      <c r="AR71" s="59"/>
      <c r="AS71" s="59"/>
      <c r="AT71" s="48"/>
      <c r="AU71" s="248">
        <f t="shared" si="29"/>
        <v>0</v>
      </c>
      <c r="AV71" s="48"/>
      <c r="AW71" s="48"/>
      <c r="AX71" s="48"/>
      <c r="AY71" s="48"/>
      <c r="AZ71" s="48"/>
      <c r="BA71" s="48"/>
      <c r="BB71" s="59"/>
      <c r="BC71" s="59"/>
      <c r="BD71" s="247"/>
      <c r="BE71" s="150"/>
      <c r="BF71" s="150"/>
      <c r="BG71" s="150"/>
      <c r="BH71" s="151"/>
      <c r="BI71" s="152"/>
    </row>
    <row r="72" spans="1:61" ht="78.75">
      <c r="A72" s="191" t="s">
        <v>358</v>
      </c>
      <c r="B72" s="182"/>
      <c r="C72" s="307" t="s">
        <v>350</v>
      </c>
      <c r="D72" s="307" t="s">
        <v>1505</v>
      </c>
      <c r="E72" s="312"/>
      <c r="F72" s="312"/>
      <c r="G72" s="312"/>
      <c r="H72" s="312"/>
      <c r="I72" s="312"/>
      <c r="J72" s="312"/>
      <c r="K72" s="312"/>
      <c r="L72" s="312">
        <v>150</v>
      </c>
      <c r="M72" s="312"/>
      <c r="N72" s="312"/>
      <c r="O72" s="312"/>
      <c r="P72" s="312"/>
      <c r="Q72" s="312"/>
      <c r="R72" s="312">
        <f>100+250</f>
        <v>350</v>
      </c>
      <c r="S72" s="312">
        <v>20</v>
      </c>
      <c r="T72" s="312"/>
      <c r="U72" s="312"/>
      <c r="V72" s="312">
        <v>250</v>
      </c>
      <c r="W72" s="312"/>
      <c r="X72" s="312"/>
      <c r="Y72" s="312"/>
      <c r="Z72" s="312">
        <v>1200</v>
      </c>
      <c r="AA72" s="312"/>
      <c r="AB72" s="312"/>
      <c r="AC72" s="312"/>
      <c r="AD72" s="312"/>
      <c r="AE72" s="312"/>
      <c r="AF72" s="312"/>
      <c r="AG72" s="374"/>
      <c r="AH72" s="374">
        <v>60</v>
      </c>
      <c r="AI72" s="374"/>
      <c r="AJ72" s="374"/>
      <c r="AK72" s="368"/>
      <c r="AL72" s="360"/>
      <c r="AM72" s="312"/>
      <c r="AN72" s="312">
        <f t="shared" si="8"/>
        <v>2030</v>
      </c>
      <c r="AO72" s="48"/>
      <c r="AP72" s="48"/>
      <c r="AQ72" s="48"/>
      <c r="AR72" s="59"/>
      <c r="AS72" s="59"/>
      <c r="AT72" s="48"/>
      <c r="AU72" s="248">
        <f t="shared" si="29"/>
        <v>0</v>
      </c>
      <c r="AV72" s="48"/>
      <c r="AW72" s="48"/>
      <c r="AX72" s="48"/>
      <c r="AY72" s="48"/>
      <c r="AZ72" s="48"/>
      <c r="BA72" s="48"/>
      <c r="BB72" s="59"/>
      <c r="BC72" s="59"/>
      <c r="BD72" s="247"/>
      <c r="BE72" s="150"/>
      <c r="BF72" s="150"/>
      <c r="BG72" s="150"/>
      <c r="BH72" s="151"/>
      <c r="BI72" s="152"/>
    </row>
    <row r="73" spans="1:61" ht="15.75">
      <c r="A73" s="191" t="s">
        <v>359</v>
      </c>
      <c r="B73" s="182"/>
      <c r="C73" s="307" t="s">
        <v>351</v>
      </c>
      <c r="D73" s="307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74"/>
      <c r="AH73" s="374"/>
      <c r="AI73" s="374"/>
      <c r="AJ73" s="374"/>
      <c r="AK73" s="368"/>
      <c r="AL73" s="360"/>
      <c r="AM73" s="312"/>
      <c r="AN73" s="312">
        <f t="shared" si="8"/>
        <v>0</v>
      </c>
      <c r="AO73" s="48"/>
      <c r="AP73" s="48"/>
      <c r="AQ73" s="48"/>
      <c r="AR73" s="59"/>
      <c r="AS73" s="59"/>
      <c r="AT73" s="48"/>
      <c r="AU73" s="248">
        <f t="shared" si="29"/>
        <v>0</v>
      </c>
      <c r="AV73" s="48"/>
      <c r="AW73" s="48"/>
      <c r="AX73" s="48"/>
      <c r="AY73" s="48"/>
      <c r="AZ73" s="48"/>
      <c r="BA73" s="48"/>
      <c r="BB73" s="59"/>
      <c r="BC73" s="59"/>
      <c r="BD73" s="247"/>
      <c r="BE73" s="150"/>
      <c r="BF73" s="150"/>
      <c r="BG73" s="150"/>
      <c r="BH73" s="151"/>
      <c r="BI73" s="152"/>
    </row>
    <row r="74" spans="1:61" ht="15.75">
      <c r="A74" s="191" t="s">
        <v>360</v>
      </c>
      <c r="B74" s="182"/>
      <c r="C74" s="307" t="s">
        <v>352</v>
      </c>
      <c r="D74" s="307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74"/>
      <c r="AH74" s="374"/>
      <c r="AI74" s="374"/>
      <c r="AJ74" s="374"/>
      <c r="AK74" s="368"/>
      <c r="AL74" s="360"/>
      <c r="AM74" s="312"/>
      <c r="AN74" s="312">
        <f t="shared" si="8"/>
        <v>0</v>
      </c>
      <c r="AO74" s="48"/>
      <c r="AP74" s="48"/>
      <c r="AQ74" s="48"/>
      <c r="AR74" s="59"/>
      <c r="AS74" s="59"/>
      <c r="AT74" s="48"/>
      <c r="AU74" s="248">
        <f t="shared" si="29"/>
        <v>0</v>
      </c>
      <c r="AV74" s="48"/>
      <c r="AW74" s="48"/>
      <c r="AX74" s="48"/>
      <c r="AY74" s="48"/>
      <c r="AZ74" s="48"/>
      <c r="BA74" s="48"/>
      <c r="BB74" s="59"/>
      <c r="BC74" s="59"/>
      <c r="BD74" s="247"/>
      <c r="BE74" s="150"/>
      <c r="BF74" s="150"/>
      <c r="BG74" s="150"/>
      <c r="BH74" s="151"/>
      <c r="BI74" s="152"/>
    </row>
    <row r="75" spans="1:61" ht="15.75">
      <c r="A75" s="191" t="s">
        <v>361</v>
      </c>
      <c r="B75" s="182"/>
      <c r="C75" s="307" t="s">
        <v>353</v>
      </c>
      <c r="D75" s="307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74"/>
      <c r="AH75" s="374"/>
      <c r="AI75" s="374"/>
      <c r="AJ75" s="374"/>
      <c r="AK75" s="368"/>
      <c r="AL75" s="360"/>
      <c r="AM75" s="312"/>
      <c r="AN75" s="312">
        <f t="shared" si="8"/>
        <v>0</v>
      </c>
      <c r="AO75" s="48"/>
      <c r="AP75" s="48"/>
      <c r="AQ75" s="48"/>
      <c r="AR75" s="59"/>
      <c r="AS75" s="59"/>
      <c r="AT75" s="48"/>
      <c r="AU75" s="248">
        <f t="shared" si="29"/>
        <v>0</v>
      </c>
      <c r="AV75" s="48"/>
      <c r="AW75" s="48"/>
      <c r="AX75" s="48"/>
      <c r="AY75" s="48"/>
      <c r="AZ75" s="48"/>
      <c r="BA75" s="48"/>
      <c r="BB75" s="59"/>
      <c r="BC75" s="59"/>
      <c r="BD75" s="247"/>
      <c r="BE75" s="150"/>
      <c r="BF75" s="150"/>
      <c r="BG75" s="150"/>
      <c r="BH75" s="151"/>
      <c r="BI75" s="152"/>
    </row>
    <row r="76" spans="1:61" ht="15.75">
      <c r="A76" s="191" t="s">
        <v>362</v>
      </c>
      <c r="B76" s="182"/>
      <c r="C76" s="307" t="s">
        <v>354</v>
      </c>
      <c r="D76" s="307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74"/>
      <c r="AH76" s="374"/>
      <c r="AI76" s="374"/>
      <c r="AJ76" s="374"/>
      <c r="AK76" s="368"/>
      <c r="AL76" s="360"/>
      <c r="AM76" s="312"/>
      <c r="AN76" s="312">
        <f t="shared" si="8"/>
        <v>0</v>
      </c>
      <c r="AO76" s="48"/>
      <c r="AP76" s="48"/>
      <c r="AQ76" s="48"/>
      <c r="AR76" s="59"/>
      <c r="AS76" s="59"/>
      <c r="AT76" s="48"/>
      <c r="AU76" s="248">
        <f t="shared" si="29"/>
        <v>0</v>
      </c>
      <c r="AV76" s="48"/>
      <c r="AW76" s="48"/>
      <c r="AX76" s="48"/>
      <c r="AY76" s="48"/>
      <c r="AZ76" s="48"/>
      <c r="BA76" s="48"/>
      <c r="BB76" s="59"/>
      <c r="BC76" s="59"/>
      <c r="BD76" s="247"/>
      <c r="BE76" s="150"/>
      <c r="BF76" s="150"/>
      <c r="BG76" s="150"/>
      <c r="BH76" s="151"/>
      <c r="BI76" s="152"/>
    </row>
    <row r="77" spans="1:61" ht="15.75">
      <c r="A77" s="191" t="s">
        <v>363</v>
      </c>
      <c r="B77" s="182"/>
      <c r="C77" s="307" t="s">
        <v>355</v>
      </c>
      <c r="D77" s="307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74"/>
      <c r="AH77" s="374"/>
      <c r="AI77" s="374"/>
      <c r="AJ77" s="374"/>
      <c r="AK77" s="368"/>
      <c r="AL77" s="360"/>
      <c r="AM77" s="312"/>
      <c r="AN77" s="312">
        <f t="shared" si="8"/>
        <v>0</v>
      </c>
      <c r="AO77" s="48"/>
      <c r="AP77" s="48"/>
      <c r="AQ77" s="48"/>
      <c r="AR77" s="59"/>
      <c r="AS77" s="59"/>
      <c r="AT77" s="48"/>
      <c r="AU77" s="248">
        <f t="shared" si="29"/>
        <v>0</v>
      </c>
      <c r="AV77" s="48"/>
      <c r="AW77" s="48"/>
      <c r="AX77" s="48"/>
      <c r="AY77" s="48"/>
      <c r="AZ77" s="48"/>
      <c r="BA77" s="48"/>
      <c r="BB77" s="59"/>
      <c r="BC77" s="59"/>
      <c r="BD77" s="247"/>
      <c r="BE77" s="150"/>
      <c r="BF77" s="150"/>
      <c r="BG77" s="150"/>
      <c r="BH77" s="151"/>
      <c r="BI77" s="152"/>
    </row>
    <row r="78" spans="1:61" ht="15.75">
      <c r="A78" s="191" t="s">
        <v>364</v>
      </c>
      <c r="B78" s="182"/>
      <c r="C78" s="307" t="s">
        <v>356</v>
      </c>
      <c r="D78" s="307" t="s">
        <v>1427</v>
      </c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74"/>
      <c r="AH78" s="374"/>
      <c r="AI78" s="374"/>
      <c r="AJ78" s="374"/>
      <c r="AK78" s="368"/>
      <c r="AL78" s="360"/>
      <c r="AM78" s="312"/>
      <c r="AN78" s="312">
        <f t="shared" si="8"/>
        <v>0</v>
      </c>
      <c r="AO78" s="48"/>
      <c r="AP78" s="48"/>
      <c r="AQ78" s="48"/>
      <c r="AR78" s="59"/>
      <c r="AS78" s="59"/>
      <c r="AT78" s="48"/>
      <c r="AU78" s="248">
        <f t="shared" si="29"/>
        <v>0</v>
      </c>
      <c r="AV78" s="48"/>
      <c r="AW78" s="48"/>
      <c r="AX78" s="48"/>
      <c r="AY78" s="48"/>
      <c r="AZ78" s="48"/>
      <c r="BA78" s="48"/>
      <c r="BB78" s="59"/>
      <c r="BC78" s="59"/>
      <c r="BD78" s="247"/>
      <c r="BE78" s="150"/>
      <c r="BF78" s="150"/>
      <c r="BG78" s="150"/>
      <c r="BH78" s="151"/>
      <c r="BI78" s="152"/>
    </row>
    <row r="79" spans="1:61" ht="15.75">
      <c r="A79" s="295" t="s">
        <v>365</v>
      </c>
      <c r="B79" s="182"/>
      <c r="C79" s="353" t="s">
        <v>366</v>
      </c>
      <c r="D79" s="353"/>
      <c r="E79" s="312">
        <f>SUM(E71:E78)</f>
        <v>0</v>
      </c>
      <c r="F79" s="312">
        <f aca="true" t="shared" si="33" ref="F79:AU79">SUM(F71:F78)</f>
        <v>0</v>
      </c>
      <c r="G79" s="312">
        <f t="shared" si="33"/>
        <v>0</v>
      </c>
      <c r="H79" s="312">
        <f t="shared" si="33"/>
        <v>0</v>
      </c>
      <c r="I79" s="312">
        <f t="shared" si="33"/>
        <v>0</v>
      </c>
      <c r="J79" s="312">
        <f t="shared" si="33"/>
        <v>0</v>
      </c>
      <c r="K79" s="312">
        <f t="shared" si="33"/>
        <v>0</v>
      </c>
      <c r="L79" s="312">
        <f t="shared" si="33"/>
        <v>150</v>
      </c>
      <c r="M79" s="312">
        <f t="shared" si="33"/>
        <v>0</v>
      </c>
      <c r="N79" s="312">
        <f t="shared" si="33"/>
        <v>0</v>
      </c>
      <c r="O79" s="312">
        <f t="shared" si="33"/>
        <v>0</v>
      </c>
      <c r="P79" s="312">
        <f t="shared" si="33"/>
        <v>0</v>
      </c>
      <c r="Q79" s="312">
        <f t="shared" si="33"/>
        <v>0</v>
      </c>
      <c r="R79" s="312">
        <f t="shared" si="33"/>
        <v>350</v>
      </c>
      <c r="S79" s="312">
        <f t="shared" si="33"/>
        <v>548</v>
      </c>
      <c r="T79" s="312">
        <f t="shared" si="33"/>
        <v>0</v>
      </c>
      <c r="U79" s="312">
        <f t="shared" si="33"/>
        <v>0</v>
      </c>
      <c r="V79" s="312">
        <f t="shared" si="33"/>
        <v>250</v>
      </c>
      <c r="W79" s="312">
        <f t="shared" si="33"/>
        <v>0</v>
      </c>
      <c r="X79" s="312">
        <f t="shared" si="33"/>
        <v>0</v>
      </c>
      <c r="Y79" s="312">
        <f t="shared" si="33"/>
        <v>0</v>
      </c>
      <c r="Z79" s="312">
        <f t="shared" si="33"/>
        <v>1200</v>
      </c>
      <c r="AA79" s="312">
        <f t="shared" si="33"/>
        <v>0</v>
      </c>
      <c r="AB79" s="312">
        <f t="shared" si="33"/>
        <v>0</v>
      </c>
      <c r="AC79" s="312">
        <f t="shared" si="33"/>
        <v>0</v>
      </c>
      <c r="AD79" s="312"/>
      <c r="AE79" s="312">
        <f t="shared" si="33"/>
        <v>0</v>
      </c>
      <c r="AF79" s="312">
        <f t="shared" si="33"/>
        <v>0</v>
      </c>
      <c r="AG79" s="374">
        <f t="shared" si="33"/>
        <v>0</v>
      </c>
      <c r="AH79" s="374">
        <f t="shared" si="33"/>
        <v>60</v>
      </c>
      <c r="AI79" s="374">
        <f t="shared" si="33"/>
        <v>0</v>
      </c>
      <c r="AJ79" s="374">
        <f t="shared" si="33"/>
        <v>0</v>
      </c>
      <c r="AK79" s="368">
        <f t="shared" si="33"/>
        <v>0</v>
      </c>
      <c r="AL79" s="360">
        <f t="shared" si="33"/>
        <v>0</v>
      </c>
      <c r="AM79" s="312">
        <f t="shared" si="33"/>
        <v>0</v>
      </c>
      <c r="AN79" s="312">
        <f t="shared" si="33"/>
        <v>2558</v>
      </c>
      <c r="AO79" s="377">
        <f t="shared" si="33"/>
        <v>0</v>
      </c>
      <c r="AP79" s="377">
        <f t="shared" si="33"/>
        <v>0</v>
      </c>
      <c r="AQ79" s="377">
        <f t="shared" si="33"/>
        <v>0</v>
      </c>
      <c r="AR79" s="377">
        <f t="shared" si="33"/>
        <v>0</v>
      </c>
      <c r="AS79" s="377">
        <f t="shared" si="33"/>
        <v>0</v>
      </c>
      <c r="AT79" s="377">
        <f t="shared" si="33"/>
        <v>0</v>
      </c>
      <c r="AU79" s="377">
        <f t="shared" si="33"/>
        <v>0</v>
      </c>
      <c r="AV79" s="48"/>
      <c r="AW79" s="48"/>
      <c r="AX79" s="48"/>
      <c r="AY79" s="48"/>
      <c r="AZ79" s="48"/>
      <c r="BA79" s="48"/>
      <c r="BB79" s="59"/>
      <c r="BC79" s="59"/>
      <c r="BD79" s="247"/>
      <c r="BE79" s="150"/>
      <c r="BF79" s="150"/>
      <c r="BG79" s="150"/>
      <c r="BH79" s="151"/>
      <c r="BI79" s="152"/>
    </row>
    <row r="80" spans="1:61" ht="15.75">
      <c r="A80" s="192" t="s">
        <v>367</v>
      </c>
      <c r="B80" s="182"/>
      <c r="C80" s="319" t="s">
        <v>368</v>
      </c>
      <c r="D80" s="319"/>
      <c r="E80" s="310">
        <f>E58+E62+E68+E70+E79</f>
        <v>68</v>
      </c>
      <c r="F80" s="310">
        <f aca="true" t="shared" si="34" ref="F80:AU80">F58+F62+F68+F70+F79</f>
        <v>0</v>
      </c>
      <c r="G80" s="310">
        <f t="shared" si="34"/>
        <v>0</v>
      </c>
      <c r="H80" s="310">
        <f t="shared" si="34"/>
        <v>405</v>
      </c>
      <c r="I80" s="310">
        <f t="shared" si="34"/>
        <v>55</v>
      </c>
      <c r="J80" s="310">
        <f t="shared" si="34"/>
        <v>0</v>
      </c>
      <c r="K80" s="310">
        <f t="shared" si="34"/>
        <v>35</v>
      </c>
      <c r="L80" s="310">
        <f t="shared" si="34"/>
        <v>150</v>
      </c>
      <c r="M80" s="310">
        <f t="shared" si="34"/>
        <v>0</v>
      </c>
      <c r="N80" s="310">
        <f t="shared" si="34"/>
        <v>0</v>
      </c>
      <c r="O80" s="310">
        <f t="shared" si="34"/>
        <v>0</v>
      </c>
      <c r="P80" s="310">
        <f t="shared" si="34"/>
        <v>66</v>
      </c>
      <c r="Q80" s="310">
        <f t="shared" si="34"/>
        <v>0</v>
      </c>
      <c r="R80" s="310">
        <f t="shared" si="34"/>
        <v>350</v>
      </c>
      <c r="S80" s="310">
        <f t="shared" si="34"/>
        <v>1075</v>
      </c>
      <c r="T80" s="310">
        <f t="shared" si="34"/>
        <v>350</v>
      </c>
      <c r="U80" s="310">
        <f t="shared" si="34"/>
        <v>2079</v>
      </c>
      <c r="V80" s="310">
        <f t="shared" si="34"/>
        <v>4562</v>
      </c>
      <c r="W80" s="310">
        <f t="shared" si="34"/>
        <v>0</v>
      </c>
      <c r="X80" s="310">
        <f t="shared" si="34"/>
        <v>0</v>
      </c>
      <c r="Y80" s="310">
        <f t="shared" si="34"/>
        <v>135</v>
      </c>
      <c r="Z80" s="310">
        <f t="shared" si="34"/>
        <v>1200</v>
      </c>
      <c r="AA80" s="310">
        <f t="shared" si="34"/>
        <v>186</v>
      </c>
      <c r="AB80" s="310">
        <f t="shared" si="34"/>
        <v>0</v>
      </c>
      <c r="AC80" s="310">
        <f t="shared" si="34"/>
        <v>365</v>
      </c>
      <c r="AD80" s="310"/>
      <c r="AE80" s="310">
        <f t="shared" si="34"/>
        <v>93</v>
      </c>
      <c r="AF80" s="310">
        <f t="shared" si="34"/>
        <v>221</v>
      </c>
      <c r="AG80" s="375">
        <f t="shared" si="34"/>
        <v>4966</v>
      </c>
      <c r="AH80" s="375">
        <f t="shared" si="34"/>
        <v>2670</v>
      </c>
      <c r="AI80" s="375">
        <f t="shared" si="34"/>
        <v>0</v>
      </c>
      <c r="AJ80" s="375">
        <f t="shared" si="34"/>
        <v>810</v>
      </c>
      <c r="AK80" s="369">
        <f t="shared" si="34"/>
        <v>3443</v>
      </c>
      <c r="AL80" s="361">
        <f t="shared" si="34"/>
        <v>710</v>
      </c>
      <c r="AM80" s="310">
        <f t="shared" si="34"/>
        <v>0</v>
      </c>
      <c r="AN80" s="310">
        <f t="shared" si="34"/>
        <v>23994</v>
      </c>
      <c r="AO80" s="48">
        <f t="shared" si="34"/>
        <v>1120</v>
      </c>
      <c r="AP80" s="48">
        <f t="shared" si="34"/>
        <v>0</v>
      </c>
      <c r="AQ80" s="48">
        <f t="shared" si="34"/>
        <v>0</v>
      </c>
      <c r="AR80" s="48">
        <f t="shared" si="34"/>
        <v>0</v>
      </c>
      <c r="AS80" s="48">
        <f t="shared" si="34"/>
        <v>0</v>
      </c>
      <c r="AT80" s="48">
        <f t="shared" si="34"/>
        <v>0</v>
      </c>
      <c r="AU80" s="48">
        <f t="shared" si="34"/>
        <v>1120</v>
      </c>
      <c r="AV80" s="48"/>
      <c r="AW80" s="48"/>
      <c r="AX80" s="48"/>
      <c r="AY80" s="48"/>
      <c r="AZ80" s="48"/>
      <c r="BA80" s="48"/>
      <c r="BB80" s="59"/>
      <c r="BC80" s="59"/>
      <c r="BD80" s="247"/>
      <c r="BE80" s="150"/>
      <c r="BF80" s="150"/>
      <c r="BG80" s="150"/>
      <c r="BH80" s="151"/>
      <c r="BI80" s="152"/>
    </row>
    <row r="81" spans="1:61" ht="15.75">
      <c r="A81" s="192" t="s">
        <v>369</v>
      </c>
      <c r="B81" s="287" t="s">
        <v>600</v>
      </c>
      <c r="C81" s="310" t="s">
        <v>370</v>
      </c>
      <c r="D81" s="310"/>
      <c r="E81" s="310">
        <f>E20+E30+E51+E55+E80</f>
        <v>318</v>
      </c>
      <c r="F81" s="310">
        <f aca="true" t="shared" si="35" ref="F81:AU81">F20+F30+F51+F55+F80</f>
        <v>0</v>
      </c>
      <c r="G81" s="310">
        <f t="shared" si="35"/>
        <v>0</v>
      </c>
      <c r="H81" s="310">
        <f t="shared" si="35"/>
        <v>1905</v>
      </c>
      <c r="I81" s="310">
        <f t="shared" si="35"/>
        <v>1155</v>
      </c>
      <c r="J81" s="310">
        <f t="shared" si="35"/>
        <v>360</v>
      </c>
      <c r="K81" s="310">
        <f t="shared" si="35"/>
        <v>160</v>
      </c>
      <c r="L81" s="310">
        <f t="shared" si="35"/>
        <v>150</v>
      </c>
      <c r="M81" s="310">
        <f t="shared" si="35"/>
        <v>0</v>
      </c>
      <c r="N81" s="310">
        <f t="shared" si="35"/>
        <v>0</v>
      </c>
      <c r="O81" s="310">
        <f t="shared" si="35"/>
        <v>0</v>
      </c>
      <c r="P81" s="310">
        <f t="shared" si="35"/>
        <v>311</v>
      </c>
      <c r="Q81" s="310">
        <f t="shared" si="35"/>
        <v>0</v>
      </c>
      <c r="R81" s="310">
        <f t="shared" si="35"/>
        <v>1010</v>
      </c>
      <c r="S81" s="310">
        <f t="shared" si="35"/>
        <v>1175</v>
      </c>
      <c r="T81" s="310">
        <f t="shared" si="35"/>
        <v>1600</v>
      </c>
      <c r="U81" s="310">
        <f t="shared" si="35"/>
        <v>9779</v>
      </c>
      <c r="V81" s="310">
        <f t="shared" si="35"/>
        <v>22007</v>
      </c>
      <c r="W81" s="310">
        <f t="shared" si="35"/>
        <v>0</v>
      </c>
      <c r="X81" s="310">
        <f t="shared" si="35"/>
        <v>0</v>
      </c>
      <c r="Y81" s="310">
        <f t="shared" si="35"/>
        <v>635</v>
      </c>
      <c r="Z81" s="310">
        <f t="shared" si="35"/>
        <v>1200</v>
      </c>
      <c r="AA81" s="310">
        <f t="shared" si="35"/>
        <v>876</v>
      </c>
      <c r="AB81" s="310">
        <f t="shared" si="35"/>
        <v>60</v>
      </c>
      <c r="AC81" s="310">
        <f t="shared" si="35"/>
        <v>1715</v>
      </c>
      <c r="AD81" s="310"/>
      <c r="AE81" s="310">
        <f t="shared" si="35"/>
        <v>438</v>
      </c>
      <c r="AF81" s="310">
        <f t="shared" si="35"/>
        <v>1041</v>
      </c>
      <c r="AG81" s="375">
        <f t="shared" si="35"/>
        <v>23358</v>
      </c>
      <c r="AH81" s="375">
        <f t="shared" si="35"/>
        <v>12334</v>
      </c>
      <c r="AI81" s="375">
        <f t="shared" si="35"/>
        <v>0</v>
      </c>
      <c r="AJ81" s="375">
        <f t="shared" si="35"/>
        <v>3810</v>
      </c>
      <c r="AK81" s="369">
        <f t="shared" si="35"/>
        <v>16198</v>
      </c>
      <c r="AL81" s="361">
        <f t="shared" si="35"/>
        <v>3339</v>
      </c>
      <c r="AM81" s="310">
        <f t="shared" si="35"/>
        <v>0</v>
      </c>
      <c r="AN81" s="310">
        <f t="shared" si="35"/>
        <v>105279</v>
      </c>
      <c r="AO81" s="48">
        <f t="shared" si="35"/>
        <v>5270</v>
      </c>
      <c r="AP81" s="48">
        <f t="shared" si="35"/>
        <v>0</v>
      </c>
      <c r="AQ81" s="48">
        <f t="shared" si="35"/>
        <v>0</v>
      </c>
      <c r="AR81" s="48">
        <f t="shared" si="35"/>
        <v>3910</v>
      </c>
      <c r="AS81" s="48">
        <f t="shared" si="35"/>
        <v>50</v>
      </c>
      <c r="AT81" s="48">
        <f t="shared" si="35"/>
        <v>0</v>
      </c>
      <c r="AU81" s="48">
        <f t="shared" si="35"/>
        <v>9230</v>
      </c>
      <c r="AV81" s="48">
        <f>+AV19+AV29+AV51+AV52+AV62+AV67+AV69+AV68</f>
        <v>3000</v>
      </c>
      <c r="AW81" s="48">
        <f>+AW19+AW29+AW51+AW52+AW62+AW67+AW69</f>
        <v>51</v>
      </c>
      <c r="AX81" s="48">
        <f>+AX19+AX29+AX51+AX52+AX62+AX67+AX69+AX68</f>
        <v>3070</v>
      </c>
      <c r="AY81" s="48">
        <f>+AY19+AY29+AY51+AY52+AY62+AY67+AY69+AY68</f>
        <v>4</v>
      </c>
      <c r="AZ81" s="48">
        <f>+AZ19+AZ29+AZ51+AZ52+AZ62+AZ67+AZ69</f>
        <v>455</v>
      </c>
      <c r="BA81" s="48">
        <f>+BA19+BA29+BA51+BA52+BA62+BA67+BA69+BA68</f>
        <v>126</v>
      </c>
      <c r="BB81" s="48">
        <f>+BB19+BB29+BB51+BB52+BB62+BB67+BB69+BB68</f>
        <v>275</v>
      </c>
      <c r="BC81" s="48">
        <f>+BC19+BC29+BC51+BC52+BC62+BC67+BC69+BC68</f>
        <v>1740</v>
      </c>
      <c r="BD81" s="247">
        <f>SUM(AV81:BC81)</f>
        <v>8721</v>
      </c>
      <c r="BE81" s="151">
        <f>+BE19+BE29+BE51+BE52+BE62+BE67+BE69+BE68</f>
        <v>1060</v>
      </c>
      <c r="BF81" s="151">
        <f>+BF19+BF29+BF51+BF52+BF62+BF67+BF69+BF68</f>
        <v>2740</v>
      </c>
      <c r="BG81" s="151">
        <f>+BG19+BG29+BG51+BG52+BG62+BG67+BG69+BG68</f>
        <v>265</v>
      </c>
      <c r="BH81" s="151">
        <f>BE81+BF81+BG81</f>
        <v>4065</v>
      </c>
      <c r="BI81" s="152">
        <f>+BD81+AN81+AU81+BH81</f>
        <v>127295</v>
      </c>
    </row>
  </sheetData>
  <mergeCells count="9">
    <mergeCell ref="A2:A4"/>
    <mergeCell ref="B2:B3"/>
    <mergeCell ref="C2:D3"/>
    <mergeCell ref="H2:AN2"/>
    <mergeCell ref="C4:D4"/>
    <mergeCell ref="AO2:AU2"/>
    <mergeCell ref="AV2:BD2"/>
    <mergeCell ref="BE2:BH2"/>
    <mergeCell ref="BI2:BI3"/>
  </mergeCells>
  <printOptions/>
  <pageMargins left="0.75" right="0.75" top="1" bottom="1" header="0.5" footer="0.5"/>
  <pageSetup orientation="portrait" paperSize="9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5"/>
  <sheetViews>
    <sheetView workbookViewId="0" topLeftCell="A1">
      <selection activeCell="F18" sqref="F18"/>
    </sheetView>
  </sheetViews>
  <sheetFormatPr defaultColWidth="9.140625" defaultRowHeight="12.75"/>
  <cols>
    <col min="1" max="1" width="4.7109375" style="44" customWidth="1"/>
    <col min="2" max="2" width="65.140625" style="63" customWidth="1"/>
    <col min="3" max="3" width="12.7109375" style="41" customWidth="1"/>
    <col min="4" max="8" width="12.7109375" style="59" customWidth="1"/>
    <col min="9" max="9" width="11.421875" style="61" customWidth="1"/>
    <col min="10" max="16384" width="9.140625" style="61" customWidth="1"/>
  </cols>
  <sheetData>
    <row r="2" spans="3:9" ht="63">
      <c r="C2" s="199" t="s">
        <v>1001</v>
      </c>
      <c r="D2" s="199" t="s">
        <v>1003</v>
      </c>
      <c r="E2" s="238" t="s">
        <v>1162</v>
      </c>
      <c r="F2" s="199" t="s">
        <v>1029</v>
      </c>
      <c r="G2" s="199" t="s">
        <v>986</v>
      </c>
      <c r="H2" s="199" t="s">
        <v>1004</v>
      </c>
      <c r="I2" s="61" t="s">
        <v>965</v>
      </c>
    </row>
    <row r="3" spans="1:24" ht="15.75">
      <c r="A3" s="44" t="s">
        <v>515</v>
      </c>
      <c r="B3" s="63" t="s">
        <v>775</v>
      </c>
      <c r="C3" s="59"/>
      <c r="I3" s="174">
        <f>SUM(C3:G3)</f>
        <v>0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5.75">
      <c r="A4" s="44" t="s">
        <v>531</v>
      </c>
      <c r="B4" s="63" t="s">
        <v>42</v>
      </c>
      <c r="C4" s="59"/>
      <c r="I4" s="174">
        <f aca="true" t="shared" si="0" ref="I4:I65">SUM(C4:G4)</f>
        <v>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143" customFormat="1" ht="15.75">
      <c r="A5" s="36" t="s">
        <v>546</v>
      </c>
      <c r="B5" s="50" t="s">
        <v>148</v>
      </c>
      <c r="C5" s="27">
        <f>SUM(C3:C4)</f>
        <v>0</v>
      </c>
      <c r="D5" s="27">
        <f>SUM(D3:D4)</f>
        <v>0</v>
      </c>
      <c r="E5" s="27"/>
      <c r="F5" s="27"/>
      <c r="G5" s="27">
        <f>SUM(G3:G4)</f>
        <v>0</v>
      </c>
      <c r="H5" s="27"/>
      <c r="I5" s="174">
        <f t="shared" si="0"/>
        <v>0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5.75">
      <c r="A6" s="44" t="s">
        <v>547</v>
      </c>
      <c r="B6" s="63" t="s">
        <v>776</v>
      </c>
      <c r="C6" s="59"/>
      <c r="I6" s="174">
        <f t="shared" si="0"/>
        <v>0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15.75">
      <c r="A7" s="44" t="s">
        <v>548</v>
      </c>
      <c r="B7" s="63" t="s">
        <v>43</v>
      </c>
      <c r="C7" s="59">
        <v>0</v>
      </c>
      <c r="F7" s="59">
        <v>500</v>
      </c>
      <c r="H7" s="59">
        <v>0</v>
      </c>
      <c r="I7" s="180">
        <f>SUM(C7:H7)</f>
        <v>500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s="143" customFormat="1" ht="15.75">
      <c r="A8" s="36" t="s">
        <v>549</v>
      </c>
      <c r="B8" s="50" t="s">
        <v>149</v>
      </c>
      <c r="C8" s="27">
        <f>SUM(C6:C7)</f>
        <v>0</v>
      </c>
      <c r="D8" s="27">
        <f>SUM(D6:D7)</f>
        <v>0</v>
      </c>
      <c r="E8" s="27"/>
      <c r="F8" s="27">
        <f>SUM(F6:F7)</f>
        <v>500</v>
      </c>
      <c r="G8" s="27">
        <f>SUM(G6:G7)</f>
        <v>0</v>
      </c>
      <c r="H8" s="27">
        <f>SUM(H6:H7)</f>
        <v>0</v>
      </c>
      <c r="I8" s="180">
        <f>SUM(C8:H8)</f>
        <v>500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5.75">
      <c r="A9" s="44" t="s">
        <v>551</v>
      </c>
      <c r="B9" s="63" t="s">
        <v>777</v>
      </c>
      <c r="C9" s="59"/>
      <c r="I9" s="180">
        <f t="shared" si="0"/>
        <v>0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ht="31.5">
      <c r="A10" s="44" t="s">
        <v>552</v>
      </c>
      <c r="B10" s="63" t="s">
        <v>44</v>
      </c>
      <c r="C10" s="59"/>
      <c r="I10" s="180">
        <f t="shared" si="0"/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s="143" customFormat="1" ht="31.5">
      <c r="A11" s="36" t="s">
        <v>553</v>
      </c>
      <c r="B11" s="50" t="s">
        <v>150</v>
      </c>
      <c r="C11" s="27">
        <f>SUM(C9:C10)</f>
        <v>0</v>
      </c>
      <c r="D11" s="27">
        <f>SUM(D9:D10)</f>
        <v>0</v>
      </c>
      <c r="E11" s="27"/>
      <c r="F11" s="27">
        <f>SUM(F9:F10)</f>
        <v>0</v>
      </c>
      <c r="G11" s="27">
        <f>SUM(G9:G10)</f>
        <v>0</v>
      </c>
      <c r="H11" s="27"/>
      <c r="I11" s="180">
        <f t="shared" si="0"/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s="143" customFormat="1" ht="15.75">
      <c r="A12" s="36" t="s">
        <v>555</v>
      </c>
      <c r="B12" s="50" t="s">
        <v>151</v>
      </c>
      <c r="C12" s="27">
        <f>+C5+C8+C11</f>
        <v>0</v>
      </c>
      <c r="D12" s="27">
        <f>+D5+D8+D11</f>
        <v>0</v>
      </c>
      <c r="E12" s="27"/>
      <c r="F12" s="27">
        <f>+F5+F8+F11</f>
        <v>500</v>
      </c>
      <c r="G12" s="27">
        <f>+G5+G8+G11</f>
        <v>0</v>
      </c>
      <c r="H12" s="27">
        <f>+H5+H8+H11</f>
        <v>0</v>
      </c>
      <c r="I12" s="180">
        <f>SUM(C12:H12)</f>
        <v>500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ht="15.75">
      <c r="A13" s="44" t="s">
        <v>557</v>
      </c>
      <c r="B13" s="63" t="s">
        <v>152</v>
      </c>
      <c r="C13" s="59">
        <v>0</v>
      </c>
      <c r="D13" s="59">
        <v>0</v>
      </c>
      <c r="G13" s="59">
        <v>0</v>
      </c>
      <c r="I13" s="180">
        <f t="shared" si="0"/>
        <v>0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5.75">
      <c r="A14" s="44" t="s">
        <v>374</v>
      </c>
      <c r="B14" s="63" t="s">
        <v>1035</v>
      </c>
      <c r="C14" s="59"/>
      <c r="D14" s="59">
        <v>4000</v>
      </c>
      <c r="G14" s="59">
        <v>0</v>
      </c>
      <c r="H14" s="59">
        <v>0</v>
      </c>
      <c r="I14" s="180">
        <f>SUM(C14:H14)</f>
        <v>4000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15.75">
      <c r="A15" s="44" t="s">
        <v>375</v>
      </c>
      <c r="B15" s="63" t="s">
        <v>153</v>
      </c>
      <c r="C15" s="59"/>
      <c r="D15" s="59">
        <v>2000</v>
      </c>
      <c r="G15" s="59">
        <v>0</v>
      </c>
      <c r="H15" s="176">
        <v>0</v>
      </c>
      <c r="I15" s="180">
        <f>SUM(C15:H15)</f>
        <v>2000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15.75">
      <c r="A16" s="44" t="s">
        <v>376</v>
      </c>
      <c r="B16" s="63" t="s">
        <v>1211</v>
      </c>
      <c r="C16" s="59">
        <v>0</v>
      </c>
      <c r="D16" s="59">
        <v>0</v>
      </c>
      <c r="G16" s="59">
        <v>0</v>
      </c>
      <c r="I16" s="180">
        <f>SUM(C16:H16)</f>
        <v>0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s="143" customFormat="1" ht="15.75">
      <c r="A17" s="36" t="s">
        <v>377</v>
      </c>
      <c r="B17" s="50" t="s">
        <v>154</v>
      </c>
      <c r="C17" s="27">
        <f>SUM(C13:C16)</f>
        <v>0</v>
      </c>
      <c r="D17" s="27">
        <f>SUM(D13:D16)</f>
        <v>6000</v>
      </c>
      <c r="E17" s="27"/>
      <c r="F17" s="27">
        <f>SUM(F13:F16)</f>
        <v>0</v>
      </c>
      <c r="G17" s="27">
        <f>SUM(G13:G16)</f>
        <v>0</v>
      </c>
      <c r="H17" s="27">
        <f>SUM(H13:H16)</f>
        <v>0</v>
      </c>
      <c r="I17" s="180">
        <f>SUM(C17:H17)</f>
        <v>6000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178" customFormat="1" ht="31.5">
      <c r="A18" s="175" t="s">
        <v>378</v>
      </c>
      <c r="B18" s="63" t="s">
        <v>875</v>
      </c>
      <c r="C18" s="176"/>
      <c r="D18" s="176"/>
      <c r="E18" s="176"/>
      <c r="F18" s="176"/>
      <c r="G18" s="176"/>
      <c r="H18" s="176"/>
      <c r="I18" s="180">
        <f t="shared" si="0"/>
        <v>0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ht="31.5">
      <c r="A19" s="44" t="s">
        <v>379</v>
      </c>
      <c r="B19" s="63" t="s">
        <v>155</v>
      </c>
      <c r="C19" s="59"/>
      <c r="D19" s="59">
        <v>0</v>
      </c>
      <c r="E19" s="59">
        <v>0</v>
      </c>
      <c r="G19" s="59">
        <v>0</v>
      </c>
      <c r="H19" s="59">
        <v>0</v>
      </c>
      <c r="I19" s="180">
        <f>SUM(C19:H19)</f>
        <v>0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15.75">
      <c r="A20" s="44" t="s">
        <v>380</v>
      </c>
      <c r="B20" s="63" t="s">
        <v>876</v>
      </c>
      <c r="C20" s="59">
        <v>0</v>
      </c>
      <c r="D20" s="59">
        <v>0</v>
      </c>
      <c r="G20" s="59">
        <v>0</v>
      </c>
      <c r="I20" s="180">
        <f t="shared" si="0"/>
        <v>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5.75">
      <c r="A21" s="44" t="s">
        <v>381</v>
      </c>
      <c r="B21" s="63" t="s">
        <v>779</v>
      </c>
      <c r="C21" s="59">
        <v>0</v>
      </c>
      <c r="D21" s="59">
        <v>0</v>
      </c>
      <c r="G21" s="59">
        <v>0</v>
      </c>
      <c r="I21" s="180">
        <f t="shared" si="0"/>
        <v>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4" ht="31.5">
      <c r="A22" s="44" t="s">
        <v>383</v>
      </c>
      <c r="B22" s="63" t="s">
        <v>156</v>
      </c>
      <c r="C22" s="59">
        <v>0</v>
      </c>
      <c r="D22" s="59">
        <v>0</v>
      </c>
      <c r="G22" s="59">
        <v>0</v>
      </c>
      <c r="I22" s="180">
        <f t="shared" si="0"/>
        <v>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5.75">
      <c r="A23" s="44" t="s">
        <v>384</v>
      </c>
      <c r="B23" s="63" t="s">
        <v>157</v>
      </c>
      <c r="C23" s="59">
        <v>0</v>
      </c>
      <c r="D23" s="59">
        <v>0</v>
      </c>
      <c r="G23" s="59">
        <v>0</v>
      </c>
      <c r="I23" s="180">
        <f t="shared" si="0"/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15.75">
      <c r="A24" s="44" t="s">
        <v>385</v>
      </c>
      <c r="B24" s="63" t="s">
        <v>158</v>
      </c>
      <c r="C24" s="59">
        <v>0</v>
      </c>
      <c r="D24" s="59">
        <v>0</v>
      </c>
      <c r="G24" s="59">
        <v>0</v>
      </c>
      <c r="I24" s="180">
        <f t="shared" si="0"/>
        <v>0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5.75">
      <c r="A25" s="44" t="s">
        <v>386</v>
      </c>
      <c r="B25" s="63" t="s">
        <v>159</v>
      </c>
      <c r="C25" s="59">
        <v>0</v>
      </c>
      <c r="D25" s="59">
        <v>0</v>
      </c>
      <c r="G25" s="59">
        <v>0</v>
      </c>
      <c r="I25" s="180">
        <f t="shared" si="0"/>
        <v>0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5.75">
      <c r="A26" s="44" t="s">
        <v>387</v>
      </c>
      <c r="B26" s="63" t="s">
        <v>160</v>
      </c>
      <c r="C26" s="59">
        <v>0</v>
      </c>
      <c r="D26" s="59">
        <v>0</v>
      </c>
      <c r="G26" s="59">
        <v>0</v>
      </c>
      <c r="I26" s="180">
        <f t="shared" si="0"/>
        <v>0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5.75">
      <c r="A27" s="44" t="s">
        <v>389</v>
      </c>
      <c r="B27" s="63" t="s">
        <v>161</v>
      </c>
      <c r="C27" s="59">
        <v>0</v>
      </c>
      <c r="D27" s="59">
        <v>0</v>
      </c>
      <c r="G27" s="59">
        <v>0</v>
      </c>
      <c r="I27" s="180">
        <f t="shared" si="0"/>
        <v>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s="143" customFormat="1" ht="15.75">
      <c r="A28" s="36" t="s">
        <v>390</v>
      </c>
      <c r="B28" s="50" t="s">
        <v>162</v>
      </c>
      <c r="C28" s="27">
        <f>SUM(C18:C27)</f>
        <v>0</v>
      </c>
      <c r="D28" s="27">
        <f>SUM(D18:D27)</f>
        <v>0</v>
      </c>
      <c r="E28" s="27"/>
      <c r="F28" s="27">
        <f>SUM(F18:F27)</f>
        <v>0</v>
      </c>
      <c r="G28" s="27">
        <f>SUM(G18:G27)</f>
        <v>0</v>
      </c>
      <c r="H28" s="27"/>
      <c r="I28" s="180">
        <f t="shared" si="0"/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.75">
      <c r="A29" s="44" t="s">
        <v>391</v>
      </c>
      <c r="B29" s="63" t="s">
        <v>163</v>
      </c>
      <c r="C29" s="59">
        <v>0</v>
      </c>
      <c r="D29" s="59">
        <v>0</v>
      </c>
      <c r="G29" s="59">
        <v>0</v>
      </c>
      <c r="I29" s="180">
        <f t="shared" si="0"/>
        <v>0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15.75">
      <c r="A30" s="44" t="s">
        <v>392</v>
      </c>
      <c r="B30" s="63" t="s">
        <v>164</v>
      </c>
      <c r="C30" s="59">
        <v>0</v>
      </c>
      <c r="D30" s="59">
        <v>0</v>
      </c>
      <c r="G30" s="59">
        <v>0</v>
      </c>
      <c r="I30" s="180">
        <f t="shared" si="0"/>
        <v>0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5.75">
      <c r="A31" s="44" t="s">
        <v>396</v>
      </c>
      <c r="B31" s="63" t="s">
        <v>165</v>
      </c>
      <c r="C31" s="59">
        <v>0</v>
      </c>
      <c r="D31" s="59">
        <v>0</v>
      </c>
      <c r="G31" s="59">
        <v>0</v>
      </c>
      <c r="I31" s="180">
        <f t="shared" si="0"/>
        <v>0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15.75">
      <c r="A32" s="44" t="s">
        <v>397</v>
      </c>
      <c r="B32" s="63" t="s">
        <v>166</v>
      </c>
      <c r="C32" s="59">
        <v>0</v>
      </c>
      <c r="D32" s="59">
        <v>0</v>
      </c>
      <c r="G32" s="59">
        <v>0</v>
      </c>
      <c r="I32" s="180">
        <f t="shared" si="0"/>
        <v>0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5.75">
      <c r="A33" s="44" t="s">
        <v>398</v>
      </c>
      <c r="B33" s="63" t="s">
        <v>167</v>
      </c>
      <c r="C33" s="59">
        <v>0</v>
      </c>
      <c r="D33" s="59">
        <v>0</v>
      </c>
      <c r="G33" s="59">
        <v>0</v>
      </c>
      <c r="I33" s="180">
        <f t="shared" si="0"/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143" customFormat="1" ht="15.75">
      <c r="A34" s="36" t="s">
        <v>400</v>
      </c>
      <c r="B34" s="50" t="s">
        <v>168</v>
      </c>
      <c r="C34" s="27">
        <f>SUM(C29:C33)</f>
        <v>0</v>
      </c>
      <c r="D34" s="27">
        <f>SUM(D29:D33)</f>
        <v>0</v>
      </c>
      <c r="E34" s="27"/>
      <c r="F34" s="27"/>
      <c r="G34" s="27">
        <f>SUM(G29:G33)</f>
        <v>0</v>
      </c>
      <c r="H34" s="27"/>
      <c r="I34" s="180">
        <f t="shared" si="0"/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143" customFormat="1" ht="15.75">
      <c r="A35" s="36" t="s">
        <v>402</v>
      </c>
      <c r="B35" s="50" t="s">
        <v>170</v>
      </c>
      <c r="C35" s="27">
        <f>+C28+C34</f>
        <v>0</v>
      </c>
      <c r="D35" s="27">
        <f>+D28+D34</f>
        <v>0</v>
      </c>
      <c r="E35" s="27"/>
      <c r="F35" s="27"/>
      <c r="G35" s="27">
        <f>+G28+G34</f>
        <v>0</v>
      </c>
      <c r="H35" s="27"/>
      <c r="I35" s="180">
        <f t="shared" si="0"/>
        <v>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31.5">
      <c r="A36" s="44" t="s">
        <v>403</v>
      </c>
      <c r="B36" s="63" t="s">
        <v>171</v>
      </c>
      <c r="C36" s="59">
        <v>0</v>
      </c>
      <c r="D36" s="59">
        <v>0</v>
      </c>
      <c r="G36" s="59">
        <v>0</v>
      </c>
      <c r="I36" s="180">
        <f t="shared" si="0"/>
        <v>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31.5">
      <c r="A37" s="44" t="s">
        <v>223</v>
      </c>
      <c r="B37" s="63" t="s">
        <v>172</v>
      </c>
      <c r="C37" s="59">
        <v>0</v>
      </c>
      <c r="D37" s="59">
        <v>0</v>
      </c>
      <c r="G37" s="59">
        <v>0</v>
      </c>
      <c r="I37" s="180">
        <f t="shared" si="0"/>
        <v>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31.5">
      <c r="A38" s="44" t="s">
        <v>212</v>
      </c>
      <c r="B38" s="63" t="s">
        <v>173</v>
      </c>
      <c r="C38" s="59">
        <v>0</v>
      </c>
      <c r="D38" s="59">
        <v>0</v>
      </c>
      <c r="G38" s="59">
        <v>0</v>
      </c>
      <c r="I38" s="180">
        <f t="shared" si="0"/>
        <v>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31.5">
      <c r="A39" s="44" t="s">
        <v>1151</v>
      </c>
      <c r="B39" s="63" t="s">
        <v>174</v>
      </c>
      <c r="C39" s="59">
        <v>0</v>
      </c>
      <c r="D39" s="59">
        <v>0</v>
      </c>
      <c r="G39" s="59">
        <v>0</v>
      </c>
      <c r="I39" s="180">
        <f t="shared" si="0"/>
        <v>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ht="31.5">
      <c r="A40" s="44" t="s">
        <v>1152</v>
      </c>
      <c r="B40" s="63" t="s">
        <v>175</v>
      </c>
      <c r="C40" s="164">
        <v>0</v>
      </c>
      <c r="D40" s="164">
        <v>0</v>
      </c>
      <c r="E40" s="164"/>
      <c r="F40" s="164"/>
      <c r="G40" s="164">
        <v>0</v>
      </c>
      <c r="H40" s="164"/>
      <c r="I40" s="180">
        <f t="shared" si="0"/>
        <v>0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1.5">
      <c r="A41" s="44" t="s">
        <v>1153</v>
      </c>
      <c r="B41" s="63" t="s">
        <v>176</v>
      </c>
      <c r="C41" s="59">
        <v>0</v>
      </c>
      <c r="D41" s="59">
        <v>0</v>
      </c>
      <c r="G41" s="59">
        <v>0</v>
      </c>
      <c r="I41" s="180">
        <f t="shared" si="0"/>
        <v>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s="143" customFormat="1" ht="31.5">
      <c r="A42" s="36" t="s">
        <v>1154</v>
      </c>
      <c r="B42" s="50" t="s">
        <v>177</v>
      </c>
      <c r="C42" s="27">
        <f>SUM(C36:C41)</f>
        <v>0</v>
      </c>
      <c r="D42" s="27">
        <f>SUM(D36:D41)</f>
        <v>0</v>
      </c>
      <c r="E42" s="27"/>
      <c r="F42" s="27"/>
      <c r="G42" s="27">
        <f>SUM(G36:G41)</f>
        <v>0</v>
      </c>
      <c r="H42" s="27"/>
      <c r="I42" s="180">
        <f t="shared" si="0"/>
        <v>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31.5">
      <c r="A43" s="44" t="s">
        <v>1155</v>
      </c>
      <c r="B43" s="63" t="s">
        <v>178</v>
      </c>
      <c r="C43" s="59">
        <v>0</v>
      </c>
      <c r="D43" s="59">
        <v>0</v>
      </c>
      <c r="G43" s="59">
        <v>0</v>
      </c>
      <c r="I43" s="180">
        <f t="shared" si="0"/>
        <v>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31.5">
      <c r="A44" s="44" t="s">
        <v>1223</v>
      </c>
      <c r="B44" s="63" t="s">
        <v>179</v>
      </c>
      <c r="C44" s="59">
        <v>0</v>
      </c>
      <c r="D44" s="59">
        <v>0</v>
      </c>
      <c r="G44" s="59">
        <v>0</v>
      </c>
      <c r="I44" s="180">
        <f t="shared" si="0"/>
        <v>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31.5">
      <c r="A45" s="44" t="s">
        <v>1224</v>
      </c>
      <c r="B45" s="63" t="s">
        <v>180</v>
      </c>
      <c r="C45" s="59">
        <v>0</v>
      </c>
      <c r="D45" s="59">
        <v>0</v>
      </c>
      <c r="G45" s="59">
        <v>0</v>
      </c>
      <c r="I45" s="180">
        <f t="shared" si="0"/>
        <v>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31.5">
      <c r="A46" s="44" t="s">
        <v>1225</v>
      </c>
      <c r="B46" s="63" t="s">
        <v>181</v>
      </c>
      <c r="C46" s="59">
        <v>0</v>
      </c>
      <c r="D46" s="59">
        <v>0</v>
      </c>
      <c r="G46" s="59">
        <v>0</v>
      </c>
      <c r="I46" s="180">
        <f t="shared" si="0"/>
        <v>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31.5">
      <c r="A47" s="44" t="s">
        <v>600</v>
      </c>
      <c r="B47" s="63" t="s">
        <v>182</v>
      </c>
      <c r="C47" s="164">
        <v>0</v>
      </c>
      <c r="D47" s="164">
        <v>0</v>
      </c>
      <c r="E47" s="164"/>
      <c r="F47" s="164"/>
      <c r="G47" s="164">
        <v>0</v>
      </c>
      <c r="H47" s="164"/>
      <c r="I47" s="180">
        <f t="shared" si="0"/>
        <v>0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31.5">
      <c r="A48" s="44" t="s">
        <v>601</v>
      </c>
      <c r="B48" s="63" t="s">
        <v>183</v>
      </c>
      <c r="C48" s="59">
        <v>0</v>
      </c>
      <c r="D48" s="59">
        <v>0</v>
      </c>
      <c r="G48" s="59">
        <v>0</v>
      </c>
      <c r="I48" s="180">
        <f t="shared" si="0"/>
        <v>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s="143" customFormat="1" ht="31.5">
      <c r="A49" s="36" t="s">
        <v>602</v>
      </c>
      <c r="B49" s="50" t="s">
        <v>184</v>
      </c>
      <c r="C49" s="165">
        <f>SUM(C43:C48)</f>
        <v>0</v>
      </c>
      <c r="D49" s="165">
        <f>SUM(D43:D48)</f>
        <v>0</v>
      </c>
      <c r="E49" s="165"/>
      <c r="F49" s="165"/>
      <c r="G49" s="165">
        <f>SUM(G43:G48)</f>
        <v>0</v>
      </c>
      <c r="H49" s="165"/>
      <c r="I49" s="180">
        <f t="shared" si="0"/>
        <v>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s="143" customFormat="1" ht="31.5">
      <c r="A50" s="36" t="s">
        <v>603</v>
      </c>
      <c r="B50" s="50" t="s">
        <v>185</v>
      </c>
      <c r="C50" s="165">
        <f>+C42+C49</f>
        <v>0</v>
      </c>
      <c r="D50" s="165">
        <f>+D42+D49</f>
        <v>0</v>
      </c>
      <c r="E50" s="165"/>
      <c r="F50" s="165"/>
      <c r="G50" s="165">
        <f>+G42+G49</f>
        <v>0</v>
      </c>
      <c r="H50" s="165"/>
      <c r="I50" s="180">
        <f t="shared" si="0"/>
        <v>0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31.5">
      <c r="A51" s="44" t="s">
        <v>604</v>
      </c>
      <c r="B51" s="63" t="s">
        <v>186</v>
      </c>
      <c r="C51" s="59">
        <v>0</v>
      </c>
      <c r="D51" s="59">
        <v>0</v>
      </c>
      <c r="G51" s="59">
        <v>0</v>
      </c>
      <c r="I51" s="180">
        <f t="shared" si="0"/>
        <v>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15.75">
      <c r="A52" s="44" t="s">
        <v>1512</v>
      </c>
      <c r="B52" s="63" t="s">
        <v>187</v>
      </c>
      <c r="C52" s="59">
        <v>0</v>
      </c>
      <c r="D52" s="59">
        <v>0</v>
      </c>
      <c r="G52" s="59">
        <v>0</v>
      </c>
      <c r="I52" s="180">
        <f t="shared" si="0"/>
        <v>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</row>
    <row r="53" spans="1:24" ht="31.5">
      <c r="A53" s="44" t="s">
        <v>1513</v>
      </c>
      <c r="B53" s="63" t="s">
        <v>188</v>
      </c>
      <c r="C53" s="59">
        <v>0</v>
      </c>
      <c r="D53" s="59">
        <v>0</v>
      </c>
      <c r="G53" s="59">
        <v>0</v>
      </c>
      <c r="I53" s="180">
        <f t="shared" si="0"/>
        <v>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15.75">
      <c r="A54" s="44" t="s">
        <v>1514</v>
      </c>
      <c r="B54" s="63" t="s">
        <v>189</v>
      </c>
      <c r="C54" s="59">
        <v>0</v>
      </c>
      <c r="D54" s="59">
        <v>0</v>
      </c>
      <c r="G54" s="59">
        <v>0</v>
      </c>
      <c r="I54" s="180">
        <f t="shared" si="0"/>
        <v>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s="143" customFormat="1" ht="31.5">
      <c r="A55" s="36" t="s">
        <v>1515</v>
      </c>
      <c r="B55" s="50" t="s">
        <v>1121</v>
      </c>
      <c r="C55" s="27">
        <f>SUM(C51:C54)</f>
        <v>0</v>
      </c>
      <c r="D55" s="27">
        <f>SUM(D51:D54)</f>
        <v>0</v>
      </c>
      <c r="E55" s="27"/>
      <c r="F55" s="27"/>
      <c r="G55" s="27">
        <f>SUM(G51:G54)</f>
        <v>0</v>
      </c>
      <c r="H55" s="27"/>
      <c r="I55" s="180">
        <f t="shared" si="0"/>
        <v>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ht="31.5">
      <c r="A56" s="44" t="s">
        <v>618</v>
      </c>
      <c r="B56" s="63" t="s">
        <v>1122</v>
      </c>
      <c r="C56" s="59">
        <v>0</v>
      </c>
      <c r="D56" s="59">
        <v>0</v>
      </c>
      <c r="G56" s="59">
        <v>0</v>
      </c>
      <c r="I56" s="180">
        <f t="shared" si="0"/>
        <v>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31.5">
      <c r="A57" s="44" t="s">
        <v>619</v>
      </c>
      <c r="B57" s="63" t="s">
        <v>475</v>
      </c>
      <c r="C57" s="59">
        <v>0</v>
      </c>
      <c r="D57" s="59">
        <v>0</v>
      </c>
      <c r="G57" s="59">
        <v>0</v>
      </c>
      <c r="I57" s="180">
        <f t="shared" si="0"/>
        <v>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</row>
    <row r="58" spans="1:24" ht="31.5">
      <c r="A58" s="44" t="s">
        <v>1517</v>
      </c>
      <c r="B58" s="63" t="s">
        <v>476</v>
      </c>
      <c r="C58" s="59">
        <v>0</v>
      </c>
      <c r="D58" s="59">
        <v>0</v>
      </c>
      <c r="G58" s="59">
        <v>0</v>
      </c>
      <c r="I58" s="180">
        <f t="shared" si="0"/>
        <v>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5.75">
      <c r="A59" s="44" t="s">
        <v>1518</v>
      </c>
      <c r="B59" s="63" t="s">
        <v>477</v>
      </c>
      <c r="C59" s="59">
        <v>0</v>
      </c>
      <c r="D59" s="59">
        <v>0</v>
      </c>
      <c r="G59" s="59">
        <v>0</v>
      </c>
      <c r="I59" s="180">
        <f t="shared" si="0"/>
        <v>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s="143" customFormat="1" ht="31.5">
      <c r="A60" s="36" t="s">
        <v>1519</v>
      </c>
      <c r="B60" s="50" t="s">
        <v>478</v>
      </c>
      <c r="C60" s="165">
        <f>SUM(C56:C59)</f>
        <v>0</v>
      </c>
      <c r="D60" s="165">
        <f>SUM(D56:D59)</f>
        <v>0</v>
      </c>
      <c r="E60" s="165"/>
      <c r="F60" s="165"/>
      <c r="G60" s="165">
        <f>SUM(G56:G59)</f>
        <v>0</v>
      </c>
      <c r="H60" s="165"/>
      <c r="I60" s="180">
        <f t="shared" si="0"/>
        <v>0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s="143" customFormat="1" ht="31.5">
      <c r="A61" s="36" t="s">
        <v>1520</v>
      </c>
      <c r="B61" s="50" t="s">
        <v>504</v>
      </c>
      <c r="C61" s="165">
        <f>+C55+C60</f>
        <v>0</v>
      </c>
      <c r="D61" s="165">
        <f>+D55+D60</f>
        <v>0</v>
      </c>
      <c r="E61" s="165"/>
      <c r="F61" s="165"/>
      <c r="G61" s="165">
        <f>+G55+G60</f>
        <v>0</v>
      </c>
      <c r="H61" s="165"/>
      <c r="I61" s="180">
        <f t="shared" si="0"/>
        <v>0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5.75">
      <c r="A62" s="44" t="s">
        <v>1521</v>
      </c>
      <c r="B62" s="63" t="s">
        <v>505</v>
      </c>
      <c r="C62" s="59">
        <v>0</v>
      </c>
      <c r="D62" s="59">
        <v>0</v>
      </c>
      <c r="G62" s="59">
        <v>0</v>
      </c>
      <c r="I62" s="180">
        <f t="shared" si="0"/>
        <v>0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1:24" ht="15.75">
      <c r="A63" s="44" t="s">
        <v>1522</v>
      </c>
      <c r="B63" s="63" t="s">
        <v>506</v>
      </c>
      <c r="C63" s="59">
        <v>0</v>
      </c>
      <c r="D63" s="59">
        <v>0</v>
      </c>
      <c r="G63" s="59">
        <v>0</v>
      </c>
      <c r="I63" s="180">
        <f t="shared" si="0"/>
        <v>0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ht="15.75">
      <c r="A64" s="44" t="s">
        <v>1523</v>
      </c>
      <c r="B64" s="63" t="s">
        <v>507</v>
      </c>
      <c r="C64" s="59">
        <v>0</v>
      </c>
      <c r="D64" s="59">
        <v>0</v>
      </c>
      <c r="G64" s="59">
        <v>0</v>
      </c>
      <c r="I64" s="180">
        <f t="shared" si="0"/>
        <v>0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1:24" s="143" customFormat="1" ht="15.75">
      <c r="A65" s="36" t="s">
        <v>764</v>
      </c>
      <c r="B65" s="50" t="s">
        <v>511</v>
      </c>
      <c r="C65" s="27">
        <f>SUM(C62:C64)</f>
        <v>0</v>
      </c>
      <c r="D65" s="27">
        <f>SUM(D62:D64)</f>
        <v>0</v>
      </c>
      <c r="E65" s="27"/>
      <c r="F65" s="27"/>
      <c r="G65" s="27">
        <f>SUM(G62:G64)</f>
        <v>0</v>
      </c>
      <c r="H65" s="27"/>
      <c r="I65" s="180">
        <f t="shared" si="0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</sheetData>
  <printOptions/>
  <pageMargins left="0.7875" right="0.7875" top="0.9840277777777778" bottom="0.984027777777778" header="0.5118055555555556" footer="0.5118055555555556"/>
  <pageSetup fitToHeight="2" fitToWidth="1" horizontalDpi="600" verticalDpi="600" orientation="portrait" paperSize="8" scale="83" r:id="rId1"/>
  <headerFooter alignWithMargins="0">
    <oddFooter xml:space="preserve">&amp;CÖnkormányzat összesen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0">
      <selection activeCell="B24" sqref="B24"/>
    </sheetView>
  </sheetViews>
  <sheetFormatPr defaultColWidth="9.140625" defaultRowHeight="12.75"/>
  <cols>
    <col min="1" max="1" width="4.7109375" style="32" customWidth="1"/>
    <col min="2" max="2" width="68.7109375" style="7" customWidth="1"/>
    <col min="3" max="3" width="12.7109375" style="33" hidden="1" customWidth="1"/>
    <col min="4" max="4" width="13.28125" style="7" customWidth="1"/>
    <col min="5" max="16384" width="9.140625" style="7" customWidth="1"/>
  </cols>
  <sheetData>
    <row r="1" spans="3:4" ht="15.75">
      <c r="C1" s="20" t="s">
        <v>1534</v>
      </c>
      <c r="D1" s="20" t="s">
        <v>1661</v>
      </c>
    </row>
    <row r="2" ht="15.75">
      <c r="C2" s="20"/>
    </row>
    <row r="4" ht="15.75">
      <c r="B4" s="22" t="str">
        <f>tartalom!B7</f>
        <v>Közhatalmi bevételek</v>
      </c>
    </row>
    <row r="5" ht="15.75">
      <c r="B5" s="22"/>
    </row>
    <row r="6" spans="2:4" ht="15.75">
      <c r="B6" s="22"/>
      <c r="D6" s="401" t="s">
        <v>1416</v>
      </c>
    </row>
    <row r="7" spans="2:4" ht="15.75">
      <c r="B7" s="61" t="s">
        <v>433</v>
      </c>
      <c r="D7" s="7">
        <f>'B3'!E4</f>
        <v>9000</v>
      </c>
    </row>
    <row r="8" spans="2:4" ht="15.75">
      <c r="B8" s="61" t="s">
        <v>434</v>
      </c>
      <c r="D8" s="7">
        <f>'B3'!E5</f>
        <v>100</v>
      </c>
    </row>
    <row r="9" spans="2:4" ht="15.75">
      <c r="B9" s="61" t="s">
        <v>1526</v>
      </c>
      <c r="D9" s="7">
        <f>'B3'!E6</f>
        <v>0</v>
      </c>
    </row>
    <row r="10" spans="2:4" ht="15.75">
      <c r="B10" s="61" t="s">
        <v>1013</v>
      </c>
      <c r="D10" s="7">
        <f>'B3'!E7</f>
        <v>5000</v>
      </c>
    </row>
    <row r="11" spans="2:4" ht="15.75">
      <c r="B11" s="61" t="s">
        <v>790</v>
      </c>
      <c r="D11" s="7">
        <f>'B3'!E8</f>
        <v>0</v>
      </c>
    </row>
    <row r="12" spans="1:4" ht="15.75">
      <c r="A12" s="34"/>
      <c r="B12" s="143" t="s">
        <v>792</v>
      </c>
      <c r="C12" s="35"/>
      <c r="D12" s="22">
        <f>'B3'!E9</f>
        <v>14100</v>
      </c>
    </row>
    <row r="13" spans="2:4" ht="15.75">
      <c r="B13" s="61" t="s">
        <v>795</v>
      </c>
      <c r="D13" s="7">
        <f>'B3'!E10</f>
        <v>245000</v>
      </c>
    </row>
    <row r="14" spans="2:4" ht="15.75">
      <c r="B14" s="61" t="s">
        <v>796</v>
      </c>
      <c r="D14" s="7">
        <f>'B3'!E11</f>
        <v>0</v>
      </c>
    </row>
    <row r="15" spans="2:4" ht="15.75">
      <c r="B15" s="448" t="s">
        <v>829</v>
      </c>
      <c r="D15" s="543">
        <f>'B3'!E12</f>
        <v>245000</v>
      </c>
    </row>
    <row r="16" spans="2:4" ht="15.75">
      <c r="B16" s="61" t="s">
        <v>825</v>
      </c>
      <c r="D16" s="7">
        <f>'B3'!E13</f>
        <v>0</v>
      </c>
    </row>
    <row r="17" spans="2:4" ht="15.75">
      <c r="B17" s="61" t="s">
        <v>800</v>
      </c>
      <c r="D17" s="7">
        <f>'B3'!E14</f>
        <v>10000</v>
      </c>
    </row>
    <row r="18" spans="2:4" ht="15.75">
      <c r="B18" s="448" t="s">
        <v>801</v>
      </c>
      <c r="D18" s="543">
        <f>'B3'!E15</f>
        <v>10000</v>
      </c>
    </row>
    <row r="19" spans="2:4" ht="15.75">
      <c r="B19" s="61" t="s">
        <v>803</v>
      </c>
      <c r="D19" s="7">
        <f>'B3'!E16</f>
        <v>150</v>
      </c>
    </row>
    <row r="20" spans="1:4" ht="15.75">
      <c r="A20" s="34"/>
      <c r="B20" s="61" t="s">
        <v>805</v>
      </c>
      <c r="C20" s="35"/>
      <c r="D20" s="7">
        <f>'B3'!E17</f>
        <v>0</v>
      </c>
    </row>
    <row r="21" spans="2:4" ht="15.75">
      <c r="B21" s="448" t="s">
        <v>807</v>
      </c>
      <c r="D21" s="543">
        <f>'B3'!E18</f>
        <v>150</v>
      </c>
    </row>
    <row r="22" spans="2:4" ht="15.75">
      <c r="B22" s="143" t="s">
        <v>821</v>
      </c>
      <c r="D22" s="22">
        <f>'B3'!E19</f>
        <v>255150</v>
      </c>
    </row>
    <row r="23" spans="1:4" ht="15.75" customHeight="1">
      <c r="A23" s="709"/>
      <c r="B23" s="61" t="s">
        <v>431</v>
      </c>
      <c r="C23" s="710"/>
      <c r="D23" s="7">
        <f>'B3'!E20</f>
        <v>200</v>
      </c>
    </row>
    <row r="24" spans="1:4" ht="15.75">
      <c r="A24" s="709"/>
      <c r="B24" s="61" t="s">
        <v>810</v>
      </c>
      <c r="C24" s="710"/>
      <c r="D24" s="7">
        <f>'B3'!E21</f>
        <v>0</v>
      </c>
    </row>
    <row r="25" spans="2:4" ht="15.75">
      <c r="B25" s="61" t="s">
        <v>617</v>
      </c>
      <c r="D25" s="7">
        <f>'B3'!E22</f>
        <v>0</v>
      </c>
    </row>
    <row r="26" spans="2:4" ht="15.75">
      <c r="B26" s="61" t="s">
        <v>813</v>
      </c>
      <c r="D26" s="7">
        <f>'B3'!E23</f>
        <v>0</v>
      </c>
    </row>
    <row r="27" spans="1:4" ht="15.75">
      <c r="A27" s="34"/>
      <c r="B27" s="61" t="s">
        <v>815</v>
      </c>
      <c r="C27" s="35"/>
      <c r="D27" s="7">
        <f>'B3'!E24</f>
        <v>50</v>
      </c>
    </row>
    <row r="28" spans="2:4" ht="15.75">
      <c r="B28" s="61" t="s">
        <v>817</v>
      </c>
      <c r="C28" s="33">
        <f>'B3'!D43</f>
        <v>0</v>
      </c>
      <c r="D28" s="7">
        <f>'B3'!E25</f>
        <v>200</v>
      </c>
    </row>
    <row r="29" spans="2:4" ht="15.75">
      <c r="B29" s="61" t="s">
        <v>819</v>
      </c>
      <c r="C29" s="33">
        <f>'B3'!D46</f>
        <v>0</v>
      </c>
      <c r="D29" s="7">
        <f>'B3'!E26</f>
        <v>50</v>
      </c>
    </row>
    <row r="30" spans="2:4" ht="15.75">
      <c r="B30" s="143" t="s">
        <v>823</v>
      </c>
      <c r="C30" s="33">
        <f>'B3'!D47</f>
        <v>0</v>
      </c>
      <c r="D30" s="22">
        <f>'B3'!E27</f>
        <v>500</v>
      </c>
    </row>
    <row r="31" spans="2:4" ht="15.75">
      <c r="B31" s="143" t="s">
        <v>824</v>
      </c>
      <c r="C31" s="33">
        <f>'B3'!D48</f>
        <v>0</v>
      </c>
      <c r="D31" s="22">
        <f>'B3'!E28</f>
        <v>269750</v>
      </c>
    </row>
    <row r="32" spans="1:2" ht="15.75">
      <c r="A32" s="34"/>
      <c r="B32" s="26"/>
    </row>
    <row r="35" spans="1:3" ht="15.75">
      <c r="A35" s="34"/>
      <c r="B35" s="22"/>
      <c r="C35" s="35"/>
    </row>
    <row r="36" spans="1:3" s="22" customFormat="1" ht="15.75">
      <c r="A36" s="32"/>
      <c r="B36" s="7"/>
      <c r="C36" s="33"/>
    </row>
    <row r="38" spans="1:3" ht="15.75">
      <c r="A38" s="34"/>
      <c r="B38" s="26"/>
      <c r="C38" s="35"/>
    </row>
    <row r="42" ht="15.75">
      <c r="B42" s="22"/>
    </row>
    <row r="44" ht="15.75">
      <c r="B44" s="6"/>
    </row>
    <row r="45" ht="15.75">
      <c r="B45" s="6"/>
    </row>
    <row r="47" ht="15.75">
      <c r="B47" s="26"/>
    </row>
    <row r="54" ht="15.75">
      <c r="B54" s="22"/>
    </row>
  </sheetData>
  <mergeCells count="2">
    <mergeCell ref="A23:A24"/>
    <mergeCell ref="C23:C24"/>
  </mergeCell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3" sqref="L33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workbookViewId="0" topLeftCell="A22">
      <selection activeCell="E37" sqref="E37"/>
    </sheetView>
  </sheetViews>
  <sheetFormatPr defaultColWidth="9.140625" defaultRowHeight="12.75"/>
  <cols>
    <col min="1" max="1" width="4.7109375" style="32" customWidth="1"/>
    <col min="2" max="2" width="68.7109375" style="7" customWidth="1"/>
    <col min="3" max="3" width="13.421875" style="33" customWidth="1"/>
    <col min="4" max="16384" width="9.140625" style="1" customWidth="1"/>
  </cols>
  <sheetData>
    <row r="1" ht="15.75">
      <c r="C1" s="20" t="s">
        <v>1665</v>
      </c>
    </row>
    <row r="2" ht="15.75">
      <c r="C2" s="20"/>
    </row>
    <row r="4" ht="15.75">
      <c r="B4" s="22" t="str">
        <f>tartalom!B8</f>
        <v>Működési célú támogatások Áh-on belül</v>
      </c>
    </row>
    <row r="5" ht="15.75">
      <c r="B5" s="22" t="str">
        <f>tartalom!B9</f>
        <v>Felhalmozási célú támogatások Áh-on belül</v>
      </c>
    </row>
    <row r="6" ht="15.75">
      <c r="B6" s="22"/>
    </row>
    <row r="7" ht="15.75">
      <c r="C7" s="20" t="s">
        <v>1416</v>
      </c>
    </row>
    <row r="8" spans="2:3" ht="15.75">
      <c r="B8" s="61" t="s">
        <v>1542</v>
      </c>
      <c r="C8" s="33">
        <f>'B1B2'!L3</f>
        <v>30547</v>
      </c>
    </row>
    <row r="9" spans="2:3" ht="15.75">
      <c r="B9" s="61" t="s">
        <v>1543</v>
      </c>
      <c r="C9" s="33">
        <f>'B1B2'!L4</f>
        <v>57860</v>
      </c>
    </row>
    <row r="10" spans="2:3" ht="15.75">
      <c r="B10" s="61" t="s">
        <v>1538</v>
      </c>
      <c r="C10" s="33">
        <f>'B1B2'!L5</f>
        <v>23739</v>
      </c>
    </row>
    <row r="11" spans="2:3" ht="15.75">
      <c r="B11" s="61" t="s">
        <v>1540</v>
      </c>
      <c r="C11" s="33">
        <f>'B1B2'!L6</f>
        <v>3839</v>
      </c>
    </row>
    <row r="12" spans="2:3" ht="15.75">
      <c r="B12" s="61" t="s">
        <v>620</v>
      </c>
      <c r="C12" s="33">
        <f>'B1B2'!L7</f>
        <v>1818</v>
      </c>
    </row>
    <row r="13" spans="2:3" ht="15.75">
      <c r="B13" s="61" t="s">
        <v>1545</v>
      </c>
      <c r="C13" s="33">
        <f>'B1B2'!L8</f>
        <v>0</v>
      </c>
    </row>
    <row r="14" spans="2:3" ht="15.75">
      <c r="B14" s="61" t="s">
        <v>1582</v>
      </c>
      <c r="C14" s="33">
        <f>'B1B2'!L9</f>
        <v>0</v>
      </c>
    </row>
    <row r="15" spans="1:3" ht="15.75">
      <c r="A15" s="34"/>
      <c r="B15" s="448" t="s">
        <v>1557</v>
      </c>
      <c r="C15" s="542">
        <f>'B1B2'!L10</f>
        <v>117803</v>
      </c>
    </row>
    <row r="16" spans="2:3" ht="15.75">
      <c r="B16" s="61" t="s">
        <v>1548</v>
      </c>
      <c r="C16" s="33">
        <f>'B1B2'!L11</f>
        <v>0</v>
      </c>
    </row>
    <row r="17" spans="2:3" ht="15.75">
      <c r="B17" s="61" t="s">
        <v>1551</v>
      </c>
      <c r="C17" s="33">
        <f>'B1B2'!L12</f>
        <v>0</v>
      </c>
    </row>
    <row r="18" spans="2:3" ht="15.75">
      <c r="B18" s="61" t="s">
        <v>1553</v>
      </c>
      <c r="C18" s="33">
        <f>'B1B2'!L13</f>
        <v>0</v>
      </c>
    </row>
    <row r="19" spans="2:3" ht="15.75">
      <c r="B19" s="448" t="s">
        <v>1276</v>
      </c>
      <c r="C19" s="542">
        <f>'B1B2'!L14</f>
        <v>0</v>
      </c>
    </row>
    <row r="20" spans="2:3" ht="15.75">
      <c r="B20" s="61" t="s">
        <v>1556</v>
      </c>
      <c r="C20" s="33">
        <f>'B1B2'!L15</f>
        <v>0</v>
      </c>
    </row>
    <row r="21" spans="2:3" ht="15.75">
      <c r="B21" s="458" t="s">
        <v>1559</v>
      </c>
      <c r="C21" s="542">
        <f>'B1B2'!L16</f>
        <v>0</v>
      </c>
    </row>
    <row r="22" spans="1:3" ht="15.75">
      <c r="A22" s="34"/>
      <c r="B22" s="61" t="s">
        <v>835</v>
      </c>
      <c r="C22" s="33">
        <f>'B1B2'!L17</f>
        <v>35142</v>
      </c>
    </row>
    <row r="23" spans="2:3" ht="15.75">
      <c r="B23" s="61" t="s">
        <v>1563</v>
      </c>
      <c r="C23" s="33">
        <f>'B1B2'!L18</f>
        <v>0</v>
      </c>
    </row>
    <row r="24" spans="2:3" ht="15.75">
      <c r="B24" s="61" t="s">
        <v>1667</v>
      </c>
      <c r="C24" s="33">
        <f>'B1B2'!L19</f>
        <v>1251</v>
      </c>
    </row>
    <row r="25" spans="2:3" ht="15.75">
      <c r="B25" s="61" t="s">
        <v>1666</v>
      </c>
      <c r="C25" s="33">
        <f>'B1B2'!L20</f>
        <v>20340</v>
      </c>
    </row>
    <row r="26" spans="2:3" ht="15.75">
      <c r="B26" s="61" t="s">
        <v>1567</v>
      </c>
      <c r="C26" s="33">
        <f>'B1B2'!L21</f>
        <v>0</v>
      </c>
    </row>
    <row r="27" spans="2:3" ht="15.75">
      <c r="B27" s="61" t="s">
        <v>1569</v>
      </c>
      <c r="C27" s="33">
        <f>'B1B2'!L22</f>
        <v>0</v>
      </c>
    </row>
    <row r="28" spans="2:3" ht="15.75">
      <c r="B28" s="448" t="s">
        <v>1586</v>
      </c>
      <c r="C28" s="542">
        <f>'B1B2'!L23</f>
        <v>56733</v>
      </c>
    </row>
    <row r="29" spans="2:3" ht="15.75">
      <c r="B29" s="47" t="s">
        <v>18</v>
      </c>
      <c r="C29" s="35">
        <f>'B1B2'!L24</f>
        <v>174536</v>
      </c>
    </row>
    <row r="30" ht="15.75">
      <c r="B30" s="1"/>
    </row>
    <row r="31" spans="2:3" ht="15.75">
      <c r="B31" s="45" t="s">
        <v>1573</v>
      </c>
      <c r="C31" s="33">
        <f>'B1B2'!L26</f>
        <v>0</v>
      </c>
    </row>
    <row r="32" spans="2:3" ht="15.75">
      <c r="B32" s="45" t="s">
        <v>1574</v>
      </c>
      <c r="C32" s="33">
        <f>'B1B2'!L27</f>
        <v>0</v>
      </c>
    </row>
    <row r="33" spans="2:3" ht="15.75">
      <c r="B33" s="45" t="s">
        <v>1576</v>
      </c>
      <c r="C33" s="33">
        <f>'B1B2'!L28</f>
        <v>0</v>
      </c>
    </row>
    <row r="34" spans="2:3" ht="15.75">
      <c r="B34" s="61" t="s">
        <v>1578</v>
      </c>
      <c r="C34" s="33">
        <f>'B1B2'!L29</f>
        <v>0</v>
      </c>
    </row>
    <row r="35" spans="2:3" ht="15.75">
      <c r="B35" s="61" t="s">
        <v>1580</v>
      </c>
      <c r="C35" s="33">
        <f>'B1B2'!L30</f>
        <v>0</v>
      </c>
    </row>
    <row r="36" spans="2:3" ht="15.75">
      <c r="B36" s="61" t="s">
        <v>1584</v>
      </c>
      <c r="C36" s="33">
        <f>'B1B2'!L31</f>
        <v>0</v>
      </c>
    </row>
    <row r="37" spans="2:3" ht="15.75">
      <c r="B37" s="61" t="s">
        <v>836</v>
      </c>
      <c r="C37" s="33">
        <f>'B1B2'!L32</f>
        <v>1140</v>
      </c>
    </row>
    <row r="38" spans="2:3" ht="15.75">
      <c r="B38" s="448" t="s">
        <v>1587</v>
      </c>
      <c r="C38" s="542">
        <f>'B1B2'!L33</f>
        <v>1140</v>
      </c>
    </row>
    <row r="39" spans="2:3" ht="15.75">
      <c r="B39" s="61" t="s">
        <v>1668</v>
      </c>
      <c r="C39" s="33">
        <f>'B1B2'!L34</f>
        <v>1239</v>
      </c>
    </row>
    <row r="40" spans="2:3" ht="15.75">
      <c r="B40" s="61" t="s">
        <v>1592</v>
      </c>
      <c r="C40" s="35">
        <f>'B1B2'!L35</f>
        <v>0</v>
      </c>
    </row>
    <row r="41" spans="2:3" ht="15.75">
      <c r="B41" s="61" t="s">
        <v>1595</v>
      </c>
      <c r="C41" s="35">
        <f>'B1B2'!L36</f>
        <v>0</v>
      </c>
    </row>
    <row r="42" spans="2:3" ht="15.75">
      <c r="B42" s="61" t="s">
        <v>834</v>
      </c>
      <c r="C42" s="33">
        <f>'B1B2'!L37</f>
        <v>20711</v>
      </c>
    </row>
    <row r="43" spans="2:3" ht="15.75">
      <c r="B43" s="448" t="s">
        <v>1597</v>
      </c>
      <c r="C43" s="542">
        <f>'B1B2'!L38</f>
        <v>21950</v>
      </c>
    </row>
    <row r="44" spans="2:3" ht="31.5">
      <c r="B44" s="47" t="s">
        <v>19</v>
      </c>
      <c r="C44" s="35">
        <f>'B1B2'!L39</f>
        <v>23090</v>
      </c>
    </row>
    <row r="45" ht="15.75">
      <c r="B45" s="6"/>
    </row>
    <row r="46" ht="15.75">
      <c r="B46" s="6"/>
    </row>
    <row r="48" ht="15.75">
      <c r="B48" s="6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workbookViewId="0" topLeftCell="A1">
      <selection activeCell="C1" sqref="C1"/>
    </sheetView>
  </sheetViews>
  <sheetFormatPr defaultColWidth="9.140625" defaultRowHeight="12.75"/>
  <cols>
    <col min="1" max="1" width="4.7109375" style="37" customWidth="1"/>
    <col min="2" max="2" width="68.7109375" style="1" customWidth="1"/>
    <col min="3" max="3" width="12.7109375" style="37" customWidth="1"/>
    <col min="4" max="16384" width="9.140625" style="1" customWidth="1"/>
  </cols>
  <sheetData>
    <row r="1" ht="15.75">
      <c r="C1" s="20" t="s">
        <v>54</v>
      </c>
    </row>
    <row r="2" ht="15.75">
      <c r="C2" s="20"/>
    </row>
    <row r="4" ht="15.75">
      <c r="B4" s="40" t="str">
        <f>tartalom!B10</f>
        <v>Felhalmozási bevételek</v>
      </c>
    </row>
    <row r="5" ht="15.75">
      <c r="B5" s="40"/>
    </row>
    <row r="6" ht="15.75">
      <c r="C6" s="20" t="s">
        <v>1416</v>
      </c>
    </row>
    <row r="7" spans="2:3" ht="15.75">
      <c r="B7" s="61" t="s">
        <v>622</v>
      </c>
      <c r="C7" s="41">
        <f>'B5'!W3</f>
        <v>0</v>
      </c>
    </row>
    <row r="8" spans="2:3" ht="15.75">
      <c r="B8" s="448" t="s">
        <v>623</v>
      </c>
      <c r="C8" s="547">
        <f>'B5'!W4</f>
        <v>0</v>
      </c>
    </row>
    <row r="9" spans="2:3" ht="15.75">
      <c r="B9" s="448" t="s">
        <v>627</v>
      </c>
      <c r="C9" s="547">
        <f>'B5'!W5</f>
        <v>0</v>
      </c>
    </row>
    <row r="10" spans="2:3" ht="15.75">
      <c r="B10" s="61" t="s">
        <v>628</v>
      </c>
      <c r="C10" s="41">
        <f>'B5'!W6</f>
        <v>0</v>
      </c>
    </row>
    <row r="11" spans="2:3" ht="15.75">
      <c r="B11" s="61" t="s">
        <v>629</v>
      </c>
      <c r="C11" s="41">
        <f>'B5'!W7</f>
        <v>0</v>
      </c>
    </row>
    <row r="12" spans="2:3" ht="15.75">
      <c r="B12" s="61" t="s">
        <v>632</v>
      </c>
      <c r="C12" s="41">
        <f>'B5'!W8</f>
        <v>630</v>
      </c>
    </row>
    <row r="13" spans="2:3" ht="15.75">
      <c r="B13" s="448" t="s">
        <v>634</v>
      </c>
      <c r="C13" s="547">
        <f>'B5'!W9</f>
        <v>630</v>
      </c>
    </row>
    <row r="14" spans="2:3" ht="15.75">
      <c r="B14" s="61" t="s">
        <v>636</v>
      </c>
      <c r="C14" s="41">
        <f>'B5'!W10</f>
        <v>0</v>
      </c>
    </row>
    <row r="15" spans="1:3" ht="15.75">
      <c r="A15" s="39"/>
      <c r="B15" s="61" t="s">
        <v>638</v>
      </c>
      <c r="C15" s="41">
        <f>'B5'!W11</f>
        <v>0</v>
      </c>
    </row>
    <row r="16" spans="2:3" ht="15.75">
      <c r="B16" s="61" t="s">
        <v>640</v>
      </c>
      <c r="C16" s="41">
        <f>'B5'!W12</f>
        <v>0</v>
      </c>
    </row>
    <row r="17" spans="2:3" ht="15.75">
      <c r="B17" s="458" t="s">
        <v>642</v>
      </c>
      <c r="C17" s="547">
        <f>'B5'!W13</f>
        <v>0</v>
      </c>
    </row>
    <row r="18" spans="2:3" ht="15.75">
      <c r="B18" s="448" t="s">
        <v>644</v>
      </c>
      <c r="C18" s="547">
        <f>'B5'!W14</f>
        <v>0</v>
      </c>
    </row>
    <row r="19" spans="2:3" ht="15.75">
      <c r="B19" s="143" t="s">
        <v>645</v>
      </c>
      <c r="C19" s="43">
        <f>'B5'!W15</f>
        <v>630</v>
      </c>
    </row>
    <row r="23" ht="15.75">
      <c r="B23" s="12"/>
    </row>
    <row r="24" ht="15.75">
      <c r="B24" s="12"/>
    </row>
    <row r="26" ht="15.75">
      <c r="B26" s="12"/>
    </row>
    <row r="38" ht="15.75">
      <c r="B38" s="12"/>
    </row>
    <row r="39" ht="15.75">
      <c r="B39" s="12"/>
    </row>
    <row r="41" ht="15.75">
      <c r="B41" s="12"/>
    </row>
  </sheetData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1"/>
  <sheetViews>
    <sheetView workbookViewId="0" topLeftCell="A19">
      <selection activeCell="D28" sqref="D28"/>
    </sheetView>
  </sheetViews>
  <sheetFormatPr defaultColWidth="9.140625" defaultRowHeight="12.75"/>
  <cols>
    <col min="1" max="1" width="10.28125" style="0" customWidth="1"/>
    <col min="2" max="2" width="63.8515625" style="0" customWidth="1"/>
    <col min="3" max="3" width="11.57421875" style="0" customWidth="1"/>
  </cols>
  <sheetData>
    <row r="1" ht="12.75">
      <c r="C1" s="20" t="s">
        <v>1663</v>
      </c>
    </row>
    <row r="2" ht="12.75">
      <c r="C2" s="20"/>
    </row>
    <row r="3" ht="12.75">
      <c r="B3" s="264" t="str">
        <f>tartalom!B11</f>
        <v>Működési célú átvett pénzeszközök</v>
      </c>
    </row>
    <row r="4" ht="12.75">
      <c r="B4" s="264" t="str">
        <f>tartalom!B12</f>
        <v>Felhalmozási célú átvett pénzeszközök</v>
      </c>
    </row>
    <row r="5" ht="12.75">
      <c r="B5" s="264" t="str">
        <f>tartalom!B13</f>
        <v>Finanszírozási bevételek</v>
      </c>
    </row>
    <row r="6" ht="12.75">
      <c r="C6" s="226" t="s">
        <v>1416</v>
      </c>
    </row>
    <row r="7" spans="2:3" ht="16.5" customHeight="1">
      <c r="B7" s="458" t="s">
        <v>647</v>
      </c>
      <c r="C7" s="572">
        <f>'B6B7B8'!O5</f>
        <v>0</v>
      </c>
    </row>
    <row r="8" spans="2:3" ht="15.75">
      <c r="B8" s="45" t="s">
        <v>649</v>
      </c>
      <c r="C8">
        <f>'B6B7B8'!O6</f>
        <v>0</v>
      </c>
    </row>
    <row r="9" spans="2:3" ht="15.75">
      <c r="B9" s="45" t="s">
        <v>651</v>
      </c>
      <c r="C9">
        <f>'B6B7B8'!O7</f>
        <v>0</v>
      </c>
    </row>
    <row r="10" spans="2:3" ht="15" customHeight="1">
      <c r="B10" s="458" t="s">
        <v>653</v>
      </c>
      <c r="C10" s="572">
        <f>'B6B7B8'!O8</f>
        <v>0</v>
      </c>
    </row>
    <row r="11" spans="2:3" ht="15.75">
      <c r="B11" s="45" t="s">
        <v>655</v>
      </c>
      <c r="C11">
        <f>'B6B7B8'!O9</f>
        <v>0</v>
      </c>
    </row>
    <row r="12" spans="2:3" ht="15.75">
      <c r="B12" s="45" t="s">
        <v>657</v>
      </c>
      <c r="C12">
        <f>'B6B7B8'!O10</f>
        <v>0</v>
      </c>
    </row>
    <row r="13" spans="2:3" ht="15.75">
      <c r="B13" s="61" t="s">
        <v>659</v>
      </c>
      <c r="C13">
        <f>'B6B7B8'!O11</f>
        <v>0</v>
      </c>
    </row>
    <row r="14" spans="2:3" ht="15.75">
      <c r="B14" s="61" t="s">
        <v>661</v>
      </c>
      <c r="C14">
        <f>'B6B7B8'!O12</f>
        <v>0</v>
      </c>
    </row>
    <row r="15" spans="2:3" ht="15.75">
      <c r="B15" s="448" t="s">
        <v>663</v>
      </c>
      <c r="C15" s="572">
        <f>'B6B7B8'!O13</f>
        <v>0</v>
      </c>
    </row>
    <row r="16" spans="2:3" ht="15.75">
      <c r="B16" s="143" t="s">
        <v>677</v>
      </c>
      <c r="C16" s="264">
        <f>'B6B7B8'!O14</f>
        <v>0</v>
      </c>
    </row>
    <row r="17" spans="2:3" ht="15.75">
      <c r="B17" s="448"/>
      <c r="C17">
        <f>'B6B7B8'!O15</f>
        <v>0</v>
      </c>
    </row>
    <row r="18" spans="2:3" ht="15.75">
      <c r="B18" s="61" t="s">
        <v>665</v>
      </c>
      <c r="C18">
        <f>'B6B7B8'!O16</f>
        <v>0</v>
      </c>
    </row>
    <row r="19" spans="2:3" ht="15.75">
      <c r="B19" s="45" t="s">
        <v>667</v>
      </c>
      <c r="C19">
        <f>'B6B7B8'!O17</f>
        <v>0</v>
      </c>
    </row>
    <row r="20" spans="2:3" ht="15.75">
      <c r="B20" s="448" t="s">
        <v>669</v>
      </c>
      <c r="C20" s="572">
        <f>'B6B7B8'!O18</f>
        <v>0</v>
      </c>
    </row>
    <row r="21" spans="2:3" ht="15.75">
      <c r="B21" s="448" t="s">
        <v>671</v>
      </c>
      <c r="C21" s="572">
        <f>'B6B7B8'!O19</f>
        <v>0</v>
      </c>
    </row>
    <row r="22" spans="2:3" ht="15.75">
      <c r="B22" s="61" t="s">
        <v>673</v>
      </c>
      <c r="C22">
        <f>'B6B7B8'!O20</f>
        <v>0</v>
      </c>
    </row>
    <row r="23" spans="2:3" ht="15.75">
      <c r="B23" s="61" t="s">
        <v>749</v>
      </c>
      <c r="C23">
        <f>'B6B7B8'!O21</f>
        <v>154</v>
      </c>
    </row>
    <row r="24" spans="2:3" ht="15.75">
      <c r="B24" s="448" t="s">
        <v>676</v>
      </c>
      <c r="C24" s="572">
        <f>'B6B7B8'!O22</f>
        <v>154</v>
      </c>
    </row>
    <row r="25" spans="2:3" ht="15.75">
      <c r="B25" s="143" t="s">
        <v>692</v>
      </c>
      <c r="C25" s="264">
        <f>'B6B7B8'!O23</f>
        <v>154</v>
      </c>
    </row>
    <row r="26" spans="2:3" ht="15.75">
      <c r="B26" s="448"/>
      <c r="C26">
        <f>'B6B7B8'!O24</f>
        <v>0</v>
      </c>
    </row>
    <row r="27" spans="2:3" ht="15.75">
      <c r="B27" s="448" t="s">
        <v>694</v>
      </c>
      <c r="C27" s="572">
        <f>'B6B7B8'!O25</f>
        <v>0</v>
      </c>
    </row>
    <row r="28" spans="2:3" ht="15.75">
      <c r="B28" s="61" t="s">
        <v>697</v>
      </c>
      <c r="C28">
        <f>'B6B7B8'!O26</f>
        <v>0</v>
      </c>
    </row>
    <row r="29" spans="2:3" ht="15.75">
      <c r="B29" s="61" t="s">
        <v>699</v>
      </c>
      <c r="C29">
        <f>'B6B7B8'!O27</f>
        <v>0</v>
      </c>
    </row>
    <row r="30" spans="2:3" ht="15.75">
      <c r="B30" s="448" t="s">
        <v>700</v>
      </c>
      <c r="C30" s="572">
        <f>'B6B7B8'!O28</f>
        <v>0</v>
      </c>
    </row>
    <row r="31" spans="2:3" ht="15.75">
      <c r="B31" s="61" t="s">
        <v>702</v>
      </c>
      <c r="C31">
        <f>'B6B7B8'!O29</f>
        <v>137784</v>
      </c>
    </row>
    <row r="32" spans="2:3" ht="15.75">
      <c r="B32" s="448" t="s">
        <v>704</v>
      </c>
      <c r="C32" s="572">
        <f>'B6B7B8'!O30</f>
        <v>137784</v>
      </c>
    </row>
    <row r="33" spans="2:3" ht="15.75">
      <c r="B33" s="448" t="s">
        <v>706</v>
      </c>
      <c r="C33" s="572">
        <f>'B6B7B8'!O31</f>
        <v>0</v>
      </c>
    </row>
    <row r="34" spans="2:3" ht="15.75">
      <c r="B34" s="448" t="s">
        <v>708</v>
      </c>
      <c r="C34" s="572">
        <f>'B6B7B8'!O32</f>
        <v>0</v>
      </c>
    </row>
    <row r="35" spans="2:3" ht="15.75">
      <c r="B35" s="61" t="s">
        <v>710</v>
      </c>
      <c r="C35">
        <f>'B6B7B8'!O33</f>
        <v>0</v>
      </c>
    </row>
    <row r="36" spans="2:3" ht="15.75">
      <c r="B36" s="61" t="s">
        <v>712</v>
      </c>
      <c r="C36">
        <f>'B6B7B8'!O34</f>
        <v>192087</v>
      </c>
    </row>
    <row r="37" spans="2:3" ht="15.75">
      <c r="B37" s="61" t="s">
        <v>731</v>
      </c>
      <c r="C37">
        <f>'B6B7B8'!O35</f>
        <v>0</v>
      </c>
    </row>
    <row r="38" spans="2:3" ht="15.75">
      <c r="B38" s="448" t="s">
        <v>714</v>
      </c>
      <c r="C38" s="572">
        <f>'B6B7B8'!O36</f>
        <v>192087</v>
      </c>
    </row>
    <row r="39" spans="2:3" ht="15.75">
      <c r="B39" s="448" t="s">
        <v>716</v>
      </c>
      <c r="C39" s="572">
        <f>'B6B7B8'!O37</f>
        <v>0</v>
      </c>
    </row>
    <row r="40" spans="2:3" ht="15.75">
      <c r="B40" s="143" t="s">
        <v>733</v>
      </c>
      <c r="C40" s="264">
        <f>'B6B7B8'!O38</f>
        <v>329871</v>
      </c>
    </row>
    <row r="41" spans="2:3" ht="15.75">
      <c r="B41" s="143" t="s">
        <v>745</v>
      </c>
      <c r="C41" s="264">
        <f>'B6B7B8'!O39</f>
        <v>329871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4">
      <selection activeCell="H61" sqref="H61"/>
    </sheetView>
  </sheetViews>
  <sheetFormatPr defaultColWidth="9.140625" defaultRowHeight="12.75"/>
  <cols>
    <col min="1" max="1" width="8.7109375" style="37" customWidth="1"/>
    <col min="2" max="2" width="62.7109375" style="1" customWidth="1"/>
    <col min="3" max="3" width="14.7109375" style="41" customWidth="1"/>
    <col min="4" max="4" width="9.140625" style="1" customWidth="1"/>
    <col min="5" max="5" width="12.57421875" style="1" customWidth="1"/>
    <col min="6" max="16384" width="9.140625" style="1" customWidth="1"/>
  </cols>
  <sheetData>
    <row r="1" ht="15.75">
      <c r="C1" s="20" t="s">
        <v>1215</v>
      </c>
    </row>
    <row r="2" ht="15.75">
      <c r="C2" s="20"/>
    </row>
    <row r="4" ht="15.75">
      <c r="B4" s="40" t="e">
        <f>tartalom!#REF!</f>
        <v>#REF!</v>
      </c>
    </row>
    <row r="5" ht="15.75">
      <c r="B5" s="40"/>
    </row>
    <row r="6" ht="15.75">
      <c r="C6" s="24" t="s">
        <v>430</v>
      </c>
    </row>
    <row r="7" spans="1:3" ht="15.75">
      <c r="A7" s="52">
        <v>360000</v>
      </c>
      <c r="B7" s="53" t="s">
        <v>1005</v>
      </c>
      <c r="C7" s="54"/>
    </row>
    <row r="8" spans="1:3" ht="15.75">
      <c r="A8" s="159"/>
      <c r="B8" s="1" t="s">
        <v>416</v>
      </c>
      <c r="C8" s="55">
        <f>'B3'!C39</f>
        <v>0</v>
      </c>
    </row>
    <row r="9" spans="2:3" ht="15.75">
      <c r="B9" s="12" t="s">
        <v>529</v>
      </c>
      <c r="C9" s="55" t="e">
        <f>'B1B2'!#REF!</f>
        <v>#REF!</v>
      </c>
    </row>
    <row r="10" spans="2:3" ht="15.75">
      <c r="B10" s="12" t="s">
        <v>417</v>
      </c>
      <c r="C10" s="55">
        <f>'B5'!C23</f>
        <v>0</v>
      </c>
    </row>
    <row r="11" spans="1:3" ht="15.75">
      <c r="A11" s="39">
        <v>360000</v>
      </c>
      <c r="B11" s="40" t="s">
        <v>965</v>
      </c>
      <c r="C11" s="56" t="e">
        <f>SUM(C8:C10)</f>
        <v>#REF!</v>
      </c>
    </row>
    <row r="12" spans="1:3" ht="15.75">
      <c r="A12" s="39"/>
      <c r="B12" s="40"/>
      <c r="C12" s="56"/>
    </row>
    <row r="13" spans="1:3" ht="15.75">
      <c r="A13" s="194">
        <v>370000</v>
      </c>
      <c r="B13" s="213" t="s">
        <v>854</v>
      </c>
      <c r="C13" s="223"/>
    </row>
    <row r="14" spans="1:3" ht="15.75">
      <c r="A14" s="39"/>
      <c r="B14" s="1" t="s">
        <v>517</v>
      </c>
      <c r="C14" s="55">
        <f>'B4'!Q30</f>
        <v>0</v>
      </c>
    </row>
    <row r="15" spans="1:3" ht="15.75">
      <c r="A15" s="39">
        <v>370000</v>
      </c>
      <c r="B15" s="40" t="s">
        <v>965</v>
      </c>
      <c r="C15" s="56">
        <v>200</v>
      </c>
    </row>
    <row r="16" ht="15.75">
      <c r="C16" s="20"/>
    </row>
    <row r="17" spans="1:3" ht="15.75">
      <c r="A17" s="52">
        <v>412000</v>
      </c>
      <c r="B17" s="53" t="s">
        <v>941</v>
      </c>
      <c r="C17" s="57"/>
    </row>
    <row r="18" spans="1:3" ht="15.75">
      <c r="A18" s="159"/>
      <c r="B18" s="1" t="s">
        <v>517</v>
      </c>
      <c r="C18" s="41">
        <f>'B4'!C30</f>
        <v>0</v>
      </c>
    </row>
    <row r="19" spans="2:3" ht="15.75">
      <c r="B19" s="1" t="s">
        <v>966</v>
      </c>
      <c r="C19" s="41">
        <f>'B1B2'!E23</f>
        <v>0</v>
      </c>
    </row>
    <row r="20" spans="2:3" ht="15.75">
      <c r="B20" s="12" t="s">
        <v>529</v>
      </c>
      <c r="C20" s="51" t="e">
        <f>'B1B2'!#REF!+'B1B2'!#REF!</f>
        <v>#REF!</v>
      </c>
    </row>
    <row r="21" spans="1:3" s="40" customFormat="1" ht="15.75">
      <c r="A21" s="39">
        <v>412000</v>
      </c>
      <c r="B21" s="40" t="s">
        <v>965</v>
      </c>
      <c r="C21" s="43" t="e">
        <f>SUM(C18:C20)</f>
        <v>#REF!</v>
      </c>
    </row>
    <row r="22" spans="1:3" s="40" customFormat="1" ht="15.75">
      <c r="A22" s="39"/>
      <c r="C22" s="43"/>
    </row>
    <row r="23" spans="1:3" s="40" customFormat="1" ht="15.75">
      <c r="A23" s="52">
        <v>421100</v>
      </c>
      <c r="B23" s="53" t="s">
        <v>943</v>
      </c>
      <c r="C23" s="57"/>
    </row>
    <row r="24" spans="1:3" s="40" customFormat="1" ht="15.75">
      <c r="A24" s="37"/>
      <c r="B24" s="1" t="s">
        <v>966</v>
      </c>
      <c r="C24" s="41">
        <f>'B1B2'!F23</f>
        <v>0</v>
      </c>
    </row>
    <row r="25" spans="1:3" s="40" customFormat="1" ht="15.75">
      <c r="A25" s="37"/>
      <c r="B25" s="12" t="s">
        <v>529</v>
      </c>
      <c r="C25" s="51" t="e">
        <f>'B1B2'!#REF!</f>
        <v>#REF!</v>
      </c>
    </row>
    <row r="26" spans="1:3" ht="15.75">
      <c r="A26" s="39">
        <v>412000</v>
      </c>
      <c r="B26" s="40" t="s">
        <v>965</v>
      </c>
      <c r="C26" s="43" t="e">
        <f>SUM(C24:C25)</f>
        <v>#REF!</v>
      </c>
    </row>
    <row r="27" spans="1:3" ht="15.75">
      <c r="A27" s="39"/>
      <c r="B27" s="40"/>
      <c r="C27" s="43"/>
    </row>
    <row r="28" spans="1:5" ht="15.75">
      <c r="A28" s="194">
        <v>682001</v>
      </c>
      <c r="B28" s="212" t="s">
        <v>1007</v>
      </c>
      <c r="C28" s="195"/>
      <c r="E28" s="38"/>
    </row>
    <row r="29" spans="2:3" ht="15.75">
      <c r="B29" s="1" t="s">
        <v>517</v>
      </c>
      <c r="C29" s="41">
        <f>'B4'!D30</f>
        <v>0</v>
      </c>
    </row>
    <row r="30" spans="1:3" s="40" customFormat="1" ht="15.75">
      <c r="A30" s="39">
        <v>682001</v>
      </c>
      <c r="B30" s="40" t="s">
        <v>965</v>
      </c>
      <c r="C30" s="43">
        <f>SUM(C29)</f>
        <v>0</v>
      </c>
    </row>
    <row r="32" spans="1:3" ht="15.75">
      <c r="A32" s="194">
        <v>682002</v>
      </c>
      <c r="B32" s="212" t="s">
        <v>1006</v>
      </c>
      <c r="C32" s="195"/>
    </row>
    <row r="33" spans="2:3" ht="15.75">
      <c r="B33" s="1" t="s">
        <v>517</v>
      </c>
      <c r="C33" s="41">
        <f>'B4'!F30+'B4'!N30</f>
        <v>0</v>
      </c>
    </row>
    <row r="34" spans="1:3" ht="15.75">
      <c r="A34" s="39">
        <v>682002</v>
      </c>
      <c r="B34" s="40" t="s">
        <v>965</v>
      </c>
      <c r="C34" s="43">
        <f>SUM(C33)</f>
        <v>0</v>
      </c>
    </row>
    <row r="36" spans="1:3" ht="15.75">
      <c r="A36" s="52">
        <v>841126</v>
      </c>
      <c r="B36" s="53" t="s">
        <v>967</v>
      </c>
      <c r="C36" s="57"/>
    </row>
    <row r="37" spans="2:3" ht="15.75">
      <c r="B37" s="1" t="s">
        <v>517</v>
      </c>
      <c r="C37" s="41">
        <f>'B4'!I30</f>
        <v>0</v>
      </c>
    </row>
    <row r="38" spans="2:3" ht="15.75">
      <c r="B38" s="1" t="s">
        <v>966</v>
      </c>
      <c r="C38" s="41">
        <f>'B1B2'!G23</f>
        <v>0</v>
      </c>
    </row>
    <row r="39" spans="2:3" ht="15.75">
      <c r="B39" s="6" t="s">
        <v>382</v>
      </c>
      <c r="C39" s="41">
        <f>'B6B7B8'!C25</f>
        <v>0</v>
      </c>
    </row>
    <row r="40" spans="2:3" ht="15.75">
      <c r="B40" s="12" t="s">
        <v>529</v>
      </c>
      <c r="C40" s="41" t="e">
        <f>'B1B2'!#REF!</f>
        <v>#REF!</v>
      </c>
    </row>
    <row r="41" spans="2:3" ht="15.75">
      <c r="B41" s="12" t="s">
        <v>1011</v>
      </c>
      <c r="C41" s="41">
        <f>'B6B7B8'!C10</f>
        <v>0</v>
      </c>
    </row>
    <row r="42" spans="2:3" ht="15.75">
      <c r="B42" s="29" t="s">
        <v>222</v>
      </c>
      <c r="C42" s="41">
        <f>'B6B7B8'!C17</f>
        <v>0</v>
      </c>
    </row>
    <row r="43" spans="2:3" ht="15.75">
      <c r="B43" s="1" t="s">
        <v>401</v>
      </c>
      <c r="C43" s="41">
        <f>'B6B7B8'!C31</f>
        <v>0</v>
      </c>
    </row>
    <row r="44" spans="1:3" s="40" customFormat="1" ht="15.75">
      <c r="A44" s="39">
        <v>841126</v>
      </c>
      <c r="B44" s="40" t="s">
        <v>965</v>
      </c>
      <c r="C44" s="58" t="e">
        <f>SUM(C37:C43)</f>
        <v>#REF!</v>
      </c>
    </row>
    <row r="45" ht="15.75">
      <c r="C45" s="1"/>
    </row>
    <row r="46" spans="1:3" ht="15.75">
      <c r="A46" s="53">
        <v>841133</v>
      </c>
      <c r="B46" s="53" t="s">
        <v>1008</v>
      </c>
      <c r="C46" s="53"/>
    </row>
    <row r="47" spans="1:3" ht="15.75">
      <c r="A47" s="1"/>
      <c r="B47" s="1" t="s">
        <v>519</v>
      </c>
      <c r="C47" s="209">
        <f>'B3'!D30</f>
        <v>0</v>
      </c>
    </row>
    <row r="48" spans="1:3" ht="15.75">
      <c r="A48" s="1"/>
      <c r="B48" s="6" t="s">
        <v>1013</v>
      </c>
      <c r="C48" s="41" t="e">
        <f>#REF!</f>
        <v>#REF!</v>
      </c>
    </row>
    <row r="49" spans="1:3" ht="15.75">
      <c r="A49" s="1"/>
      <c r="B49" s="12" t="s">
        <v>529</v>
      </c>
      <c r="C49" s="59" t="e">
        <f>'B1B2'!#REF!</f>
        <v>#REF!</v>
      </c>
    </row>
    <row r="50" spans="1:3" ht="15.75">
      <c r="A50" s="40">
        <v>841133</v>
      </c>
      <c r="B50" s="40" t="s">
        <v>965</v>
      </c>
      <c r="C50" s="48" t="e">
        <f>SUM(C47:C49)</f>
        <v>#REF!</v>
      </c>
    </row>
    <row r="51" spans="1:3" ht="15.75">
      <c r="A51" s="40"/>
      <c r="B51" s="40"/>
      <c r="C51" s="48"/>
    </row>
    <row r="52" spans="1:3" ht="15.75">
      <c r="A52" s="213">
        <v>841403</v>
      </c>
      <c r="B52" s="213" t="s">
        <v>1156</v>
      </c>
      <c r="C52" s="214"/>
    </row>
    <row r="53" spans="1:3" ht="15.75">
      <c r="A53" s="40"/>
      <c r="B53" s="1" t="s">
        <v>966</v>
      </c>
      <c r="C53" s="48">
        <f>'B1B2'!H23</f>
        <v>20340</v>
      </c>
    </row>
    <row r="54" spans="1:3" ht="15.75">
      <c r="A54" s="40"/>
      <c r="B54" s="12" t="s">
        <v>529</v>
      </c>
      <c r="C54" s="48" t="e">
        <f>'B1B2'!#REF!</f>
        <v>#REF!</v>
      </c>
    </row>
    <row r="55" spans="1:3" ht="15.75">
      <c r="A55" s="40">
        <v>841403</v>
      </c>
      <c r="B55" s="40" t="s">
        <v>965</v>
      </c>
      <c r="C55" s="48" t="e">
        <f>SUM(C53:C54)</f>
        <v>#REF!</v>
      </c>
    </row>
    <row r="56" ht="15.75">
      <c r="C56" s="1"/>
    </row>
    <row r="57" spans="1:3" ht="15.75">
      <c r="A57" s="52">
        <v>841901</v>
      </c>
      <c r="B57" s="53" t="s">
        <v>1009</v>
      </c>
      <c r="C57" s="57"/>
    </row>
    <row r="58" spans="2:3" ht="15.75">
      <c r="B58" s="1" t="s">
        <v>519</v>
      </c>
      <c r="C58" s="41">
        <f>'B3'!E29</f>
        <v>0</v>
      </c>
    </row>
    <row r="59" spans="2:3" ht="15.75">
      <c r="B59" s="6" t="s">
        <v>408</v>
      </c>
      <c r="C59" s="41">
        <f>1B!C38</f>
        <v>0</v>
      </c>
    </row>
    <row r="60" spans="2:3" ht="15.75">
      <c r="B60" s="6" t="s">
        <v>382</v>
      </c>
      <c r="C60" s="41">
        <f>'B6B7B8'!G25</f>
        <v>0</v>
      </c>
    </row>
    <row r="61" spans="2:3" ht="15.75">
      <c r="B61" s="1" t="s">
        <v>416</v>
      </c>
      <c r="C61" s="41">
        <f>'B3'!E39</f>
        <v>0</v>
      </c>
    </row>
    <row r="62" spans="2:3" ht="15.75">
      <c r="B62" s="6" t="s">
        <v>528</v>
      </c>
      <c r="C62" s="41" t="e">
        <f>#REF!</f>
        <v>#REF!</v>
      </c>
    </row>
    <row r="63" spans="1:3" ht="15.75">
      <c r="A63" s="39">
        <v>841901</v>
      </c>
      <c r="B63" s="40" t="s">
        <v>965</v>
      </c>
      <c r="C63" s="43" t="e">
        <f>SUM(C58:C62)</f>
        <v>#REF!</v>
      </c>
    </row>
    <row r="64" spans="1:3" ht="15.75">
      <c r="A64" s="39"/>
      <c r="B64" s="40"/>
      <c r="C64" s="43"/>
    </row>
    <row r="65" spans="1:3" ht="15.75">
      <c r="A65" s="194">
        <v>882125</v>
      </c>
      <c r="B65" s="215" t="s">
        <v>592</v>
      </c>
      <c r="C65" s="216"/>
    </row>
    <row r="66" spans="1:3" ht="15.75">
      <c r="A66" s="39"/>
      <c r="B66" s="1" t="s">
        <v>966</v>
      </c>
      <c r="C66" s="41">
        <f>'B1B2'!I13</f>
        <v>0</v>
      </c>
    </row>
    <row r="67" spans="1:3" ht="15.75">
      <c r="A67" s="39">
        <v>882215</v>
      </c>
      <c r="B67" s="221" t="s">
        <v>965</v>
      </c>
      <c r="C67" s="43">
        <f>C66</f>
        <v>0</v>
      </c>
    </row>
    <row r="68" spans="1:3" ht="15.75">
      <c r="A68" s="39"/>
      <c r="B68" s="210"/>
      <c r="C68" s="43"/>
    </row>
    <row r="69" spans="1:3" ht="15.75">
      <c r="A69" s="194">
        <v>889942</v>
      </c>
      <c r="B69" s="217" t="s">
        <v>140</v>
      </c>
      <c r="C69" s="216"/>
    </row>
    <row r="70" spans="1:3" ht="15.75">
      <c r="A70" s="39"/>
      <c r="B70" s="1" t="s">
        <v>1010</v>
      </c>
      <c r="C70" s="41">
        <f>'B6B7B8'!I16</f>
        <v>0</v>
      </c>
    </row>
    <row r="71" spans="1:3" ht="15.75">
      <c r="A71" s="39">
        <v>889942</v>
      </c>
      <c r="B71" s="40" t="s">
        <v>965</v>
      </c>
      <c r="C71" s="43">
        <f>C70</f>
        <v>0</v>
      </c>
    </row>
    <row r="72" spans="1:3" ht="15.75">
      <c r="A72" s="39"/>
      <c r="B72" s="40"/>
      <c r="C72" s="43"/>
    </row>
    <row r="73" spans="1:3" ht="15.75">
      <c r="A73" s="194">
        <v>890441</v>
      </c>
      <c r="B73" s="213" t="s">
        <v>372</v>
      </c>
      <c r="C73" s="216"/>
    </row>
    <row r="74" spans="1:3" ht="15.75">
      <c r="A74" s="39"/>
      <c r="B74" s="1" t="s">
        <v>966</v>
      </c>
      <c r="C74" s="41">
        <f>'B1B2'!J15</f>
        <v>0</v>
      </c>
    </row>
    <row r="75" spans="1:3" ht="15.75">
      <c r="A75" s="39">
        <v>890441</v>
      </c>
      <c r="B75" s="221" t="s">
        <v>965</v>
      </c>
      <c r="C75" s="43">
        <f>C74</f>
        <v>0</v>
      </c>
    </row>
    <row r="76" spans="1:3" ht="15.75">
      <c r="A76" s="39"/>
      <c r="B76" s="40"/>
      <c r="C76" s="43"/>
    </row>
    <row r="77" spans="1:3" ht="15.75">
      <c r="A77" s="194">
        <v>890442</v>
      </c>
      <c r="B77" s="213" t="s">
        <v>510</v>
      </c>
      <c r="C77" s="216"/>
    </row>
    <row r="78" spans="1:3" ht="15.75">
      <c r="A78" s="39"/>
      <c r="B78" s="1" t="s">
        <v>966</v>
      </c>
      <c r="C78" s="41">
        <f>'B1B2'!K15</f>
        <v>0</v>
      </c>
    </row>
    <row r="79" spans="1:3" ht="15.75">
      <c r="A79" s="39">
        <v>890442</v>
      </c>
      <c r="B79" s="221" t="s">
        <v>965</v>
      </c>
      <c r="C79" s="43">
        <f>C78</f>
        <v>0</v>
      </c>
    </row>
    <row r="80" spans="1:3" ht="15.75">
      <c r="A80" s="39"/>
      <c r="B80" s="221"/>
      <c r="C80" s="43"/>
    </row>
    <row r="81" spans="1:3" ht="15.75">
      <c r="A81" s="194">
        <v>910123</v>
      </c>
      <c r="B81" s="190" t="s">
        <v>204</v>
      </c>
      <c r="C81" s="216"/>
    </row>
    <row r="82" spans="1:3" ht="15.75">
      <c r="A82" s="39"/>
      <c r="B82" s="12" t="s">
        <v>522</v>
      </c>
      <c r="C82" s="41">
        <f>'B1B2'!T12</f>
        <v>0</v>
      </c>
    </row>
    <row r="83" spans="1:3" ht="15.75">
      <c r="A83" s="39">
        <v>910123</v>
      </c>
      <c r="B83" s="221" t="s">
        <v>965</v>
      </c>
      <c r="C83" s="43">
        <f>C82</f>
        <v>0</v>
      </c>
    </row>
    <row r="85" spans="1:3" ht="15.75">
      <c r="A85" s="194">
        <v>910502</v>
      </c>
      <c r="B85" s="190" t="s">
        <v>206</v>
      </c>
      <c r="C85" s="195"/>
    </row>
    <row r="86" spans="2:3" ht="15.75">
      <c r="B86" s="12" t="s">
        <v>522</v>
      </c>
      <c r="C86" s="41" t="e">
        <f>'B1B2'!#REF!</f>
        <v>#REF!</v>
      </c>
    </row>
    <row r="87" spans="1:3" ht="15.75">
      <c r="A87" s="39">
        <v>910502</v>
      </c>
      <c r="B87" s="193" t="s">
        <v>965</v>
      </c>
      <c r="C87" s="43" t="e">
        <f>C86</f>
        <v>#REF!</v>
      </c>
    </row>
    <row r="89" spans="1:3" ht="15.75">
      <c r="A89" s="39"/>
      <c r="B89" s="40" t="s">
        <v>1014</v>
      </c>
      <c r="C89" s="43" t="e">
        <f>C11+C15+C21+C26+C30+C34+C44+C50+C55+C63+C67+C87+C71+C75+C79+C83</f>
        <v>#REF!</v>
      </c>
    </row>
    <row r="90" s="40" customFormat="1" ht="15.75"/>
    <row r="94" spans="1:3" ht="15.75">
      <c r="A94" s="1"/>
      <c r="C94" s="1"/>
    </row>
    <row r="95" spans="1:3" ht="15.75">
      <c r="A95" s="1"/>
      <c r="C95" s="1"/>
    </row>
    <row r="96" spans="1:3" ht="15.75">
      <c r="A96" s="1"/>
      <c r="C96" s="1"/>
    </row>
    <row r="97" s="40" customFormat="1" ht="15.75"/>
    <row r="99" spans="2:3" ht="15.75">
      <c r="B99" s="61"/>
      <c r="C99" s="62"/>
    </row>
    <row r="100" ht="15.75">
      <c r="B100" s="61"/>
    </row>
    <row r="101" ht="15.75">
      <c r="B101" s="61"/>
    </row>
    <row r="102" ht="15.75">
      <c r="B102" s="61"/>
    </row>
    <row r="103" ht="15.75">
      <c r="B103" s="61"/>
    </row>
    <row r="104" ht="15.75">
      <c r="B104" s="61"/>
    </row>
    <row r="105" ht="15.75">
      <c r="B105" s="63"/>
    </row>
    <row r="106" ht="15.75">
      <c r="B106" s="63"/>
    </row>
    <row r="107" ht="15.75">
      <c r="B107" s="63"/>
    </row>
    <row r="108" ht="15.75">
      <c r="B108" s="63"/>
    </row>
    <row r="109" ht="15.75">
      <c r="B109" s="61"/>
    </row>
    <row r="110" ht="15.75">
      <c r="B110" s="61"/>
    </row>
    <row r="111" ht="15.75">
      <c r="B111" s="63"/>
    </row>
    <row r="112" ht="15.75">
      <c r="B112" s="63"/>
    </row>
    <row r="113" ht="15.75">
      <c r="B113" s="61"/>
    </row>
    <row r="114" ht="15.75">
      <c r="B114" s="63"/>
    </row>
    <row r="115" ht="15.75">
      <c r="B115" s="45"/>
    </row>
    <row r="116" ht="15.75">
      <c r="B116" s="45"/>
    </row>
    <row r="117" ht="15.75">
      <c r="B117" s="45"/>
    </row>
    <row r="118" ht="15.75">
      <c r="B118" s="61"/>
    </row>
    <row r="119" ht="15.75">
      <c r="B119" s="61"/>
    </row>
  </sheetData>
  <printOptions horizontalCentered="1"/>
  <pageMargins left="0.7875" right="0.7875" top="0.9840277777777778" bottom="0.9840277777777778" header="0.5118055555555556" footer="0.5118055555555556"/>
  <pageSetup fitToHeight="2" horizontalDpi="300" verticalDpi="3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Ildiko</cp:lastModifiedBy>
  <cp:lastPrinted>2014-02-18T10:23:02Z</cp:lastPrinted>
  <dcterms:created xsi:type="dcterms:W3CDTF">2008-02-14T07:24:51Z</dcterms:created>
  <dcterms:modified xsi:type="dcterms:W3CDTF">2014-02-18T12:12:33Z</dcterms:modified>
  <cp:category/>
  <cp:version/>
  <cp:contentType/>
  <cp:contentStatus/>
</cp:coreProperties>
</file>