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<sst xmlns="http://schemas.openxmlformats.org/spreadsheetml/2006/main" count="128" uniqueCount="105">
  <si>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</si>
  <si>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</si>
  <si>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</si>
  <si>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</si>
  <si>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</si>
  <si>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</si>
  <si>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</si>
  <si>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</si>
  <si>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</si>
  <si>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</si>
  <si>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</si>
  <si>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</si>
  <si>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</si>
  <si>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</si>
  <si>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</si>
  <si>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</si>
  <si>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</si>
  <si>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</si>
  <si>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</si>
  <si>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</si>
  <si>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</si>
  <si>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</si>
  <si>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</si>
  <si>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</si>
  <si>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</si>
  <si>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</si>
  <si>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</si>
  <si>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</si>
  <si>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</si>
  <si>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</si>
  <si>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</si>
  <si>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</si>
  <si>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</si>
  <si>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</si>
  <si>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</si>
  <si>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</si>
  <si>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</si>
  <si>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</si>
  <si>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</si>
  <si>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</si>
  <si>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</si>
  <si>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</si>
  <si>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</si>
  <si>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</si>
  <si>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</si>
  <si>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</si>
  <si>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</si>
  <si>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</si>
  <si>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</si>
  <si>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</si>
  <si>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</si>
  <si>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</si>
  <si>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</si>
  <si>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</si>
  <si>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</si>
  <si>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</si>
  <si>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</si>
  <si>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</si>
  <si>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</si>
  <si>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</si>
  <si>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</si>
  <si>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</si>
  <si>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</si>
  <si>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</si>
  <si>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</si>
  <si>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</si>
  <si>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</si>
  <si>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</si>
  <si>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</si>
  <si>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</si>
  <si>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</si>
  <si>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</si>
  <si>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</si>
  <si>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</si>
  <si>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</si>
  <si>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</si>
  <si>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</si>
  <si>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</si>
  <si>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</si>
  <si>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</si>
  <si>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</si>
  <si>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</si>
  <si>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</si>
  <si>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</si>
  <si>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</si>
  <si>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</si>
  <si>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</si>
  <si>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>nyitó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</si>
  <si>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</si>
  <si>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</si>
  <si>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</si>
  <si>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</si>
  <si>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</si>
  <si>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</si>
  <si>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</si>
  <si>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</si>
  <si>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</si>
  <si>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</si>
  <si>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2016. évi ei</t>
  </si>
  <si>
    <t>Belváros-Lipótváros Önkormányzata 2016.évi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</si>
  <si>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2016.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</si>
  <si>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2016.évi</t>
  </si>
  <si>
    <t>ei</t>
  </si>
  <si>
    <t>Betétlekötés megszüntetése működési</t>
  </si>
  <si>
    <t>Betétlekötés megszüntetése finanszírozási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</si>
</sst>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7" fillId="0" borderId="60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67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3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7" fillId="0" borderId="69" xfId="0" applyNumberFormat="1" applyFont="1" applyFill="1" applyBorder="1" applyAlignment="1">
      <alignment vertical="center" shrinkToFit="1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O49" sqref="O49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2.253906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1.375" style="146" customWidth="1"/>
    <col min="18" max="18" width="9.125" style="18" customWidth="1"/>
    <col min="19" max="19" width="9.125" style="134" customWidth="1"/>
    <col min="20" max="20" width="12.875" style="134" customWidth="1"/>
    <col min="21" max="21" width="9.125" style="134" customWidth="1"/>
    <col min="22" max="22" width="9.125" style="22" customWidth="1"/>
    <col min="23" max="23" width="12.875" style="22" customWidth="1"/>
    <col min="24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8" t="s">
        <v>40</v>
      </c>
      <c r="P2" s="208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07" t="s">
        <v>94</v>
      </c>
      <c r="P7" s="207"/>
    </row>
    <row r="8" spans="1:16" ht="21" customHeight="1">
      <c r="A8" s="195" t="s">
        <v>99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59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7.25" customHeight="1" thickBot="1">
      <c r="A14" s="196" t="s">
        <v>1</v>
      </c>
      <c r="B14" s="196"/>
      <c r="C14" s="197" t="s">
        <v>98</v>
      </c>
      <c r="D14" s="199" t="s">
        <v>2</v>
      </c>
      <c r="E14" s="199" t="s">
        <v>3</v>
      </c>
      <c r="F14" s="199" t="s">
        <v>4</v>
      </c>
      <c r="G14" s="199" t="s">
        <v>5</v>
      </c>
      <c r="H14" s="199" t="s">
        <v>6</v>
      </c>
      <c r="I14" s="199" t="s">
        <v>7</v>
      </c>
      <c r="J14" s="199" t="s">
        <v>8</v>
      </c>
      <c r="K14" s="199" t="s">
        <v>9</v>
      </c>
      <c r="L14" s="199" t="s">
        <v>10</v>
      </c>
      <c r="M14" s="199" t="s">
        <v>11</v>
      </c>
      <c r="N14" s="199" t="s">
        <v>12</v>
      </c>
      <c r="O14" s="199" t="s">
        <v>13</v>
      </c>
      <c r="P14" s="199" t="s">
        <v>14</v>
      </c>
    </row>
    <row r="15" spans="1:16" ht="13.5" thickBot="1">
      <c r="A15" s="196"/>
      <c r="B15" s="196"/>
      <c r="C15" s="198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ht="15" customHeight="1" thickBot="1">
      <c r="A16" s="203">
        <v>1</v>
      </c>
      <c r="B16" s="204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9" ht="15" customHeight="1">
      <c r="A17" s="25" t="s">
        <v>15</v>
      </c>
      <c r="B17" s="26" t="s">
        <v>78</v>
      </c>
      <c r="C17" s="27">
        <f>SUM(C18:C22)</f>
        <v>15334858</v>
      </c>
      <c r="D17" s="27">
        <f aca="true" t="shared" si="0" ref="D17:N17">SUM(D18:D22)</f>
        <v>1181114.7933333332</v>
      </c>
      <c r="E17" s="27">
        <f t="shared" si="0"/>
        <v>1202806.5</v>
      </c>
      <c r="F17" s="27">
        <f t="shared" si="0"/>
        <v>1198853.5</v>
      </c>
      <c r="G17" s="27">
        <f t="shared" si="0"/>
        <v>1214662.76</v>
      </c>
      <c r="H17" s="27">
        <f t="shared" si="0"/>
        <v>1200034.79</v>
      </c>
      <c r="I17" s="27">
        <f t="shared" si="0"/>
        <v>1234923.5</v>
      </c>
      <c r="J17" s="27">
        <f t="shared" si="0"/>
        <v>1286719.3</v>
      </c>
      <c r="K17" s="27">
        <f t="shared" si="0"/>
        <v>1265313.5</v>
      </c>
      <c r="L17" s="27">
        <f t="shared" si="0"/>
        <v>1294078.8599999999</v>
      </c>
      <c r="M17" s="27">
        <f t="shared" si="0"/>
        <v>1339133.37</v>
      </c>
      <c r="N17" s="27">
        <f t="shared" si="0"/>
        <v>1381476.87</v>
      </c>
      <c r="O17" s="27">
        <f>SUM(O18:O22)+1</f>
        <v>1535741.84</v>
      </c>
      <c r="P17" s="110">
        <f>SUM(D17:O17)</f>
        <v>15334859.583333332</v>
      </c>
      <c r="R17" s="114"/>
      <c r="S17" s="133"/>
    </row>
    <row r="18" spans="1:20" ht="15" customHeight="1">
      <c r="A18" s="29"/>
      <c r="B18" s="45" t="s">
        <v>16</v>
      </c>
      <c r="C18" s="142">
        <v>2938175</v>
      </c>
      <c r="D18" s="30">
        <f>48653+48300+12148+155897</f>
        <v>264998</v>
      </c>
      <c r="E18" s="30">
        <f>48653+155897+12000</f>
        <v>216550</v>
      </c>
      <c r="F18" s="30">
        <f>48653+155897</f>
        <v>204550</v>
      </c>
      <c r="G18" s="30">
        <f>48653+48458+29780+155897</f>
        <v>282788</v>
      </c>
      <c r="H18" s="30">
        <f>48653+155897+31727</f>
        <v>236277</v>
      </c>
      <c r="I18" s="30">
        <f>48653+155897+12000</f>
        <v>216550</v>
      </c>
      <c r="J18" s="30">
        <f>48653+12500+155897+7840</f>
        <v>224890</v>
      </c>
      <c r="K18" s="30">
        <f>48653+155897+3500+12000</f>
        <v>220050</v>
      </c>
      <c r="L18" s="30">
        <f>48653+155897-4000+3200+17468</f>
        <v>221218</v>
      </c>
      <c r="M18" s="30">
        <f>48653+7891+155987+2900+15000</f>
        <v>230431</v>
      </c>
      <c r="N18" s="30">
        <f>48653+29780+155987+2200+15000+7000+19469+12292</f>
        <v>290381</v>
      </c>
      <c r="O18" s="30">
        <f>48653+20000+155717+984+14572+45000+35000-25849+20000+17000-1585</f>
        <v>329492</v>
      </c>
      <c r="P18" s="19">
        <f aca="true" t="shared" si="1" ref="P18:P49">SUM(D18:O18)</f>
        <v>2938175</v>
      </c>
      <c r="R18" s="114">
        <f>SUM(C18-P18)</f>
        <v>0</v>
      </c>
      <c r="S18" s="133"/>
      <c r="T18" s="132"/>
    </row>
    <row r="19" spans="1:20" ht="15" customHeight="1">
      <c r="A19" s="29"/>
      <c r="B19" s="45" t="s">
        <v>68</v>
      </c>
      <c r="C19" s="142">
        <v>871606</v>
      </c>
      <c r="D19" s="30">
        <f>SUM(D18*0.27)</f>
        <v>71549.46</v>
      </c>
      <c r="E19" s="30">
        <f>SUM(E18*0.27)+5000</f>
        <v>63468.50000000001</v>
      </c>
      <c r="F19" s="30">
        <f>SUM(F18*0.27)+5000</f>
        <v>60228.5</v>
      </c>
      <c r="G19" s="30">
        <f>SUM(G18*0.27)</f>
        <v>76352.76000000001</v>
      </c>
      <c r="H19" s="30">
        <f>SUM(H18*0.27)</f>
        <v>63794.79</v>
      </c>
      <c r="I19" s="30">
        <f>SUM(I18*0.27)+5000</f>
        <v>63468.50000000001</v>
      </c>
      <c r="J19" s="30">
        <f>SUM(J18*0.27)+5000</f>
        <v>65720.3</v>
      </c>
      <c r="K19" s="30">
        <f>SUM(K18*0.27)+5000+1205</f>
        <v>65618.5</v>
      </c>
      <c r="L19" s="30">
        <f>SUM(L18*0.27)+5000+4056+10468</f>
        <v>79252.86</v>
      </c>
      <c r="M19" s="30">
        <f>SUM(M18*0.27)+5000+7000</f>
        <v>74216.37</v>
      </c>
      <c r="N19" s="30">
        <f>SUM(N18*0.27)+7000+7000+5186</f>
        <v>97588.87000000001</v>
      </c>
      <c r="O19" s="30">
        <f>SUM(O18*0.27)+10000+9804-18420</f>
        <v>90346.84000000001</v>
      </c>
      <c r="P19" s="19">
        <f t="shared" si="1"/>
        <v>871606.25</v>
      </c>
      <c r="R19" s="114">
        <f aca="true" t="shared" si="2" ref="R19:R50">SUM(C19-P19)</f>
        <v>-0.25</v>
      </c>
      <c r="S19" s="133"/>
      <c r="T19" s="132"/>
    </row>
    <row r="20" spans="1:20" ht="15" customHeight="1">
      <c r="A20" s="29"/>
      <c r="B20" s="45" t="s">
        <v>38</v>
      </c>
      <c r="C20" s="142">
        <v>9142847</v>
      </c>
      <c r="D20" s="30">
        <f>673522-14344-10000+60000</f>
        <v>709178</v>
      </c>
      <c r="E20" s="30">
        <f>673522-11000+60000</f>
        <v>722522</v>
      </c>
      <c r="F20" s="30">
        <f>673522+60490</f>
        <v>734012</v>
      </c>
      <c r="G20" s="30">
        <f>673522+32270</f>
        <v>705792</v>
      </c>
      <c r="H20" s="30">
        <f>673522+32280+35000</f>
        <v>740802</v>
      </c>
      <c r="I20" s="30">
        <f>673522+35000+23406+20000+12356</f>
        <v>764284</v>
      </c>
      <c r="J20" s="30">
        <f>673522+22325+19487+50000+20000+14253</f>
        <v>799587</v>
      </c>
      <c r="K20" s="30">
        <f>673522+26332+50000+20000+12403</f>
        <v>782257</v>
      </c>
      <c r="L20" s="30">
        <f>673522+54231+50000+20000</f>
        <v>797753</v>
      </c>
      <c r="M20" s="30">
        <f>673522+21323+25000+50000+20000+35000</f>
        <v>824845</v>
      </c>
      <c r="N20" s="30">
        <f>673522+23541+123547+50000+20000+34147+70038-200000</f>
        <v>794795</v>
      </c>
      <c r="O20" s="30">
        <f>673522-5+34005+11717+70453+100000+20000+30000-10224+78000-240448</f>
        <v>767020</v>
      </c>
      <c r="P20" s="19">
        <f t="shared" si="1"/>
        <v>9142847</v>
      </c>
      <c r="R20" s="114">
        <f t="shared" si="2"/>
        <v>0</v>
      </c>
      <c r="S20" s="133"/>
      <c r="T20" s="132"/>
    </row>
    <row r="21" spans="1:20" ht="15" customHeight="1">
      <c r="A21" s="29"/>
      <c r="B21" s="45" t="s">
        <v>39</v>
      </c>
      <c r="C21" s="142">
        <v>666779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30515+2300+5000</f>
        <v>37815</v>
      </c>
      <c r="H21" s="30">
        <f>30515+2300+5000</f>
        <v>37815</v>
      </c>
      <c r="I21" s="30">
        <f>30515+2217+5000</f>
        <v>37732</v>
      </c>
      <c r="J21" s="30">
        <f>30515+15467</f>
        <v>45982</v>
      </c>
      <c r="K21" s="30">
        <f>30515+13545+3686+1521-7925</f>
        <v>41342</v>
      </c>
      <c r="L21" s="30">
        <f>30515+15326+2246-5000</f>
        <v>43087</v>
      </c>
      <c r="M21" s="30">
        <f>30515+15325+5000-10000</f>
        <v>40840</v>
      </c>
      <c r="N21" s="30">
        <f>50000+30515+1166+124-40000</f>
        <v>41805</v>
      </c>
      <c r="O21" s="30">
        <f>50000+30515+24205-15920</f>
        <v>88800</v>
      </c>
      <c r="P21" s="19">
        <f t="shared" si="1"/>
        <v>666779</v>
      </c>
      <c r="R21" s="114">
        <f t="shared" si="2"/>
        <v>0</v>
      </c>
      <c r="S21" s="133"/>
      <c r="T21" s="132"/>
    </row>
    <row r="22" spans="1:20" ht="15" customHeight="1">
      <c r="A22" s="29"/>
      <c r="B22" s="45" t="s">
        <v>52</v>
      </c>
      <c r="C22" s="142">
        <v>1715451</v>
      </c>
      <c r="D22" s="142">
        <f aca="true" t="shared" si="3" ref="D22:O22">SUM(D25:D29)</f>
        <v>51874.33333333333</v>
      </c>
      <c r="E22" s="142">
        <f t="shared" si="3"/>
        <v>116251</v>
      </c>
      <c r="F22" s="142">
        <f t="shared" si="3"/>
        <v>116032</v>
      </c>
      <c r="G22" s="142">
        <f>SUM(G24:G29)</f>
        <v>111915</v>
      </c>
      <c r="H22" s="142">
        <f t="shared" si="3"/>
        <v>121346</v>
      </c>
      <c r="I22" s="142">
        <f t="shared" si="3"/>
        <v>152889</v>
      </c>
      <c r="J22" s="142">
        <f t="shared" si="3"/>
        <v>150540</v>
      </c>
      <c r="K22" s="142">
        <f t="shared" si="3"/>
        <v>156046</v>
      </c>
      <c r="L22" s="142">
        <f t="shared" si="3"/>
        <v>152768</v>
      </c>
      <c r="M22" s="142">
        <f t="shared" si="3"/>
        <v>168801</v>
      </c>
      <c r="N22" s="142">
        <f t="shared" si="3"/>
        <v>156907</v>
      </c>
      <c r="O22" s="142">
        <f t="shared" si="3"/>
        <v>260082</v>
      </c>
      <c r="P22" s="19">
        <f t="shared" si="1"/>
        <v>1715451.3333333333</v>
      </c>
      <c r="R22" s="114">
        <f t="shared" si="2"/>
        <v>-0.3333333332557231</v>
      </c>
      <c r="S22" s="133"/>
      <c r="T22" s="132"/>
    </row>
    <row r="23" spans="1:20" ht="12.75" customHeight="1" hidden="1">
      <c r="A23" s="127"/>
      <c r="B23" s="128"/>
      <c r="C23" s="18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114">
        <f t="shared" si="2"/>
        <v>0</v>
      </c>
      <c r="S23" s="133"/>
      <c r="T23" s="132"/>
    </row>
    <row r="24" spans="1:20" ht="12.75" customHeight="1">
      <c r="A24" s="107"/>
      <c r="B24" s="128" t="s">
        <v>86</v>
      </c>
      <c r="C24" s="182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  <c r="Q24" s="150"/>
      <c r="R24" s="114">
        <f t="shared" si="2"/>
        <v>0</v>
      </c>
      <c r="S24" s="133"/>
      <c r="T24" s="132"/>
    </row>
    <row r="25" spans="1:20" ht="12.75" customHeight="1">
      <c r="A25" s="107"/>
      <c r="B25" s="128" t="s">
        <v>71</v>
      </c>
      <c r="C25" s="182">
        <v>350176</v>
      </c>
      <c r="D25" s="32">
        <f>SUM(C25/12)-2400</f>
        <v>26781.333333333332</v>
      </c>
      <c r="E25" s="32">
        <f>36941+23-6000-2000</f>
        <v>28964</v>
      </c>
      <c r="F25" s="32">
        <f>36941+23-7000</f>
        <v>29964</v>
      </c>
      <c r="G25" s="32">
        <f>36941-7000</f>
        <v>29941</v>
      </c>
      <c r="H25" s="32">
        <f>36941-3029-6000</f>
        <v>27912</v>
      </c>
      <c r="I25" s="32">
        <f>36941-3000-8000</f>
        <v>25941</v>
      </c>
      <c r="J25" s="32">
        <f>36941-8000</f>
        <v>28941</v>
      </c>
      <c r="K25" s="32">
        <f>36941-8000</f>
        <v>28941</v>
      </c>
      <c r="L25" s="32">
        <f>36941-8000</f>
        <v>28941</v>
      </c>
      <c r="M25" s="32">
        <f>36941-19000+21000-8000</f>
        <v>30941</v>
      </c>
      <c r="N25" s="32">
        <f>36941-19000+20682-8000</f>
        <v>30623</v>
      </c>
      <c r="O25" s="109">
        <f>36941-5-21064+8744+13575+2095-8000</f>
        <v>32286</v>
      </c>
      <c r="P25" s="19">
        <f t="shared" si="1"/>
        <v>350176.3333333333</v>
      </c>
      <c r="Q25" s="150"/>
      <c r="R25" s="114">
        <f t="shared" si="2"/>
        <v>-0.3333333333139308</v>
      </c>
      <c r="S25" s="133"/>
      <c r="T25" s="132"/>
    </row>
    <row r="26" spans="1:20" ht="12.75" customHeight="1">
      <c r="A26" s="107"/>
      <c r="B26" s="128" t="s">
        <v>88</v>
      </c>
      <c r="C26" s="182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09"/>
      <c r="P26" s="19">
        <f t="shared" si="1"/>
        <v>0</v>
      </c>
      <c r="Q26" s="150"/>
      <c r="R26" s="114"/>
      <c r="S26" s="133"/>
      <c r="T26" s="132"/>
    </row>
    <row r="27" spans="1:20" ht="12.75" customHeight="1">
      <c r="A27" s="107"/>
      <c r="B27" s="128" t="s">
        <v>72</v>
      </c>
      <c r="C27" s="182">
        <v>544432</v>
      </c>
      <c r="D27" s="32">
        <f>40093-5000-10000</f>
        <v>25093</v>
      </c>
      <c r="E27" s="32">
        <f>40093-5000-10000</f>
        <v>25093</v>
      </c>
      <c r="F27" s="32">
        <f>40093-20000</f>
        <v>20093</v>
      </c>
      <c r="G27" s="32">
        <f>40093-20000</f>
        <v>20093</v>
      </c>
      <c r="H27" s="32">
        <f>40093+3400-20000</f>
        <v>23493</v>
      </c>
      <c r="I27" s="32">
        <f>40093+45236-20000</f>
        <v>65329</v>
      </c>
      <c r="J27" s="32">
        <f>40093+35621-20000</f>
        <v>55714</v>
      </c>
      <c r="K27" s="32">
        <f>40093+14796+25631-20000</f>
        <v>60520</v>
      </c>
      <c r="L27" s="32">
        <f>40093+10000+21321-20000</f>
        <v>51414</v>
      </c>
      <c r="M27" s="32">
        <f>40093-3395+10000+24123+20682-20000-2717</f>
        <v>68786</v>
      </c>
      <c r="N27" s="32">
        <f>40093+10000+21652+20000-20000-10000</f>
        <v>61745</v>
      </c>
      <c r="O27" s="32">
        <f>40093+10000+29977+6989-20000</f>
        <v>67059</v>
      </c>
      <c r="P27" s="19">
        <f t="shared" si="1"/>
        <v>544432</v>
      </c>
      <c r="Q27" s="150"/>
      <c r="R27" s="114">
        <f t="shared" si="2"/>
        <v>0</v>
      </c>
      <c r="S27" s="133"/>
      <c r="T27" s="132"/>
    </row>
    <row r="28" spans="1:20" ht="12.75" customHeight="1">
      <c r="A28" s="107"/>
      <c r="B28" s="128" t="s">
        <v>73</v>
      </c>
      <c r="C28" s="182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09">
        <v>100000</v>
      </c>
      <c r="P28" s="19">
        <f t="shared" si="1"/>
        <v>100000</v>
      </c>
      <c r="Q28" s="150"/>
      <c r="R28" s="114">
        <f t="shared" si="2"/>
        <v>0</v>
      </c>
      <c r="S28" s="133"/>
      <c r="T28" s="132"/>
    </row>
    <row r="29" spans="1:20" ht="12.75" customHeight="1">
      <c r="A29" s="107"/>
      <c r="B29" s="128" t="s">
        <v>74</v>
      </c>
      <c r="C29" s="182">
        <v>720843</v>
      </c>
      <c r="D29" s="32"/>
      <c r="E29" s="32">
        <f>34539-22345+50000</f>
        <v>62194</v>
      </c>
      <c r="F29" s="32">
        <f>34539+20000-48564+50000+10000</f>
        <v>65975</v>
      </c>
      <c r="G29" s="32">
        <f>34539+15000-47658+50000+10000</f>
        <v>61881</v>
      </c>
      <c r="H29" s="32">
        <f>34539-24598+50000+10000</f>
        <v>69941</v>
      </c>
      <c r="I29" s="32">
        <f>50000+34539+10000-50356-42564+50000+10000</f>
        <v>61619</v>
      </c>
      <c r="J29" s="32">
        <f>34539-28654+50000+10000</f>
        <v>65885</v>
      </c>
      <c r="K29" s="32">
        <f>34539-27954+50000+10000</f>
        <v>66585</v>
      </c>
      <c r="L29" s="32">
        <f>34539-22126+50000+10000</f>
        <v>72413</v>
      </c>
      <c r="M29" s="32">
        <f>34539+100000-100000-23481+50000+10000-1984</f>
        <v>69074</v>
      </c>
      <c r="N29" s="32">
        <f>34539+100500-100500-20000+50000</f>
        <v>64539</v>
      </c>
      <c r="O29" s="109">
        <f>297060-125571-140000-26744+50000+5992</f>
        <v>60737</v>
      </c>
      <c r="P29" s="19">
        <f t="shared" si="1"/>
        <v>720843</v>
      </c>
      <c r="Q29" s="150"/>
      <c r="R29" s="114">
        <f t="shared" si="2"/>
        <v>0</v>
      </c>
      <c r="S29" s="133"/>
      <c r="T29" s="132"/>
    </row>
    <row r="30" spans="1:20" ht="15" customHeight="1">
      <c r="A30" s="33" t="s">
        <v>17</v>
      </c>
      <c r="B30" s="34" t="s">
        <v>79</v>
      </c>
      <c r="C30" s="19">
        <f aca="true" t="shared" si="4" ref="C30:O30">SUM(C31:C33)</f>
        <v>3498780</v>
      </c>
      <c r="D30" s="19">
        <f>SUM(D31:D33)</f>
        <v>102281.25</v>
      </c>
      <c r="E30" s="19">
        <f t="shared" si="4"/>
        <v>148497.25</v>
      </c>
      <c r="F30" s="19">
        <f t="shared" si="4"/>
        <v>176494.25</v>
      </c>
      <c r="G30" s="19">
        <f t="shared" si="4"/>
        <v>157972.25</v>
      </c>
      <c r="H30" s="19">
        <f t="shared" si="4"/>
        <v>139218</v>
      </c>
      <c r="I30" s="19">
        <f t="shared" si="4"/>
        <v>209818</v>
      </c>
      <c r="J30" s="19">
        <f t="shared" si="4"/>
        <v>367797</v>
      </c>
      <c r="K30" s="19">
        <f t="shared" si="4"/>
        <v>358430</v>
      </c>
      <c r="L30" s="19">
        <f t="shared" si="4"/>
        <v>460131</v>
      </c>
      <c r="M30" s="19">
        <f t="shared" si="4"/>
        <v>332734</v>
      </c>
      <c r="N30" s="19">
        <f t="shared" si="4"/>
        <v>231473</v>
      </c>
      <c r="O30" s="19">
        <f t="shared" si="4"/>
        <v>813934</v>
      </c>
      <c r="P30" s="19">
        <f>SUM(D30:O30)</f>
        <v>3498780</v>
      </c>
      <c r="R30" s="114">
        <f t="shared" si="2"/>
        <v>0</v>
      </c>
      <c r="S30" s="133"/>
      <c r="T30" s="132"/>
    </row>
    <row r="31" spans="1:20" ht="15" customHeight="1">
      <c r="A31" s="29"/>
      <c r="B31" s="45" t="s">
        <v>69</v>
      </c>
      <c r="C31" s="142">
        <v>1604425</v>
      </c>
      <c r="D31" s="142">
        <f>314961/4+1092+120000+1000-100000-4000</f>
        <v>96832.25</v>
      </c>
      <c r="E31" s="142">
        <f>314961/4+1092+11276+1000-10000</f>
        <v>82108.25</v>
      </c>
      <c r="F31" s="142">
        <f>314961/4+1092+11000+1000-10000</f>
        <v>81832.25</v>
      </c>
      <c r="G31" s="142">
        <f>314961/4+1092+12000+1000-10000</f>
        <v>82832.25</v>
      </c>
      <c r="H31" s="142">
        <f>1092+12000+1000</f>
        <v>14092</v>
      </c>
      <c r="I31" s="142">
        <f>1092+1000+3000+75121</f>
        <v>80213</v>
      </c>
      <c r="J31" s="142">
        <f>1092+1000+2000+25256+300000-80000-6641</f>
        <v>242707</v>
      </c>
      <c r="K31" s="142">
        <f>1092+1000+5000+15032+200000</f>
        <v>222124</v>
      </c>
      <c r="L31" s="142">
        <f>1092+1000+3000+124+214300+150000-80000</f>
        <v>289516</v>
      </c>
      <c r="M31" s="142">
        <f>1092+1000+7000+147+50000+136500</f>
        <v>195739</v>
      </c>
      <c r="N31" s="142">
        <f>1092+1000+1000+1896+37650+3520+120000-60000</f>
        <v>106158</v>
      </c>
      <c r="O31" s="142">
        <f>1092+1000+15092+50000+10015+103072-70000</f>
        <v>110271</v>
      </c>
      <c r="P31" s="19">
        <f t="shared" si="1"/>
        <v>1604425</v>
      </c>
      <c r="R31" s="114">
        <f>SUM(C31-P31)</f>
        <v>0</v>
      </c>
      <c r="S31" s="133"/>
      <c r="T31" s="132"/>
    </row>
    <row r="32" spans="1:20" ht="15" customHeight="1">
      <c r="A32" s="29"/>
      <c r="B32" s="45" t="s">
        <v>70</v>
      </c>
      <c r="C32" s="142">
        <v>458478</v>
      </c>
      <c r="D32" s="142">
        <f>3782+1667</f>
        <v>5449</v>
      </c>
      <c r="E32" s="142">
        <f>3497+8000+1667</f>
        <v>13164</v>
      </c>
      <c r="F32" s="142">
        <f>3495+1667</f>
        <v>5162</v>
      </c>
      <c r="G32" s="142">
        <f>3473+1667</f>
        <v>5140</v>
      </c>
      <c r="H32" s="142">
        <f>3459+1667+40000</f>
        <v>45126</v>
      </c>
      <c r="I32" s="142">
        <f>3438+1667+40000</f>
        <v>45105</v>
      </c>
      <c r="J32" s="142">
        <f>3423+1667+40000</f>
        <v>45090</v>
      </c>
      <c r="K32" s="142">
        <f>3405+1667+40000</f>
        <v>45072</v>
      </c>
      <c r="L32" s="142">
        <f>3387+1667-1+40000+86000+90000-150000</f>
        <v>71053</v>
      </c>
      <c r="M32" s="142">
        <f>3086+1667-1+43644+91235+23005-100000</f>
        <v>62636</v>
      </c>
      <c r="N32" s="142">
        <f>1666+62142+70090+23542-100000</f>
        <v>57440</v>
      </c>
      <c r="O32" s="142">
        <f>1666+56836+86000+22560-109021</f>
        <v>58041</v>
      </c>
      <c r="P32" s="19">
        <f t="shared" si="1"/>
        <v>458478</v>
      </c>
      <c r="R32" s="114">
        <f t="shared" si="2"/>
        <v>0</v>
      </c>
      <c r="S32" s="133"/>
      <c r="T32" s="132"/>
    </row>
    <row r="33" spans="1:20" ht="15" customHeight="1">
      <c r="A33" s="29"/>
      <c r="B33" s="45" t="s">
        <v>53</v>
      </c>
      <c r="C33" s="142">
        <v>1435877</v>
      </c>
      <c r="D33" s="142">
        <f aca="true" t="shared" si="5" ref="D33:N33">SUM(D34:D37)</f>
        <v>0</v>
      </c>
      <c r="E33" s="142">
        <f t="shared" si="5"/>
        <v>53225</v>
      </c>
      <c r="F33" s="142">
        <f t="shared" si="5"/>
        <v>89500</v>
      </c>
      <c r="G33" s="142">
        <f t="shared" si="5"/>
        <v>70000</v>
      </c>
      <c r="H33" s="142">
        <f t="shared" si="5"/>
        <v>80000</v>
      </c>
      <c r="I33" s="142">
        <f t="shared" si="5"/>
        <v>84500</v>
      </c>
      <c r="J33" s="142">
        <f t="shared" si="5"/>
        <v>80000</v>
      </c>
      <c r="K33" s="142">
        <f t="shared" si="5"/>
        <v>91234</v>
      </c>
      <c r="L33" s="142">
        <f t="shared" si="5"/>
        <v>99562</v>
      </c>
      <c r="M33" s="142">
        <f t="shared" si="5"/>
        <v>74359</v>
      </c>
      <c r="N33" s="142">
        <f t="shared" si="5"/>
        <v>67875</v>
      </c>
      <c r="O33" s="142">
        <f>SUM(O34:O37)</f>
        <v>645622</v>
      </c>
      <c r="P33" s="19">
        <f t="shared" si="1"/>
        <v>1435877</v>
      </c>
      <c r="R33" s="114">
        <f t="shared" si="2"/>
        <v>0</v>
      </c>
      <c r="S33" s="133"/>
      <c r="T33" s="132"/>
    </row>
    <row r="34" spans="1:20" ht="15" customHeight="1">
      <c r="A34" s="33"/>
      <c r="B34" s="141" t="s">
        <v>75</v>
      </c>
      <c r="C34" s="142">
        <v>19250</v>
      </c>
      <c r="D34" s="142"/>
      <c r="E34" s="142">
        <v>1250</v>
      </c>
      <c r="F34" s="142">
        <v>4500</v>
      </c>
      <c r="G34" s="142"/>
      <c r="H34" s="142"/>
      <c r="I34" s="142">
        <v>4500</v>
      </c>
      <c r="J34" s="142"/>
      <c r="K34" s="142"/>
      <c r="L34" s="142">
        <f>3000+1250</f>
        <v>4250</v>
      </c>
      <c r="M34" s="142"/>
      <c r="N34" s="142">
        <v>4750</v>
      </c>
      <c r="O34" s="142"/>
      <c r="P34" s="19">
        <f t="shared" si="1"/>
        <v>19250</v>
      </c>
      <c r="Q34" s="150"/>
      <c r="R34" s="114">
        <f t="shared" si="2"/>
        <v>0</v>
      </c>
      <c r="S34" s="133"/>
      <c r="T34" s="132"/>
    </row>
    <row r="35" spans="1:20" ht="15" customHeight="1">
      <c r="A35" s="29"/>
      <c r="B35" s="45" t="s">
        <v>76</v>
      </c>
      <c r="C35" s="142">
        <v>852232</v>
      </c>
      <c r="D35" s="142"/>
      <c r="E35" s="142">
        <f>15000+36975</f>
        <v>51975</v>
      </c>
      <c r="F35" s="142">
        <f>20000+29750-4750+40000</f>
        <v>85000</v>
      </c>
      <c r="G35" s="142">
        <f>30000+40000</f>
        <v>70000</v>
      </c>
      <c r="H35" s="142">
        <f>40000+40000</f>
        <v>80000</v>
      </c>
      <c r="I35" s="142">
        <f>40000+40000</f>
        <v>80000</v>
      </c>
      <c r="J35" s="142">
        <f>40000+40000</f>
        <v>80000</v>
      </c>
      <c r="K35" s="142">
        <f>30000+40000+21234</f>
        <v>91234</v>
      </c>
      <c r="L35" s="142">
        <f>30000+40000+25312</f>
        <v>95312</v>
      </c>
      <c r="M35" s="142">
        <f>30000+40000+21325-16966</f>
        <v>74359</v>
      </c>
      <c r="N35" s="142">
        <f>20000+40000+12356-10000+769</f>
        <v>63125</v>
      </c>
      <c r="O35" s="142">
        <f>24750-3000+40000+20181-10000-356+9652</f>
        <v>81227</v>
      </c>
      <c r="P35" s="19">
        <f t="shared" si="1"/>
        <v>852232</v>
      </c>
      <c r="Q35" s="150"/>
      <c r="R35" s="114">
        <f t="shared" si="2"/>
        <v>0</v>
      </c>
      <c r="S35" s="133"/>
      <c r="T35" s="132"/>
    </row>
    <row r="36" spans="1:20" ht="15" customHeight="1">
      <c r="A36" s="29"/>
      <c r="B36" s="45" t="s">
        <v>89</v>
      </c>
      <c r="C36" s="142">
        <v>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9">
        <f t="shared" si="1"/>
        <v>0</v>
      </c>
      <c r="Q36" s="150"/>
      <c r="R36" s="114">
        <f t="shared" si="2"/>
        <v>0</v>
      </c>
      <c r="S36" s="133"/>
      <c r="T36" s="132"/>
    </row>
    <row r="37" spans="1:20" ht="15" customHeight="1">
      <c r="A37" s="29"/>
      <c r="B37" s="45" t="s">
        <v>77</v>
      </c>
      <c r="C37" s="142">
        <v>564395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>
        <f>1072144-507749</f>
        <v>564395</v>
      </c>
      <c r="P37" s="19">
        <f>SUM(D37:O37)</f>
        <v>564395</v>
      </c>
      <c r="Q37" s="150"/>
      <c r="R37" s="114">
        <f t="shared" si="2"/>
        <v>0</v>
      </c>
      <c r="S37" s="133"/>
      <c r="T37" s="132"/>
    </row>
    <row r="38" spans="1:20" ht="15" customHeight="1">
      <c r="A38" s="107"/>
      <c r="B38" s="108" t="s">
        <v>80</v>
      </c>
      <c r="C38" s="31">
        <f>SUM(C17,C30)</f>
        <v>18833638</v>
      </c>
      <c r="D38" s="31">
        <f>SUM(D17,D30)</f>
        <v>1283396.0433333332</v>
      </c>
      <c r="E38" s="31">
        <f aca="true" t="shared" si="6" ref="E38:N38">SUM(E17,E30)</f>
        <v>1351303.75</v>
      </c>
      <c r="F38" s="31">
        <f t="shared" si="6"/>
        <v>1375347.75</v>
      </c>
      <c r="G38" s="31">
        <f t="shared" si="6"/>
        <v>1372635.01</v>
      </c>
      <c r="H38" s="31">
        <f t="shared" si="6"/>
        <v>1339252.79</v>
      </c>
      <c r="I38" s="31">
        <f t="shared" si="6"/>
        <v>1444741.5</v>
      </c>
      <c r="J38" s="31">
        <f t="shared" si="6"/>
        <v>1654516.3</v>
      </c>
      <c r="K38" s="31">
        <f t="shared" si="6"/>
        <v>1623743.5</v>
      </c>
      <c r="L38" s="31">
        <f t="shared" si="6"/>
        <v>1754209.8599999999</v>
      </c>
      <c r="M38" s="31">
        <f t="shared" si="6"/>
        <v>1671867.37</v>
      </c>
      <c r="N38" s="31">
        <f t="shared" si="6"/>
        <v>1612949.87</v>
      </c>
      <c r="O38" s="31">
        <f>SUM(O17,O30)-2</f>
        <v>2349673.84</v>
      </c>
      <c r="P38" s="19">
        <f>SUM(D38:O38)</f>
        <v>18833637.583333332</v>
      </c>
      <c r="R38" s="114">
        <f t="shared" si="2"/>
        <v>0.4166666679084301</v>
      </c>
      <c r="S38" s="133"/>
      <c r="T38" s="132"/>
    </row>
    <row r="39" spans="1:20" ht="15" customHeight="1">
      <c r="A39" s="33"/>
      <c r="B39" s="141" t="s">
        <v>81</v>
      </c>
      <c r="C39" s="142">
        <v>4741570</v>
      </c>
      <c r="D39" s="97">
        <f>381628-15000</f>
        <v>366628</v>
      </c>
      <c r="E39" s="97">
        <v>383470</v>
      </c>
      <c r="F39" s="97">
        <v>381628</v>
      </c>
      <c r="G39" s="97">
        <f>381628-15000</f>
        <v>366628</v>
      </c>
      <c r="H39" s="97">
        <f>381628+4000</f>
        <v>385628</v>
      </c>
      <c r="I39" s="97">
        <f>381628+4000+1000+2133</f>
        <v>388761</v>
      </c>
      <c r="J39" s="97">
        <f>381628+4000+12553-10000+22951</f>
        <v>411132</v>
      </c>
      <c r="K39" s="97">
        <f>381628-15000+12000+4249+5000+24000</f>
        <v>411877</v>
      </c>
      <c r="L39" s="97">
        <f>381628+5000+25000</f>
        <v>411628</v>
      </c>
      <c r="M39" s="97">
        <f>381628+5856+23546</f>
        <v>411030</v>
      </c>
      <c r="N39" s="97">
        <f>381628+5000+15389+9563</f>
        <v>411580</v>
      </c>
      <c r="O39" s="97">
        <v>411580</v>
      </c>
      <c r="P39" s="19">
        <f t="shared" si="1"/>
        <v>4741570</v>
      </c>
      <c r="R39" s="114">
        <f t="shared" si="2"/>
        <v>0</v>
      </c>
      <c r="S39" s="133"/>
      <c r="T39" s="132"/>
    </row>
    <row r="40" spans="1:20" ht="15" customHeight="1">
      <c r="A40" s="33"/>
      <c r="B40" s="141" t="s">
        <v>96</v>
      </c>
      <c r="C40" s="142">
        <v>93157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>
        <v>93157</v>
      </c>
      <c r="P40" s="19">
        <f t="shared" si="1"/>
        <v>93157</v>
      </c>
      <c r="R40" s="114">
        <f t="shared" si="2"/>
        <v>0</v>
      </c>
      <c r="S40" s="133"/>
      <c r="T40" s="132"/>
    </row>
    <row r="41" spans="1:23" ht="15" customHeight="1">
      <c r="A41" s="33" t="s">
        <v>18</v>
      </c>
      <c r="B41" s="34" t="s">
        <v>82</v>
      </c>
      <c r="C41" s="19">
        <f>SUM(C39)+C40</f>
        <v>4834727</v>
      </c>
      <c r="D41" s="19">
        <f>SUM(D39)+D40</f>
        <v>366628</v>
      </c>
      <c r="E41" s="19">
        <f aca="true" t="shared" si="7" ref="E41:O41">SUM(E39)+E40</f>
        <v>383470</v>
      </c>
      <c r="F41" s="19">
        <f t="shared" si="7"/>
        <v>381628</v>
      </c>
      <c r="G41" s="19">
        <f t="shared" si="7"/>
        <v>366628</v>
      </c>
      <c r="H41" s="19">
        <f t="shared" si="7"/>
        <v>385628</v>
      </c>
      <c r="I41" s="19">
        <f t="shared" si="7"/>
        <v>388761</v>
      </c>
      <c r="J41" s="19">
        <f t="shared" si="7"/>
        <v>411132</v>
      </c>
      <c r="K41" s="19">
        <f t="shared" si="7"/>
        <v>411877</v>
      </c>
      <c r="L41" s="19">
        <f t="shared" si="7"/>
        <v>411628</v>
      </c>
      <c r="M41" s="19">
        <f t="shared" si="7"/>
        <v>411030</v>
      </c>
      <c r="N41" s="19">
        <f t="shared" si="7"/>
        <v>411580</v>
      </c>
      <c r="O41" s="19">
        <f t="shared" si="7"/>
        <v>504737</v>
      </c>
      <c r="P41" s="19">
        <f>SUM(P39)+P40</f>
        <v>4834727</v>
      </c>
      <c r="R41" s="114">
        <f t="shared" si="2"/>
        <v>0</v>
      </c>
      <c r="S41" s="133"/>
      <c r="T41" s="132"/>
      <c r="W41" s="132"/>
    </row>
    <row r="42" spans="1:20" ht="15" customHeight="1">
      <c r="A42" s="33"/>
      <c r="B42" s="141" t="s">
        <v>83</v>
      </c>
      <c r="C42" s="19">
        <v>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9">
        <f t="shared" si="1"/>
        <v>0</v>
      </c>
      <c r="R42" s="114">
        <f t="shared" si="2"/>
        <v>0</v>
      </c>
      <c r="S42" s="133"/>
      <c r="T42" s="132"/>
    </row>
    <row r="43" spans="1:20" ht="15" customHeight="1">
      <c r="A43" s="36"/>
      <c r="B43" s="149" t="s">
        <v>84</v>
      </c>
      <c r="C43" s="182">
        <v>120274</v>
      </c>
      <c r="D43" s="104"/>
      <c r="E43" s="104"/>
      <c r="F43" s="104"/>
      <c r="G43" s="104">
        <v>15000</v>
      </c>
      <c r="H43" s="104">
        <v>9288</v>
      </c>
      <c r="I43" s="104">
        <f>15000+474</f>
        <v>15474</v>
      </c>
      <c r="J43" s="104"/>
      <c r="K43" s="104">
        <f>20000+11710</f>
        <v>31710</v>
      </c>
      <c r="L43" s="104">
        <v>6900</v>
      </c>
      <c r="M43" s="104">
        <v>20000</v>
      </c>
      <c r="N43" s="104">
        <f>12201+121</f>
        <v>12322</v>
      </c>
      <c r="O43" s="104">
        <f>19080+445-9945</f>
        <v>9580</v>
      </c>
      <c r="P43" s="19">
        <f t="shared" si="1"/>
        <v>120274</v>
      </c>
      <c r="R43" s="114">
        <f t="shared" si="2"/>
        <v>0</v>
      </c>
      <c r="S43" s="133"/>
      <c r="T43" s="132"/>
    </row>
    <row r="44" spans="1:20" ht="15" customHeight="1">
      <c r="A44" s="36" t="s">
        <v>19</v>
      </c>
      <c r="B44" s="41" t="s">
        <v>85</v>
      </c>
      <c r="C44" s="31">
        <f>SUM(C42:C43)</f>
        <v>120274</v>
      </c>
      <c r="D44" s="31">
        <f>SUM(D42:D43)</f>
        <v>0</v>
      </c>
      <c r="E44" s="31">
        <f aca="true" t="shared" si="8" ref="E44:O44">SUM(E42:E43)</f>
        <v>0</v>
      </c>
      <c r="F44" s="31">
        <f t="shared" si="8"/>
        <v>0</v>
      </c>
      <c r="G44" s="31">
        <f t="shared" si="8"/>
        <v>15000</v>
      </c>
      <c r="H44" s="31">
        <f t="shared" si="8"/>
        <v>9288</v>
      </c>
      <c r="I44" s="31">
        <f t="shared" si="8"/>
        <v>15474</v>
      </c>
      <c r="J44" s="31">
        <f t="shared" si="8"/>
        <v>0</v>
      </c>
      <c r="K44" s="31">
        <f t="shared" si="8"/>
        <v>31710</v>
      </c>
      <c r="L44" s="31">
        <f t="shared" si="8"/>
        <v>6900</v>
      </c>
      <c r="M44" s="31">
        <f t="shared" si="8"/>
        <v>20000</v>
      </c>
      <c r="N44" s="31">
        <f t="shared" si="8"/>
        <v>12322</v>
      </c>
      <c r="O44" s="31">
        <f t="shared" si="8"/>
        <v>9580</v>
      </c>
      <c r="P44" s="19">
        <f>SUM(D44:O44)</f>
        <v>120274</v>
      </c>
      <c r="R44" s="114">
        <f>SUM(C44-P44)</f>
        <v>0</v>
      </c>
      <c r="S44" s="133"/>
      <c r="T44" s="132"/>
    </row>
    <row r="45" spans="1:21" s="145" customFormat="1" ht="15" customHeight="1">
      <c r="A45" s="140"/>
      <c r="B45" s="141" t="s">
        <v>92</v>
      </c>
      <c r="C45" s="148">
        <v>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9">
        <f>SUM(D45:O45)</f>
        <v>0</v>
      </c>
      <c r="Q45" s="147"/>
      <c r="R45" s="114">
        <f>SUM(C45-P45)</f>
        <v>0</v>
      </c>
      <c r="S45" s="133"/>
      <c r="T45" s="143"/>
      <c r="U45" s="144"/>
    </row>
    <row r="46" spans="1:20" ht="15" customHeight="1" thickBot="1">
      <c r="A46" s="46" t="s">
        <v>90</v>
      </c>
      <c r="B46" s="53" t="s">
        <v>91</v>
      </c>
      <c r="C46" s="47">
        <f>+C41+C44+C45</f>
        <v>4955001</v>
      </c>
      <c r="D46" s="47">
        <f>+D41+D43+D45</f>
        <v>366628</v>
      </c>
      <c r="E46" s="47">
        <f aca="true" t="shared" si="9" ref="E46:O46">+E41+E43+E45</f>
        <v>383470</v>
      </c>
      <c r="F46" s="47">
        <f t="shared" si="9"/>
        <v>381628</v>
      </c>
      <c r="G46" s="47">
        <f t="shared" si="9"/>
        <v>381628</v>
      </c>
      <c r="H46" s="47">
        <f t="shared" si="9"/>
        <v>394916</v>
      </c>
      <c r="I46" s="47">
        <f t="shared" si="9"/>
        <v>404235</v>
      </c>
      <c r="J46" s="47">
        <f t="shared" si="9"/>
        <v>411132</v>
      </c>
      <c r="K46" s="47">
        <f t="shared" si="9"/>
        <v>443587</v>
      </c>
      <c r="L46" s="47">
        <f t="shared" si="9"/>
        <v>418528</v>
      </c>
      <c r="M46" s="47">
        <f t="shared" si="9"/>
        <v>431030</v>
      </c>
      <c r="N46" s="47">
        <f t="shared" si="9"/>
        <v>423902</v>
      </c>
      <c r="O46" s="47">
        <f t="shared" si="9"/>
        <v>514317</v>
      </c>
      <c r="P46" s="47">
        <f>SUM(D46:O46)</f>
        <v>4955001</v>
      </c>
      <c r="R46" s="114">
        <f>SUM(C46-P46)</f>
        <v>0</v>
      </c>
      <c r="S46" s="133"/>
      <c r="T46" s="132"/>
    </row>
    <row r="47" spans="1:20" ht="15" customHeight="1" thickBot="1">
      <c r="A47" s="201" t="s">
        <v>20</v>
      </c>
      <c r="B47" s="202"/>
      <c r="C47" s="35">
        <f>SUM(C38,C41,C44)+C45</f>
        <v>23788639</v>
      </c>
      <c r="D47" s="35">
        <f>SUM(D38,D41,D44)+1+D45</f>
        <v>1650025.0433333332</v>
      </c>
      <c r="E47" s="35">
        <f aca="true" t="shared" si="10" ref="E47:N47">SUM(E38,E41,E44)+1+E45</f>
        <v>1734774.75</v>
      </c>
      <c r="F47" s="35">
        <f t="shared" si="10"/>
        <v>1756976.75</v>
      </c>
      <c r="G47" s="35">
        <f t="shared" si="10"/>
        <v>1754264.01</v>
      </c>
      <c r="H47" s="35">
        <f t="shared" si="10"/>
        <v>1734169.79</v>
      </c>
      <c r="I47" s="35">
        <f t="shared" si="10"/>
        <v>1848977.5</v>
      </c>
      <c r="J47" s="35">
        <f t="shared" si="10"/>
        <v>2065649.3</v>
      </c>
      <c r="K47" s="35">
        <f t="shared" si="10"/>
        <v>2067331.5</v>
      </c>
      <c r="L47" s="35">
        <f t="shared" si="10"/>
        <v>2172738.86</v>
      </c>
      <c r="M47" s="35">
        <f t="shared" si="10"/>
        <v>2102898.37</v>
      </c>
      <c r="N47" s="35">
        <f t="shared" si="10"/>
        <v>2036852.87</v>
      </c>
      <c r="O47" s="35">
        <f>SUM(O38,O41,O44)+O45</f>
        <v>2863990.84</v>
      </c>
      <c r="P47" s="35">
        <f>SUM(P38,P41,P44)+P45</f>
        <v>23788638.583333332</v>
      </c>
      <c r="R47" s="114">
        <f>SUM(C47-P47)</f>
        <v>0.4166666679084301</v>
      </c>
      <c r="S47" s="133"/>
      <c r="T47" s="132"/>
    </row>
    <row r="48" spans="1:21" s="16" customFormat="1" ht="15" customHeight="1">
      <c r="A48" s="77"/>
      <c r="B48" s="129" t="s">
        <v>50</v>
      </c>
      <c r="C48" s="55">
        <f>-C39</f>
        <v>-4741570</v>
      </c>
      <c r="D48" s="19">
        <v>-366628</v>
      </c>
      <c r="E48" s="19">
        <v>-383470</v>
      </c>
      <c r="F48" s="19">
        <v>-381628</v>
      </c>
      <c r="G48" s="19">
        <v>-366628</v>
      </c>
      <c r="H48" s="19">
        <v>-385628</v>
      </c>
      <c r="I48" s="19">
        <f>-386628-2133</f>
        <v>-388761</v>
      </c>
      <c r="J48" s="19">
        <v>-411132</v>
      </c>
      <c r="K48" s="19">
        <v>-411877</v>
      </c>
      <c r="L48" s="19">
        <v>-411628</v>
      </c>
      <c r="M48" s="19">
        <v>-411030</v>
      </c>
      <c r="N48" s="19">
        <v>-411580</v>
      </c>
      <c r="O48" s="19">
        <v>-411580</v>
      </c>
      <c r="P48" s="111">
        <f t="shared" si="1"/>
        <v>-4741570</v>
      </c>
      <c r="Q48" s="133"/>
      <c r="R48" s="114">
        <f>SUM(C48-P48)</f>
        <v>0</v>
      </c>
      <c r="S48" s="133"/>
      <c r="T48" s="132"/>
      <c r="U48" s="58"/>
    </row>
    <row r="49" spans="1:21" s="16" customFormat="1" ht="15" customHeight="1">
      <c r="A49" s="78"/>
      <c r="B49" s="130" t="s">
        <v>51</v>
      </c>
      <c r="C49" s="56">
        <f>-C43</f>
        <v>-120274</v>
      </c>
      <c r="D49" s="56">
        <f aca="true" t="shared" si="11" ref="D49:O49">-SUM(D43)</f>
        <v>0</v>
      </c>
      <c r="E49" s="56">
        <f t="shared" si="11"/>
        <v>0</v>
      </c>
      <c r="F49" s="56">
        <f t="shared" si="11"/>
        <v>0</v>
      </c>
      <c r="G49" s="56">
        <f t="shared" si="11"/>
        <v>-15000</v>
      </c>
      <c r="H49" s="56">
        <f t="shared" si="11"/>
        <v>-9288</v>
      </c>
      <c r="I49" s="56">
        <f t="shared" si="11"/>
        <v>-15474</v>
      </c>
      <c r="J49" s="56">
        <f t="shared" si="11"/>
        <v>0</v>
      </c>
      <c r="K49" s="56">
        <f t="shared" si="11"/>
        <v>-31710</v>
      </c>
      <c r="L49" s="56">
        <f t="shared" si="11"/>
        <v>-6900</v>
      </c>
      <c r="M49" s="56">
        <f t="shared" si="11"/>
        <v>-20000</v>
      </c>
      <c r="N49" s="56">
        <f>-SUM(N43)</f>
        <v>-12322</v>
      </c>
      <c r="O49" s="56">
        <f t="shared" si="11"/>
        <v>-9580</v>
      </c>
      <c r="P49" s="113">
        <f t="shared" si="1"/>
        <v>-120274</v>
      </c>
      <c r="Q49" s="133"/>
      <c r="R49" s="114">
        <f t="shared" si="2"/>
        <v>0</v>
      </c>
      <c r="S49" s="133"/>
      <c r="T49" s="132"/>
      <c r="U49" s="58"/>
    </row>
    <row r="50" spans="1:21" s="16" customFormat="1" ht="15" customHeight="1" thickBot="1">
      <c r="A50" s="54"/>
      <c r="B50" s="131" t="s">
        <v>54</v>
      </c>
      <c r="C50" s="57">
        <v>-379000</v>
      </c>
      <c r="D50" s="157">
        <f>$C$50/12</f>
        <v>-31583.333333333332</v>
      </c>
      <c r="E50" s="157">
        <f aca="true" t="shared" si="12" ref="E50:O50">$C$50/12</f>
        <v>-31583.333333333332</v>
      </c>
      <c r="F50" s="157">
        <f t="shared" si="12"/>
        <v>-31583.333333333332</v>
      </c>
      <c r="G50" s="157">
        <f t="shared" si="12"/>
        <v>-31583.333333333332</v>
      </c>
      <c r="H50" s="157">
        <f t="shared" si="12"/>
        <v>-31583.333333333332</v>
      </c>
      <c r="I50" s="157">
        <f t="shared" si="12"/>
        <v>-31583.333333333332</v>
      </c>
      <c r="J50" s="157">
        <f t="shared" si="12"/>
        <v>-31583.333333333332</v>
      </c>
      <c r="K50" s="157">
        <f t="shared" si="12"/>
        <v>-31583.333333333332</v>
      </c>
      <c r="L50" s="157">
        <f t="shared" si="12"/>
        <v>-31583.333333333332</v>
      </c>
      <c r="M50" s="157">
        <f t="shared" si="12"/>
        <v>-31583.333333333332</v>
      </c>
      <c r="N50" s="157">
        <f t="shared" si="12"/>
        <v>-31583.333333333332</v>
      </c>
      <c r="O50" s="157">
        <f t="shared" si="12"/>
        <v>-31583.333333333332</v>
      </c>
      <c r="P50" s="112">
        <f>SUM(D50:O50)</f>
        <v>-378999.99999999994</v>
      </c>
      <c r="Q50" s="133"/>
      <c r="R50" s="114">
        <f t="shared" si="2"/>
        <v>-5.820766091346741E-11</v>
      </c>
      <c r="S50" s="133"/>
      <c r="T50" s="132"/>
      <c r="U50" s="58"/>
    </row>
    <row r="51" spans="1:20" ht="15" customHeight="1" thickBot="1">
      <c r="A51" s="205" t="s">
        <v>21</v>
      </c>
      <c r="B51" s="206"/>
      <c r="C51" s="35">
        <f>SUM(C47:C50)</f>
        <v>18547795</v>
      </c>
      <c r="D51" s="35">
        <f aca="true" t="shared" si="13" ref="D51:N51">SUM(D47:D50)-1</f>
        <v>1251812.71</v>
      </c>
      <c r="E51" s="35">
        <f t="shared" si="13"/>
        <v>1319720.4166666667</v>
      </c>
      <c r="F51" s="35">
        <f t="shared" si="13"/>
        <v>1343764.4166666667</v>
      </c>
      <c r="G51" s="35">
        <f t="shared" si="13"/>
        <v>1341051.6766666668</v>
      </c>
      <c r="H51" s="35">
        <f t="shared" si="13"/>
        <v>1307669.4566666668</v>
      </c>
      <c r="I51" s="35">
        <f t="shared" si="13"/>
        <v>1413158.1666666667</v>
      </c>
      <c r="J51" s="35">
        <f t="shared" si="13"/>
        <v>1622932.9666666668</v>
      </c>
      <c r="K51" s="35">
        <f t="shared" si="13"/>
        <v>1592160.1666666667</v>
      </c>
      <c r="L51" s="35">
        <f t="shared" si="13"/>
        <v>1722626.5266666666</v>
      </c>
      <c r="M51" s="35">
        <f t="shared" si="13"/>
        <v>1640284.0366666669</v>
      </c>
      <c r="N51" s="35">
        <f t="shared" si="13"/>
        <v>1581366.5366666669</v>
      </c>
      <c r="O51" s="35">
        <f>SUM(O47:O50)</f>
        <v>2411247.5066666664</v>
      </c>
      <c r="P51" s="35">
        <f>SUM(D51:O51)</f>
        <v>18547794.583333336</v>
      </c>
      <c r="R51" s="114">
        <f>SUM(C51-P51)</f>
        <v>0.4166666641831398</v>
      </c>
      <c r="S51" s="133"/>
      <c r="T51" s="132"/>
    </row>
    <row r="52" spans="3:12" ht="15">
      <c r="C52" s="190"/>
      <c r="L52" s="28"/>
    </row>
    <row r="54" spans="3:15" ht="12.75">
      <c r="C54" s="28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ht="12.75">
      <c r="C55" s="134"/>
    </row>
    <row r="56" ht="12.75">
      <c r="C56" s="132"/>
    </row>
    <row r="57" spans="3:5" ht="12.75">
      <c r="C57" s="134"/>
      <c r="E57" s="160"/>
    </row>
    <row r="58" ht="12.75">
      <c r="C58" s="132"/>
    </row>
    <row r="59" ht="12.75">
      <c r="C59" s="134"/>
    </row>
  </sheetData>
  <sheetProtection/>
  <mergeCells count="21">
    <mergeCell ref="O2:P2"/>
    <mergeCell ref="H14:H15"/>
    <mergeCell ref="M14:M15"/>
    <mergeCell ref="O14:O15"/>
    <mergeCell ref="P14:P15"/>
    <mergeCell ref="A51:B51"/>
    <mergeCell ref="O7:P7"/>
    <mergeCell ref="E14:E15"/>
    <mergeCell ref="J14:J15"/>
    <mergeCell ref="F14:F15"/>
    <mergeCell ref="L14:L15"/>
    <mergeCell ref="A8:P8"/>
    <mergeCell ref="A14:B15"/>
    <mergeCell ref="C14:C15"/>
    <mergeCell ref="D14:D15"/>
    <mergeCell ref="A47:B47"/>
    <mergeCell ref="N14:N15"/>
    <mergeCell ref="A16:B16"/>
    <mergeCell ref="I14:I15"/>
    <mergeCell ref="G14:G15"/>
    <mergeCell ref="K14:K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T38" sqref="T38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7" width="9.125" style="183" customWidth="1"/>
    <col min="18" max="19" width="9.125" style="135" customWidth="1"/>
    <col min="20" max="16384" width="9.125" style="2" customWidth="1"/>
  </cols>
  <sheetData>
    <row r="1" spans="1:16" ht="14.25" customHeight="1">
      <c r="A1" s="211" t="s">
        <v>100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2" t="s">
        <v>95</v>
      </c>
      <c r="O2" s="212"/>
      <c r="P2" s="212"/>
    </row>
    <row r="3" spans="14:16" ht="12.75" customHeight="1" thickBot="1">
      <c r="N3" s="213" t="s">
        <v>22</v>
      </c>
      <c r="O3" s="213"/>
      <c r="P3" s="213"/>
    </row>
    <row r="4" spans="2:16" ht="10.5" customHeight="1" thickBot="1">
      <c r="B4" s="2"/>
      <c r="D4" s="214" t="s">
        <v>23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7"/>
    </row>
    <row r="5" spans="1:19" s="8" customFormat="1" ht="8.25" customHeight="1" thickBot="1">
      <c r="A5" s="217" t="s">
        <v>1</v>
      </c>
      <c r="B5" s="218"/>
      <c r="C5" s="93" t="s">
        <v>101</v>
      </c>
      <c r="D5" s="221" t="s">
        <v>24</v>
      </c>
      <c r="E5" s="215" t="s">
        <v>25</v>
      </c>
      <c r="F5" s="215" t="s">
        <v>26</v>
      </c>
      <c r="G5" s="215" t="s">
        <v>27</v>
      </c>
      <c r="H5" s="215" t="s">
        <v>28</v>
      </c>
      <c r="I5" s="215" t="s">
        <v>29</v>
      </c>
      <c r="J5" s="215" t="s">
        <v>30</v>
      </c>
      <c r="K5" s="215" t="s">
        <v>67</v>
      </c>
      <c r="L5" s="215" t="s">
        <v>31</v>
      </c>
      <c r="M5" s="215" t="s">
        <v>32</v>
      </c>
      <c r="N5" s="215" t="s">
        <v>33</v>
      </c>
      <c r="O5" s="223" t="s">
        <v>34</v>
      </c>
      <c r="P5" s="225" t="s">
        <v>35</v>
      </c>
      <c r="Q5" s="184"/>
      <c r="R5" s="136"/>
      <c r="S5" s="136"/>
    </row>
    <row r="6" spans="1:19" s="8" customFormat="1" ht="8.25" customHeight="1">
      <c r="A6" s="219"/>
      <c r="B6" s="220"/>
      <c r="C6" s="94" t="s">
        <v>102</v>
      </c>
      <c r="D6" s="222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24"/>
      <c r="P6" s="226"/>
      <c r="Q6" s="184"/>
      <c r="R6" s="136"/>
      <c r="S6" s="136"/>
    </row>
    <row r="7" spans="1:19" s="12" customFormat="1" ht="13.5" thickBot="1">
      <c r="A7" s="227">
        <v>1</v>
      </c>
      <c r="B7" s="228"/>
      <c r="C7" s="95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26">
        <v>15</v>
      </c>
      <c r="Q7" s="185"/>
      <c r="R7" s="137"/>
      <c r="S7" s="137"/>
    </row>
    <row r="8" spans="1:19" s="14" customFormat="1" ht="12.75" customHeight="1">
      <c r="A8" s="64" t="s">
        <v>15</v>
      </c>
      <c r="B8" s="79" t="s">
        <v>43</v>
      </c>
      <c r="C8" s="97">
        <v>2437699</v>
      </c>
      <c r="D8" s="38">
        <f>185048+20000</f>
        <v>205048</v>
      </c>
      <c r="E8" s="38">
        <f>185048+20000</f>
        <v>205048</v>
      </c>
      <c r="F8" s="38">
        <f>185048+20000</f>
        <v>205048</v>
      </c>
      <c r="G8" s="38">
        <f>185048+20000</f>
        <v>205048</v>
      </c>
      <c r="H8" s="38">
        <f>185048+10000</f>
        <v>195048</v>
      </c>
      <c r="I8" s="38">
        <f>185048+6785+10000</f>
        <v>201833</v>
      </c>
      <c r="J8" s="38">
        <f>185048+6785+10000</f>
        <v>201833</v>
      </c>
      <c r="K8" s="38">
        <f>185048+6784+10000</f>
        <v>201832</v>
      </c>
      <c r="L8" s="38">
        <f>185048+1000+6784+10000</f>
        <v>202832</v>
      </c>
      <c r="M8" s="38">
        <f>185048+3000+6784+10000</f>
        <v>204832</v>
      </c>
      <c r="N8" s="38">
        <f>185048+3000+6784+14041+10000-11050</f>
        <v>207823</v>
      </c>
      <c r="O8" s="118">
        <f>185043+3690+6786-14045+20000</f>
        <v>201474</v>
      </c>
      <c r="P8" s="96">
        <f>SUM(D8:O8)</f>
        <v>2437699</v>
      </c>
      <c r="Q8" s="186">
        <f>SUM(C8-P8)</f>
        <v>0</v>
      </c>
      <c r="R8" s="139"/>
      <c r="S8" s="139"/>
    </row>
    <row r="9" spans="1:19" s="39" customFormat="1" ht="12.75" customHeight="1">
      <c r="A9" s="65" t="s">
        <v>17</v>
      </c>
      <c r="B9" s="80" t="s">
        <v>44</v>
      </c>
      <c r="C9" s="97">
        <v>1305126</v>
      </c>
      <c r="D9" s="38">
        <f>116578-6000-2000</f>
        <v>108578</v>
      </c>
      <c r="E9" s="38">
        <f>116578-6000-2000</f>
        <v>108578</v>
      </c>
      <c r="F9" s="38">
        <f>116578-6000-2000</f>
        <v>108578</v>
      </c>
      <c r="G9" s="38">
        <f>116578-6000-2000</f>
        <v>108578</v>
      </c>
      <c r="H9" s="38">
        <f>116578-6000-2000</f>
        <v>108578</v>
      </c>
      <c r="I9" s="38">
        <f>116578+2172-6000-2000-2000</f>
        <v>108750</v>
      </c>
      <c r="J9" s="38">
        <f>116578+1500-6000-2000-2000</f>
        <v>108078</v>
      </c>
      <c r="K9" s="38">
        <f>116578+1500-6000-2000-2000</f>
        <v>108078</v>
      </c>
      <c r="L9" s="38">
        <f>116578+10-6000-2000</f>
        <v>108588</v>
      </c>
      <c r="M9" s="38">
        <f>116578+10-6000-2000</f>
        <v>108588</v>
      </c>
      <c r="N9" s="38">
        <f>116578+11+18730-20000-2000-3000-753</f>
        <v>109566</v>
      </c>
      <c r="O9" s="38">
        <f>116581+32007-20000-10000-5000-3000</f>
        <v>110588</v>
      </c>
      <c r="P9" s="97">
        <f>SUM(D9:O9)</f>
        <v>1305126</v>
      </c>
      <c r="Q9" s="186">
        <f aca="true" t="shared" si="0" ref="Q9:Q39">SUM(C9-P9)</f>
        <v>0</v>
      </c>
      <c r="R9" s="58"/>
      <c r="S9" s="58"/>
    </row>
    <row r="10" spans="1:19" s="39" customFormat="1" ht="12.75" customHeight="1">
      <c r="A10" s="66" t="s">
        <v>24</v>
      </c>
      <c r="B10" s="81" t="s">
        <v>55</v>
      </c>
      <c r="C10" s="98">
        <f>SUM(C8:C9)</f>
        <v>3742825</v>
      </c>
      <c r="D10" s="61">
        <f aca="true" t="shared" si="1" ref="D10:P10">SUM(D8:D9)</f>
        <v>313626</v>
      </c>
      <c r="E10" s="61">
        <f t="shared" si="1"/>
        <v>313626</v>
      </c>
      <c r="F10" s="61">
        <f t="shared" si="1"/>
        <v>313626</v>
      </c>
      <c r="G10" s="61">
        <f t="shared" si="1"/>
        <v>313626</v>
      </c>
      <c r="H10" s="61">
        <f t="shared" si="1"/>
        <v>303626</v>
      </c>
      <c r="I10" s="61">
        <f t="shared" si="1"/>
        <v>310583</v>
      </c>
      <c r="J10" s="61">
        <f t="shared" si="1"/>
        <v>309911</v>
      </c>
      <c r="K10" s="61">
        <f t="shared" si="1"/>
        <v>309910</v>
      </c>
      <c r="L10" s="61">
        <f t="shared" si="1"/>
        <v>311420</v>
      </c>
      <c r="M10" s="61">
        <f t="shared" si="1"/>
        <v>313420</v>
      </c>
      <c r="N10" s="61">
        <f t="shared" si="1"/>
        <v>317389</v>
      </c>
      <c r="O10" s="119">
        <f t="shared" si="1"/>
        <v>312062</v>
      </c>
      <c r="P10" s="98">
        <f t="shared" si="1"/>
        <v>3742825</v>
      </c>
      <c r="Q10" s="186">
        <f t="shared" si="0"/>
        <v>0</v>
      </c>
      <c r="R10" s="58"/>
      <c r="S10" s="58"/>
    </row>
    <row r="11" spans="1:19" s="16" customFormat="1" ht="12.75" customHeight="1">
      <c r="A11" s="65" t="s">
        <v>15</v>
      </c>
      <c r="B11" s="80" t="s">
        <v>36</v>
      </c>
      <c r="C11" s="97">
        <v>5177721</v>
      </c>
      <c r="D11" s="92">
        <v>18676</v>
      </c>
      <c r="E11" s="15">
        <v>192134</v>
      </c>
      <c r="F11" s="15">
        <f>990100+70000</f>
        <v>1060100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</f>
        <v>1095672</v>
      </c>
      <c r="M11" s="15">
        <v>788654</v>
      </c>
      <c r="N11" s="15">
        <v>229399</v>
      </c>
      <c r="O11" s="120">
        <v>288602</v>
      </c>
      <c r="P11" s="99">
        <f>SUM(D11:O11)</f>
        <v>5177721</v>
      </c>
      <c r="Q11" s="186">
        <f t="shared" si="0"/>
        <v>0</v>
      </c>
      <c r="R11" s="58"/>
      <c r="S11" s="58"/>
    </row>
    <row r="12" spans="1:19" s="16" customFormat="1" ht="12.75" customHeight="1">
      <c r="A12" s="65" t="s">
        <v>17</v>
      </c>
      <c r="B12" s="80" t="s">
        <v>56</v>
      </c>
      <c r="C12" s="97">
        <v>291100</v>
      </c>
      <c r="D12" s="92">
        <f>12917+1250</f>
        <v>14167</v>
      </c>
      <c r="E12" s="15">
        <f>12917+1250+500</f>
        <v>14667</v>
      </c>
      <c r="F12" s="15">
        <f>12917+1250+5496</f>
        <v>19663</v>
      </c>
      <c r="G12" s="15">
        <f>12917+1250+13725</f>
        <v>27892</v>
      </c>
      <c r="H12" s="15">
        <f>12917+1250+300+13725</f>
        <v>28192</v>
      </c>
      <c r="I12" s="15">
        <f>12917+12250+500</f>
        <v>25667</v>
      </c>
      <c r="J12" s="15">
        <f>12917+11250+500+500</f>
        <v>25167</v>
      </c>
      <c r="K12" s="15">
        <f>12917+11250+500+500</f>
        <v>25167</v>
      </c>
      <c r="L12" s="15">
        <f>12917+1250+13725</f>
        <v>27892</v>
      </c>
      <c r="M12" s="15">
        <f>12917+1250+13725</f>
        <v>27892</v>
      </c>
      <c r="N12" s="15">
        <f>12917+1250+4500+5000+4000</f>
        <v>27667</v>
      </c>
      <c r="O12" s="120">
        <f>12917+1250+6900+6000</f>
        <v>27067</v>
      </c>
      <c r="P12" s="99">
        <f>SUM(D12:O12)</f>
        <v>291100</v>
      </c>
      <c r="Q12" s="186">
        <f t="shared" si="0"/>
        <v>0</v>
      </c>
      <c r="R12" s="58"/>
      <c r="S12" s="58"/>
    </row>
    <row r="13" spans="1:19" s="16" customFormat="1" ht="12.75" customHeight="1">
      <c r="A13" s="67" t="s">
        <v>25</v>
      </c>
      <c r="B13" s="81" t="s">
        <v>42</v>
      </c>
      <c r="C13" s="99">
        <f>SUM(C11:C12)</f>
        <v>5468821</v>
      </c>
      <c r="D13" s="13">
        <f>SUM(D11:D12)</f>
        <v>32843</v>
      </c>
      <c r="E13" s="13">
        <f aca="true" t="shared" si="2" ref="E13:P13">SUM(E11:E12)</f>
        <v>206801</v>
      </c>
      <c r="F13" s="13">
        <f t="shared" si="2"/>
        <v>1079763</v>
      </c>
      <c r="G13" s="13">
        <f t="shared" si="2"/>
        <v>701392</v>
      </c>
      <c r="H13" s="13">
        <f t="shared" si="2"/>
        <v>250677</v>
      </c>
      <c r="I13" s="13">
        <f t="shared" si="2"/>
        <v>246907</v>
      </c>
      <c r="J13" s="13">
        <f t="shared" si="2"/>
        <v>202051</v>
      </c>
      <c r="K13" s="13">
        <f t="shared" si="2"/>
        <v>235542</v>
      </c>
      <c r="L13" s="13">
        <f t="shared" si="2"/>
        <v>1123564</v>
      </c>
      <c r="M13" s="13">
        <f t="shared" si="2"/>
        <v>816546</v>
      </c>
      <c r="N13" s="13">
        <f t="shared" si="2"/>
        <v>257066</v>
      </c>
      <c r="O13" s="121">
        <f t="shared" si="2"/>
        <v>315669</v>
      </c>
      <c r="P13" s="99">
        <f t="shared" si="2"/>
        <v>5468821</v>
      </c>
      <c r="Q13" s="186">
        <f t="shared" si="0"/>
        <v>0</v>
      </c>
      <c r="R13" s="58"/>
      <c r="S13" s="58"/>
    </row>
    <row r="14" spans="1:19" s="14" customFormat="1" ht="12.75" customHeight="1">
      <c r="A14" s="68" t="s">
        <v>26</v>
      </c>
      <c r="B14" s="82" t="s">
        <v>57</v>
      </c>
      <c r="C14" s="99">
        <v>5699658</v>
      </c>
      <c r="D14" s="38">
        <v>481987</v>
      </c>
      <c r="E14" s="38">
        <v>481987</v>
      </c>
      <c r="F14" s="38">
        <v>481987</v>
      </c>
      <c r="G14" s="38">
        <v>481987</v>
      </c>
      <c r="H14" s="38">
        <f>481987+1000</f>
        <v>482987</v>
      </c>
      <c r="I14" s="38">
        <f>481987+3000</f>
        <v>484987</v>
      </c>
      <c r="J14" s="38">
        <f>481987+3000</f>
        <v>484987</v>
      </c>
      <c r="K14" s="38">
        <f>481987+3000</f>
        <v>484987</v>
      </c>
      <c r="L14" s="38">
        <f>481987+3000</f>
        <v>484987</v>
      </c>
      <c r="M14" s="38">
        <f>481987+10000+3000</f>
        <v>494987</v>
      </c>
      <c r="N14" s="38">
        <f>481987+10000+3000+130209-150000</f>
        <v>475196</v>
      </c>
      <c r="O14" s="38">
        <f>481986+12026+3000+21126-139546</f>
        <v>378592</v>
      </c>
      <c r="P14" s="99">
        <f>SUM(D14:O14)</f>
        <v>5699658</v>
      </c>
      <c r="Q14" s="186">
        <f t="shared" si="0"/>
        <v>0</v>
      </c>
      <c r="R14" s="139"/>
      <c r="S14" s="139"/>
    </row>
    <row r="15" spans="1:19" s="16" customFormat="1" ht="12.75" customHeight="1" thickBot="1">
      <c r="A15" s="67" t="s">
        <v>27</v>
      </c>
      <c r="B15" s="81" t="s">
        <v>45</v>
      </c>
      <c r="C15" s="99">
        <v>360</v>
      </c>
      <c r="D15" s="92"/>
      <c r="E15" s="15"/>
      <c r="F15" s="15"/>
      <c r="G15" s="15"/>
      <c r="H15" s="15"/>
      <c r="I15" s="15">
        <v>360</v>
      </c>
      <c r="J15" s="15"/>
      <c r="K15" s="15"/>
      <c r="L15" s="15"/>
      <c r="M15" s="15"/>
      <c r="N15" s="15"/>
      <c r="O15" s="120"/>
      <c r="P15" s="99">
        <f>SUM(D15:O15)</f>
        <v>360</v>
      </c>
      <c r="Q15" s="186">
        <f t="shared" si="0"/>
        <v>0</v>
      </c>
      <c r="R15" s="58"/>
      <c r="S15" s="58"/>
    </row>
    <row r="16" spans="1:19" s="16" customFormat="1" ht="12.75" customHeight="1" thickBot="1">
      <c r="A16" s="69"/>
      <c r="B16" s="83" t="s">
        <v>48</v>
      </c>
      <c r="C16" s="100">
        <f>SUM(C10+C13+C14+C15)</f>
        <v>14911664</v>
      </c>
      <c r="D16" s="100">
        <f aca="true" t="shared" si="3" ref="D16:P16">SUM(D10+D13+D14+D15)</f>
        <v>828456</v>
      </c>
      <c r="E16" s="100">
        <f t="shared" si="3"/>
        <v>1002414</v>
      </c>
      <c r="F16" s="100">
        <f t="shared" si="3"/>
        <v>1875376</v>
      </c>
      <c r="G16" s="100">
        <f t="shared" si="3"/>
        <v>1497005</v>
      </c>
      <c r="H16" s="100">
        <f t="shared" si="3"/>
        <v>1037290</v>
      </c>
      <c r="I16" s="100">
        <f t="shared" si="3"/>
        <v>1042837</v>
      </c>
      <c r="J16" s="100">
        <f t="shared" si="3"/>
        <v>996949</v>
      </c>
      <c r="K16" s="100">
        <f t="shared" si="3"/>
        <v>1030439</v>
      </c>
      <c r="L16" s="100">
        <f t="shared" si="3"/>
        <v>1919971</v>
      </c>
      <c r="M16" s="100">
        <f t="shared" si="3"/>
        <v>1624953</v>
      </c>
      <c r="N16" s="100">
        <f t="shared" si="3"/>
        <v>1049651</v>
      </c>
      <c r="O16" s="100">
        <f t="shared" si="3"/>
        <v>1006323</v>
      </c>
      <c r="P16" s="100">
        <f t="shared" si="3"/>
        <v>14911664</v>
      </c>
      <c r="Q16" s="186">
        <f t="shared" si="0"/>
        <v>0</v>
      </c>
      <c r="R16" s="58"/>
      <c r="S16" s="133"/>
    </row>
    <row r="17" spans="1:19" s="16" customFormat="1" ht="12.75" customHeight="1">
      <c r="A17" s="70" t="s">
        <v>28</v>
      </c>
      <c r="B17" s="84" t="s">
        <v>58</v>
      </c>
      <c r="C17" s="101">
        <v>80046</v>
      </c>
      <c r="D17" s="180"/>
      <c r="E17" s="180"/>
      <c r="F17" s="180"/>
      <c r="G17" s="180">
        <f>23577+1906</f>
        <v>25483</v>
      </c>
      <c r="H17" s="180"/>
      <c r="I17" s="180"/>
      <c r="J17" s="180"/>
      <c r="K17" s="180"/>
      <c r="L17" s="63"/>
      <c r="M17" s="180">
        <f>73365+14993+560-34355</f>
        <v>54563</v>
      </c>
      <c r="N17" s="180"/>
      <c r="O17" s="181"/>
      <c r="P17" s="99">
        <f>SUM(D17:O17)</f>
        <v>80046</v>
      </c>
      <c r="Q17" s="186">
        <f t="shared" si="0"/>
        <v>0</v>
      </c>
      <c r="R17" s="58"/>
      <c r="S17" s="58"/>
    </row>
    <row r="18" spans="1:19" s="16" customFormat="1" ht="12.75" customHeight="1">
      <c r="A18" s="67" t="s">
        <v>29</v>
      </c>
      <c r="B18" s="81" t="s">
        <v>41</v>
      </c>
      <c r="C18" s="99">
        <v>1943099</v>
      </c>
      <c r="D18" s="61">
        <f>12500+275103</f>
        <v>287603</v>
      </c>
      <c r="E18" s="63">
        <v>12500</v>
      </c>
      <c r="F18" s="63">
        <v>12500</v>
      </c>
      <c r="G18" s="63">
        <f>12500+400000</f>
        <v>412500</v>
      </c>
      <c r="H18" s="63">
        <v>12500</v>
      </c>
      <c r="I18" s="63">
        <f>12500+50000</f>
        <v>62500</v>
      </c>
      <c r="J18" s="63">
        <v>12500</v>
      </c>
      <c r="K18" s="63">
        <f>12500+11050</f>
        <v>23550</v>
      </c>
      <c r="L18" s="63">
        <f>12500+700000-333184+300000</f>
        <v>679316</v>
      </c>
      <c r="M18" s="63">
        <f>12500+130</f>
        <v>12630</v>
      </c>
      <c r="N18" s="63">
        <f>12500+200000-110000</f>
        <v>102500</v>
      </c>
      <c r="O18" s="125">
        <f>12500+300000</f>
        <v>312500</v>
      </c>
      <c r="P18" s="99">
        <f>SUM(D18:O18)</f>
        <v>1943099</v>
      </c>
      <c r="Q18" s="186">
        <f t="shared" si="0"/>
        <v>0</v>
      </c>
      <c r="R18" s="58"/>
      <c r="S18" s="58"/>
    </row>
    <row r="19" spans="1:19" s="16" customFormat="1" ht="12.75" customHeight="1">
      <c r="A19" s="65" t="s">
        <v>15</v>
      </c>
      <c r="B19" s="80" t="s">
        <v>46</v>
      </c>
      <c r="C19" s="97">
        <v>24450</v>
      </c>
      <c r="D19" s="92">
        <v>2014</v>
      </c>
      <c r="E19" s="15">
        <v>2014</v>
      </c>
      <c r="F19" s="15">
        <v>2013</v>
      </c>
      <c r="G19" s="92">
        <v>2014</v>
      </c>
      <c r="H19" s="15">
        <v>2014</v>
      </c>
      <c r="I19" s="15">
        <v>2013</v>
      </c>
      <c r="J19" s="92">
        <v>2014</v>
      </c>
      <c r="K19" s="15">
        <v>2014</v>
      </c>
      <c r="L19" s="16">
        <v>2013</v>
      </c>
      <c r="M19" s="92">
        <v>2014</v>
      </c>
      <c r="N19" s="15">
        <v>2014</v>
      </c>
      <c r="O19" s="15">
        <f>2013+286</f>
        <v>2299</v>
      </c>
      <c r="P19" s="99">
        <f>SUM(D19:O19)</f>
        <v>24450</v>
      </c>
      <c r="Q19" s="186">
        <f t="shared" si="0"/>
        <v>0</v>
      </c>
      <c r="R19" s="58"/>
      <c r="S19" s="58"/>
    </row>
    <row r="20" spans="1:19" s="14" customFormat="1" ht="12.75" customHeight="1">
      <c r="A20" s="65" t="s">
        <v>17</v>
      </c>
      <c r="B20" s="85" t="s">
        <v>47</v>
      </c>
      <c r="C20" s="97"/>
      <c r="D20" s="13"/>
      <c r="E20" s="17"/>
      <c r="F20" s="42"/>
      <c r="G20" s="42"/>
      <c r="H20" s="42"/>
      <c r="I20" s="17"/>
      <c r="J20" s="17"/>
      <c r="K20" s="17"/>
      <c r="L20" s="17"/>
      <c r="M20" s="17"/>
      <c r="N20" s="17"/>
      <c r="O20" s="123"/>
      <c r="P20" s="99">
        <f>SUM(D20:O20)</f>
        <v>0</v>
      </c>
      <c r="Q20" s="186">
        <f t="shared" si="0"/>
        <v>0</v>
      </c>
      <c r="R20" s="139"/>
      <c r="S20" s="139"/>
    </row>
    <row r="21" spans="1:19" s="16" customFormat="1" ht="12.75" customHeight="1" thickBot="1">
      <c r="A21" s="66" t="s">
        <v>30</v>
      </c>
      <c r="B21" s="81" t="s">
        <v>59</v>
      </c>
      <c r="C21" s="99">
        <f>SUM(C19:C20)</f>
        <v>24450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2014</v>
      </c>
      <c r="H21" s="13">
        <f t="shared" si="4"/>
        <v>2014</v>
      </c>
      <c r="I21" s="13">
        <f t="shared" si="4"/>
        <v>2013</v>
      </c>
      <c r="J21" s="13">
        <f t="shared" si="4"/>
        <v>2014</v>
      </c>
      <c r="K21" s="13">
        <f t="shared" si="4"/>
        <v>2014</v>
      </c>
      <c r="L21" s="13">
        <f t="shared" si="4"/>
        <v>2013</v>
      </c>
      <c r="M21" s="13">
        <f t="shared" si="4"/>
        <v>2014</v>
      </c>
      <c r="N21" s="13">
        <f t="shared" si="4"/>
        <v>2014</v>
      </c>
      <c r="O21" s="121">
        <f t="shared" si="4"/>
        <v>2299</v>
      </c>
      <c r="P21" s="99">
        <f>SUM(P19:P20)</f>
        <v>24450</v>
      </c>
      <c r="Q21" s="186">
        <f t="shared" si="0"/>
        <v>0</v>
      </c>
      <c r="R21" s="58"/>
      <c r="S21" s="58"/>
    </row>
    <row r="22" spans="1:19" s="16" customFormat="1" ht="12.75" customHeight="1" thickBot="1">
      <c r="A22" s="71"/>
      <c r="B22" s="83" t="s">
        <v>49</v>
      </c>
      <c r="C22" s="100">
        <f>SUM(C17+C18+C21)</f>
        <v>2047595</v>
      </c>
      <c r="D22" s="50">
        <f aca="true" t="shared" si="5" ref="D22:O22">SUM(D17+D18+D21)</f>
        <v>289617</v>
      </c>
      <c r="E22" s="50">
        <f t="shared" si="5"/>
        <v>14514</v>
      </c>
      <c r="F22" s="50">
        <f t="shared" si="5"/>
        <v>14513</v>
      </c>
      <c r="G22" s="50">
        <f t="shared" si="5"/>
        <v>439997</v>
      </c>
      <c r="H22" s="50">
        <f t="shared" si="5"/>
        <v>14514</v>
      </c>
      <c r="I22" s="50">
        <f t="shared" si="5"/>
        <v>64513</v>
      </c>
      <c r="J22" s="50">
        <f t="shared" si="5"/>
        <v>14514</v>
      </c>
      <c r="K22" s="50">
        <f t="shared" si="5"/>
        <v>25564</v>
      </c>
      <c r="L22" s="50">
        <f>SUM(L18+L21)</f>
        <v>681329</v>
      </c>
      <c r="M22" s="50">
        <f t="shared" si="5"/>
        <v>69207</v>
      </c>
      <c r="N22" s="50">
        <f t="shared" si="5"/>
        <v>104514</v>
      </c>
      <c r="O22" s="122">
        <f t="shared" si="5"/>
        <v>314799</v>
      </c>
      <c r="P22" s="100">
        <f>SUM(P17+P18+P21)</f>
        <v>2047595</v>
      </c>
      <c r="Q22" s="186">
        <f t="shared" si="0"/>
        <v>0</v>
      </c>
      <c r="R22" s="58"/>
      <c r="S22" s="133"/>
    </row>
    <row r="23" spans="1:19" s="40" customFormat="1" ht="12.75" customHeight="1" thickBot="1">
      <c r="A23" s="72"/>
      <c r="B23" s="83" t="s">
        <v>60</v>
      </c>
      <c r="C23" s="102">
        <f>SUM(C16,C22)</f>
        <v>16959259</v>
      </c>
      <c r="D23" s="51">
        <f aca="true" t="shared" si="6" ref="D23:P23">SUM(D16,D22)</f>
        <v>1118073</v>
      </c>
      <c r="E23" s="51">
        <f t="shared" si="6"/>
        <v>1016928</v>
      </c>
      <c r="F23" s="51">
        <f t="shared" si="6"/>
        <v>1889889</v>
      </c>
      <c r="G23" s="51">
        <f t="shared" si="6"/>
        <v>1937002</v>
      </c>
      <c r="H23" s="51">
        <f t="shared" si="6"/>
        <v>1051804</v>
      </c>
      <c r="I23" s="51">
        <f t="shared" si="6"/>
        <v>1107350</v>
      </c>
      <c r="J23" s="51">
        <f t="shared" si="6"/>
        <v>1011463</v>
      </c>
      <c r="K23" s="51">
        <f t="shared" si="6"/>
        <v>1056003</v>
      </c>
      <c r="L23" s="51">
        <f t="shared" si="6"/>
        <v>2601300</v>
      </c>
      <c r="M23" s="51">
        <f t="shared" si="6"/>
        <v>1694160</v>
      </c>
      <c r="N23" s="51">
        <f t="shared" si="6"/>
        <v>1154165</v>
      </c>
      <c r="O23" s="124">
        <f t="shared" si="6"/>
        <v>1321122</v>
      </c>
      <c r="P23" s="102">
        <f t="shared" si="6"/>
        <v>16959259</v>
      </c>
      <c r="Q23" s="186">
        <f t="shared" si="0"/>
        <v>0</v>
      </c>
      <c r="R23" s="139"/>
      <c r="S23" s="139"/>
    </row>
    <row r="24" spans="1:19" s="40" customFormat="1" ht="12.75" customHeight="1">
      <c r="A24" s="73" t="s">
        <v>15</v>
      </c>
      <c r="B24" s="86" t="s">
        <v>61</v>
      </c>
      <c r="C24" s="103">
        <v>80761</v>
      </c>
      <c r="D24" s="178">
        <v>50000</v>
      </c>
      <c r="E24" s="179">
        <v>25000</v>
      </c>
      <c r="F24" s="179">
        <v>5761</v>
      </c>
      <c r="G24" s="179"/>
      <c r="H24" s="179"/>
      <c r="I24" s="179"/>
      <c r="J24" s="179"/>
      <c r="K24" s="179"/>
      <c r="L24" s="179"/>
      <c r="M24" s="179"/>
      <c r="N24" s="179"/>
      <c r="O24" s="118"/>
      <c r="P24" s="187">
        <f>SUM(D24:O24)</f>
        <v>80761</v>
      </c>
      <c r="Q24" s="186">
        <f t="shared" si="0"/>
        <v>0</v>
      </c>
      <c r="R24" s="139"/>
      <c r="S24" s="139"/>
    </row>
    <row r="25" spans="1:19" s="40" customFormat="1" ht="12.75" customHeight="1">
      <c r="A25" s="75" t="s">
        <v>17</v>
      </c>
      <c r="B25" s="85" t="s">
        <v>62</v>
      </c>
      <c r="C25" s="97">
        <v>4741570</v>
      </c>
      <c r="D25" s="161">
        <f>381628-15000+20000+10000</f>
        <v>396628</v>
      </c>
      <c r="E25" s="162">
        <f>383470+20000</f>
        <v>403470</v>
      </c>
      <c r="F25" s="162">
        <f>381628+15000</f>
        <v>396628</v>
      </c>
      <c r="G25" s="162">
        <f>381628-15000+20000</f>
        <v>386628</v>
      </c>
      <c r="H25" s="162">
        <f>381628+4000</f>
        <v>385628</v>
      </c>
      <c r="I25" s="162">
        <f>381628+4000+2132</f>
        <v>387760</v>
      </c>
      <c r="J25" s="162">
        <f>381628+4000+12553+1952-12049</f>
        <v>388084</v>
      </c>
      <c r="K25" s="162">
        <f>381628-15000+12000+4249+2145</f>
        <v>385022</v>
      </c>
      <c r="L25" s="162">
        <f>381628+2032</f>
        <v>383660</v>
      </c>
      <c r="M25" s="162">
        <f>381628+1000+2145+15389</f>
        <v>400162</v>
      </c>
      <c r="N25" s="162">
        <f>381628+1000+2536+17000</f>
        <v>402164</v>
      </c>
      <c r="O25" s="163">
        <f>381630+1522+2914+39670</f>
        <v>425736</v>
      </c>
      <c r="P25" s="188">
        <f>SUM(D25:O25)</f>
        <v>4741570</v>
      </c>
      <c r="Q25" s="186">
        <f t="shared" si="0"/>
        <v>0</v>
      </c>
      <c r="R25" s="139"/>
      <c r="S25" s="139"/>
    </row>
    <row r="26" spans="1:19" s="40" customFormat="1" ht="12.75" customHeight="1">
      <c r="A26" s="75" t="s">
        <v>18</v>
      </c>
      <c r="B26" s="85" t="s">
        <v>97</v>
      </c>
      <c r="C26" s="97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89">
        <f>SUM(D26:O26)</f>
        <v>0</v>
      </c>
      <c r="Q26" s="186">
        <f t="shared" si="0"/>
        <v>0</v>
      </c>
      <c r="R26" s="139"/>
      <c r="S26" s="139"/>
    </row>
    <row r="27" spans="1:19" s="40" customFormat="1" ht="12.75" customHeight="1">
      <c r="A27" s="74"/>
      <c r="B27" s="81" t="s">
        <v>63</v>
      </c>
      <c r="C27" s="98">
        <f>SUM(C24:C26)</f>
        <v>4822331</v>
      </c>
      <c r="D27" s="166">
        <f aca="true" t="shared" si="7" ref="D27:N27">SUM(D24:D26)</f>
        <v>446628</v>
      </c>
      <c r="E27" s="166">
        <f t="shared" si="7"/>
        <v>428470</v>
      </c>
      <c r="F27" s="166">
        <f t="shared" si="7"/>
        <v>402389</v>
      </c>
      <c r="G27" s="166">
        <f t="shared" si="7"/>
        <v>386628</v>
      </c>
      <c r="H27" s="166">
        <f t="shared" si="7"/>
        <v>385628</v>
      </c>
      <c r="I27" s="166">
        <f t="shared" si="7"/>
        <v>387760</v>
      </c>
      <c r="J27" s="166">
        <f t="shared" si="7"/>
        <v>388084</v>
      </c>
      <c r="K27" s="166">
        <f t="shared" si="7"/>
        <v>385022</v>
      </c>
      <c r="L27" s="166">
        <f t="shared" si="7"/>
        <v>383660</v>
      </c>
      <c r="M27" s="166">
        <f t="shared" si="7"/>
        <v>400162</v>
      </c>
      <c r="N27" s="166">
        <f t="shared" si="7"/>
        <v>402164</v>
      </c>
      <c r="O27" s="166">
        <f>SUM(O24:O26)</f>
        <v>425736</v>
      </c>
      <c r="P27" s="98">
        <f>SUM(P24:P26)</f>
        <v>4822331</v>
      </c>
      <c r="Q27" s="186">
        <f t="shared" si="0"/>
        <v>0</v>
      </c>
      <c r="R27" s="139"/>
      <c r="S27" s="139"/>
    </row>
    <row r="28" spans="1:19" s="40" customFormat="1" ht="12.75" customHeight="1">
      <c r="A28" s="75" t="s">
        <v>15</v>
      </c>
      <c r="B28" s="85" t="s">
        <v>64</v>
      </c>
      <c r="C28" s="98">
        <v>37529</v>
      </c>
      <c r="D28" s="164"/>
      <c r="E28" s="165"/>
      <c r="F28" s="165">
        <v>20000</v>
      </c>
      <c r="G28" s="165">
        <v>17529</v>
      </c>
      <c r="H28" s="165"/>
      <c r="I28" s="165"/>
      <c r="J28" s="165"/>
      <c r="K28" s="165"/>
      <c r="L28" s="165"/>
      <c r="M28" s="165"/>
      <c r="N28" s="165"/>
      <c r="O28" s="166"/>
      <c r="P28" s="98">
        <f>SUM(D28:O28)</f>
        <v>37529</v>
      </c>
      <c r="Q28" s="186">
        <f t="shared" si="0"/>
        <v>0</v>
      </c>
      <c r="R28" s="139"/>
      <c r="S28" s="138"/>
    </row>
    <row r="29" spans="1:19" s="40" customFormat="1" ht="12.75" customHeight="1">
      <c r="A29" s="74" t="s">
        <v>17</v>
      </c>
      <c r="B29" s="87" t="s">
        <v>65</v>
      </c>
      <c r="C29" s="104">
        <v>120274</v>
      </c>
      <c r="D29" s="167"/>
      <c r="E29" s="176"/>
      <c r="F29" s="176"/>
      <c r="G29" s="176">
        <v>15000</v>
      </c>
      <c r="H29" s="176"/>
      <c r="I29" s="176"/>
      <c r="J29" s="176">
        <v>20000</v>
      </c>
      <c r="K29" s="176">
        <f>15000+14546-9945</f>
        <v>19601</v>
      </c>
      <c r="L29" s="176">
        <f>6900+14000+11710</f>
        <v>32610</v>
      </c>
      <c r="M29" s="176">
        <v>20000</v>
      </c>
      <c r="N29" s="176"/>
      <c r="O29" s="177">
        <f>31281-18784+445+121</f>
        <v>13063</v>
      </c>
      <c r="P29" s="98">
        <f>SUM(D29:O29)</f>
        <v>120274</v>
      </c>
      <c r="Q29" s="186">
        <f t="shared" si="0"/>
        <v>0</v>
      </c>
      <c r="R29" s="139"/>
      <c r="S29" s="139"/>
    </row>
    <row r="30" spans="1:19" s="40" customFormat="1" ht="12.75" customHeight="1">
      <c r="A30" s="76"/>
      <c r="B30" s="153" t="s">
        <v>66</v>
      </c>
      <c r="C30" s="154">
        <f>SUM(C28:C29)</f>
        <v>157803</v>
      </c>
      <c r="D30" s="156">
        <f aca="true" t="shared" si="8" ref="D30:O30">SUM(D28:D29)</f>
        <v>0</v>
      </c>
      <c r="E30" s="155">
        <f t="shared" si="8"/>
        <v>0</v>
      </c>
      <c r="F30" s="155">
        <f t="shared" si="8"/>
        <v>20000</v>
      </c>
      <c r="G30" s="155">
        <f t="shared" si="8"/>
        <v>32529</v>
      </c>
      <c r="H30" s="155">
        <f t="shared" si="8"/>
        <v>0</v>
      </c>
      <c r="I30" s="155">
        <f t="shared" si="8"/>
        <v>0</v>
      </c>
      <c r="J30" s="155">
        <f t="shared" si="8"/>
        <v>20000</v>
      </c>
      <c r="K30" s="155">
        <f t="shared" si="8"/>
        <v>19601</v>
      </c>
      <c r="L30" s="155">
        <f t="shared" si="8"/>
        <v>32610</v>
      </c>
      <c r="M30" s="155">
        <f t="shared" si="8"/>
        <v>20000</v>
      </c>
      <c r="N30" s="155">
        <f t="shared" si="8"/>
        <v>0</v>
      </c>
      <c r="O30" s="170">
        <f t="shared" si="8"/>
        <v>13063</v>
      </c>
      <c r="P30" s="154">
        <f>SUM(P28:P29)</f>
        <v>157803</v>
      </c>
      <c r="Q30" s="186">
        <f t="shared" si="0"/>
        <v>0</v>
      </c>
      <c r="R30" s="139"/>
      <c r="S30" s="139"/>
    </row>
    <row r="31" spans="1:19" s="40" customFormat="1" ht="12.75" customHeight="1">
      <c r="A31" s="76">
        <v>1</v>
      </c>
      <c r="B31" s="193" t="s">
        <v>103</v>
      </c>
      <c r="C31" s="188">
        <v>1413656</v>
      </c>
      <c r="D31" s="194">
        <f>$C$31/12</f>
        <v>117804.66666666667</v>
      </c>
      <c r="E31" s="194">
        <f aca="true" t="shared" si="9" ref="E31:O31">$C$31/12</f>
        <v>117804.66666666667</v>
      </c>
      <c r="F31" s="194">
        <f t="shared" si="9"/>
        <v>117804.66666666667</v>
      </c>
      <c r="G31" s="194">
        <f t="shared" si="9"/>
        <v>117804.66666666667</v>
      </c>
      <c r="H31" s="194">
        <f t="shared" si="9"/>
        <v>117804.66666666667</v>
      </c>
      <c r="I31" s="194">
        <f t="shared" si="9"/>
        <v>117804.66666666667</v>
      </c>
      <c r="J31" s="194">
        <f t="shared" si="9"/>
        <v>117804.66666666667</v>
      </c>
      <c r="K31" s="194">
        <f t="shared" si="9"/>
        <v>117804.66666666667</v>
      </c>
      <c r="L31" s="194">
        <f t="shared" si="9"/>
        <v>117804.66666666667</v>
      </c>
      <c r="M31" s="194">
        <f t="shared" si="9"/>
        <v>117804.66666666667</v>
      </c>
      <c r="N31" s="194">
        <f t="shared" si="9"/>
        <v>117804.66666666667</v>
      </c>
      <c r="O31" s="194">
        <f t="shared" si="9"/>
        <v>117804.66666666667</v>
      </c>
      <c r="P31" s="188">
        <f>SUM(D31:O31)</f>
        <v>1413656.0000000002</v>
      </c>
      <c r="Q31" s="186">
        <f t="shared" si="0"/>
        <v>-2.3283064365386963E-10</v>
      </c>
      <c r="R31" s="139"/>
      <c r="S31" s="139"/>
    </row>
    <row r="32" spans="1:19" s="40" customFormat="1" ht="12.75" customHeight="1" thickBot="1">
      <c r="A32" s="76">
        <v>2</v>
      </c>
      <c r="B32" s="191" t="s">
        <v>104</v>
      </c>
      <c r="C32" s="152">
        <v>435590</v>
      </c>
      <c r="D32" s="192">
        <f>$C$32/12</f>
        <v>36299.166666666664</v>
      </c>
      <c r="E32" s="192">
        <f aca="true" t="shared" si="10" ref="E32:O32">$C$32/12</f>
        <v>36299.166666666664</v>
      </c>
      <c r="F32" s="192">
        <f t="shared" si="10"/>
        <v>36299.166666666664</v>
      </c>
      <c r="G32" s="192">
        <f t="shared" si="10"/>
        <v>36299.166666666664</v>
      </c>
      <c r="H32" s="192">
        <f t="shared" si="10"/>
        <v>36299.166666666664</v>
      </c>
      <c r="I32" s="192">
        <f t="shared" si="10"/>
        <v>36299.166666666664</v>
      </c>
      <c r="J32" s="192">
        <f t="shared" si="10"/>
        <v>36299.166666666664</v>
      </c>
      <c r="K32" s="192">
        <f t="shared" si="10"/>
        <v>36299.166666666664</v>
      </c>
      <c r="L32" s="192">
        <f t="shared" si="10"/>
        <v>36299.166666666664</v>
      </c>
      <c r="M32" s="192">
        <f t="shared" si="10"/>
        <v>36299.166666666664</v>
      </c>
      <c r="N32" s="192">
        <f t="shared" si="10"/>
        <v>36299.166666666664</v>
      </c>
      <c r="O32" s="192">
        <f t="shared" si="10"/>
        <v>36299.166666666664</v>
      </c>
      <c r="P32" s="188">
        <f>SUM(D32:O32)</f>
        <v>435590.00000000006</v>
      </c>
      <c r="Q32" s="186">
        <f t="shared" si="0"/>
        <v>-5.820766091346741E-11</v>
      </c>
      <c r="R32" s="139"/>
      <c r="S32" s="139"/>
    </row>
    <row r="33" spans="1:19" s="40" customFormat="1" ht="12.75" customHeight="1" thickBot="1">
      <c r="A33" s="158"/>
      <c r="B33" s="151" t="s">
        <v>93</v>
      </c>
      <c r="C33" s="152">
        <f>+C27+C30+C31+C32</f>
        <v>6829380</v>
      </c>
      <c r="D33" s="152">
        <f aca="true" t="shared" si="11" ref="D33:O33">+D27+D30+D31+D32</f>
        <v>600731.8333333333</v>
      </c>
      <c r="E33" s="152">
        <f t="shared" si="11"/>
        <v>582573.8333333333</v>
      </c>
      <c r="F33" s="152">
        <f t="shared" si="11"/>
        <v>576492.8333333333</v>
      </c>
      <c r="G33" s="152">
        <f t="shared" si="11"/>
        <v>573260.8333333333</v>
      </c>
      <c r="H33" s="152">
        <f t="shared" si="11"/>
        <v>539731.8333333334</v>
      </c>
      <c r="I33" s="152">
        <f t="shared" si="11"/>
        <v>541863.8333333334</v>
      </c>
      <c r="J33" s="152">
        <f t="shared" si="11"/>
        <v>562187.8333333333</v>
      </c>
      <c r="K33" s="152">
        <f t="shared" si="11"/>
        <v>558726.8333333334</v>
      </c>
      <c r="L33" s="152">
        <f t="shared" si="11"/>
        <v>570373.8333333333</v>
      </c>
      <c r="M33" s="152">
        <f t="shared" si="11"/>
        <v>574265.8333333333</v>
      </c>
      <c r="N33" s="152">
        <f t="shared" si="11"/>
        <v>556267.8333333334</v>
      </c>
      <c r="O33" s="152">
        <f t="shared" si="11"/>
        <v>592902.8333333333</v>
      </c>
      <c r="P33" s="152">
        <f>+P27+P30+P31+P32</f>
        <v>6829380</v>
      </c>
      <c r="Q33" s="186">
        <f>SUM(C33-P33)</f>
        <v>0</v>
      </c>
      <c r="R33" s="139"/>
      <c r="S33" s="139"/>
    </row>
    <row r="34" spans="1:19" s="40" customFormat="1" ht="12.75" customHeight="1" thickBot="1">
      <c r="A34" s="62"/>
      <c r="B34" s="88" t="s">
        <v>37</v>
      </c>
      <c r="C34" s="105">
        <f>SUM(C23,C27,C30)+C31+C32</f>
        <v>23788639</v>
      </c>
      <c r="D34" s="105">
        <f aca="true" t="shared" si="12" ref="D34:P34">SUM(D23,D27,D30)+D31+D32</f>
        <v>1718804.8333333335</v>
      </c>
      <c r="E34" s="105">
        <f t="shared" si="12"/>
        <v>1599501.8333333335</v>
      </c>
      <c r="F34" s="105">
        <f t="shared" si="12"/>
        <v>2466381.833333333</v>
      </c>
      <c r="G34" s="105">
        <f t="shared" si="12"/>
        <v>2510262.833333333</v>
      </c>
      <c r="H34" s="105">
        <f t="shared" si="12"/>
        <v>1591535.8333333335</v>
      </c>
      <c r="I34" s="105">
        <f t="shared" si="12"/>
        <v>1649213.8333333335</v>
      </c>
      <c r="J34" s="105">
        <f t="shared" si="12"/>
        <v>1573650.8333333335</v>
      </c>
      <c r="K34" s="105">
        <f t="shared" si="12"/>
        <v>1614729.8333333335</v>
      </c>
      <c r="L34" s="105">
        <f t="shared" si="12"/>
        <v>3171673.833333333</v>
      </c>
      <c r="M34" s="105">
        <f t="shared" si="12"/>
        <v>2268425.833333333</v>
      </c>
      <c r="N34" s="105">
        <f t="shared" si="12"/>
        <v>1710432.8333333335</v>
      </c>
      <c r="O34" s="105">
        <f t="shared" si="12"/>
        <v>1914024.8333333335</v>
      </c>
      <c r="P34" s="105">
        <f t="shared" si="12"/>
        <v>23788639</v>
      </c>
      <c r="Q34" s="186">
        <f t="shared" si="0"/>
        <v>0</v>
      </c>
      <c r="R34" s="139"/>
      <c r="S34" s="139"/>
    </row>
    <row r="35" spans="1:19" s="16" customFormat="1" ht="11.25" customHeight="1">
      <c r="A35" s="77"/>
      <c r="B35" s="89" t="s">
        <v>50</v>
      </c>
      <c r="C35" s="171">
        <f>-C25</f>
        <v>-4741570</v>
      </c>
      <c r="D35" s="172">
        <f aca="true" t="shared" si="13" ref="D35:O35">-SUM(D25)</f>
        <v>-396628</v>
      </c>
      <c r="E35" s="173">
        <f t="shared" si="13"/>
        <v>-403470</v>
      </c>
      <c r="F35" s="173">
        <f t="shared" si="13"/>
        <v>-396628</v>
      </c>
      <c r="G35" s="173">
        <f t="shared" si="13"/>
        <v>-386628</v>
      </c>
      <c r="H35" s="173">
        <f t="shared" si="13"/>
        <v>-385628</v>
      </c>
      <c r="I35" s="173">
        <f t="shared" si="13"/>
        <v>-387760</v>
      </c>
      <c r="J35" s="173">
        <f t="shared" si="13"/>
        <v>-388084</v>
      </c>
      <c r="K35" s="173">
        <f t="shared" si="13"/>
        <v>-385022</v>
      </c>
      <c r="L35" s="173">
        <f t="shared" si="13"/>
        <v>-383660</v>
      </c>
      <c r="M35" s="173">
        <f t="shared" si="13"/>
        <v>-400162</v>
      </c>
      <c r="N35" s="173">
        <f t="shared" si="13"/>
        <v>-402164</v>
      </c>
      <c r="O35" s="174">
        <f t="shared" si="13"/>
        <v>-425736</v>
      </c>
      <c r="P35" s="112">
        <f>SUM(D35:O35)</f>
        <v>-4741570</v>
      </c>
      <c r="Q35" s="186">
        <f t="shared" si="0"/>
        <v>0</v>
      </c>
      <c r="R35" s="58"/>
      <c r="S35" s="58"/>
    </row>
    <row r="36" spans="1:19" s="16" customFormat="1" ht="12.75" customHeight="1">
      <c r="A36" s="78"/>
      <c r="B36" s="90" t="s">
        <v>51</v>
      </c>
      <c r="C36" s="175">
        <f>-C29</f>
        <v>-120274</v>
      </c>
      <c r="D36" s="167">
        <f aca="true" t="shared" si="14" ref="D36:O36">-SUM(D29)</f>
        <v>0</v>
      </c>
      <c r="E36" s="168">
        <f t="shared" si="14"/>
        <v>0</v>
      </c>
      <c r="F36" s="168">
        <f t="shared" si="14"/>
        <v>0</v>
      </c>
      <c r="G36" s="168">
        <f t="shared" si="14"/>
        <v>-15000</v>
      </c>
      <c r="H36" s="168">
        <f t="shared" si="14"/>
        <v>0</v>
      </c>
      <c r="I36" s="168">
        <f t="shared" si="14"/>
        <v>0</v>
      </c>
      <c r="J36" s="168">
        <f t="shared" si="14"/>
        <v>-20000</v>
      </c>
      <c r="K36" s="168">
        <f t="shared" si="14"/>
        <v>-19601</v>
      </c>
      <c r="L36" s="168">
        <f t="shared" si="14"/>
        <v>-32610</v>
      </c>
      <c r="M36" s="168">
        <f t="shared" si="14"/>
        <v>-20000</v>
      </c>
      <c r="N36" s="168">
        <f>-SUM(N29)</f>
        <v>0</v>
      </c>
      <c r="O36" s="169">
        <f t="shared" si="14"/>
        <v>-13063</v>
      </c>
      <c r="P36" s="56">
        <f>SUM(D36:O36)</f>
        <v>-120274</v>
      </c>
      <c r="Q36" s="186">
        <f t="shared" si="0"/>
        <v>0</v>
      </c>
      <c r="R36" s="58"/>
      <c r="S36" s="58"/>
    </row>
    <row r="37" spans="1:19" s="16" customFormat="1" ht="15" customHeight="1" thickBot="1">
      <c r="A37" s="59"/>
      <c r="B37" s="91" t="s">
        <v>54</v>
      </c>
      <c r="C37" s="154">
        <v>-379000</v>
      </c>
      <c r="D37" s="157">
        <f>$C$37/12</f>
        <v>-31583.333333333332</v>
      </c>
      <c r="E37" s="157">
        <f aca="true" t="shared" si="15" ref="E37:O37">$C$37/12</f>
        <v>-31583.333333333332</v>
      </c>
      <c r="F37" s="157">
        <f t="shared" si="15"/>
        <v>-31583.333333333332</v>
      </c>
      <c r="G37" s="157">
        <f t="shared" si="15"/>
        <v>-31583.333333333332</v>
      </c>
      <c r="H37" s="157">
        <f t="shared" si="15"/>
        <v>-31583.333333333332</v>
      </c>
      <c r="I37" s="157">
        <f t="shared" si="15"/>
        <v>-31583.333333333332</v>
      </c>
      <c r="J37" s="157">
        <f t="shared" si="15"/>
        <v>-31583.333333333332</v>
      </c>
      <c r="K37" s="157">
        <f t="shared" si="15"/>
        <v>-31583.333333333332</v>
      </c>
      <c r="L37" s="157">
        <f t="shared" si="15"/>
        <v>-31583.333333333332</v>
      </c>
      <c r="M37" s="157">
        <f t="shared" si="15"/>
        <v>-31583.333333333332</v>
      </c>
      <c r="N37" s="157">
        <f t="shared" si="15"/>
        <v>-31583.333333333332</v>
      </c>
      <c r="O37" s="157">
        <f t="shared" si="15"/>
        <v>-31583.333333333332</v>
      </c>
      <c r="P37" s="56">
        <f>SUM(D37:O37)</f>
        <v>-378999.99999999994</v>
      </c>
      <c r="Q37" s="186">
        <f t="shared" si="0"/>
        <v>-5.820766091346741E-11</v>
      </c>
      <c r="R37" s="58"/>
      <c r="S37" s="58"/>
    </row>
    <row r="38" spans="1:19" s="16" customFormat="1" ht="10.5" customHeight="1" thickBot="1">
      <c r="A38" s="209" t="s">
        <v>37</v>
      </c>
      <c r="B38" s="210"/>
      <c r="C38" s="106">
        <f>SUM(C34:C37)</f>
        <v>18547795</v>
      </c>
      <c r="D38" s="60">
        <f>SUM(D34:D37)</f>
        <v>1290593.5000000002</v>
      </c>
      <c r="E38" s="60">
        <f aca="true" t="shared" si="16" ref="E38:O38">SUM(E34:E37)</f>
        <v>1164448.5000000002</v>
      </c>
      <c r="F38" s="60">
        <f t="shared" si="16"/>
        <v>2038170.4999999998</v>
      </c>
      <c r="G38" s="60">
        <f t="shared" si="16"/>
        <v>2077051.4999999998</v>
      </c>
      <c r="H38" s="60">
        <f t="shared" si="16"/>
        <v>1174324.5000000002</v>
      </c>
      <c r="I38" s="60">
        <f t="shared" si="16"/>
        <v>1229870.5000000002</v>
      </c>
      <c r="J38" s="60">
        <f t="shared" si="16"/>
        <v>1133983.5000000002</v>
      </c>
      <c r="K38" s="60">
        <f t="shared" si="16"/>
        <v>1178523.5000000002</v>
      </c>
      <c r="L38" s="60">
        <f t="shared" si="16"/>
        <v>2723820.4999999995</v>
      </c>
      <c r="M38" s="60">
        <f t="shared" si="16"/>
        <v>1816680.4999999998</v>
      </c>
      <c r="N38" s="60">
        <f t="shared" si="16"/>
        <v>1276685.5000000002</v>
      </c>
      <c r="O38" s="60">
        <f t="shared" si="16"/>
        <v>1443642.5000000002</v>
      </c>
      <c r="P38" s="106">
        <f>SUM(P34:P37)</f>
        <v>18547795</v>
      </c>
      <c r="Q38" s="186">
        <f t="shared" si="0"/>
        <v>0</v>
      </c>
      <c r="R38" s="58"/>
      <c r="S38" s="58"/>
    </row>
    <row r="39" ht="12.75">
      <c r="Q39" s="186">
        <f t="shared" si="0"/>
        <v>0</v>
      </c>
    </row>
    <row r="41" spans="2:16" ht="12.75">
      <c r="B41" s="4" t="s">
        <v>87</v>
      </c>
      <c r="D41" s="116">
        <v>2405734</v>
      </c>
      <c r="E41" s="117">
        <f>SUM(D44)</f>
        <v>2444514.79</v>
      </c>
      <c r="F41" s="117">
        <f aca="true" t="shared" si="17" ref="F41:O41">SUM(E44)</f>
        <v>2289242.873333333</v>
      </c>
      <c r="G41" s="117">
        <f t="shared" si="17"/>
        <v>2983648.956666666</v>
      </c>
      <c r="H41" s="117">
        <f t="shared" si="17"/>
        <v>3719648.7799999993</v>
      </c>
      <c r="I41" s="117">
        <f t="shared" si="17"/>
        <v>3586303.8233333323</v>
      </c>
      <c r="J41" s="117">
        <f t="shared" si="17"/>
        <v>3403016.1566666653</v>
      </c>
      <c r="K41" s="117">
        <f t="shared" si="17"/>
        <v>2914066.6899999985</v>
      </c>
      <c r="L41" s="117">
        <f t="shared" si="17"/>
        <v>2500430.0233333316</v>
      </c>
      <c r="M41" s="117">
        <f t="shared" si="17"/>
        <v>3501623.996666665</v>
      </c>
      <c r="N41" s="117">
        <f t="shared" si="17"/>
        <v>3678020.459999998</v>
      </c>
      <c r="O41" s="117">
        <f t="shared" si="17"/>
        <v>3373339.423333331</v>
      </c>
      <c r="P41" s="117"/>
    </row>
    <row r="42" spans="4:16" ht="12.75">
      <c r="D42" s="117">
        <f>SUM(D38)</f>
        <v>1290593.5000000002</v>
      </c>
      <c r="E42" s="117">
        <f aca="true" t="shared" si="18" ref="E42:O42">SUM(E38)</f>
        <v>1164448.5000000002</v>
      </c>
      <c r="F42" s="117">
        <f t="shared" si="18"/>
        <v>2038170.4999999998</v>
      </c>
      <c r="G42" s="117">
        <f t="shared" si="18"/>
        <v>2077051.4999999998</v>
      </c>
      <c r="H42" s="117">
        <f t="shared" si="18"/>
        <v>1174324.5000000002</v>
      </c>
      <c r="I42" s="117">
        <f t="shared" si="18"/>
        <v>1229870.5000000002</v>
      </c>
      <c r="J42" s="117">
        <f t="shared" si="18"/>
        <v>1133983.5000000002</v>
      </c>
      <c r="K42" s="117">
        <f t="shared" si="18"/>
        <v>1178523.5000000002</v>
      </c>
      <c r="L42" s="117">
        <f t="shared" si="18"/>
        <v>2723820.4999999995</v>
      </c>
      <c r="M42" s="117">
        <f t="shared" si="18"/>
        <v>1816680.4999999998</v>
      </c>
      <c r="N42" s="117">
        <f t="shared" si="18"/>
        <v>1276685.5000000002</v>
      </c>
      <c r="O42" s="117">
        <f t="shared" si="18"/>
        <v>1443642.5000000002</v>
      </c>
      <c r="P42" s="117">
        <f>SUM(D42:O42)</f>
        <v>18547795</v>
      </c>
    </row>
    <row r="43" spans="4:16" ht="12.75">
      <c r="D43" s="117">
        <f>-SUM(kiadás!D51)</f>
        <v>-1251812.71</v>
      </c>
      <c r="E43" s="117">
        <f>-SUM(kiadás!E51)</f>
        <v>-1319720.4166666667</v>
      </c>
      <c r="F43" s="117">
        <f>-SUM(kiadás!F51)</f>
        <v>-1343764.4166666667</v>
      </c>
      <c r="G43" s="117">
        <f>-SUM(kiadás!G51)</f>
        <v>-1341051.6766666668</v>
      </c>
      <c r="H43" s="117">
        <f>-SUM(kiadás!H51)</f>
        <v>-1307669.4566666668</v>
      </c>
      <c r="I43" s="117">
        <f>-SUM(kiadás!I51)</f>
        <v>-1413158.1666666667</v>
      </c>
      <c r="J43" s="117">
        <f>-SUM(kiadás!J51)</f>
        <v>-1622932.9666666668</v>
      </c>
      <c r="K43" s="117">
        <f>-SUM(kiadás!K51)</f>
        <v>-1592160.1666666667</v>
      </c>
      <c r="L43" s="117">
        <f>-SUM(kiadás!L51)</f>
        <v>-1722626.5266666666</v>
      </c>
      <c r="M43" s="117">
        <f>-SUM(kiadás!M51)</f>
        <v>-1640284.0366666669</v>
      </c>
      <c r="N43" s="117">
        <f>-SUM(kiadás!N51)</f>
        <v>-1581366.5366666669</v>
      </c>
      <c r="O43" s="117">
        <f>-SUM(kiadás!O51)</f>
        <v>-2411247.5066666664</v>
      </c>
      <c r="P43" s="117">
        <f>SUM(D43:O43)</f>
        <v>-18547794.583333336</v>
      </c>
    </row>
    <row r="44" spans="4:16" ht="12.75">
      <c r="D44" s="117">
        <f>SUM(D41:D43)</f>
        <v>2444514.79</v>
      </c>
      <c r="E44" s="117">
        <f aca="true" t="shared" si="19" ref="E44:O44">SUM(E41:E43)</f>
        <v>2289242.873333333</v>
      </c>
      <c r="F44" s="117">
        <f t="shared" si="19"/>
        <v>2983648.956666666</v>
      </c>
      <c r="G44" s="117">
        <f t="shared" si="19"/>
        <v>3719648.7799999993</v>
      </c>
      <c r="H44" s="117">
        <f t="shared" si="19"/>
        <v>3586303.8233333323</v>
      </c>
      <c r="I44" s="117">
        <f t="shared" si="19"/>
        <v>3403016.1566666653</v>
      </c>
      <c r="J44" s="117">
        <f t="shared" si="19"/>
        <v>2914066.6899999985</v>
      </c>
      <c r="K44" s="117">
        <f t="shared" si="19"/>
        <v>2500430.0233333316</v>
      </c>
      <c r="L44" s="117">
        <f t="shared" si="19"/>
        <v>3501623.996666665</v>
      </c>
      <c r="M44" s="117">
        <f t="shared" si="19"/>
        <v>3678020.459999998</v>
      </c>
      <c r="N44" s="117">
        <f t="shared" si="19"/>
        <v>3373339.423333331</v>
      </c>
      <c r="O44" s="117">
        <f t="shared" si="19"/>
        <v>2405734.4166666646</v>
      </c>
      <c r="P44" s="117"/>
    </row>
    <row r="45" spans="4:16" ht="12.75"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>
        <f>SUM(P42:P43)</f>
        <v>0.4166666641831398</v>
      </c>
    </row>
    <row r="50" ht="12.75">
      <c r="P50" s="6">
        <f>+P38-kiadás!P51</f>
        <v>0.4166666641831398</v>
      </c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2016-01-14T15:32:17Z</cp:lastPrinted>
  <dcterms:created xsi:type="dcterms:W3CDTF">2009-02-16T12:26:31Z</dcterms:created>
  <dcterms:modified xsi:type="dcterms:W3CDTF">2016-01-14T15:34:03Z</dcterms:modified>
  <cp:category/>
  <cp:version/>
  <cp:contentType/>
  <cp:contentStatus/>
</cp:coreProperties>
</file>