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<sst xmlns="http://schemas.openxmlformats.org/spreadsheetml/2006/main" count="65" uniqueCount="65">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</sst>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9" applyFont="1" applyFill="1" applyAlignment="1" applyProtection="1">
      <alignment horizontal="center" wrapText="1"/>
      <protection/>
    </xf>
    <xf numFmtId="0" fontId="19" fillId="0" borderId="0" xfId="69" applyFont="1" applyFill="1" applyAlignment="1" applyProtection="1">
      <alignment horizontal="center"/>
      <protection/>
    </xf>
    <xf numFmtId="0" fontId="18" fillId="0" borderId="0" xfId="69" applyFill="1" applyProtection="1">
      <alignment/>
      <protection locked="0"/>
    </xf>
    <xf numFmtId="0" fontId="18" fillId="0" borderId="0" xfId="69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9" applyFont="1" applyFill="1" applyBorder="1" applyAlignment="1" applyProtection="1">
      <alignment horizontal="center" vertical="center" wrapText="1"/>
      <protection/>
    </xf>
    <xf numFmtId="0" fontId="21" fillId="0" borderId="11" xfId="69" applyFont="1" applyFill="1" applyBorder="1" applyAlignment="1" applyProtection="1">
      <alignment horizontal="center" vertical="center"/>
      <protection/>
    </xf>
    <xf numFmtId="0" fontId="21" fillId="0" borderId="12" xfId="69" applyFont="1" applyFill="1" applyBorder="1" applyAlignment="1" applyProtection="1">
      <alignment horizontal="center" vertical="center"/>
      <protection/>
    </xf>
    <xf numFmtId="0" fontId="22" fillId="0" borderId="13" xfId="69" applyFont="1" applyFill="1" applyBorder="1" applyAlignment="1" applyProtection="1">
      <alignment horizontal="left" vertical="center" indent="1"/>
      <protection/>
    </xf>
    <xf numFmtId="0" fontId="23" fillId="0" borderId="14" xfId="69" applyFont="1" applyFill="1" applyBorder="1" applyAlignment="1" applyProtection="1">
      <alignment horizontal="left" vertical="center" indent="1"/>
      <protection/>
    </xf>
    <xf numFmtId="0" fontId="23" fillId="0" borderId="15" xfId="69" applyFont="1" applyFill="1" applyBorder="1" applyAlignment="1" applyProtection="1">
      <alignment horizontal="left" vertical="center" indent="1"/>
      <protection/>
    </xf>
    <xf numFmtId="0" fontId="23" fillId="0" borderId="16" xfId="69" applyFont="1" applyFill="1" applyBorder="1" applyAlignment="1" applyProtection="1">
      <alignment horizontal="left" vertical="center" indent="1"/>
      <protection/>
    </xf>
    <xf numFmtId="0" fontId="18" fillId="0" borderId="0" xfId="69" applyFill="1" applyAlignment="1" applyProtection="1">
      <alignment vertical="center"/>
      <protection/>
    </xf>
    <xf numFmtId="0" fontId="22" fillId="0" borderId="17" xfId="69" applyFont="1" applyFill="1" applyBorder="1" applyAlignment="1" applyProtection="1">
      <alignment horizontal="left" vertical="center" indent="1"/>
      <protection/>
    </xf>
    <xf numFmtId="0" fontId="22" fillId="0" borderId="18" xfId="69" applyFont="1" applyFill="1" applyBorder="1" applyAlignment="1" applyProtection="1">
      <alignment horizontal="left" vertical="center" wrapText="1" indent="1"/>
      <protection/>
    </xf>
    <xf numFmtId="164" fontId="22" fillId="0" borderId="18" xfId="69" applyNumberFormat="1" applyFont="1" applyFill="1" applyBorder="1" applyAlignment="1" applyProtection="1">
      <alignment vertical="center"/>
      <protection locked="0"/>
    </xf>
    <xf numFmtId="164" fontId="24" fillId="0" borderId="19" xfId="69" applyNumberFormat="1" applyFont="1" applyFill="1" applyBorder="1" applyAlignment="1" applyProtection="1">
      <alignment vertical="center"/>
      <protection/>
    </xf>
    <xf numFmtId="0" fontId="22" fillId="0" borderId="20" xfId="69" applyFont="1" applyFill="1" applyBorder="1" applyAlignment="1" applyProtection="1">
      <alignment horizontal="left" vertical="center" indent="1"/>
      <protection/>
    </xf>
    <xf numFmtId="0" fontId="22" fillId="0" borderId="21" xfId="69" applyFont="1" applyFill="1" applyBorder="1" applyAlignment="1" applyProtection="1">
      <alignment horizontal="left" vertical="center" wrapText="1" indent="1"/>
      <protection/>
    </xf>
    <xf numFmtId="164" fontId="22" fillId="0" borderId="21" xfId="69" applyNumberFormat="1" applyFont="1" applyFill="1" applyBorder="1" applyAlignment="1" applyProtection="1">
      <alignment vertical="center"/>
      <protection locked="0"/>
    </xf>
    <xf numFmtId="164" fontId="25" fillId="0" borderId="22" xfId="69" applyNumberFormat="1" applyFont="1" applyFill="1" applyBorder="1" applyAlignment="1" applyProtection="1">
      <alignment vertical="center"/>
      <protection/>
    </xf>
    <xf numFmtId="0" fontId="18" fillId="0" borderId="0" xfId="69" applyFill="1" applyAlignment="1" applyProtection="1">
      <alignment vertical="center"/>
      <protection locked="0"/>
    </xf>
    <xf numFmtId="0" fontId="22" fillId="0" borderId="23" xfId="69" applyFont="1" applyFill="1" applyBorder="1" applyAlignment="1" applyProtection="1">
      <alignment horizontal="left" vertical="center" wrapText="1" indent="1"/>
      <protection/>
    </xf>
    <xf numFmtId="164" fontId="22" fillId="0" borderId="23" xfId="69" applyNumberFormat="1" applyFont="1" applyFill="1" applyBorder="1" applyAlignment="1" applyProtection="1">
      <alignment vertical="center"/>
      <protection locked="0"/>
    </xf>
    <xf numFmtId="0" fontId="22" fillId="0" borderId="21" xfId="69" applyFont="1" applyFill="1" applyBorder="1" applyAlignment="1" applyProtection="1">
      <alignment horizontal="left" vertical="center" indent="1"/>
      <protection/>
    </xf>
    <xf numFmtId="164" fontId="24" fillId="0" borderId="22" xfId="69" applyNumberFormat="1" applyFont="1" applyFill="1" applyBorder="1" applyAlignment="1" applyProtection="1">
      <alignment vertical="center"/>
      <protection/>
    </xf>
    <xf numFmtId="164" fontId="22" fillId="0" borderId="21" xfId="69" applyNumberFormat="1" applyFont="1" applyFill="1" applyBorder="1" applyAlignment="1" applyProtection="1">
      <alignment vertical="center"/>
      <protection locked="0"/>
    </xf>
    <xf numFmtId="0" fontId="21" fillId="0" borderId="24" xfId="69" applyFont="1" applyFill="1" applyBorder="1" applyAlignment="1" applyProtection="1">
      <alignment horizontal="left" vertical="center" indent="1"/>
      <protection/>
    </xf>
    <xf numFmtId="164" fontId="24" fillId="0" borderId="24" xfId="69" applyNumberFormat="1" applyFont="1" applyFill="1" applyBorder="1" applyAlignment="1" applyProtection="1">
      <alignment vertical="center"/>
      <protection/>
    </xf>
    <xf numFmtId="164" fontId="24" fillId="0" borderId="25" xfId="69" applyNumberFormat="1" applyFont="1" applyFill="1" applyBorder="1" applyAlignment="1" applyProtection="1">
      <alignment vertical="center"/>
      <protection/>
    </xf>
    <xf numFmtId="0" fontId="22" fillId="0" borderId="26" xfId="69" applyFont="1" applyFill="1" applyBorder="1" applyAlignment="1" applyProtection="1">
      <alignment horizontal="left" vertical="center" indent="1"/>
      <protection/>
    </xf>
    <xf numFmtId="0" fontId="22" fillId="0" borderId="23" xfId="69" applyFont="1" applyFill="1" applyBorder="1" applyAlignment="1" applyProtection="1">
      <alignment horizontal="left" vertical="center" indent="1"/>
      <protection/>
    </xf>
    <xf numFmtId="164" fontId="25" fillId="0" borderId="27" xfId="69" applyNumberFormat="1" applyFont="1" applyFill="1" applyBorder="1" applyAlignment="1" applyProtection="1">
      <alignment vertical="center"/>
      <protection/>
    </xf>
    <xf numFmtId="0" fontId="19" fillId="0" borderId="0" xfId="69" applyFont="1" applyFill="1" applyAlignment="1" applyProtection="1">
      <alignment vertical="center"/>
      <protection locked="0"/>
    </xf>
    <xf numFmtId="0" fontId="24" fillId="0" borderId="13" xfId="69" applyFont="1" applyFill="1" applyBorder="1" applyAlignment="1" applyProtection="1">
      <alignment horizontal="left" vertical="center" indent="1"/>
      <protection/>
    </xf>
    <xf numFmtId="0" fontId="21" fillId="0" borderId="24" xfId="69" applyFont="1" applyFill="1" applyBorder="1" applyAlignment="1" applyProtection="1">
      <alignment horizontal="left" indent="1"/>
      <protection/>
    </xf>
    <xf numFmtId="164" fontId="24" fillId="0" borderId="24" xfId="69" applyNumberFormat="1" applyFont="1" applyFill="1" applyBorder="1" applyProtection="1">
      <alignment/>
      <protection/>
    </xf>
    <xf numFmtId="164" fontId="24" fillId="0" borderId="25" xfId="69" applyNumberFormat="1" applyFont="1" applyFill="1" applyBorder="1" applyProtection="1">
      <alignment/>
      <protection/>
    </xf>
    <xf numFmtId="0" fontId="0" fillId="0" borderId="0" xfId="69" applyFont="1" applyFill="1" applyProtection="1">
      <alignment/>
      <protection/>
    </xf>
    <xf numFmtId="0" fontId="26" fillId="0" borderId="0" xfId="69" applyFont="1" applyFill="1" applyProtection="1">
      <alignment/>
      <protection locked="0"/>
    </xf>
    <xf numFmtId="0" fontId="19" fillId="0" borderId="0" xfId="69" applyFont="1" applyFill="1" applyProtection="1">
      <alignment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SEGEDLETEK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tabSelected="1" view="pageLayout" zoomScaleNormal="85" workbookViewId="0" topLeftCell="E1">
      <selection activeCell="R27" sqref="R27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4" width="11.12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89000000-285000+5359522</f>
        <v>94074522</v>
      </c>
      <c r="F5" s="16">
        <f>89000000-285000+10461768+5359522</f>
        <v>104536290</v>
      </c>
      <c r="G5" s="16">
        <f>104000000-283192+5359522</f>
        <v>109076330</v>
      </c>
      <c r="H5" s="16">
        <f>109000000-283000+5359522</f>
        <v>114076522</v>
      </c>
      <c r="I5" s="16">
        <f>115000000-1280000+5359522</f>
        <v>119079522</v>
      </c>
      <c r="J5" s="16">
        <f>110000000-1280000+5359522</f>
        <v>114079522</v>
      </c>
      <c r="K5" s="16">
        <f>100000000-1280000+5359522</f>
        <v>104079522</v>
      </c>
      <c r="L5" s="16">
        <f>96000000-1280000+5359522</f>
        <v>100079522</v>
      </c>
      <c r="M5" s="16">
        <f>97000000-1280000+5359522</f>
        <v>101079522</v>
      </c>
      <c r="N5" s="16">
        <f>97215400-1280000+5359521</f>
        <v>101294921</v>
      </c>
      <c r="O5" s="17">
        <f aca="true" t="shared" si="0" ref="O5:O14">SUM(C5:N5)</f>
        <v>1239018195</v>
      </c>
    </row>
    <row r="6" spans="1:15" s="22" customFormat="1" ht="22.5">
      <c r="A6" s="18" t="s">
        <v>21</v>
      </c>
      <c r="B6" s="19" t="s">
        <v>22</v>
      </c>
      <c r="C6" s="20">
        <f>40000000+3000000</f>
        <v>43000000</v>
      </c>
      <c r="D6" s="20">
        <v>43000000</v>
      </c>
      <c r="E6" s="20">
        <f>38000000+40000000</f>
        <v>78000000</v>
      </c>
      <c r="F6" s="20">
        <f>30000000+40000000+362000+30000000</f>
        <v>100362000</v>
      </c>
      <c r="G6" s="20">
        <f>15000000+40000000+14906504</f>
        <v>69906504</v>
      </c>
      <c r="H6" s="20">
        <f>40000000+10000000+6840000</f>
        <v>56840000</v>
      </c>
      <c r="I6" s="20">
        <f>50000000+3111000+374405</f>
        <v>53485405</v>
      </c>
      <c r="J6" s="20">
        <f>60000000</f>
        <v>60000000</v>
      </c>
      <c r="K6" s="20">
        <f>50000000</f>
        <v>50000000</v>
      </c>
      <c r="L6" s="20">
        <f>46790588</f>
        <v>46790588</v>
      </c>
      <c r="M6" s="20"/>
      <c r="N6" s="20">
        <f>13768000</f>
        <v>13768000</v>
      </c>
      <c r="O6" s="21">
        <f t="shared" si="0"/>
        <v>615152497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500000</v>
      </c>
      <c r="F7" s="24">
        <v>5000000</v>
      </c>
      <c r="G7" s="24">
        <f>3797300+3679276</f>
        <v>7476576</v>
      </c>
      <c r="H7" s="24">
        <f>6000000+71809476+2160000</f>
        <v>79969476</v>
      </c>
      <c r="I7" s="24">
        <v>15956160</v>
      </c>
      <c r="J7" s="24"/>
      <c r="K7" s="24"/>
      <c r="L7" s="24">
        <v>3779393</v>
      </c>
      <c r="M7" s="24"/>
      <c r="N7" s="24"/>
      <c r="O7" s="21">
        <f t="shared" si="0"/>
        <v>112681605</v>
      </c>
    </row>
    <row r="8" spans="1:15" s="22" customFormat="1" ht="13.5" customHeight="1">
      <c r="A8" s="18" t="s">
        <v>25</v>
      </c>
      <c r="B8" s="25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f>3000000</f>
        <v>3000000</v>
      </c>
      <c r="I8" s="20">
        <v>3000000</v>
      </c>
      <c r="J8" s="20">
        <v>3000000</v>
      </c>
      <c r="K8" s="20">
        <v>120000000</v>
      </c>
      <c r="L8" s="20">
        <v>10000000</v>
      </c>
      <c r="M8" s="20">
        <v>7000000</v>
      </c>
      <c r="N8" s="20">
        <v>30000000</v>
      </c>
      <c r="O8" s="26">
        <f t="shared" si="0"/>
        <v>319390000</v>
      </c>
    </row>
    <row r="9" spans="1:15" s="22" customFormat="1" ht="13.5" customHeight="1">
      <c r="A9" s="18" t="s">
        <v>27</v>
      </c>
      <c r="B9" s="25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f>37000000+270000</f>
        <v>37270000</v>
      </c>
      <c r="I9" s="20">
        <f>37000000+4327496</f>
        <v>41327496</v>
      </c>
      <c r="J9" s="20">
        <v>37000000</v>
      </c>
      <c r="K9" s="20">
        <v>39000000</v>
      </c>
      <c r="L9" s="20">
        <f>39000000+6985000</f>
        <v>45985000</v>
      </c>
      <c r="M9" s="20">
        <v>37054678</v>
      </c>
      <c r="N9" s="20">
        <v>37000000</v>
      </c>
      <c r="O9" s="21">
        <f t="shared" si="0"/>
        <v>459637174</v>
      </c>
    </row>
    <row r="10" spans="1:15" s="22" customFormat="1" ht="13.5" customHeight="1">
      <c r="A10" s="18" t="s">
        <v>29</v>
      </c>
      <c r="B10" s="25" t="s">
        <v>30</v>
      </c>
      <c r="C10" s="20">
        <v>1920000</v>
      </c>
      <c r="D10" s="20">
        <v>3500000</v>
      </c>
      <c r="E10" s="20">
        <v>250000</v>
      </c>
      <c r="F10" s="20"/>
      <c r="G10" s="20">
        <v>19759000</v>
      </c>
      <c r="H10" s="20">
        <v>1000000</v>
      </c>
      <c r="I10" s="20">
        <v>11000000</v>
      </c>
      <c r="J10" s="20">
        <v>10000000</v>
      </c>
      <c r="K10" s="20"/>
      <c r="L10" s="20"/>
      <c r="M10" s="20"/>
      <c r="N10" s="20"/>
      <c r="O10" s="26">
        <f t="shared" si="0"/>
        <v>47429000</v>
      </c>
    </row>
    <row r="11" spans="1:15" s="22" customFormat="1" ht="13.5" customHeight="1">
      <c r="A11" s="18" t="s">
        <v>31</v>
      </c>
      <c r="B11" s="25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v>300000</v>
      </c>
      <c r="L11" s="20">
        <v>1666000</v>
      </c>
      <c r="M11" s="20">
        <v>300000</v>
      </c>
      <c r="N11" s="20">
        <v>166000</v>
      </c>
      <c r="O11" s="26">
        <f t="shared" si="0"/>
        <v>6024000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6">
        <f t="shared" si="0"/>
        <v>0</v>
      </c>
    </row>
    <row r="13" spans="1:15" s="22" customFormat="1" ht="13.5" customHeight="1" thickBot="1">
      <c r="A13" s="18" t="s">
        <v>35</v>
      </c>
      <c r="B13" s="25" t="s">
        <v>36</v>
      </c>
      <c r="C13" s="27">
        <v>292999415</v>
      </c>
      <c r="D13" s="27"/>
      <c r="E13" s="27">
        <v>10000000</v>
      </c>
      <c r="F13" s="27"/>
      <c r="G13" s="27"/>
      <c r="H13" s="27">
        <v>20000000</v>
      </c>
      <c r="I13" s="27">
        <v>64100000</v>
      </c>
      <c r="J13" s="27">
        <v>20000000</v>
      </c>
      <c r="K13" s="27">
        <v>10000000</v>
      </c>
      <c r="L13" s="27"/>
      <c r="M13" s="27">
        <f>20000000+37900000</f>
        <v>57900000</v>
      </c>
      <c r="N13" s="20"/>
      <c r="O13" s="21">
        <f t="shared" si="0"/>
        <v>474999415</v>
      </c>
    </row>
    <row r="14" spans="1:15" s="13" customFormat="1" ht="15.75" customHeight="1" thickBot="1">
      <c r="A14" s="9" t="s">
        <v>37</v>
      </c>
      <c r="B14" s="28" t="s">
        <v>38</v>
      </c>
      <c r="C14" s="29">
        <f aca="true" t="shared" si="1" ref="C14:N14">SUM(C5:C13)</f>
        <v>469133415</v>
      </c>
      <c r="D14" s="29">
        <f t="shared" si="1"/>
        <v>177848000</v>
      </c>
      <c r="E14" s="29">
        <f t="shared" si="1"/>
        <v>340374522</v>
      </c>
      <c r="F14" s="29">
        <f t="shared" si="1"/>
        <v>255730290</v>
      </c>
      <c r="G14" s="29">
        <f t="shared" si="1"/>
        <v>248668410</v>
      </c>
      <c r="H14" s="29">
        <f t="shared" si="1"/>
        <v>312605998</v>
      </c>
      <c r="I14" s="29">
        <f t="shared" si="1"/>
        <v>308348583</v>
      </c>
      <c r="J14" s="29">
        <f t="shared" si="1"/>
        <v>244379522</v>
      </c>
      <c r="K14" s="29">
        <f t="shared" si="1"/>
        <v>323379522</v>
      </c>
      <c r="L14" s="29">
        <f t="shared" si="1"/>
        <v>208300503</v>
      </c>
      <c r="M14" s="29">
        <f t="shared" si="1"/>
        <v>203334200</v>
      </c>
      <c r="N14" s="29">
        <f t="shared" si="1"/>
        <v>182228921</v>
      </c>
      <c r="O14" s="30">
        <f t="shared" si="0"/>
        <v>3274331886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1" t="s">
        <v>41</v>
      </c>
      <c r="B16" s="32" t="s">
        <v>42</v>
      </c>
      <c r="C16" s="24">
        <v>83000000</v>
      </c>
      <c r="D16" s="24">
        <v>83105000</v>
      </c>
      <c r="E16" s="24">
        <f>83000000+31471300</f>
        <v>114471300</v>
      </c>
      <c r="F16" s="24">
        <f>81000000+31471300+326126+3025822</f>
        <v>115823248</v>
      </c>
      <c r="G16" s="24">
        <f>81000000+31471300+12214480+3025822</f>
        <v>127711602</v>
      </c>
      <c r="H16" s="24">
        <f>82000000+31471300+12214480+3025821-199044+76000+1000000</f>
        <v>129588557</v>
      </c>
      <c r="I16" s="24">
        <f>81000000+31471300+12214480+3025822-199044+15000+622444</f>
        <v>128150002</v>
      </c>
      <c r="J16" s="24">
        <f>81000000+31471300+12214480+3025822-199044+1275000+622444</f>
        <v>129410002</v>
      </c>
      <c r="K16" s="24">
        <f>81000000+31471300+12214480+3025822-199044+15000+1275000+622443</f>
        <v>129425001</v>
      </c>
      <c r="L16" s="24">
        <f>81205571+31471295+12214480+3025821-199044+622443</f>
        <v>128340566</v>
      </c>
      <c r="M16" s="24">
        <f>81000000+12214480-5+3025822-199044+622444</f>
        <v>96663697</v>
      </c>
      <c r="N16" s="24">
        <f>81000000+3025822-199044+20000+622444</f>
        <v>84469222</v>
      </c>
      <c r="O16" s="33">
        <f aca="true" t="shared" si="2" ref="O16:O26">SUM(C16:N16)</f>
        <v>1350158197</v>
      </c>
    </row>
    <row r="17" spans="1:15" s="22" customFormat="1" ht="27" customHeight="1">
      <c r="A17" s="18" t="s">
        <v>43</v>
      </c>
      <c r="B17" s="19" t="s">
        <v>44</v>
      </c>
      <c r="C17" s="20">
        <f>17840000+340000</f>
        <v>18180000</v>
      </c>
      <c r="D17" s="20">
        <f>17863000+335000</f>
        <v>18198000</v>
      </c>
      <c r="E17" s="20">
        <f>17840000+3461842+407211</f>
        <v>21709053</v>
      </c>
      <c r="F17" s="20">
        <f>17400000+3461842+35874+644474</f>
        <v>21542190</v>
      </c>
      <c r="G17" s="20">
        <f>17400000+364361+3461842+1343593+644475</f>
        <v>23214271</v>
      </c>
      <c r="H17" s="20">
        <f>17620000+3461842+1343593+644474-40055+37984+220000</f>
        <v>23287838</v>
      </c>
      <c r="I17" s="20">
        <f>17400000+3461842+1343593+644475-40054+6000+112959</f>
        <v>22928815</v>
      </c>
      <c r="J17" s="20">
        <f>17400000+3461842+1343593+644474-40055+280500+112959</f>
        <v>23203313</v>
      </c>
      <c r="K17" s="20">
        <f>17400000+3461842+1343593+644475-40055+6000+280500+112959</f>
        <v>23209314</v>
      </c>
      <c r="L17" s="20">
        <f>17440000+3461842+1343593+644474-40054+112959</f>
        <v>22962814</v>
      </c>
      <c r="M17" s="20">
        <f>17400000+1343593-2+644475-40055+112959</f>
        <v>19460970</v>
      </c>
      <c r="N17" s="20">
        <f>17400000+644475-40054+9830+112959</f>
        <v>18127210</v>
      </c>
      <c r="O17" s="21">
        <f t="shared" si="2"/>
        <v>256023788</v>
      </c>
    </row>
    <row r="18" spans="1:15" s="22" customFormat="1" ht="13.5" customHeight="1">
      <c r="A18" s="18" t="s">
        <v>45</v>
      </c>
      <c r="B18" s="25" t="s">
        <v>46</v>
      </c>
      <c r="C18" s="20">
        <v>84000000</v>
      </c>
      <c r="D18" s="20">
        <v>84000000</v>
      </c>
      <c r="E18" s="20">
        <f>84000000+4158000</f>
        <v>88158000</v>
      </c>
      <c r="F18" s="20">
        <f>75000000+4158000</f>
        <v>79158000</v>
      </c>
      <c r="G18" s="20">
        <f>74000000+4158000+200000+3939600+3519761</f>
        <v>85817361</v>
      </c>
      <c r="H18" s="20">
        <f>52397442+4158000+200000+270000+3800000+3519761+3000000</f>
        <v>67345203</v>
      </c>
      <c r="I18" s="20">
        <f>60000000+4158000+200000+3800000+3519761+3000000</f>
        <v>74677761</v>
      </c>
      <c r="J18" s="20">
        <f>60000000+4158000+200000+3800000+3519761+1000000+2000000</f>
        <v>74677761</v>
      </c>
      <c r="K18" s="20">
        <f>55000000+4158000+200000+3800000+3519761+2295882+3000000</f>
        <v>71973643</v>
      </c>
      <c r="L18" s="20">
        <f>65000000+4158000+200000+3800000+3519761+3000000+1384339</f>
        <v>81062100</v>
      </c>
      <c r="M18" s="20">
        <f>75000000+4158000+200000+3800000+3519761+1500000</f>
        <v>88177761</v>
      </c>
      <c r="N18" s="20">
        <f>84000000+4158000-96+200000-8488680+3800000+3519761+1500000</f>
        <v>88688985</v>
      </c>
      <c r="O18" s="21">
        <f t="shared" si="2"/>
        <v>967736575</v>
      </c>
    </row>
    <row r="19" spans="1:15" s="22" customFormat="1" ht="13.5" customHeight="1">
      <c r="A19" s="18" t="s">
        <v>47</v>
      </c>
      <c r="B19" s="25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v>4230000</v>
      </c>
      <c r="M19" s="20">
        <v>17000000</v>
      </c>
      <c r="N19" s="20">
        <v>21000000</v>
      </c>
      <c r="O19" s="26">
        <f t="shared" si="2"/>
        <v>95230000</v>
      </c>
    </row>
    <row r="20" spans="1:15" s="22" customFormat="1" ht="13.5" customHeight="1">
      <c r="A20" s="18" t="s">
        <v>49</v>
      </c>
      <c r="B20" s="25" t="s">
        <v>50</v>
      </c>
      <c r="C20" s="20">
        <v>1500</v>
      </c>
      <c r="D20" s="20"/>
      <c r="E20" s="20">
        <f>8000000+3500000</f>
        <v>11500000</v>
      </c>
      <c r="F20" s="20">
        <v>2000000</v>
      </c>
      <c r="G20" s="20">
        <f>2000000+6600000+7242044+60754+2000000</f>
        <v>17902798</v>
      </c>
      <c r="H20" s="20">
        <v>10000000</v>
      </c>
      <c r="I20" s="20">
        <v>1165000</v>
      </c>
      <c r="J20" s="20">
        <v>1000000</v>
      </c>
      <c r="K20" s="20">
        <v>8000000</v>
      </c>
      <c r="L20" s="20">
        <v>2000000</v>
      </c>
      <c r="M20" s="20">
        <v>2000000</v>
      </c>
      <c r="N20" s="20">
        <v>1000000</v>
      </c>
      <c r="O20" s="26">
        <f t="shared" si="2"/>
        <v>56569298</v>
      </c>
    </row>
    <row r="21" spans="1:16" s="22" customFormat="1" ht="13.5" customHeight="1">
      <c r="A21" s="18" t="s">
        <v>51</v>
      </c>
      <c r="B21" s="25" t="s">
        <v>52</v>
      </c>
      <c r="C21" s="20">
        <v>2000000</v>
      </c>
      <c r="D21" s="20">
        <v>2000000</v>
      </c>
      <c r="E21" s="20">
        <v>2500000</v>
      </c>
      <c r="F21" s="20">
        <f>4500000+979170</f>
        <v>5479170</v>
      </c>
      <c r="G21" s="20">
        <f>8000000-265000</f>
        <v>7735000</v>
      </c>
      <c r="H21" s="20">
        <f>8500000+63976</f>
        <v>8563976</v>
      </c>
      <c r="I21" s="20">
        <f>2500000+18116187+2239176+988736</f>
        <v>23844099</v>
      </c>
      <c r="J21" s="20">
        <v>3000000</v>
      </c>
      <c r="K21" s="20">
        <v>2000000</v>
      </c>
      <c r="L21" s="20">
        <f>2000000+70000000</f>
        <v>72000000</v>
      </c>
      <c r="M21" s="20">
        <f>3000000+16000000</f>
        <v>19000000</v>
      </c>
      <c r="N21" s="20">
        <f>2000000+7000000</f>
        <v>9000000</v>
      </c>
      <c r="O21" s="21">
        <f t="shared" si="2"/>
        <v>157122245</v>
      </c>
      <c r="P21" s="34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365393</v>
      </c>
      <c r="F22" s="20">
        <v>1794600</v>
      </c>
      <c r="G22" s="20">
        <f>2158000+578000+157000</f>
        <v>2893000</v>
      </c>
      <c r="H22" s="20">
        <f>2000000+1000000+239841</f>
        <v>3239841</v>
      </c>
      <c r="I22" s="20">
        <f>70000000+600000</f>
        <v>70600000</v>
      </c>
      <c r="J22" s="20">
        <v>3000000</v>
      </c>
      <c r="K22" s="20"/>
      <c r="L22" s="20">
        <f>2500000+5714910</f>
        <v>8214910</v>
      </c>
      <c r="M22" s="20"/>
      <c r="N22" s="20"/>
      <c r="O22" s="26">
        <f t="shared" si="2"/>
        <v>90107744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2400000</v>
      </c>
      <c r="G23" s="20">
        <v>1348000</v>
      </c>
      <c r="H23" s="20">
        <v>600000</v>
      </c>
      <c r="I23" s="20">
        <v>42072000</v>
      </c>
      <c r="J23" s="20"/>
      <c r="K23" s="20"/>
      <c r="L23" s="20"/>
      <c r="M23" s="20"/>
      <c r="N23" s="20"/>
      <c r="O23" s="26">
        <f t="shared" si="2"/>
        <v>46420000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500000</v>
      </c>
      <c r="F24" s="20">
        <f>14000000-1700000-1600000-8539600</f>
        <v>2160400</v>
      </c>
      <c r="G24" s="20">
        <f>14000000-1700000+2396232-7948000</f>
        <v>6748232</v>
      </c>
      <c r="H24" s="20">
        <f>15000000-1700000-1000000-7343244+30115784</f>
        <v>35072540</v>
      </c>
      <c r="I24" s="20">
        <f>15000000-1700000-1000000</f>
        <v>12300000</v>
      </c>
      <c r="J24" s="20">
        <f>15000000-1700000-1000000</f>
        <v>12300000</v>
      </c>
      <c r="K24" s="20">
        <f>14613300-1700000-1010722</f>
        <v>11902578</v>
      </c>
      <c r="L24" s="20">
        <f>14500000-1700000</f>
        <v>12800000</v>
      </c>
      <c r="M24" s="20">
        <f>14000000-1700000</f>
        <v>12300000</v>
      </c>
      <c r="N24" s="20">
        <f>14000000-1700000-1745643</f>
        <v>10554357</v>
      </c>
      <c r="O24" s="21">
        <f t="shared" si="2"/>
        <v>116638107</v>
      </c>
    </row>
    <row r="25" spans="1:15" s="22" customFormat="1" ht="13.5" customHeight="1" thickBot="1">
      <c r="A25" s="18" t="s">
        <v>59</v>
      </c>
      <c r="B25" s="25" t="s">
        <v>60</v>
      </c>
      <c r="C25" s="27">
        <v>35164932</v>
      </c>
      <c r="D25" s="27"/>
      <c r="E25" s="27">
        <v>790000</v>
      </c>
      <c r="F25" s="20"/>
      <c r="G25" s="27"/>
      <c r="H25" s="27">
        <v>790000</v>
      </c>
      <c r="I25" s="27"/>
      <c r="J25" s="27"/>
      <c r="K25" s="27">
        <v>791000</v>
      </c>
      <c r="L25" s="27">
        <v>70000000</v>
      </c>
      <c r="M25" s="27"/>
      <c r="N25" s="27">
        <v>30790000</v>
      </c>
      <c r="O25" s="26">
        <f t="shared" si="2"/>
        <v>138325932</v>
      </c>
    </row>
    <row r="26" spans="1:15" s="13" customFormat="1" ht="15.75" customHeight="1" thickBot="1">
      <c r="A26" s="35" t="s">
        <v>61</v>
      </c>
      <c r="B26" s="28" t="s">
        <v>62</v>
      </c>
      <c r="C26" s="29">
        <f aca="true" t="shared" si="3" ref="C26:N26">SUM(C16:C25)</f>
        <v>226346432</v>
      </c>
      <c r="D26" s="29">
        <f t="shared" si="3"/>
        <v>191303000</v>
      </c>
      <c r="E26" s="29">
        <f t="shared" si="3"/>
        <v>244993746</v>
      </c>
      <c r="F26" s="29">
        <f t="shared" si="3"/>
        <v>234357608</v>
      </c>
      <c r="G26" s="29">
        <f t="shared" si="3"/>
        <v>278370264</v>
      </c>
      <c r="H26" s="29">
        <f t="shared" si="3"/>
        <v>283487955</v>
      </c>
      <c r="I26" s="29">
        <f t="shared" si="3"/>
        <v>379737677</v>
      </c>
      <c r="J26" s="29">
        <f t="shared" si="3"/>
        <v>263591076</v>
      </c>
      <c r="K26" s="29">
        <f t="shared" si="3"/>
        <v>252301536</v>
      </c>
      <c r="L26" s="29">
        <f t="shared" si="3"/>
        <v>401610390</v>
      </c>
      <c r="M26" s="29">
        <f t="shared" si="3"/>
        <v>254602428</v>
      </c>
      <c r="N26" s="29">
        <f t="shared" si="3"/>
        <v>263629774</v>
      </c>
      <c r="O26" s="30">
        <f t="shared" si="2"/>
        <v>3274331886</v>
      </c>
    </row>
    <row r="27" spans="1:15" ht="16.5" thickBot="1">
      <c r="A27" s="35" t="s">
        <v>63</v>
      </c>
      <c r="B27" s="36" t="s">
        <v>64</v>
      </c>
      <c r="C27" s="37">
        <f aca="true" t="shared" si="4" ref="C27:O27">C14-C26</f>
        <v>242786983</v>
      </c>
      <c r="D27" s="37">
        <f t="shared" si="4"/>
        <v>-13455000</v>
      </c>
      <c r="E27" s="37">
        <f t="shared" si="4"/>
        <v>95380776</v>
      </c>
      <c r="F27" s="37">
        <f t="shared" si="4"/>
        <v>21372682</v>
      </c>
      <c r="G27" s="37">
        <f t="shared" si="4"/>
        <v>-29701854</v>
      </c>
      <c r="H27" s="37">
        <f t="shared" si="4"/>
        <v>29118043</v>
      </c>
      <c r="I27" s="37">
        <f t="shared" si="4"/>
        <v>-71389094</v>
      </c>
      <c r="J27" s="37">
        <f t="shared" si="4"/>
        <v>-19211554</v>
      </c>
      <c r="K27" s="37">
        <f t="shared" si="4"/>
        <v>71077986</v>
      </c>
      <c r="L27" s="37">
        <f t="shared" si="4"/>
        <v>-193309887</v>
      </c>
      <c r="M27" s="37">
        <f t="shared" si="4"/>
        <v>-51268228</v>
      </c>
      <c r="N27" s="37">
        <f t="shared" si="4"/>
        <v>-81400853</v>
      </c>
      <c r="O27" s="38">
        <f t="shared" si="4"/>
        <v>0</v>
      </c>
    </row>
    <row r="28" ht="15.75">
      <c r="A28" s="39"/>
    </row>
    <row r="29" spans="2:15" ht="15.75">
      <c r="B29" s="40"/>
      <c r="C29" s="41"/>
      <c r="D29" s="41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 36. melléklet a  20/2017.(VI.29.)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2017-06-30T09:10:59Z</dcterms:created>
  <dcterms:modified xsi:type="dcterms:W3CDTF">2017-06-30T09:10:59Z</dcterms:modified>
  <cp:category/>
  <cp:version/>
  <cp:contentType/>
  <cp:contentStatus/>
</cp:coreProperties>
</file>